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U18" i="10" l="1"/>
  <c r="X5" i="14" l="1"/>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7" i="13"/>
  <c r="M48" i="13"/>
  <c r="M56" i="13"/>
  <c r="M52" i="13"/>
  <c r="M53" i="13"/>
  <c r="M57" i="13"/>
  <c r="M55" i="13"/>
  <c r="M54" i="13"/>
  <c r="M51" i="13"/>
  <c r="M49" i="13"/>
  <c r="M50"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J68" i="10" l="1"/>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V639" i="11" l="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P836" i="11"/>
  <c r="AP830" i="11"/>
  <c r="AT836" i="11"/>
  <c r="AM830" i="11"/>
  <c r="AP838" i="11"/>
  <c r="AU831" i="11"/>
  <c r="AP835" i="11"/>
  <c r="AU832" i="11"/>
  <c r="AM836" i="11"/>
  <c r="AU833" i="11"/>
  <c r="AM838" i="11"/>
  <c r="AU838" i="11"/>
  <c r="AM837" i="11"/>
  <c r="AM831" i="11"/>
  <c r="AO838" i="11"/>
  <c r="AN830" i="11" a="1"/>
  <c r="AT830" i="11"/>
  <c r="AN829" i="11" a="1"/>
  <c r="AU830" i="11"/>
  <c r="AM834" i="11"/>
  <c r="AN830" i="11" l="1"/>
  <c r="AJ2098" i="11"/>
  <c r="AD2098" i="11"/>
  <c r="X2098" i="11"/>
  <c r="AG2098" i="11"/>
  <c r="AA2098" i="11"/>
  <c r="AN829" i="11"/>
  <c r="L2098" i="11"/>
  <c r="R2098" i="11"/>
  <c r="U2098" i="11"/>
  <c r="O2098" i="11"/>
  <c r="O64" i="4"/>
  <c r="D64" i="4"/>
  <c r="J2098" i="11"/>
  <c r="BF201" i="11"/>
  <c r="BF224" i="11" s="1"/>
  <c r="BI201" i="11"/>
  <c r="BI224" i="11" s="1"/>
  <c r="AU835" i="11"/>
  <c r="AU837" i="11"/>
  <c r="AO830" i="11"/>
  <c r="AU829" i="11"/>
  <c r="AP834" i="11"/>
  <c r="AP832" i="11"/>
  <c r="AT833" i="11"/>
  <c r="AM833" i="11"/>
  <c r="AP831" i="11"/>
  <c r="AT837" i="11"/>
  <c r="AP829" i="11"/>
  <c r="AO829" i="11"/>
  <c r="AM832" i="11"/>
  <c r="AT829" i="11"/>
  <c r="AU836" i="11"/>
  <c r="AU834" i="11"/>
  <c r="AT834" i="11"/>
  <c r="AM829" i="11"/>
  <c r="AP833" i="11"/>
  <c r="AT835" i="11"/>
  <c r="AT831" i="11"/>
  <c r="AM835" i="11"/>
  <c r="AP837" i="11"/>
  <c r="AT832" i="11"/>
  <c r="L2099" i="11" l="1"/>
  <c r="J2100" i="11"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G87" i="10" l="1"/>
  <c r="V323" i="22"/>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l="1"/>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H60" i="10" l="1"/>
  <c r="F35" i="5"/>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U59" i="11" l="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H17" i="2"/>
  <c r="W94" i="3"/>
  <c r="E67" i="2"/>
  <c r="J14" i="10"/>
  <c r="H15" i="2"/>
  <c r="AU14" i="2"/>
  <c r="AQ14" i="2"/>
  <c r="H526" i="11"/>
  <c r="F30" i="2"/>
  <c r="H452" i="11"/>
  <c r="L18" i="8"/>
  <c r="K18" i="8"/>
  <c r="F1111" i="11"/>
  <c r="F1104" i="11"/>
  <c r="F1106" i="11"/>
  <c r="F1113" i="11"/>
  <c r="H421" i="11"/>
  <c r="F1110" i="11"/>
  <c r="F1105" i="11"/>
  <c r="F1108" i="11"/>
  <c r="F1112" i="11"/>
  <c r="F1107" i="11"/>
  <c r="F1109" i="11"/>
  <c r="V48" i="10" l="1"/>
  <c r="AI63" i="1"/>
  <c r="V62" i="4"/>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A137" i="3"/>
  <c r="O1981" i="11" s="1"/>
  <c r="AA172" i="3"/>
  <c r="O2016" i="11" s="1"/>
  <c r="AA140" i="3"/>
  <c r="O1984" i="11" s="1"/>
  <c r="AA151" i="3"/>
  <c r="O1995" i="11" s="1"/>
  <c r="AA173" i="3"/>
  <c r="O2017" i="11" s="1"/>
  <c r="AA153" i="3"/>
  <c r="O1997" i="11" s="1"/>
  <c r="AA136" i="3"/>
  <c r="O1980" i="11" s="1"/>
  <c r="AA101" i="3"/>
  <c r="M29" i="6" s="1"/>
  <c r="AA146" i="3"/>
  <c r="O1990" i="11" s="1"/>
  <c r="AA98" i="3"/>
  <c r="M26" i="6" s="1"/>
  <c r="AA99" i="3"/>
  <c r="AA139" i="3"/>
  <c r="O1983" i="11" s="1"/>
  <c r="AA154" i="3"/>
  <c r="O1998" i="11" s="1"/>
  <c r="AA155" i="3"/>
  <c r="AA142" i="3"/>
  <c r="O1986" i="11" s="1"/>
  <c r="H11" i="8"/>
  <c r="AA149" i="3"/>
  <c r="O1993" i="11" s="1"/>
  <c r="AA138" i="3"/>
  <c r="O1982" i="11" s="1"/>
  <c r="AA168" i="3"/>
  <c r="O2012" i="11" s="1"/>
  <c r="AA179" i="3"/>
  <c r="O2023" i="11" s="1"/>
  <c r="AA150" i="3"/>
  <c r="AA94" i="3"/>
  <c r="W95" i="3" s="1"/>
  <c r="AA95" i="3" s="1"/>
  <c r="I12" i="6" s="1"/>
  <c r="J12" i="6" s="1"/>
  <c r="O2018" i="11"/>
  <c r="AA180" i="3"/>
  <c r="Q2024" i="11" s="1"/>
  <c r="W2024" i="11" s="1"/>
  <c r="AA148" i="3"/>
  <c r="O1992" i="11" s="1"/>
  <c r="AA141" i="3"/>
  <c r="O1985" i="11" s="1"/>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J62" i="10" l="1"/>
  <c r="AH50" i="10"/>
  <c r="AB50" i="10"/>
  <c r="AF32" i="10"/>
  <c r="AD48" i="10"/>
  <c r="S50" i="10"/>
  <c r="CN108" i="1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X50" i="10" l="1"/>
  <c r="L1091" i="1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AR11" i="2"/>
  <c r="U61" i="11"/>
  <c r="W59" i="11"/>
  <c r="AD1996" i="11"/>
  <c r="K1996" i="11" s="1"/>
  <c r="R14" i="10" l="1"/>
  <c r="AO19" i="2"/>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H95" i="10" l="1"/>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Z9" i="4"/>
  <c r="J16" i="4" s="1"/>
  <c r="BA9" i="4"/>
  <c r="K16" i="4" s="1"/>
  <c r="BC9" i="4"/>
  <c r="M16" i="4" s="1"/>
  <c r="BB9" i="4"/>
  <c r="L16" i="4" s="1"/>
  <c r="AY9" i="4"/>
  <c r="I16" i="4" s="1"/>
  <c r="BG25" i="4"/>
  <c r="BG24" i="4"/>
  <c r="BG23" i="4"/>
  <c r="G59" i="2"/>
  <c r="J59" i="2" s="1"/>
  <c r="G60" i="2"/>
  <c r="J60" i="2" s="1"/>
  <c r="G58" i="2"/>
  <c r="J58" i="2" s="1"/>
  <c r="J32" i="2"/>
  <c r="N13" i="10"/>
  <c r="H11" i="2"/>
  <c r="D25" i="2" s="1"/>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I35" i="10" l="1"/>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O2015" i="11"/>
  <c r="AD2017" i="11" s="1"/>
  <c r="K2017" i="11" s="1"/>
  <c r="AD1983" i="11"/>
  <c r="K1983" i="11" s="1"/>
  <c r="H28" i="2"/>
  <c r="E16" i="4"/>
  <c r="F36" i="5"/>
  <c r="C2010" i="11"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AT39" i="10" l="1"/>
  <c r="H39" i="10" s="1"/>
  <c r="H31" i="10"/>
  <c r="O1973" i="1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AB938" i="11" a="1"/>
  <c r="AB918" i="11" a="1"/>
  <c r="AB918" i="11" s="1"/>
  <c r="AB908" i="11" a="1"/>
  <c r="AB922" i="11" a="1"/>
  <c r="AB932" i="11" a="1"/>
  <c r="AB932" i="11" s="1"/>
  <c r="AB913" i="11" a="1"/>
  <c r="AB915" i="11" a="1"/>
  <c r="AB911" i="11" a="1"/>
  <c r="AB911" i="11" s="1"/>
  <c r="AB919" i="11" a="1"/>
  <c r="AB919" i="11" s="1"/>
  <c r="AB921" i="11" a="1"/>
  <c r="AB921" i="11" s="1"/>
  <c r="AB929" i="11" a="1"/>
  <c r="AB914" i="11" a="1"/>
  <c r="AB936" i="11" a="1"/>
  <c r="AB936" i="11" s="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31" i="11" s="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27" i="11"/>
  <c r="AB882" i="11"/>
  <c r="AT21" i="4"/>
  <c r="AT27" i="4" s="1"/>
  <c r="AV54" i="4" s="1"/>
  <c r="AB894" i="11"/>
  <c r="AB926" i="11"/>
  <c r="AB883" i="11"/>
  <c r="AB880" i="11"/>
  <c r="AB908" i="11"/>
  <c r="AB864" i="11"/>
  <c r="AB928" i="11"/>
  <c r="AB860" i="11"/>
  <c r="AB877" i="11"/>
  <c r="AB866" i="11"/>
  <c r="AB913" i="11"/>
  <c r="AB903" i="11"/>
  <c r="AB871" i="11"/>
  <c r="AB902" i="11"/>
  <c r="AB896" i="11"/>
  <c r="AB897" i="11"/>
  <c r="AB922" i="11"/>
  <c r="AB885" i="11"/>
  <c r="AB869" i="11"/>
  <c r="AB898" i="11"/>
  <c r="AB875" i="11"/>
  <c r="AB870"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F50" i="10" l="1"/>
  <c r="AH127" i="9"/>
  <c r="AG127" i="9" s="1"/>
  <c r="AH111" i="9"/>
  <c r="AC111" i="9"/>
  <c r="AC127" i="9"/>
  <c r="AV52" i="4"/>
  <c r="AH95" i="9"/>
  <c r="AC95" i="9"/>
  <c r="H24" i="2"/>
  <c r="Z29" i="3"/>
  <c r="V61" i="3"/>
  <c r="V60" i="3"/>
  <c r="I1010" i="11"/>
  <c r="I1003" i="11"/>
  <c r="I1000" i="11"/>
  <c r="N1978" i="11"/>
  <c r="N2029" i="11"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D98" i="10" l="1"/>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BZ643" i="11"/>
  <c r="CG642" i="11"/>
  <c r="BS642" i="11"/>
  <c r="BL642" i="11"/>
  <c r="BE642" i="11"/>
  <c r="I37" i="10" l="1"/>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CL776" i="11"/>
  <c r="K76" i="10" l="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0" i="11" a="1"/>
  <c r="AL838" i="11" a="1"/>
  <c r="AL831" i="11" a="1"/>
  <c r="AL833" i="11" a="1"/>
  <c r="AL829" i="11" a="1"/>
  <c r="AL836" i="11" a="1"/>
  <c r="AL832" i="11" a="1"/>
  <c r="AL835" i="11" a="1"/>
  <c r="AL837" i="11" a="1"/>
  <c r="AL834" i="11" a="1"/>
  <c r="I2029" i="11" l="1"/>
  <c r="G2029" i="11" s="1"/>
  <c r="G2013" i="11" s="1"/>
  <c r="AL834" i="11"/>
  <c r="AL835" i="11"/>
  <c r="AL832" i="11"/>
  <c r="AL833" i="11"/>
  <c r="AL838" i="11"/>
  <c r="AL830" i="11"/>
  <c r="AL831" i="11"/>
  <c r="AL836" i="11"/>
  <c r="AL837" i="11"/>
  <c r="AL829" i="11"/>
  <c r="AN835" i="11" a="1"/>
  <c r="AS834" i="11"/>
  <c r="G52" i="10" l="1"/>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AH831" i="11" l="1"/>
  <c r="AH832" i="11"/>
  <c r="AE829" i="11"/>
  <c r="AD829" i="11" s="1"/>
  <c r="AH830" i="11"/>
  <c r="AH829" i="11"/>
  <c r="AN837" i="11"/>
  <c r="AO835" i="11"/>
  <c r="AS838" i="11"/>
  <c r="AS833" i="11"/>
  <c r="AS831" i="11"/>
  <c r="AS836" i="11"/>
  <c r="AS837" i="11"/>
  <c r="AS835" i="11"/>
  <c r="AN832" i="11" a="1"/>
  <c r="AS829" i="11"/>
  <c r="AS830"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1" i="4" l="1"/>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BC50" i="4"/>
  <c r="U29" i="4"/>
  <c r="AX52" i="4"/>
  <c r="AX50" i="4" s="1"/>
  <c r="BF50" i="4"/>
  <c r="AZ53" i="4" l="1"/>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BG50" i="4"/>
  <c r="AN833" i="11" a="1"/>
  <c r="BB50" i="4" l="1"/>
  <c r="BA50" i="4"/>
  <c r="AZ50" i="4"/>
  <c r="AY50" i="4"/>
  <c r="AI658" i="11"/>
  <c r="AI665" i="11"/>
  <c r="AI671" i="11" s="1"/>
  <c r="AI680" i="11" s="1"/>
  <c r="AS641" i="11" a="1"/>
  <c r="AS641" i="11" s="1"/>
  <c r="AT641" i="11" s="1"/>
  <c r="AS665" i="11"/>
  <c r="AN640" i="11" a="1"/>
  <c r="AN640" i="11" s="1"/>
  <c r="AO640" i="11" s="1"/>
  <c r="AO641" i="11" s="1"/>
  <c r="BF48" i="4"/>
  <c r="BG48" i="4" s="1"/>
  <c r="AN833" i="11"/>
  <c r="AN834" i="11" a="1"/>
  <c r="H25" i="10" l="1"/>
  <c r="H19" i="10"/>
  <c r="AS667" i="1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E824" i="11"/>
  <c r="BB46" i="4" s="1"/>
  <c r="W43" i="4" s="1"/>
  <c r="E823" i="11"/>
  <c r="W59" i="4"/>
  <c r="L59" i="4"/>
  <c r="AN836" i="11"/>
  <c r="AO833" i="11"/>
  <c r="AO834" i="11"/>
  <c r="AO836"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R834" i="11" a="1"/>
  <c r="AQ835" i="11" a="1"/>
  <c r="AQ837" i="11" a="1"/>
  <c r="AR838" i="11" a="1"/>
  <c r="AQ832" i="11" a="1"/>
  <c r="AR830" i="11" a="1"/>
  <c r="AQ833" i="11" a="1"/>
  <c r="AQ831" i="11" a="1"/>
  <c r="AR832" i="11" a="1"/>
  <c r="AQ830" i="11" a="1"/>
  <c r="AQ829" i="11" a="1"/>
  <c r="AR831" i="11" a="1"/>
  <c r="AR833" i="11" a="1"/>
  <c r="AQ834" i="11" a="1"/>
  <c r="AR837" i="11" a="1"/>
  <c r="AR829" i="11" a="1"/>
  <c r="AQ838" i="11" a="1"/>
  <c r="AR836" i="11" a="1"/>
  <c r="AR835"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<sst xmlns="http://schemas.openxmlformats.org/spreadsheetml/2006/main" count="27518" uniqueCount="10494">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</sst>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9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53" fillId="24" borderId="92" xfId="0" applyFont="1" applyFill="1" applyBorder="1" applyAlignment="1">
      <alignment vertical="center" wrapText="1"/>
    </xf>
    <xf numFmtId="0" fontId="153" fillId="24" borderId="90" xfId="0" applyFont="1" applyFill="1" applyBorder="1" applyAlignment="1">
      <alignment vertical="center" wrapText="1"/>
    </xf>
    <xf numFmtId="0" fontId="0" fillId="24" borderId="87" xfId="0" applyFill="1" applyBorder="1"/>
    <xf numFmtId="0" fontId="154" fillId="3" borderId="0" xfId="0" applyFont="1" applyFill="1" applyAlignment="1">
      <alignment horizontal="left"/>
    </xf>
    <xf numFmtId="0" fontId="155" fillId="3" borderId="0" xfId="0" applyFont="1" applyFill="1"/>
    <xf numFmtId="0" fontId="155" fillId="3" borderId="0" xfId="0" applyFont="1" applyFill="1" applyProtection="1"/>
    <xf numFmtId="0" fontId="155" fillId="27" borderId="0" xfId="0" applyFont="1" applyFill="1" applyProtection="1"/>
    <xf numFmtId="0" fontId="155" fillId="27" borderId="0" xfId="0" applyFont="1" applyFill="1" applyBorder="1" applyProtection="1"/>
    <xf numFmtId="0" fontId="155" fillId="3" borderId="0" xfId="0" applyFont="1" applyFill="1" applyBorder="1" applyProtection="1"/>
    <xf numFmtId="0" fontId="155" fillId="3" borderId="0" xfId="0" applyFont="1" applyFill="1" applyAlignment="1" applyProtection="1">
      <alignment horizontal="left"/>
    </xf>
    <xf numFmtId="0" fontId="155" fillId="3" borderId="0" xfId="0" applyFont="1" applyFill="1" applyAlignment="1" applyProtection="1">
      <alignment horizontal="right"/>
    </xf>
    <xf numFmtId="0" fontId="155" fillId="27" borderId="0" xfId="0" applyFont="1" applyFill="1" applyAlignment="1" applyProtection="1">
      <alignment horizontal="left"/>
    </xf>
    <xf numFmtId="0" fontId="155" fillId="3" borderId="0" xfId="0" applyFont="1" applyFill="1" applyAlignment="1">
      <alignment horizontal="right"/>
    </xf>
    <xf numFmtId="0" fontId="154" fillId="3" borderId="0" xfId="0" applyFont="1" applyFill="1" applyBorder="1"/>
    <xf numFmtId="0" fontId="154" fillId="12" borderId="0" xfId="12" applyFont="1" applyFill="1" applyAlignment="1">
      <alignment horizontal="left"/>
    </xf>
    <xf numFmtId="0" fontId="154" fillId="3" borderId="0" xfId="0" applyFont="1" applyFill="1"/>
    <xf numFmtId="0" fontId="154" fillId="3" borderId="0" xfId="0" applyFont="1" applyFill="1" applyBorder="1" applyAlignment="1">
      <alignment vertical="center" wrapText="1"/>
    </xf>
    <xf numFmtId="0" fontId="154" fillId="3" borderId="0" xfId="0" applyFont="1" applyFill="1" applyAlignment="1">
      <alignment horizontal="left" vertical="center"/>
    </xf>
    <xf numFmtId="0" fontId="154" fillId="3" borderId="0" xfId="0" applyFont="1" applyFill="1" applyAlignment="1">
      <alignment horizontal="center" vertical="center"/>
    </xf>
    <xf numFmtId="0" fontId="154" fillId="3" borderId="0" xfId="0" quotePrefix="1" applyFont="1" applyFill="1"/>
    <xf numFmtId="0" fontId="156" fillId="3" borderId="0" xfId="0" applyFont="1" applyFill="1" applyAlignment="1">
      <alignment horizontal="left" vertical="center"/>
    </xf>
    <xf numFmtId="1" fontId="154" fillId="3" borderId="0" xfId="0" applyNumberFormat="1" applyFont="1" applyFill="1" applyAlignment="1">
      <alignment horizontal="center"/>
    </xf>
    <xf numFmtId="1" fontId="154" fillId="3" borderId="0" xfId="0" applyNumberFormat="1" applyFont="1" applyFill="1" applyAlignment="1">
      <alignment horizontal="center" vertical="center"/>
    </xf>
    <xf numFmtId="0" fontId="157" fillId="3" borderId="0" xfId="0" applyFont="1" applyFill="1"/>
    <xf numFmtId="0" fontId="158" fillId="3" borderId="0" xfId="0" applyFont="1" applyFill="1" applyAlignment="1">
      <alignment horizontal="left" vertical="center"/>
    </xf>
    <xf numFmtId="0" fontId="154" fillId="3" borderId="0" xfId="0" applyFont="1" applyFill="1" applyAlignment="1">
      <alignment vertical="center"/>
    </xf>
    <xf numFmtId="0" fontId="158" fillId="3" borderId="0" xfId="0" applyFont="1" applyFill="1" applyAlignment="1">
      <alignment horizontal="center" vertical="center"/>
    </xf>
    <xf numFmtId="0" fontId="154" fillId="3" borderId="0" xfId="0" applyFont="1" applyFill="1" applyAlignment="1">
      <alignment horizontal="right"/>
    </xf>
    <xf numFmtId="0" fontId="156" fillId="3" borderId="0" xfId="0" applyFont="1" applyFill="1" applyAlignment="1">
      <alignment horizontal="center"/>
    </xf>
    <xf numFmtId="0" fontId="154" fillId="3" borderId="0" xfId="0" applyFont="1" applyFill="1" applyAlignment="1" applyProtection="1">
      <alignment horizontal="left"/>
    </xf>
    <xf numFmtId="0" fontId="154" fillId="3" borderId="0" xfId="0" applyFont="1" applyFill="1" applyAlignment="1" applyProtection="1">
      <alignment horizontal="center"/>
    </xf>
    <xf numFmtId="0" fontId="154" fillId="3" borderId="0" xfId="0" applyFont="1" applyFill="1" applyAlignment="1" applyProtection="1">
      <alignment horizontal="right"/>
    </xf>
    <xf numFmtId="0" fontId="154" fillId="3" borderId="0" xfId="0" applyFont="1" applyFill="1" applyProtection="1"/>
    <xf numFmtId="0" fontId="154" fillId="27" borderId="0" xfId="0" applyFont="1" applyFill="1" applyBorder="1" applyAlignment="1" applyProtection="1">
      <alignment horizontal="center" vertical="center"/>
    </xf>
    <xf numFmtId="0" fontId="154" fillId="3" borderId="0" xfId="0" applyFont="1" applyFill="1" applyAlignment="1">
      <alignment horizontal="left" shrinkToFit="1"/>
    </xf>
    <xf numFmtId="0" fontId="154" fillId="3" borderId="0" xfId="0" applyFont="1" applyFill="1" applyAlignment="1">
      <alignment horizontal="center"/>
    </xf>
    <xf numFmtId="1" fontId="154" fillId="3" borderId="0" xfId="0" applyNumberFormat="1" applyFont="1" applyFill="1" applyAlignment="1">
      <alignment horizontal="left"/>
    </xf>
    <xf numFmtId="0" fontId="159" fillId="3" borderId="0" xfId="0" applyFont="1" applyFill="1" applyAlignment="1">
      <alignment horizontal="left"/>
    </xf>
    <xf numFmtId="0" fontId="154" fillId="3" borderId="0" xfId="0" applyFont="1" applyFill="1" applyAlignment="1">
      <alignment wrapText="1"/>
    </xf>
    <xf numFmtId="0" fontId="159" fillId="3" borderId="0" xfId="0" applyFont="1" applyFill="1" applyAlignment="1">
      <alignment horizontal="left" vertical="center"/>
    </xf>
    <xf numFmtId="1" fontId="159" fillId="3" borderId="0" xfId="0" applyNumberFormat="1" applyFont="1" applyFill="1" applyAlignment="1">
      <alignment horizontal="left"/>
    </xf>
    <xf numFmtId="0" fontId="159" fillId="3" borderId="0" xfId="0" applyFont="1" applyFill="1" applyAlignment="1">
      <alignment horizontal="right"/>
    </xf>
    <xf numFmtId="0" fontId="155" fillId="3" borderId="0" xfId="0" applyFont="1" applyFill="1" applyAlignment="1">
      <alignment shrinkToFit="1"/>
    </xf>
    <xf numFmtId="0" fontId="155" fillId="3" borderId="0" xfId="0" applyFont="1" applyFill="1" applyAlignment="1">
      <alignment horizontal="left" shrinkToFit="1"/>
    </xf>
    <xf numFmtId="0" fontId="159" fillId="3" borderId="0" xfId="0" applyFont="1" applyFill="1" applyAlignment="1">
      <alignment horizontal="left" shrinkToFit="1"/>
    </xf>
    <xf numFmtId="0" fontId="159" fillId="12" borderId="0" xfId="0" applyFont="1" applyFill="1"/>
    <xf numFmtId="0" fontId="155" fillId="12" borderId="0" xfId="0" applyFont="1" applyFill="1"/>
    <xf numFmtId="0" fontId="154" fillId="16" borderId="0" xfId="12" applyFont="1" applyFill="1" applyAlignment="1">
      <alignment horizontal="left" vertical="center"/>
    </xf>
    <xf numFmtId="0" fontId="154" fillId="16" borderId="0" xfId="12" applyFont="1" applyFill="1" applyAlignment="1">
      <alignment horizontal="right" vertical="center"/>
    </xf>
    <xf numFmtId="0" fontId="154" fillId="49" borderId="0" xfId="0" applyFont="1" applyFill="1" applyAlignment="1">
      <alignment horizontal="left" vertical="center"/>
    </xf>
    <xf numFmtId="0" fontId="155" fillId="16" borderId="0" xfId="0" applyFont="1" applyFill="1"/>
    <xf numFmtId="0" fontId="154" fillId="16" borderId="0" xfId="12" applyFont="1" applyFill="1" applyAlignment="1">
      <alignment horizontal="center" vertical="center"/>
    </xf>
    <xf numFmtId="0" fontId="160" fillId="16" borderId="0" xfId="12" applyFont="1" applyFill="1" applyAlignment="1">
      <alignment horizontal="left" vertical="center"/>
    </xf>
    <xf numFmtId="0" fontId="156" fillId="16" borderId="0" xfId="12" applyFont="1" applyFill="1" applyAlignment="1">
      <alignment horizontal="left" vertical="center"/>
    </xf>
    <xf numFmtId="0" fontId="154" fillId="16" borderId="0" xfId="12" applyFont="1" applyFill="1" applyAlignment="1">
      <alignment vertical="center"/>
    </xf>
    <xf numFmtId="0" fontId="154" fillId="16" borderId="0" xfId="12" applyFont="1" applyFill="1" applyAlignment="1">
      <alignment horizontal="left" vertical="center" wrapText="1"/>
    </xf>
    <xf numFmtId="0" fontId="154" fillId="16" borderId="0" xfId="0" applyFont="1" applyFill="1" applyAlignment="1">
      <alignment horizontal="left" vertical="center"/>
    </xf>
    <xf numFmtId="0" fontId="161" fillId="3" borderId="0" xfId="0" applyFont="1" applyFill="1"/>
    <xf numFmtId="0" fontId="155" fillId="3" borderId="0" xfId="0" applyFont="1" applyFill="1" applyAlignment="1">
      <alignment horizontal="left"/>
    </xf>
    <xf numFmtId="0" fontId="155" fillId="3" borderId="0" xfId="0" applyFont="1" applyFill="1" applyAlignment="1">
      <alignment wrapText="1"/>
    </xf>
    <xf numFmtId="0" fontId="155" fillId="12" borderId="0" xfId="0" applyFont="1" applyFill="1" applyAlignment="1">
      <alignment horizontal="left"/>
    </xf>
    <xf numFmtId="0" fontId="155" fillId="12" borderId="0" xfId="0" applyFont="1" applyFill="1" applyAlignment="1">
      <alignment horizontal="center" vertical="center"/>
    </xf>
    <xf numFmtId="0" fontId="155" fillId="12" borderId="0" xfId="0" applyFont="1" applyFill="1" applyAlignment="1">
      <alignment horizontal="center" vertical="center" shrinkToFit="1"/>
    </xf>
    <xf numFmtId="0" fontId="155" fillId="12" borderId="0" xfId="0" applyFont="1" applyFill="1" applyAlignment="1">
      <alignment horizontal="center" vertical="center" wrapText="1"/>
    </xf>
    <xf numFmtId="0" fontId="159" fillId="3" borderId="0" xfId="0" applyFont="1" applyFill="1"/>
    <xf numFmtId="0" fontId="162" fillId="3" borderId="0" xfId="0" applyFont="1" applyFill="1" applyAlignment="1">
      <alignment horizontal="center" vertical="center"/>
    </xf>
    <xf numFmtId="0" fontId="162" fillId="3" borderId="0" xfId="0" applyFont="1" applyFill="1" applyAlignment="1">
      <alignment horizontal="center"/>
    </xf>
    <xf numFmtId="0" fontId="155" fillId="3" borderId="0" xfId="0" applyFont="1" applyFill="1" applyAlignment="1">
      <alignment horizontal="left" vertical="center"/>
    </xf>
    <xf numFmtId="0" fontId="155" fillId="27" borderId="0" xfId="0" applyFont="1" applyFill="1"/>
    <xf numFmtId="0" fontId="155" fillId="3" borderId="0" xfId="0" quotePrefix="1" applyFont="1" applyFill="1"/>
    <xf numFmtId="0" fontId="160" fillId="16" borderId="0" xfId="0" applyFont="1" applyFill="1" applyAlignment="1">
      <alignment vertical="center" wrapText="1"/>
    </xf>
    <xf numFmtId="0" fontId="154" fillId="27" borderId="0" xfId="0" applyFont="1" applyFill="1" applyAlignment="1">
      <alignment horizontal="right"/>
    </xf>
    <xf numFmtId="0" fontId="155"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3" fillId="7" borderId="0" xfId="0" applyFont="1" applyFill="1" applyBorder="1" applyAlignment="1">
      <alignment horizontal="left" vertical="top" wrapText="1"/>
    </xf>
    <xf numFmtId="0" fontId="11" fillId="7" borderId="0" xfId="0" applyFont="1" applyFill="1" applyBorder="1" applyAlignment="1">
      <alignment horizontal="center" vertical="top"/>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3" fillId="7" borderId="245" xfId="0" applyFont="1" applyFill="1" applyBorder="1" applyAlignment="1">
      <alignment horizontal="left" vertical="top" wrapText="1"/>
    </xf>
    <xf numFmtId="0" fontId="10" fillId="7" borderId="0" xfId="0" applyFont="1" applyFill="1" applyBorder="1" applyAlignment="1">
      <alignment horizontal="left" vertical="center"/>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62" fillId="7" borderId="0" xfId="0" applyFont="1" applyFill="1" applyBorder="1" applyAlignment="1">
      <alignment horizontal="left"/>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10" fillId="7" borderId="0" xfId="0" applyFont="1" applyFill="1" applyBorder="1" applyAlignment="1">
      <alignment horizontal="right" vertical="top" wrapText="1"/>
    </xf>
    <xf numFmtId="0" fontId="62" fillId="7" borderId="0" xfId="0" applyFont="1" applyFill="1" applyBorder="1" applyAlignment="1">
      <alignment horizontal="left" vertical="top"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0" xfId="0" applyFont="1" applyFill="1" applyBorder="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80" xfId="0" applyFont="1" applyFill="1" applyBorder="1" applyAlignment="1">
      <alignment horizontal="left" vertical="top"/>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5"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5" xfId="0" applyFont="1" applyFill="1" applyBorder="1" applyAlignment="1">
      <alignment horizontal="right" wrapText="1"/>
    </xf>
    <xf numFmtId="0" fontId="85" fillId="31" borderId="703" xfId="0" applyFont="1" applyFill="1" applyBorder="1" applyAlignment="1">
      <alignment horizontal="center"/>
    </xf>
    <xf numFmtId="0" fontId="85" fillId="31" borderId="686" xfId="0" applyFont="1" applyFill="1" applyBorder="1" applyAlignment="1">
      <alignment horizontal="center"/>
    </xf>
    <xf numFmtId="0" fontId="85" fillId="31" borderId="738"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4"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17"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vertical="center" wrapText="1"/>
      <protection locked="0"/>
    </xf>
    <xf numFmtId="0" fontId="0" fillId="54" borderId="104" xfId="0" applyFill="1" applyBorder="1" applyAlignment="1" applyProtection="1">
      <alignment horizontal="center" vertical="center" wrapText="1"/>
      <protection locked="0"/>
    </xf>
    <xf numFmtId="0" fontId="0" fillId="54" borderId="486"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54"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09"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09"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55" fillId="3" borderId="0" xfId="0" applyFont="1" applyFill="1" applyAlignment="1">
      <alignment horizontal="left"/>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9" fillId="3" borderId="78"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2"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3" fillId="28" borderId="507"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3"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2"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3"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1" borderId="660" xfId="0" applyFont="1" applyFill="1" applyBorder="1" applyAlignment="1" applyProtection="1">
      <alignment horizontal="center"/>
      <protection locked="0"/>
    </xf>
    <xf numFmtId="0" fontId="9" fillId="31" borderId="703" xfId="0" applyFont="1" applyFill="1" applyBorder="1" applyAlignment="1">
      <alignment horizontal="center"/>
    </xf>
    <xf numFmtId="0" fontId="9" fillId="31" borderId="676" xfId="0" applyFont="1" applyFill="1" applyBorder="1" applyAlignment="1">
      <alignment horizontal="center"/>
    </xf>
    <xf numFmtId="0" fontId="9" fillId="54" borderId="0" xfId="0" applyFont="1" applyFill="1" applyBorder="1" applyAlignment="1" applyProtection="1">
      <alignment horizontal="center"/>
      <protection locked="0"/>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5"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709"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55" fillId="3" borderId="0" xfId="0" applyFont="1" applyFill="1" applyAlignment="1">
      <alignment horizont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3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1"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51"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Border="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08" xfId="0" applyFont="1" applyFill="1" applyBorder="1" applyAlignment="1" applyProtection="1">
      <alignment horizontal="center" vertical="center" wrapText="1"/>
      <protection locked="0"/>
    </xf>
    <xf numFmtId="0" fontId="141" fillId="55" borderId="51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5" xfId="0" applyFont="1" applyFill="1" applyBorder="1" applyAlignment="1" applyProtection="1">
      <alignment horizontal="center" vertical="center"/>
      <protection locked="0"/>
    </xf>
    <xf numFmtId="0" fontId="13" fillId="55" borderId="536"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 fillId="55" borderId="505"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6"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141" fillId="55" borderId="7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328"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355" xfId="0" applyFont="1" applyFill="1" applyBorder="1" applyAlignment="1">
      <alignmen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36"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154"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15" fillId="8" borderId="736" xfId="0" applyFont="1" applyFill="1" applyBorder="1" applyAlignment="1">
      <alignment horizontal="center" vertical="center" wrapText="1"/>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7" xfId="0" applyFont="1" applyFill="1" applyBorder="1" applyAlignment="1">
      <alignment horizontal="center"/>
    </xf>
    <xf numFmtId="0" fontId="10" fillId="29" borderId="98" xfId="0" applyFont="1" applyFill="1" applyBorder="1" applyAlignment="1">
      <alignment horizontal="center"/>
    </xf>
    <xf numFmtId="0" fontId="45" fillId="8" borderId="77"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0" fillId="29" borderId="658" xfId="0" applyFont="1" applyFill="1" applyBorder="1" applyAlignment="1">
      <alignment horizontal="left"/>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1" fontId="45" fillId="8" borderId="0" xfId="0" applyNumberFormat="1" applyFont="1" applyFill="1" applyAlignment="1">
      <alignment horizontal="left" vertical="center"/>
    </xf>
    <xf numFmtId="0" fontId="29" fillId="8" borderId="88" xfId="0" applyFont="1" applyFill="1" applyBorder="1" applyAlignment="1">
      <alignment horizontal="center" vertical="center"/>
    </xf>
    <xf numFmtId="0" fontId="29" fillId="8" borderId="0" xfId="0" applyFont="1" applyFill="1" applyBorder="1" applyAlignment="1">
      <alignment horizontal="center" vertical="center"/>
    </xf>
    <xf numFmtId="0" fontId="10" fillId="29" borderId="486" xfId="0" applyFont="1" applyFill="1" applyBorder="1" applyAlignment="1">
      <alignment horizontal="left"/>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77" xfId="0" applyFont="1" applyFill="1" applyBorder="1" applyAlignment="1">
      <alignment horizontal="center" vertical="center" wrapText="1"/>
    </xf>
    <xf numFmtId="0" fontId="0" fillId="33" borderId="110" xfId="0" applyFill="1" applyBorder="1" applyAlignment="1">
      <alignment horizontal="center"/>
    </xf>
    <xf numFmtId="0" fontId="0" fillId="33" borderId="142" xfId="0" applyFill="1" applyBorder="1" applyAlignment="1">
      <alignment horizont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45" fillId="8" borderId="0" xfId="0" applyFont="1" applyFill="1" applyBorder="1" applyAlignment="1">
      <alignment horizontal="left"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5" fillId="8" borderId="95" xfId="0" applyFont="1" applyFill="1" applyBorder="1" applyAlignment="1">
      <alignment horizontal="center"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9" xfId="0" applyFont="1" applyFill="1" applyBorder="1" applyAlignment="1">
      <alignment horizontal="left"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8" borderId="87" xfId="0" applyFont="1" applyFill="1" applyBorder="1" applyAlignment="1">
      <alignment horizontal="center"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0" fillId="12" borderId="687"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5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49"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09"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564" xfId="0" applyFont="1" applyFill="1" applyBorder="1" applyAlignment="1">
      <alignment horizontal="center"/>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56" fillId="24" borderId="504"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6" t="s">
        <v>9986</v>
      </c>
      <c r="D2" s="3156"/>
      <c r="E2" s="3156"/>
      <c r="F2" s="3156"/>
      <c r="G2" s="3156"/>
      <c r="H2" s="3156"/>
      <c r="I2" s="3156"/>
      <c r="J2" s="3156"/>
      <c r="K2" s="3156"/>
      <c r="L2" s="3156"/>
      <c r="M2" s="3156"/>
      <c r="N2" s="3156"/>
      <c r="O2" s="3156"/>
      <c r="P2" s="3156"/>
      <c r="Q2" s="3156"/>
      <c r="R2" s="3156"/>
      <c r="S2" s="3156"/>
      <c r="T2" s="3156"/>
      <c r="U2" s="3156"/>
      <c r="V2" s="3156"/>
      <c r="W2" s="3156"/>
      <c r="X2" s="3156"/>
      <c r="Y2" s="3156"/>
      <c r="Z2" s="3156"/>
      <c r="AA2" s="3156"/>
      <c r="AB2" s="3156"/>
      <c r="AC2" s="3156"/>
      <c r="AD2" s="3156"/>
      <c r="AE2" s="3156"/>
      <c r="AF2" s="3156"/>
      <c r="AG2" s="3156"/>
      <c r="AH2" s="3156"/>
      <c r="AI2" s="3156"/>
      <c r="AJ2" s="3156"/>
      <c r="AK2" s="2384"/>
      <c r="AL2" s="2382"/>
    </row>
    <row r="3" spans="1:38" ht="12.75" customHeight="1" x14ac:dyDescent="0.2">
      <c r="A3" s="2382"/>
      <c r="B3" s="2385"/>
      <c r="C3" s="3157"/>
      <c r="D3" s="3157"/>
      <c r="E3" s="3157"/>
      <c r="F3" s="3157"/>
      <c r="G3" s="3157"/>
      <c r="H3" s="3157"/>
      <c r="I3" s="3157"/>
      <c r="J3" s="3157"/>
      <c r="K3" s="3157"/>
      <c r="L3" s="3157"/>
      <c r="M3" s="3157"/>
      <c r="N3" s="3157"/>
      <c r="O3" s="3157"/>
      <c r="P3" s="3157"/>
      <c r="Q3" s="3157"/>
      <c r="R3" s="3157"/>
      <c r="S3" s="3157"/>
      <c r="T3" s="3157"/>
      <c r="U3" s="3157"/>
      <c r="V3" s="3157"/>
      <c r="W3" s="3157"/>
      <c r="X3" s="3157"/>
      <c r="Y3" s="3157"/>
      <c r="Z3" s="3157"/>
      <c r="AA3" s="3157"/>
      <c r="AB3" s="3157"/>
      <c r="AC3" s="3157"/>
      <c r="AD3" s="3157"/>
      <c r="AE3" s="3157"/>
      <c r="AF3" s="3157"/>
      <c r="AG3" s="3157"/>
      <c r="AH3" s="3157"/>
      <c r="AI3" s="3157"/>
      <c r="AJ3" s="3157"/>
      <c r="AK3" s="2386"/>
      <c r="AL3" s="2382"/>
    </row>
    <row r="4" spans="1:38" ht="12.75" customHeight="1" x14ac:dyDescent="0.2">
      <c r="A4" s="2382"/>
      <c r="B4" s="2385"/>
      <c r="C4" s="3157"/>
      <c r="D4" s="3157"/>
      <c r="E4" s="3157"/>
      <c r="F4" s="3157"/>
      <c r="G4" s="3157"/>
      <c r="H4" s="3157"/>
      <c r="I4" s="3157"/>
      <c r="J4" s="3157"/>
      <c r="K4" s="3157"/>
      <c r="L4" s="3157"/>
      <c r="M4" s="3157"/>
      <c r="N4" s="3157"/>
      <c r="O4" s="3157"/>
      <c r="P4" s="3157"/>
      <c r="Q4" s="3157"/>
      <c r="R4" s="3157"/>
      <c r="S4" s="3157"/>
      <c r="T4" s="3157"/>
      <c r="U4" s="3157"/>
      <c r="V4" s="3157"/>
      <c r="W4" s="3157"/>
      <c r="X4" s="3157"/>
      <c r="Y4" s="3157"/>
      <c r="Z4" s="3157"/>
      <c r="AA4" s="3157"/>
      <c r="AB4" s="3157"/>
      <c r="AC4" s="3157"/>
      <c r="AD4" s="3157"/>
      <c r="AE4" s="3157"/>
      <c r="AF4" s="3157"/>
      <c r="AG4" s="3157"/>
      <c r="AH4" s="3157"/>
      <c r="AI4" s="3157"/>
      <c r="AJ4" s="3157"/>
      <c r="AK4" s="2386"/>
      <c r="AL4" s="2382"/>
    </row>
    <row r="5" spans="1:38" ht="12.75" customHeight="1" x14ac:dyDescent="0.2">
      <c r="A5" s="2382"/>
      <c r="B5" s="2385"/>
      <c r="C5" s="3157"/>
      <c r="D5" s="3157"/>
      <c r="E5" s="3157"/>
      <c r="F5" s="3157"/>
      <c r="G5" s="3157"/>
      <c r="H5" s="3157"/>
      <c r="I5" s="3157"/>
      <c r="J5" s="3157"/>
      <c r="K5" s="3157"/>
      <c r="L5" s="3157"/>
      <c r="M5" s="3157"/>
      <c r="N5" s="3157"/>
      <c r="O5" s="3157"/>
      <c r="P5" s="3157"/>
      <c r="Q5" s="3157"/>
      <c r="R5" s="3157"/>
      <c r="S5" s="3157"/>
      <c r="T5" s="3157"/>
      <c r="U5" s="3157"/>
      <c r="V5" s="3157"/>
      <c r="W5" s="3157"/>
      <c r="X5" s="3157"/>
      <c r="Y5" s="3157"/>
      <c r="Z5" s="3157"/>
      <c r="AA5" s="3157"/>
      <c r="AB5" s="3157"/>
      <c r="AC5" s="3157"/>
      <c r="AD5" s="3157"/>
      <c r="AE5" s="3157"/>
      <c r="AF5" s="3157"/>
      <c r="AG5" s="3157"/>
      <c r="AH5" s="3157"/>
      <c r="AI5" s="3157"/>
      <c r="AJ5" s="3157"/>
      <c r="AK5" s="2386"/>
      <c r="AL5" s="2382"/>
    </row>
    <row r="6" spans="1:38" ht="12.75" customHeight="1" x14ac:dyDescent="0.2">
      <c r="A6" s="2382"/>
      <c r="B6" s="2385"/>
      <c r="C6" s="3154" t="s">
        <v>10163</v>
      </c>
      <c r="D6" s="3154"/>
      <c r="E6" s="3154"/>
      <c r="F6" s="3154"/>
      <c r="G6" s="3154"/>
      <c r="H6" s="3154"/>
      <c r="I6" s="3154"/>
      <c r="J6" s="3154"/>
      <c r="K6" s="3154"/>
      <c r="L6" s="3154"/>
      <c r="M6" s="3154"/>
      <c r="N6" s="3154"/>
      <c r="O6" s="3154"/>
      <c r="P6" s="3154"/>
      <c r="Q6" s="3154"/>
      <c r="R6" s="3154"/>
      <c r="S6" s="3154"/>
      <c r="T6" s="3154"/>
      <c r="U6" s="3154"/>
      <c r="V6" s="3154"/>
      <c r="W6" s="3154"/>
      <c r="X6" s="3154"/>
      <c r="Y6" s="3154"/>
      <c r="Z6" s="3154"/>
      <c r="AA6" s="3154"/>
      <c r="AB6" s="3154"/>
      <c r="AC6" s="3154"/>
      <c r="AD6" s="3154"/>
      <c r="AE6" s="3154"/>
      <c r="AF6" s="3154"/>
      <c r="AG6" s="3154"/>
      <c r="AH6" s="3154"/>
      <c r="AI6" s="3154"/>
      <c r="AJ6" s="3154"/>
      <c r="AK6" s="2386"/>
      <c r="AL6" s="2382"/>
    </row>
    <row r="7" spans="1:38" ht="12.75" customHeight="1" x14ac:dyDescent="0.2">
      <c r="A7" s="2382"/>
      <c r="B7" s="2385"/>
      <c r="C7" s="3154"/>
      <c r="D7" s="3154"/>
      <c r="E7" s="3154"/>
      <c r="F7" s="3154"/>
      <c r="G7" s="3154"/>
      <c r="H7" s="3154"/>
      <c r="I7" s="3154"/>
      <c r="J7" s="3154"/>
      <c r="K7" s="3154"/>
      <c r="L7" s="3154"/>
      <c r="M7" s="3154"/>
      <c r="N7" s="3154"/>
      <c r="O7" s="3154"/>
      <c r="P7" s="3154"/>
      <c r="Q7" s="3154"/>
      <c r="R7" s="3154"/>
      <c r="S7" s="3154"/>
      <c r="T7" s="3154"/>
      <c r="U7" s="3154"/>
      <c r="V7" s="3154"/>
      <c r="W7" s="3154"/>
      <c r="X7" s="3154"/>
      <c r="Y7" s="3154"/>
      <c r="Z7" s="3154"/>
      <c r="AA7" s="3154"/>
      <c r="AB7" s="3154"/>
      <c r="AC7" s="3154"/>
      <c r="AD7" s="3154"/>
      <c r="AE7" s="3154"/>
      <c r="AF7" s="3154"/>
      <c r="AG7" s="3154"/>
      <c r="AH7" s="3154"/>
      <c r="AI7" s="3154"/>
      <c r="AJ7" s="3154"/>
      <c r="AK7" s="2386"/>
      <c r="AL7" s="2382"/>
    </row>
    <row r="8" spans="1:38" ht="12.75" customHeight="1" x14ac:dyDescent="0.2">
      <c r="A8" s="2382"/>
      <c r="B8" s="2385"/>
      <c r="C8" s="3154"/>
      <c r="D8" s="3154"/>
      <c r="E8" s="3154"/>
      <c r="F8" s="3154"/>
      <c r="G8" s="3154"/>
      <c r="H8" s="3154"/>
      <c r="I8" s="3154"/>
      <c r="J8" s="3154"/>
      <c r="K8" s="3154"/>
      <c r="L8" s="3154"/>
      <c r="M8" s="3154"/>
      <c r="N8" s="3154"/>
      <c r="O8" s="3154"/>
      <c r="P8" s="3154"/>
      <c r="Q8" s="3154"/>
      <c r="R8" s="3154"/>
      <c r="S8" s="3154"/>
      <c r="T8" s="3154"/>
      <c r="U8" s="3154"/>
      <c r="V8" s="3154"/>
      <c r="W8" s="3154"/>
      <c r="X8" s="3154"/>
      <c r="Y8" s="3154"/>
      <c r="Z8" s="3154"/>
      <c r="AA8" s="3154"/>
      <c r="AB8" s="3154"/>
      <c r="AC8" s="3154"/>
      <c r="AD8" s="3154"/>
      <c r="AE8" s="3154"/>
      <c r="AF8" s="3154"/>
      <c r="AG8" s="3154"/>
      <c r="AH8" s="3154"/>
      <c r="AI8" s="3154"/>
      <c r="AJ8" s="3154"/>
      <c r="AK8" s="2386"/>
      <c r="AL8" s="2382"/>
    </row>
    <row r="9" spans="1:38" ht="12.75" customHeight="1" x14ac:dyDescent="0.2">
      <c r="A9" s="2382"/>
      <c r="B9" s="2385"/>
      <c r="C9" s="3154"/>
      <c r="D9" s="3154"/>
      <c r="E9" s="3154"/>
      <c r="F9" s="3154"/>
      <c r="G9" s="3154"/>
      <c r="H9" s="3154"/>
      <c r="I9" s="3154"/>
      <c r="J9" s="3154"/>
      <c r="K9" s="3154"/>
      <c r="L9" s="3154"/>
      <c r="M9" s="3154"/>
      <c r="N9" s="3154"/>
      <c r="O9" s="3154"/>
      <c r="P9" s="3154"/>
      <c r="Q9" s="3154"/>
      <c r="R9" s="3154"/>
      <c r="S9" s="3154"/>
      <c r="T9" s="3154"/>
      <c r="U9" s="3154"/>
      <c r="V9" s="3154"/>
      <c r="W9" s="3154"/>
      <c r="X9" s="3154"/>
      <c r="Y9" s="3154"/>
      <c r="Z9" s="3154"/>
      <c r="AA9" s="3154"/>
      <c r="AB9" s="3154"/>
      <c r="AC9" s="3154"/>
      <c r="AD9" s="3154"/>
      <c r="AE9" s="3154"/>
      <c r="AF9" s="3154"/>
      <c r="AG9" s="3154"/>
      <c r="AH9" s="3154"/>
      <c r="AI9" s="3154"/>
      <c r="AJ9" s="3154"/>
      <c r="AK9" s="2386"/>
      <c r="AL9" s="2382"/>
    </row>
    <row r="10" spans="1:38" ht="12.75" customHeight="1" x14ac:dyDescent="0.2">
      <c r="A10" s="2382"/>
      <c r="B10" s="2385"/>
      <c r="C10" s="3154"/>
      <c r="D10" s="3154"/>
      <c r="E10" s="3154"/>
      <c r="F10" s="3154"/>
      <c r="G10" s="3154"/>
      <c r="H10" s="3154"/>
      <c r="I10" s="3154"/>
      <c r="J10" s="3154"/>
      <c r="K10" s="3154"/>
      <c r="L10" s="3154"/>
      <c r="M10" s="3154"/>
      <c r="N10" s="3154"/>
      <c r="O10" s="3154"/>
      <c r="P10" s="3154"/>
      <c r="Q10" s="3154"/>
      <c r="R10" s="3154"/>
      <c r="S10" s="3154"/>
      <c r="T10" s="3154"/>
      <c r="U10" s="3154"/>
      <c r="V10" s="3154"/>
      <c r="W10" s="3154"/>
      <c r="X10" s="3154"/>
      <c r="Y10" s="3154"/>
      <c r="Z10" s="3154"/>
      <c r="AA10" s="3154"/>
      <c r="AB10" s="3154"/>
      <c r="AC10" s="3154"/>
      <c r="AD10" s="3154"/>
      <c r="AE10" s="3154"/>
      <c r="AF10" s="3154"/>
      <c r="AG10" s="3154"/>
      <c r="AH10" s="3154"/>
      <c r="AI10" s="3154"/>
      <c r="AJ10" s="3154"/>
      <c r="AK10" s="2386"/>
      <c r="AL10" s="2382"/>
    </row>
    <row r="11" spans="1:38" ht="12.75" customHeight="1" x14ac:dyDescent="0.2">
      <c r="A11" s="2382"/>
      <c r="B11" s="2385"/>
      <c r="C11" s="3154"/>
      <c r="D11" s="3154"/>
      <c r="E11" s="3154"/>
      <c r="F11" s="3154"/>
      <c r="G11" s="3154"/>
      <c r="H11" s="3154"/>
      <c r="I11" s="3154"/>
      <c r="J11" s="3154"/>
      <c r="K11" s="3154"/>
      <c r="L11" s="3154"/>
      <c r="M11" s="3154"/>
      <c r="N11" s="3154"/>
      <c r="O11" s="3154"/>
      <c r="P11" s="3154"/>
      <c r="Q11" s="3154"/>
      <c r="R11" s="3154"/>
      <c r="S11" s="3154"/>
      <c r="T11" s="3154"/>
      <c r="U11" s="3154"/>
      <c r="V11" s="3154"/>
      <c r="W11" s="3154"/>
      <c r="X11" s="3154"/>
      <c r="Y11" s="3154"/>
      <c r="Z11" s="3154"/>
      <c r="AA11" s="3154"/>
      <c r="AB11" s="3154"/>
      <c r="AC11" s="3154"/>
      <c r="AD11" s="3154"/>
      <c r="AE11" s="3154"/>
      <c r="AF11" s="3154"/>
      <c r="AG11" s="3154"/>
      <c r="AH11" s="3154"/>
      <c r="AI11" s="3154"/>
      <c r="AJ11" s="3154"/>
      <c r="AK11" s="2386"/>
      <c r="AL11" s="2382"/>
    </row>
    <row r="12" spans="1:38" ht="12.75" customHeight="1" x14ac:dyDescent="0.2">
      <c r="A12" s="2382"/>
      <c r="B12" s="2385"/>
      <c r="C12" s="3154"/>
      <c r="D12" s="3154"/>
      <c r="E12" s="3154"/>
      <c r="F12" s="3154"/>
      <c r="G12" s="3154"/>
      <c r="H12" s="3154"/>
      <c r="I12" s="3154"/>
      <c r="J12" s="3154"/>
      <c r="K12" s="3154"/>
      <c r="L12" s="3154"/>
      <c r="M12" s="3154"/>
      <c r="N12" s="3154"/>
      <c r="O12" s="3154"/>
      <c r="P12" s="3154"/>
      <c r="Q12" s="3154"/>
      <c r="R12" s="3154"/>
      <c r="S12" s="3154"/>
      <c r="T12" s="3154"/>
      <c r="U12" s="3154"/>
      <c r="V12" s="3154"/>
      <c r="W12" s="3154"/>
      <c r="X12" s="3154"/>
      <c r="Y12" s="3154"/>
      <c r="Z12" s="3154"/>
      <c r="AA12" s="3154"/>
      <c r="AB12" s="3154"/>
      <c r="AC12" s="3154"/>
      <c r="AD12" s="3154"/>
      <c r="AE12" s="3154"/>
      <c r="AF12" s="3154"/>
      <c r="AG12" s="3154"/>
      <c r="AH12" s="3154"/>
      <c r="AI12" s="3154"/>
      <c r="AJ12" s="3154"/>
      <c r="AK12" s="2386"/>
      <c r="AL12" s="2382"/>
    </row>
    <row r="13" spans="1:38" ht="12.75" customHeight="1" x14ac:dyDescent="0.2">
      <c r="A13" s="2382"/>
      <c r="B13" s="2385"/>
      <c r="C13" s="3154"/>
      <c r="D13" s="3154"/>
      <c r="E13" s="3154"/>
      <c r="F13" s="3154"/>
      <c r="G13" s="3154"/>
      <c r="H13" s="3154"/>
      <c r="I13" s="3154"/>
      <c r="J13" s="3154"/>
      <c r="K13" s="3154"/>
      <c r="L13" s="3154"/>
      <c r="M13" s="3154"/>
      <c r="N13" s="3154"/>
      <c r="O13" s="3154"/>
      <c r="P13" s="3154"/>
      <c r="Q13" s="3154"/>
      <c r="R13" s="3154"/>
      <c r="S13" s="3154"/>
      <c r="T13" s="3154"/>
      <c r="U13" s="3154"/>
      <c r="V13" s="3154"/>
      <c r="W13" s="3154"/>
      <c r="X13" s="3154"/>
      <c r="Y13" s="3154"/>
      <c r="Z13" s="3154"/>
      <c r="AA13" s="3154"/>
      <c r="AB13" s="3154"/>
      <c r="AC13" s="3154"/>
      <c r="AD13" s="3154"/>
      <c r="AE13" s="3154"/>
      <c r="AF13" s="3154"/>
      <c r="AG13" s="3154"/>
      <c r="AH13" s="3154"/>
      <c r="AI13" s="3154"/>
      <c r="AJ13" s="3154"/>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4" t="s">
        <v>10162</v>
      </c>
      <c r="D15" s="3154"/>
      <c r="E15" s="3154"/>
      <c r="F15" s="3154"/>
      <c r="G15" s="3154"/>
      <c r="H15" s="3154"/>
      <c r="I15" s="3154"/>
      <c r="J15" s="3154"/>
      <c r="K15" s="3154"/>
      <c r="L15" s="3154"/>
      <c r="M15" s="3154"/>
      <c r="N15" s="3154"/>
      <c r="O15" s="3154"/>
      <c r="P15" s="3154"/>
      <c r="Q15" s="3154"/>
      <c r="R15" s="3154"/>
      <c r="S15" s="3154"/>
      <c r="T15" s="3154"/>
      <c r="U15" s="3154"/>
      <c r="V15" s="3154"/>
      <c r="W15" s="3154"/>
      <c r="X15" s="3154"/>
      <c r="Y15" s="3154"/>
      <c r="Z15" s="3154"/>
      <c r="AA15" s="3154"/>
      <c r="AB15" s="3154"/>
      <c r="AC15" s="3154"/>
      <c r="AD15" s="3154"/>
      <c r="AE15" s="3154"/>
      <c r="AF15" s="3154"/>
      <c r="AG15" s="3154"/>
      <c r="AH15" s="3154"/>
      <c r="AI15" s="3154"/>
      <c r="AJ15" s="3154"/>
      <c r="AK15" s="2386"/>
      <c r="AL15" s="2382"/>
    </row>
    <row r="16" spans="1:38" ht="12.75" customHeight="1" x14ac:dyDescent="0.2">
      <c r="A16" s="2382"/>
      <c r="B16" s="2385"/>
      <c r="C16" s="3154"/>
      <c r="D16" s="3154"/>
      <c r="E16" s="3154"/>
      <c r="F16" s="3154"/>
      <c r="G16" s="3154"/>
      <c r="H16" s="3154"/>
      <c r="I16" s="3154"/>
      <c r="J16" s="3154"/>
      <c r="K16" s="3154"/>
      <c r="L16" s="3154"/>
      <c r="M16" s="3154"/>
      <c r="N16" s="3154"/>
      <c r="O16" s="3154"/>
      <c r="P16" s="3154"/>
      <c r="Q16" s="3154"/>
      <c r="R16" s="3154"/>
      <c r="S16" s="3154"/>
      <c r="T16" s="3154"/>
      <c r="U16" s="3154"/>
      <c r="V16" s="3154"/>
      <c r="W16" s="3154"/>
      <c r="X16" s="3154"/>
      <c r="Y16" s="3154"/>
      <c r="Z16" s="3154"/>
      <c r="AA16" s="3154"/>
      <c r="AB16" s="3154"/>
      <c r="AC16" s="3154"/>
      <c r="AD16" s="3154"/>
      <c r="AE16" s="3154"/>
      <c r="AF16" s="3154"/>
      <c r="AG16" s="3154"/>
      <c r="AH16" s="3154"/>
      <c r="AI16" s="3154"/>
      <c r="AJ16" s="3154"/>
      <c r="AK16" s="2386"/>
      <c r="AL16" s="2382"/>
    </row>
    <row r="17" spans="1:38" ht="12.75" customHeight="1" x14ac:dyDescent="0.2">
      <c r="A17" s="2382"/>
      <c r="B17" s="2385"/>
      <c r="C17" s="3155" t="str">
        <f>HYPERLINK("https://discord.gg/GK58q7a","Anima a Través de la Red")</f>
        <v>Anima a Través de la Red</v>
      </c>
      <c r="D17" s="3155"/>
      <c r="E17" s="3155"/>
      <c r="F17" s="3155"/>
      <c r="G17" s="3155"/>
      <c r="H17" s="3155"/>
      <c r="I17" s="3155"/>
      <c r="J17" s="3155"/>
      <c r="K17" s="3155"/>
      <c r="L17" s="2387"/>
      <c r="M17" s="2751"/>
      <c r="N17" s="2751"/>
      <c r="O17" s="2751"/>
      <c r="P17" s="2751"/>
      <c r="Q17" s="2751"/>
      <c r="R17" s="2751"/>
      <c r="S17" s="2751"/>
      <c r="T17" s="2751"/>
      <c r="U17" s="2751"/>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4" t="s">
        <v>9985</v>
      </c>
      <c r="D19" s="3154"/>
      <c r="E19" s="3154"/>
      <c r="F19" s="3154"/>
      <c r="G19" s="3154"/>
      <c r="H19" s="3154"/>
      <c r="I19" s="3154"/>
      <c r="J19" s="3154"/>
      <c r="K19" s="3154"/>
      <c r="L19" s="3154"/>
      <c r="M19" s="3154"/>
      <c r="N19" s="3154"/>
      <c r="O19" s="3154"/>
      <c r="P19" s="3154"/>
      <c r="Q19" s="3154"/>
      <c r="R19" s="3154"/>
      <c r="S19" s="3154"/>
      <c r="T19" s="3154"/>
      <c r="U19" s="3154"/>
      <c r="V19" s="3154"/>
      <c r="W19" s="3154"/>
      <c r="X19" s="3154"/>
      <c r="Y19" s="3154"/>
      <c r="Z19" s="3154"/>
      <c r="AA19" s="3154"/>
      <c r="AB19" s="3154"/>
      <c r="AC19" s="3154"/>
      <c r="AD19" s="3154"/>
      <c r="AE19" s="3154"/>
      <c r="AF19" s="3154"/>
      <c r="AG19" s="3154"/>
      <c r="AH19" s="3154"/>
      <c r="AI19" s="3154"/>
      <c r="AJ19" s="3154"/>
      <c r="AK19" s="2386"/>
      <c r="AL19" s="2382"/>
    </row>
    <row r="20" spans="1:38" ht="12.75" customHeight="1" x14ac:dyDescent="0.2">
      <c r="A20" s="2382"/>
      <c r="B20" s="2385"/>
      <c r="C20" s="3154"/>
      <c r="D20" s="3154"/>
      <c r="E20" s="3154"/>
      <c r="F20" s="3154"/>
      <c r="G20" s="3154"/>
      <c r="H20" s="3154"/>
      <c r="I20" s="3154"/>
      <c r="J20" s="3154"/>
      <c r="K20" s="3154"/>
      <c r="L20" s="3154"/>
      <c r="M20" s="3154"/>
      <c r="N20" s="3154"/>
      <c r="O20" s="3154"/>
      <c r="P20" s="3154"/>
      <c r="Q20" s="3154"/>
      <c r="R20" s="3154"/>
      <c r="S20" s="3154"/>
      <c r="T20" s="3154"/>
      <c r="U20" s="3154"/>
      <c r="V20" s="3154"/>
      <c r="W20" s="3154"/>
      <c r="X20" s="3154"/>
      <c r="Y20" s="3154"/>
      <c r="Z20" s="3154"/>
      <c r="AA20" s="3154"/>
      <c r="AB20" s="3154"/>
      <c r="AC20" s="3154"/>
      <c r="AD20" s="3154"/>
      <c r="AE20" s="3154"/>
      <c r="AF20" s="3154"/>
      <c r="AG20" s="3154"/>
      <c r="AH20" s="3154"/>
      <c r="AI20" s="3154"/>
      <c r="AJ20" s="3154"/>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36"/>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4" t="s">
        <v>8736</v>
      </c>
      <c r="AU1" s="3085"/>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8" t="s">
        <v>7062</v>
      </c>
      <c r="AO2" s="3159"/>
      <c r="AP2" s="3159"/>
      <c r="AQ2" s="2919"/>
      <c r="AR2" s="2919"/>
      <c r="AS2" s="2920"/>
      <c r="AT2" s="3085"/>
      <c r="AU2" s="3139"/>
    </row>
    <row r="3" spans="1:47" ht="12" customHeight="1" x14ac:dyDescent="0.2">
      <c r="A3" s="9"/>
      <c r="B3" s="812"/>
      <c r="C3" s="3241" t="s">
        <v>10159</v>
      </c>
      <c r="D3" s="3242"/>
      <c r="E3" s="3242"/>
      <c r="F3" s="3242"/>
      <c r="G3" s="3242"/>
      <c r="H3" s="3242"/>
      <c r="I3" s="3242"/>
      <c r="J3" s="3242"/>
      <c r="K3" s="3242"/>
      <c r="L3" s="3242"/>
      <c r="M3" s="3235" t="str">
        <f>IF(General!$F$22=0,"",General!$F$22)</f>
        <v/>
      </c>
      <c r="N3" s="3235"/>
      <c r="O3" s="3235"/>
      <c r="P3" s="3235"/>
      <c r="Q3" s="3235"/>
      <c r="R3" s="3235"/>
      <c r="S3" s="3235"/>
      <c r="T3" s="3235"/>
      <c r="U3" s="3235"/>
      <c r="V3" s="3235"/>
      <c r="W3" s="3236"/>
      <c r="X3" s="2676"/>
      <c r="Y3" s="3216" t="str">
        <f>IF(General!P24&lt;&gt;"","Retrato - Apariencia "&amp;General!P24,"Retrato")</f>
        <v>Retrato</v>
      </c>
      <c r="Z3" s="3217"/>
      <c r="AA3" s="3217"/>
      <c r="AB3" s="3217"/>
      <c r="AC3" s="3217"/>
      <c r="AD3" s="3217"/>
      <c r="AE3" s="3217"/>
      <c r="AF3" s="3217"/>
      <c r="AG3" s="3217"/>
      <c r="AH3" s="3217"/>
      <c r="AI3" s="3217"/>
      <c r="AJ3" s="3218"/>
      <c r="AK3" s="1834"/>
      <c r="AL3" s="1833"/>
      <c r="AN3" s="3188"/>
      <c r="AO3" s="3189"/>
      <c r="AP3" s="3189"/>
      <c r="AQ3" s="2921"/>
      <c r="AR3" s="2921"/>
      <c r="AS3" s="2922"/>
      <c r="AT3" s="3085" t="s">
        <v>1401</v>
      </c>
      <c r="AU3" s="3085" t="b">
        <f>OR(AP13="Sí",COUNTIF(AU4:AU14,TRUE)&gt;0)</f>
        <v>1</v>
      </c>
    </row>
    <row r="4" spans="1:47" ht="12" customHeight="1" x14ac:dyDescent="0.2">
      <c r="A4" s="9"/>
      <c r="B4" s="812"/>
      <c r="C4" s="3243"/>
      <c r="D4" s="3244"/>
      <c r="E4" s="3244"/>
      <c r="F4" s="3244"/>
      <c r="G4" s="3244"/>
      <c r="H4" s="3244"/>
      <c r="I4" s="3244"/>
      <c r="J4" s="3244"/>
      <c r="K4" s="3244"/>
      <c r="L4" s="3244"/>
      <c r="M4" s="3237"/>
      <c r="N4" s="3237"/>
      <c r="O4" s="3237"/>
      <c r="P4" s="3237"/>
      <c r="Q4" s="3237"/>
      <c r="R4" s="3237"/>
      <c r="S4" s="3237"/>
      <c r="T4" s="3237"/>
      <c r="U4" s="3237"/>
      <c r="V4" s="3237"/>
      <c r="W4" s="3238"/>
      <c r="X4" s="2676"/>
      <c r="Y4" s="3224" t="s">
        <v>9629</v>
      </c>
      <c r="Z4" s="3225"/>
      <c r="AA4" s="3225"/>
      <c r="AB4" s="3225"/>
      <c r="AC4" s="3225"/>
      <c r="AD4" s="3225"/>
      <c r="AE4" s="3225"/>
      <c r="AF4" s="3225"/>
      <c r="AG4" s="3225"/>
      <c r="AH4" s="3225"/>
      <c r="AI4" s="3225"/>
      <c r="AJ4" s="3226"/>
      <c r="AK4" s="1834"/>
      <c r="AL4" s="1833"/>
      <c r="AN4" s="2298"/>
      <c r="AO4" s="2674"/>
      <c r="AP4" s="2674"/>
      <c r="AQ4" s="2674"/>
      <c r="AR4" s="2674"/>
      <c r="AS4" s="2299"/>
      <c r="AT4" s="3085"/>
      <c r="AU4" s="3085" t="b">
        <f>AND(AP13="Sí",NotasPrincipal&lt;&gt;"")</f>
        <v>0</v>
      </c>
    </row>
    <row r="5" spans="1:47" ht="12" customHeight="1" x14ac:dyDescent="0.2">
      <c r="A5" s="9"/>
      <c r="B5" s="812"/>
      <c r="C5" s="3243"/>
      <c r="D5" s="3244"/>
      <c r="E5" s="3244"/>
      <c r="F5" s="3244"/>
      <c r="G5" s="3244"/>
      <c r="H5" s="3244"/>
      <c r="I5" s="3244"/>
      <c r="J5" s="3244"/>
      <c r="K5" s="3244"/>
      <c r="L5" s="3244"/>
      <c r="M5" s="3237"/>
      <c r="N5" s="3237"/>
      <c r="O5" s="3237"/>
      <c r="P5" s="3237"/>
      <c r="Q5" s="3237"/>
      <c r="R5" s="3237"/>
      <c r="S5" s="3237"/>
      <c r="T5" s="3237"/>
      <c r="U5" s="3237"/>
      <c r="V5" s="3237"/>
      <c r="W5" s="3238"/>
      <c r="X5" s="2676"/>
      <c r="Y5" s="3227"/>
      <c r="Z5" s="3228"/>
      <c r="AA5" s="3228"/>
      <c r="AB5" s="3228"/>
      <c r="AC5" s="3228"/>
      <c r="AD5" s="3228"/>
      <c r="AE5" s="3228"/>
      <c r="AF5" s="3228"/>
      <c r="AG5" s="3228"/>
      <c r="AH5" s="3228"/>
      <c r="AI5" s="3228"/>
      <c r="AJ5" s="3229"/>
      <c r="AK5" s="1834"/>
      <c r="AL5" s="1833"/>
      <c r="AN5" s="2298"/>
      <c r="AO5" s="2674"/>
      <c r="AP5" s="2674"/>
      <c r="AQ5" s="2674"/>
      <c r="AR5" s="2674"/>
      <c r="AS5" s="2299"/>
      <c r="AT5" s="3085"/>
      <c r="AU5" s="3085" t="b">
        <f>AND(AP13="Sí",NotasPoderes&lt;&gt;"")</f>
        <v>0</v>
      </c>
    </row>
    <row r="6" spans="1:47" ht="12" customHeight="1" x14ac:dyDescent="0.2">
      <c r="A6" s="9"/>
      <c r="B6" s="812"/>
      <c r="C6" s="3243"/>
      <c r="D6" s="3244"/>
      <c r="E6" s="3244"/>
      <c r="F6" s="3244"/>
      <c r="G6" s="3244"/>
      <c r="H6" s="3244"/>
      <c r="I6" s="3244"/>
      <c r="J6" s="3244"/>
      <c r="K6" s="3244"/>
      <c r="L6" s="3244"/>
      <c r="M6" s="3237"/>
      <c r="N6" s="3237"/>
      <c r="O6" s="3237"/>
      <c r="P6" s="3237"/>
      <c r="Q6" s="3237"/>
      <c r="R6" s="3237"/>
      <c r="S6" s="3237"/>
      <c r="T6" s="3237"/>
      <c r="U6" s="3237"/>
      <c r="V6" s="3237"/>
      <c r="W6" s="3238"/>
      <c r="X6" s="2676"/>
      <c r="Y6" s="3227"/>
      <c r="Z6" s="3228"/>
      <c r="AA6" s="3228"/>
      <c r="AB6" s="3228"/>
      <c r="AC6" s="3228"/>
      <c r="AD6" s="3228"/>
      <c r="AE6" s="3228"/>
      <c r="AF6" s="3228"/>
      <c r="AG6" s="3228"/>
      <c r="AH6" s="3228"/>
      <c r="AI6" s="3228"/>
      <c r="AJ6" s="3229"/>
      <c r="AK6" s="1834"/>
      <c r="AL6" s="1833"/>
      <c r="AN6" s="2298"/>
      <c r="AO6" s="2674"/>
      <c r="AP6" s="2674"/>
      <c r="AQ6" s="2674"/>
      <c r="AR6" s="2674"/>
      <c r="AS6" s="2299"/>
      <c r="AT6" s="3085"/>
      <c r="AU6" s="3085" t="b">
        <f>AND(AP13="Sí",NotasPDs&lt;&gt;"")</f>
        <v>0</v>
      </c>
    </row>
    <row r="7" spans="1:47" ht="12" customHeight="1" x14ac:dyDescent="0.2">
      <c r="A7" s="9"/>
      <c r="B7" s="812"/>
      <c r="C7" s="3243"/>
      <c r="D7" s="3244"/>
      <c r="E7" s="3244"/>
      <c r="F7" s="3244"/>
      <c r="G7" s="3244"/>
      <c r="H7" s="3244"/>
      <c r="I7" s="3244"/>
      <c r="J7" s="3244"/>
      <c r="K7" s="3244"/>
      <c r="L7" s="3244"/>
      <c r="M7" s="3237"/>
      <c r="N7" s="3237"/>
      <c r="O7" s="3237"/>
      <c r="P7" s="3237"/>
      <c r="Q7" s="3237"/>
      <c r="R7" s="3237"/>
      <c r="S7" s="3237"/>
      <c r="T7" s="3237"/>
      <c r="U7" s="3237"/>
      <c r="V7" s="3237"/>
      <c r="W7" s="3238"/>
      <c r="X7" s="2676"/>
      <c r="Y7" s="3227"/>
      <c r="Z7" s="3228"/>
      <c r="AA7" s="3228"/>
      <c r="AB7" s="3228"/>
      <c r="AC7" s="3228"/>
      <c r="AD7" s="3228"/>
      <c r="AE7" s="3228"/>
      <c r="AF7" s="3228"/>
      <c r="AG7" s="3228"/>
      <c r="AH7" s="3228"/>
      <c r="AI7" s="3228"/>
      <c r="AJ7" s="3229"/>
      <c r="AK7" s="1834"/>
      <c r="AL7" s="1833"/>
      <c r="AN7" s="2298"/>
      <c r="AO7" s="2674"/>
      <c r="AP7" s="2674"/>
      <c r="AQ7" s="3249"/>
      <c r="AR7" s="3249"/>
      <c r="AS7" s="3250"/>
      <c r="AT7" s="3085"/>
      <c r="AU7" s="3085" t="b">
        <f>AND(AP13="Sí",NotasEquipoCombate&lt;&gt;"")</f>
        <v>0</v>
      </c>
    </row>
    <row r="8" spans="1:47" ht="15.75" customHeight="1" x14ac:dyDescent="0.2">
      <c r="A8" s="9"/>
      <c r="B8" s="812"/>
      <c r="C8" s="3245"/>
      <c r="D8" s="3246"/>
      <c r="E8" s="3246"/>
      <c r="F8" s="3246"/>
      <c r="G8" s="3246"/>
      <c r="H8" s="3246"/>
      <c r="I8" s="3246"/>
      <c r="J8" s="3246"/>
      <c r="K8" s="3246"/>
      <c r="L8" s="3246"/>
      <c r="M8" s="3239"/>
      <c r="N8" s="3239"/>
      <c r="O8" s="3239"/>
      <c r="P8" s="3239"/>
      <c r="Q8" s="3239"/>
      <c r="R8" s="3239"/>
      <c r="S8" s="3239"/>
      <c r="T8" s="3239"/>
      <c r="U8" s="3239"/>
      <c r="V8" s="3239"/>
      <c r="W8" s="3240"/>
      <c r="X8" s="2676"/>
      <c r="Y8" s="3227"/>
      <c r="Z8" s="3228"/>
      <c r="AA8" s="3228"/>
      <c r="AB8" s="3228"/>
      <c r="AC8" s="3228"/>
      <c r="AD8" s="3228"/>
      <c r="AE8" s="3228"/>
      <c r="AF8" s="3228"/>
      <c r="AG8" s="3228"/>
      <c r="AH8" s="3228"/>
      <c r="AI8" s="3228"/>
      <c r="AJ8" s="3229"/>
      <c r="AK8" s="1834"/>
      <c r="AL8" s="1833"/>
      <c r="AN8" s="2298"/>
      <c r="AO8" s="2674"/>
      <c r="AP8" s="2674"/>
      <c r="AQ8" s="3249"/>
      <c r="AR8" s="3249"/>
      <c r="AS8" s="3250"/>
      <c r="AT8" s="3085"/>
      <c r="AU8" s="3085" t="b">
        <f>AND(AP13="Sí",NotasCapacidadesCombate&lt;&gt;"")</f>
        <v>0</v>
      </c>
    </row>
    <row r="9" spans="1:47" ht="10.5" customHeight="1" x14ac:dyDescent="0.2">
      <c r="A9" s="9"/>
      <c r="B9" s="812"/>
      <c r="C9" s="2678"/>
      <c r="D9" s="2395"/>
      <c r="E9" s="2395"/>
      <c r="F9" s="2395"/>
      <c r="G9" s="2395"/>
      <c r="H9" s="2395"/>
      <c r="I9" s="2395"/>
      <c r="J9" s="2395"/>
      <c r="K9" s="2395"/>
      <c r="L9" s="2395"/>
      <c r="M9" s="2395"/>
      <c r="N9" s="2395"/>
      <c r="O9" s="2395"/>
      <c r="P9" s="2395"/>
      <c r="Q9" s="2395"/>
      <c r="R9" s="2395"/>
      <c r="S9" s="2395"/>
      <c r="T9" s="2395"/>
      <c r="U9" s="2395"/>
      <c r="V9" s="2395"/>
      <c r="W9" s="2395"/>
      <c r="X9" s="2675"/>
      <c r="Y9" s="3227"/>
      <c r="Z9" s="3228"/>
      <c r="AA9" s="3228"/>
      <c r="AB9" s="3228"/>
      <c r="AC9" s="3228"/>
      <c r="AD9" s="3228"/>
      <c r="AE9" s="3228"/>
      <c r="AF9" s="3228"/>
      <c r="AG9" s="3228"/>
      <c r="AH9" s="3228"/>
      <c r="AI9" s="3228"/>
      <c r="AJ9" s="3229"/>
      <c r="AK9" s="1835"/>
      <c r="AL9" s="22"/>
      <c r="AN9" s="2298"/>
      <c r="AO9" s="2674"/>
      <c r="AP9" s="2674"/>
      <c r="AQ9" s="3249"/>
      <c r="AR9" s="3249"/>
      <c r="AS9" s="3250"/>
      <c r="AT9" s="3085"/>
      <c r="AU9" s="3085"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27"/>
      <c r="Z10" s="3228"/>
      <c r="AA10" s="3228"/>
      <c r="AB10" s="3228"/>
      <c r="AC10" s="3228"/>
      <c r="AD10" s="3228"/>
      <c r="AE10" s="3228"/>
      <c r="AF10" s="3228"/>
      <c r="AG10" s="3228"/>
      <c r="AH10" s="3228"/>
      <c r="AI10" s="3228"/>
      <c r="AJ10" s="3229"/>
      <c r="AK10" s="625"/>
      <c r="AL10" s="22"/>
      <c r="AN10" s="2298"/>
      <c r="AO10" s="2674"/>
      <c r="AP10" s="2674"/>
      <c r="AQ10" s="2674"/>
      <c r="AR10" s="2674"/>
      <c r="AS10" s="2299"/>
      <c r="AT10" s="3085"/>
      <c r="AU10" s="3085" t="b">
        <f>AND(AP13="Sí",NotasMisticos&lt;&gt;"")</f>
        <v>0</v>
      </c>
    </row>
    <row r="11" spans="1:47" ht="13.5" customHeight="1" x14ac:dyDescent="0.2">
      <c r="A11" s="9"/>
      <c r="B11" s="813"/>
      <c r="C11" s="2040"/>
      <c r="D11" s="2679" t="s">
        <v>1325</v>
      </c>
      <c r="E11" s="2679"/>
      <c r="F11" s="3221" t="str">
        <f>(PDs!S7+PDs!S9+PDs!S11+PDs!S13+PDs!S15)&amp;IF(Principal!AA27=0,""," + "&amp;Principal!AA27)</f>
        <v>0</v>
      </c>
      <c r="G11" s="3221"/>
      <c r="H11" s="3221"/>
      <c r="I11" s="3221"/>
      <c r="J11" s="2680"/>
      <c r="K11" s="2681" t="s">
        <v>1363</v>
      </c>
      <c r="L11" s="3233" t="str">
        <f>Principal!K7</f>
        <v>Natural 10</v>
      </c>
      <c r="M11" s="3233"/>
      <c r="N11" s="3233"/>
      <c r="O11" s="3233"/>
      <c r="P11" s="3233"/>
      <c r="Q11" s="3233"/>
      <c r="R11" s="3233"/>
      <c r="S11" s="3233"/>
      <c r="T11" s="3233"/>
      <c r="U11" s="3233"/>
      <c r="V11" s="3233"/>
      <c r="W11" s="3234"/>
      <c r="X11" s="2682"/>
      <c r="Y11" s="3227"/>
      <c r="Z11" s="3228"/>
      <c r="AA11" s="3228"/>
      <c r="AB11" s="3228"/>
      <c r="AC11" s="3228"/>
      <c r="AD11" s="3228"/>
      <c r="AE11" s="3228"/>
      <c r="AF11" s="3228"/>
      <c r="AG11" s="3228"/>
      <c r="AH11" s="3228"/>
      <c r="AI11" s="3228"/>
      <c r="AJ11" s="3229"/>
      <c r="AK11" s="625"/>
      <c r="AL11" s="22"/>
      <c r="AN11" s="3158" t="s">
        <v>10156</v>
      </c>
      <c r="AO11" s="3159"/>
      <c r="AP11" s="3159"/>
      <c r="AQ11" s="3190" t="s">
        <v>10157</v>
      </c>
      <c r="AR11" s="3191"/>
      <c r="AS11" s="3194" t="s">
        <v>1381</v>
      </c>
      <c r="AT11" s="3085"/>
      <c r="AU11" s="3085" t="b">
        <f>AND(AP13="Sí",NotasSheele&lt;&gt;"")</f>
        <v>0</v>
      </c>
    </row>
    <row r="12" spans="1:47" ht="13.5" customHeight="1" thickBot="1" x14ac:dyDescent="0.25">
      <c r="A12" s="9"/>
      <c r="B12" s="813"/>
      <c r="C12" s="2040"/>
      <c r="D12" s="2683" t="s">
        <v>9559</v>
      </c>
      <c r="E12" s="3223" t="str">
        <f>"   "&amp;Principal!N11</f>
        <v xml:space="preserve">   20</v>
      </c>
      <c r="F12" s="3223"/>
      <c r="G12" s="3223"/>
      <c r="H12" s="2684"/>
      <c r="I12" s="2685"/>
      <c r="J12" s="2685"/>
      <c r="K12" s="2681" t="s">
        <v>1324</v>
      </c>
      <c r="L12" s="3174" t="str">
        <f>IF(LEN(PDs!E11)&lt;=AT20,PDs!E11,"… /"&amp;RIGHT(PDs!E11,AT20-FIND("/",RIGHT(PDs!E11,AT20))))</f>
        <v/>
      </c>
      <c r="M12" s="3174"/>
      <c r="N12" s="3174"/>
      <c r="O12" s="3174"/>
      <c r="P12" s="3174"/>
      <c r="Q12" s="3174"/>
      <c r="R12" s="3174"/>
      <c r="S12" s="3174"/>
      <c r="T12" s="3174"/>
      <c r="U12" s="3174"/>
      <c r="V12" s="3174"/>
      <c r="W12" s="3251"/>
      <c r="X12" s="2686"/>
      <c r="Y12" s="3227"/>
      <c r="Z12" s="3228"/>
      <c r="AA12" s="3228"/>
      <c r="AB12" s="3228"/>
      <c r="AC12" s="3228"/>
      <c r="AD12" s="3228"/>
      <c r="AE12" s="3228"/>
      <c r="AF12" s="3228"/>
      <c r="AG12" s="3228"/>
      <c r="AH12" s="3228"/>
      <c r="AI12" s="3228"/>
      <c r="AJ12" s="3229"/>
      <c r="AK12" s="625"/>
      <c r="AL12" s="22"/>
      <c r="AN12" s="3252"/>
      <c r="AO12" s="3253"/>
      <c r="AP12" s="3253"/>
      <c r="AQ12" s="3192"/>
      <c r="AR12" s="3193"/>
      <c r="AS12" s="3195"/>
      <c r="AT12" s="3085"/>
      <c r="AU12" s="3085" t="b">
        <f>AND(AP13="Sí",NotasPsiquicos&lt;&gt;"")</f>
        <v>0</v>
      </c>
    </row>
    <row r="13" spans="1:47" ht="12" customHeight="1" x14ac:dyDescent="0.2">
      <c r="A13" s="9"/>
      <c r="B13" s="813"/>
      <c r="C13" s="2040"/>
      <c r="D13" s="2687" t="s">
        <v>1851</v>
      </c>
      <c r="E13" s="2687"/>
      <c r="F13" s="3170">
        <f>FUE</f>
        <v>0</v>
      </c>
      <c r="G13" s="3170"/>
      <c r="H13" s="2687" t="s">
        <v>1852</v>
      </c>
      <c r="I13" s="2687"/>
      <c r="J13" s="3170">
        <f>DES</f>
        <v>0</v>
      </c>
      <c r="K13" s="3170"/>
      <c r="L13" s="2687" t="s">
        <v>1853</v>
      </c>
      <c r="M13" s="2687"/>
      <c r="N13" s="3170">
        <f>AGI</f>
        <v>0</v>
      </c>
      <c r="O13" s="3170"/>
      <c r="P13" s="2687" t="s">
        <v>1854</v>
      </c>
      <c r="Q13" s="2687"/>
      <c r="R13" s="3170">
        <f>CON</f>
        <v>0</v>
      </c>
      <c r="S13" s="3170"/>
      <c r="T13" s="2688"/>
      <c r="U13" s="2688"/>
      <c r="V13" s="2688"/>
      <c r="W13" s="1846"/>
      <c r="X13" s="2689"/>
      <c r="Y13" s="3227"/>
      <c r="Z13" s="3228"/>
      <c r="AA13" s="3228"/>
      <c r="AB13" s="3228"/>
      <c r="AC13" s="3228"/>
      <c r="AD13" s="3228"/>
      <c r="AE13" s="3228"/>
      <c r="AF13" s="3228"/>
      <c r="AG13" s="3228"/>
      <c r="AH13" s="3228"/>
      <c r="AI13" s="3228"/>
      <c r="AJ13" s="3229"/>
      <c r="AK13" s="625"/>
      <c r="AL13" s="22"/>
      <c r="AN13" s="3161" t="s">
        <v>1401</v>
      </c>
      <c r="AO13" s="3162"/>
      <c r="AP13" s="3254" t="s">
        <v>2583</v>
      </c>
      <c r="AQ13" s="3161" t="s">
        <v>1326</v>
      </c>
      <c r="AR13" s="3162"/>
      <c r="AS13" s="3167" t="s">
        <v>1381</v>
      </c>
      <c r="AT13" s="3085"/>
      <c r="AU13" s="3085" t="b">
        <f>AND(AP13="Sí",NotasPersonalizacion&lt;&gt;"")</f>
        <v>0</v>
      </c>
    </row>
    <row r="14" spans="1:47" ht="13.5" customHeight="1" x14ac:dyDescent="0.2">
      <c r="A14" s="9"/>
      <c r="B14" s="813"/>
      <c r="C14" s="2040"/>
      <c r="D14" s="2690" t="s">
        <v>1855</v>
      </c>
      <c r="E14" s="2690"/>
      <c r="F14" s="3170">
        <f>POD</f>
        <v>0</v>
      </c>
      <c r="G14" s="3170"/>
      <c r="H14" s="2690" t="s">
        <v>1856</v>
      </c>
      <c r="I14" s="2690"/>
      <c r="J14" s="3170">
        <f>INT</f>
        <v>0</v>
      </c>
      <c r="K14" s="3170"/>
      <c r="L14" s="2690" t="s">
        <v>1857</v>
      </c>
      <c r="M14" s="2690"/>
      <c r="N14" s="3170">
        <f>VOL</f>
        <v>0</v>
      </c>
      <c r="O14" s="3170"/>
      <c r="P14" s="2690" t="s">
        <v>1858</v>
      </c>
      <c r="Q14" s="2690"/>
      <c r="R14" s="3170">
        <f>PER</f>
        <v>0</v>
      </c>
      <c r="S14" s="3170"/>
      <c r="T14" s="2688"/>
      <c r="U14" s="2688"/>
      <c r="V14" s="2688"/>
      <c r="W14" s="1846"/>
      <c r="X14" s="2689"/>
      <c r="Y14" s="3227"/>
      <c r="Z14" s="3228"/>
      <c r="AA14" s="3228"/>
      <c r="AB14" s="3228"/>
      <c r="AC14" s="3228"/>
      <c r="AD14" s="3228"/>
      <c r="AE14" s="3228"/>
      <c r="AF14" s="3228"/>
      <c r="AG14" s="3228"/>
      <c r="AH14" s="3228"/>
      <c r="AI14" s="3228"/>
      <c r="AJ14" s="3229"/>
      <c r="AK14" s="625"/>
      <c r="AL14" s="22"/>
      <c r="AN14" s="3161"/>
      <c r="AO14" s="3162"/>
      <c r="AP14" s="3254"/>
      <c r="AQ14" s="3161"/>
      <c r="AR14" s="3162"/>
      <c r="AS14" s="3167"/>
      <c r="AT14" s="3085" t="s">
        <v>1474</v>
      </c>
      <c r="AU14" s="3085" t="b">
        <f>AND(AP15="Sí",COUNTIF(Principal!$D$68:$E$77,"*")&gt;0)</f>
        <v>0</v>
      </c>
    </row>
    <row r="15" spans="1:47" ht="13.5" customHeight="1" x14ac:dyDescent="0.2">
      <c r="A15" s="9"/>
      <c r="B15" s="813"/>
      <c r="C15" s="2040"/>
      <c r="D15" s="2691" t="s">
        <v>1838</v>
      </c>
      <c r="E15" s="2691"/>
      <c r="F15" s="2691"/>
      <c r="G15" s="2691"/>
      <c r="H15" s="3206">
        <f>Presencia_final</f>
        <v>20</v>
      </c>
      <c r="I15" s="3206"/>
      <c r="J15" s="3206"/>
      <c r="K15" s="3206"/>
      <c r="L15" s="2692"/>
      <c r="M15" s="2692"/>
      <c r="N15" s="2693"/>
      <c r="O15" s="2693"/>
      <c r="P15" s="2694"/>
      <c r="Q15" s="2694"/>
      <c r="R15" s="2695"/>
      <c r="S15" s="2695"/>
      <c r="T15" s="2688"/>
      <c r="U15" s="2688"/>
      <c r="V15" s="2688"/>
      <c r="W15" s="1846"/>
      <c r="X15" s="2689"/>
      <c r="Y15" s="3230"/>
      <c r="Z15" s="3231"/>
      <c r="AA15" s="3231"/>
      <c r="AB15" s="3231"/>
      <c r="AC15" s="3231"/>
      <c r="AD15" s="3231"/>
      <c r="AE15" s="3231"/>
      <c r="AF15" s="3231"/>
      <c r="AG15" s="3231"/>
      <c r="AH15" s="3231"/>
      <c r="AI15" s="3231"/>
      <c r="AJ15" s="3232"/>
      <c r="AK15" s="625"/>
      <c r="AL15" s="22"/>
      <c r="AN15" s="3255" t="s">
        <v>1474</v>
      </c>
      <c r="AO15" s="3256"/>
      <c r="AP15" s="3259" t="s">
        <v>2583</v>
      </c>
      <c r="AQ15" s="3255" t="s">
        <v>9558</v>
      </c>
      <c r="AR15" s="3256"/>
      <c r="AS15" s="3168" t="s">
        <v>1381</v>
      </c>
      <c r="AT15" s="3085" t="s">
        <v>1326</v>
      </c>
      <c r="AU15" s="3085" t="b">
        <f>AS13="Sí"</f>
        <v>0</v>
      </c>
    </row>
    <row r="16" spans="1:47" ht="12" customHeight="1" thickBot="1" x14ac:dyDescent="0.25">
      <c r="A16" s="9"/>
      <c r="B16" s="813"/>
      <c r="C16" s="2040"/>
      <c r="D16" s="2696" t="s">
        <v>1859</v>
      </c>
      <c r="E16" s="2697"/>
      <c r="F16" s="3170">
        <f>Principal!J58</f>
        <v>20</v>
      </c>
      <c r="G16" s="3170"/>
      <c r="H16" s="2696" t="s">
        <v>1860</v>
      </c>
      <c r="I16" s="2696"/>
      <c r="J16" s="3170">
        <f>Principal!J61</f>
        <v>20</v>
      </c>
      <c r="K16" s="3170"/>
      <c r="L16" s="2696" t="s">
        <v>1861</v>
      </c>
      <c r="M16" s="2696"/>
      <c r="N16" s="3170">
        <f>Principal!J62</f>
        <v>20</v>
      </c>
      <c r="O16" s="3170"/>
      <c r="P16" s="2696" t="s">
        <v>1862</v>
      </c>
      <c r="Q16" s="2696"/>
      <c r="R16" s="3170">
        <f>Principal!J60</f>
        <v>20</v>
      </c>
      <c r="S16" s="3170"/>
      <c r="T16" s="2696" t="s">
        <v>1863</v>
      </c>
      <c r="U16" s="2696"/>
      <c r="V16" s="3219">
        <f>Principal!J59</f>
        <v>20</v>
      </c>
      <c r="W16" s="3220"/>
      <c r="X16" s="2698"/>
      <c r="Y16" s="2699"/>
      <c r="Z16" s="2699"/>
      <c r="AA16" s="2675"/>
      <c r="AB16" s="2675"/>
      <c r="AC16" s="2675"/>
      <c r="AD16" s="2675"/>
      <c r="AE16" s="2675"/>
      <c r="AF16" s="2699"/>
      <c r="AG16" s="2699"/>
      <c r="AH16" s="2699"/>
      <c r="AI16" s="2699"/>
      <c r="AJ16" s="2699"/>
      <c r="AK16" s="625"/>
      <c r="AL16" s="22"/>
      <c r="AN16" s="3257"/>
      <c r="AO16" s="3258"/>
      <c r="AP16" s="3260"/>
      <c r="AQ16" s="3257"/>
      <c r="AR16" s="3258"/>
      <c r="AS16" s="3195"/>
      <c r="AT16" s="3085" t="s">
        <v>10158</v>
      </c>
      <c r="AU16" s="3085"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5"/>
      <c r="AO17" s="2675"/>
      <c r="AP17" s="2675"/>
      <c r="AQ17" s="2675"/>
      <c r="AR17" s="2675"/>
      <c r="AS17" s="2675"/>
      <c r="AT17" s="3085" t="s">
        <v>9558</v>
      </c>
      <c r="AU17" s="3085" t="b">
        <f>AS15="Sí"</f>
        <v>0</v>
      </c>
    </row>
    <row r="18" spans="1:47" ht="1.5" customHeight="1" x14ac:dyDescent="0.2">
      <c r="A18" s="9"/>
      <c r="B18" s="813"/>
      <c r="C18" s="2040"/>
      <c r="D18" s="3222" t="s">
        <v>1864</v>
      </c>
      <c r="E18" s="3222"/>
      <c r="F18" s="3222"/>
      <c r="G18" s="3222"/>
      <c r="H18" s="2563"/>
      <c r="I18" s="2563"/>
      <c r="J18" s="2563"/>
      <c r="K18" s="2563"/>
      <c r="L18" s="2563"/>
      <c r="M18" s="2563"/>
      <c r="N18" s="2563"/>
      <c r="O18" s="2563"/>
      <c r="P18" s="2563"/>
      <c r="Q18" s="2563"/>
      <c r="R18" s="2563"/>
      <c r="S18" s="2563"/>
      <c r="T18" s="2563"/>
      <c r="U18" s="2563"/>
      <c r="V18" s="2563"/>
      <c r="W18" s="2563"/>
      <c r="X18" s="2563"/>
      <c r="Y18" s="2563"/>
      <c r="Z18" s="2563"/>
      <c r="AA18" s="2563"/>
      <c r="AB18" s="2563"/>
      <c r="AC18" s="2563"/>
      <c r="AD18" s="2563"/>
      <c r="AE18" s="2563"/>
      <c r="AF18" s="2563"/>
      <c r="AG18" s="2563"/>
      <c r="AH18" s="2563"/>
      <c r="AI18" s="2563"/>
      <c r="AJ18" s="1847"/>
      <c r="AK18" s="625"/>
      <c r="AL18" s="2330"/>
      <c r="AM18" s="2395"/>
      <c r="AN18" s="2675"/>
      <c r="AO18" s="2675"/>
      <c r="AP18" s="2675"/>
      <c r="AQ18" s="2675"/>
      <c r="AR18" s="2675"/>
      <c r="AS18" s="2675"/>
      <c r="AT18" s="3085" t="s">
        <v>10492</v>
      </c>
      <c r="AU18" s="3085" t="b">
        <f>AP13="Sí"</f>
        <v>1</v>
      </c>
    </row>
    <row r="19" spans="1:47" ht="12" customHeight="1" x14ac:dyDescent="0.2">
      <c r="A19" s="9"/>
      <c r="B19" s="813"/>
      <c r="C19" s="2040"/>
      <c r="D19" s="3222"/>
      <c r="E19" s="3222"/>
      <c r="F19" s="3222"/>
      <c r="G19" s="3222"/>
      <c r="H19" s="3179" t="str">
        <f ca="1">Combate!$AV48&amp;Combate!$AW48&amp;Combate!$AX48&amp;Combate!$AY48&amp;Combate!$AZ48&amp;Combate!$BA48&amp;Combate!$BB48&amp;Combate!$BC48&amp;Combate!$BD48&amp;Combate!$BE48&amp;Combate!$BF48&amp;Combate!$BG48</f>
        <v>40 Desarmado</v>
      </c>
      <c r="I19" s="3179"/>
      <c r="J19" s="3179"/>
      <c r="K19" s="3179"/>
      <c r="L19" s="3179"/>
      <c r="M19" s="3179"/>
      <c r="N19" s="3179"/>
      <c r="O19" s="3179"/>
      <c r="P19" s="3179"/>
      <c r="Q19" s="3179"/>
      <c r="R19" s="3179"/>
      <c r="S19" s="3179"/>
      <c r="T19" s="3179"/>
      <c r="U19" s="3179"/>
      <c r="V19" s="3179"/>
      <c r="W19" s="3179"/>
      <c r="X19" s="3179"/>
      <c r="Y19" s="3179"/>
      <c r="Z19" s="3179"/>
      <c r="AA19" s="3179"/>
      <c r="AB19" s="3179"/>
      <c r="AC19" s="3179"/>
      <c r="AD19" s="3179"/>
      <c r="AE19" s="3179"/>
      <c r="AF19" s="3179"/>
      <c r="AG19" s="3179"/>
      <c r="AH19" s="3179"/>
      <c r="AI19" s="3179"/>
      <c r="AJ19" s="1847"/>
      <c r="AK19" s="625"/>
      <c r="AL19" s="22"/>
      <c r="AM19" s="2395"/>
      <c r="AQ19" s="2731"/>
      <c r="AR19" s="2731"/>
      <c r="AS19" s="2731"/>
      <c r="AT19" s="3086"/>
      <c r="AU19" s="3086"/>
    </row>
    <row r="20" spans="1:47" ht="12" customHeight="1" x14ac:dyDescent="0.2">
      <c r="A20" s="9"/>
      <c r="B20" s="813"/>
      <c r="C20" s="2040"/>
      <c r="D20" s="3222"/>
      <c r="E20" s="3222"/>
      <c r="F20" s="3222"/>
      <c r="G20" s="3222"/>
      <c r="H20" s="3179"/>
      <c r="I20" s="3179"/>
      <c r="J20" s="3179"/>
      <c r="K20" s="3179"/>
      <c r="L20" s="3179"/>
      <c r="M20" s="3179"/>
      <c r="N20" s="3179"/>
      <c r="O20" s="3179"/>
      <c r="P20" s="3179"/>
      <c r="Q20" s="3179"/>
      <c r="R20" s="3179"/>
      <c r="S20" s="3179"/>
      <c r="T20" s="3179"/>
      <c r="U20" s="3179"/>
      <c r="V20" s="3179"/>
      <c r="W20" s="3179"/>
      <c r="X20" s="3179"/>
      <c r="Y20" s="3179"/>
      <c r="Z20" s="3179"/>
      <c r="AA20" s="3179"/>
      <c r="AB20" s="3179"/>
      <c r="AC20" s="3179"/>
      <c r="AD20" s="3179"/>
      <c r="AE20" s="3179"/>
      <c r="AF20" s="3179"/>
      <c r="AG20" s="3179"/>
      <c r="AH20" s="3179"/>
      <c r="AI20" s="3179"/>
      <c r="AJ20" s="1847"/>
      <c r="AK20" s="625"/>
      <c r="AL20" s="22"/>
      <c r="AM20" s="2395"/>
      <c r="AQ20" s="2732"/>
      <c r="AR20" s="2732"/>
      <c r="AS20" s="2732"/>
      <c r="AT20" s="3085">
        <v>45</v>
      </c>
      <c r="AU20" s="3086"/>
    </row>
    <row r="21" spans="1:47" ht="1.5" customHeight="1" x14ac:dyDescent="0.2">
      <c r="A21" s="9"/>
      <c r="B21" s="813"/>
      <c r="C21" s="2040"/>
      <c r="D21" s="3222" t="s">
        <v>1396</v>
      </c>
      <c r="E21" s="3222"/>
      <c r="F21" s="3222"/>
      <c r="G21" s="3222"/>
      <c r="H21" s="3179"/>
      <c r="I21" s="3179"/>
      <c r="J21" s="3179"/>
      <c r="K21" s="3179"/>
      <c r="L21" s="3179"/>
      <c r="M21" s="3179"/>
      <c r="N21" s="3179"/>
      <c r="O21" s="3179"/>
      <c r="P21" s="3179"/>
      <c r="Q21" s="3179"/>
      <c r="R21" s="3179"/>
      <c r="S21" s="3179"/>
      <c r="T21" s="3179"/>
      <c r="U21" s="3179"/>
      <c r="V21" s="3179"/>
      <c r="W21" s="3179"/>
      <c r="X21" s="3179"/>
      <c r="Y21" s="3179"/>
      <c r="Z21" s="3179"/>
      <c r="AA21" s="3179"/>
      <c r="AB21" s="3179"/>
      <c r="AC21" s="3179"/>
      <c r="AD21" s="3179"/>
      <c r="AE21" s="3179"/>
      <c r="AF21" s="3179"/>
      <c r="AG21" s="3179"/>
      <c r="AH21" s="3179"/>
      <c r="AI21" s="3179"/>
      <c r="AJ21" s="1847"/>
      <c r="AK21" s="625"/>
      <c r="AL21" s="22"/>
      <c r="AM21" s="2395"/>
      <c r="AQ21" s="2733"/>
      <c r="AR21" s="2733"/>
      <c r="AS21" s="2733"/>
      <c r="AT21" s="3087"/>
      <c r="AU21" s="3086"/>
    </row>
    <row r="22" spans="1:47" ht="12" customHeight="1" x14ac:dyDescent="0.2">
      <c r="A22" s="9"/>
      <c r="B22" s="813"/>
      <c r="C22" s="2040"/>
      <c r="D22" s="3222"/>
      <c r="E22" s="3222"/>
      <c r="F22" s="3222"/>
      <c r="G22" s="3222"/>
      <c r="H22" s="3179" t="str">
        <f ca="1">Combate!$AV49&amp;Combate!$AW49&amp;Combate!$AX49&amp;Combate!$AY49&amp;Combate!$AZ49&amp;Combate!$BA49&amp;Combate!$BB49&amp;Combate!$BC49&amp;Combate!$BD49&amp;Combate!$BE49&amp;Combate!$BF49&amp;Combate!$BG49</f>
        <v>0 Desarmado</v>
      </c>
      <c r="I22" s="3179"/>
      <c r="J22" s="3179"/>
      <c r="K22" s="3179"/>
      <c r="L22" s="3179"/>
      <c r="M22" s="3179"/>
      <c r="N22" s="3179"/>
      <c r="O22" s="3179"/>
      <c r="P22" s="3179"/>
      <c r="Q22" s="3179"/>
      <c r="R22" s="3179"/>
      <c r="S22" s="3179"/>
      <c r="T22" s="3179"/>
      <c r="U22" s="3179"/>
      <c r="V22" s="3179"/>
      <c r="W22" s="3179"/>
      <c r="X22" s="3179"/>
      <c r="Y22" s="3179"/>
      <c r="Z22" s="3179"/>
      <c r="AA22" s="3179"/>
      <c r="AB22" s="3179"/>
      <c r="AC22" s="3179"/>
      <c r="AD22" s="3179"/>
      <c r="AE22" s="3179"/>
      <c r="AF22" s="3179"/>
      <c r="AG22" s="3179"/>
      <c r="AH22" s="3179"/>
      <c r="AI22" s="3179"/>
      <c r="AJ22" s="1848"/>
      <c r="AK22" s="625"/>
      <c r="AL22" s="22"/>
      <c r="AM22" s="2395"/>
      <c r="AQ22" s="2734"/>
      <c r="AR22" s="2734"/>
      <c r="AS22" s="2734"/>
      <c r="AT22" s="3087"/>
      <c r="AU22" s="3086"/>
    </row>
    <row r="23" spans="1:47" ht="12" customHeight="1" x14ac:dyDescent="0.2">
      <c r="A23" s="9"/>
      <c r="B23" s="813"/>
      <c r="C23" s="2040"/>
      <c r="D23" s="3222"/>
      <c r="E23" s="3222"/>
      <c r="F23" s="3222"/>
      <c r="G23" s="3222"/>
      <c r="H23" s="3179"/>
      <c r="I23" s="3179"/>
      <c r="J23" s="3179"/>
      <c r="K23" s="3179"/>
      <c r="L23" s="3179"/>
      <c r="M23" s="3179"/>
      <c r="N23" s="3179"/>
      <c r="O23" s="3179"/>
      <c r="P23" s="3179"/>
      <c r="Q23" s="3179"/>
      <c r="R23" s="3179"/>
      <c r="S23" s="3179"/>
      <c r="T23" s="3179"/>
      <c r="U23" s="3179"/>
      <c r="V23" s="3179"/>
      <c r="W23" s="3179"/>
      <c r="X23" s="3179"/>
      <c r="Y23" s="3179"/>
      <c r="Z23" s="3179"/>
      <c r="AA23" s="3179"/>
      <c r="AB23" s="3179"/>
      <c r="AC23" s="3179"/>
      <c r="AD23" s="3179"/>
      <c r="AE23" s="3179"/>
      <c r="AF23" s="3179"/>
      <c r="AG23" s="3179"/>
      <c r="AH23" s="3179"/>
      <c r="AI23" s="3179"/>
      <c r="AJ23" s="1848"/>
      <c r="AK23" s="625"/>
      <c r="AL23" s="22"/>
      <c r="AM23" s="2395"/>
      <c r="AQ23" s="2734"/>
      <c r="AR23" s="2734"/>
      <c r="AS23" s="2734"/>
      <c r="AT23" s="3087"/>
      <c r="AU23" s="3086"/>
    </row>
    <row r="24" spans="1:47" ht="1.5" customHeight="1" x14ac:dyDescent="0.2">
      <c r="A24" s="9"/>
      <c r="B24" s="813"/>
      <c r="C24" s="2040"/>
      <c r="D24" s="3222" t="s">
        <v>8729</v>
      </c>
      <c r="E24" s="3222"/>
      <c r="F24" s="3222"/>
      <c r="G24" s="3222"/>
      <c r="H24" s="3179"/>
      <c r="I24" s="3179"/>
      <c r="J24" s="3179"/>
      <c r="K24" s="3179"/>
      <c r="L24" s="3179"/>
      <c r="M24" s="3179"/>
      <c r="N24" s="3179"/>
      <c r="O24" s="3179"/>
      <c r="P24" s="3179"/>
      <c r="Q24" s="3179"/>
      <c r="R24" s="3179"/>
      <c r="S24" s="3179"/>
      <c r="T24" s="3179"/>
      <c r="U24" s="3179"/>
      <c r="V24" s="3179"/>
      <c r="W24" s="3179"/>
      <c r="X24" s="3179"/>
      <c r="Y24" s="3179"/>
      <c r="Z24" s="3179"/>
      <c r="AA24" s="3179"/>
      <c r="AB24" s="3179"/>
      <c r="AC24" s="3179"/>
      <c r="AD24" s="3179"/>
      <c r="AE24" s="3179"/>
      <c r="AF24" s="3179"/>
      <c r="AG24" s="3179"/>
      <c r="AH24" s="3179"/>
      <c r="AI24" s="3179"/>
      <c r="AJ24" s="1847"/>
      <c r="AK24" s="625"/>
      <c r="AL24" s="22"/>
      <c r="AQ24" s="2734"/>
      <c r="AR24" s="2734"/>
      <c r="AS24" s="2734"/>
      <c r="AT24" s="3087"/>
      <c r="AU24" s="3086"/>
    </row>
    <row r="25" spans="1:47" ht="12" customHeight="1" thickBot="1" x14ac:dyDescent="0.25">
      <c r="A25" s="9"/>
      <c r="B25" s="812"/>
      <c r="C25" s="2039"/>
      <c r="D25" s="3222"/>
      <c r="E25" s="3222"/>
      <c r="F25" s="3222"/>
      <c r="G25" s="3222"/>
      <c r="H25" s="3179" t="str">
        <f ca="1">Combate!$AV50&amp;Combate!$AW50&amp;Combate!$AX50&amp;Combate!$AY50&amp;Combate!$AZ50&amp;Combate!$BA50&amp;Combate!$BB50&amp;Combate!$BC50&amp;Combate!$BD50&amp;Combate!$BE50&amp;Combate!$BF50&amp;Combate!$BG50</f>
        <v>0 Desarmado (Parada)</v>
      </c>
      <c r="I25" s="3179"/>
      <c r="J25" s="3179"/>
      <c r="K25" s="3179"/>
      <c r="L25" s="3179"/>
      <c r="M25" s="3179"/>
      <c r="N25" s="3179"/>
      <c r="O25" s="3179"/>
      <c r="P25" s="3179"/>
      <c r="Q25" s="3179"/>
      <c r="R25" s="3179"/>
      <c r="S25" s="3179"/>
      <c r="T25" s="3179"/>
      <c r="U25" s="3179"/>
      <c r="V25" s="3179"/>
      <c r="W25" s="3179"/>
      <c r="X25" s="3179"/>
      <c r="Y25" s="3179"/>
      <c r="Z25" s="3179"/>
      <c r="AA25" s="3179"/>
      <c r="AB25" s="3179"/>
      <c r="AC25" s="3179"/>
      <c r="AD25" s="3179"/>
      <c r="AE25" s="3179"/>
      <c r="AF25" s="3179"/>
      <c r="AG25" s="3179"/>
      <c r="AH25" s="3179"/>
      <c r="AI25" s="3179"/>
      <c r="AJ25" s="1848"/>
      <c r="AK25" s="625"/>
      <c r="AL25" s="22"/>
      <c r="AN25" s="2395"/>
      <c r="AO25" s="2395"/>
      <c r="AP25" s="2395"/>
      <c r="AQ25" s="2735"/>
      <c r="AR25" s="2735"/>
      <c r="AS25" s="2735"/>
      <c r="AT25" s="3088"/>
      <c r="AU25" s="3086"/>
    </row>
    <row r="26" spans="1:47" ht="12" customHeight="1" x14ac:dyDescent="0.2">
      <c r="A26" s="9"/>
      <c r="B26" s="812"/>
      <c r="C26" s="2039"/>
      <c r="D26" s="3222"/>
      <c r="E26" s="3222"/>
      <c r="F26" s="3222"/>
      <c r="G26" s="3222"/>
      <c r="H26" s="3179"/>
      <c r="I26" s="3179"/>
      <c r="J26" s="3179"/>
      <c r="K26" s="3179"/>
      <c r="L26" s="3179"/>
      <c r="M26" s="3179"/>
      <c r="N26" s="3179"/>
      <c r="O26" s="3179"/>
      <c r="P26" s="3179"/>
      <c r="Q26" s="3179"/>
      <c r="R26" s="3179"/>
      <c r="S26" s="3179"/>
      <c r="T26" s="3179"/>
      <c r="U26" s="3179"/>
      <c r="V26" s="3179"/>
      <c r="W26" s="3179"/>
      <c r="X26" s="3179"/>
      <c r="Y26" s="3179"/>
      <c r="Z26" s="3179"/>
      <c r="AA26" s="3179"/>
      <c r="AB26" s="3179"/>
      <c r="AC26" s="3179"/>
      <c r="AD26" s="3179"/>
      <c r="AE26" s="3179"/>
      <c r="AF26" s="3179"/>
      <c r="AG26" s="3179"/>
      <c r="AH26" s="3179"/>
      <c r="AI26" s="3179"/>
      <c r="AJ26" s="1848"/>
      <c r="AK26" s="625"/>
      <c r="AL26" s="22"/>
      <c r="AN26" s="3158" t="s">
        <v>9607</v>
      </c>
      <c r="AO26" s="3159"/>
      <c r="AP26" s="3160"/>
      <c r="AQ26" s="2732"/>
      <c r="AR26" s="2732"/>
      <c r="AS26" s="2732"/>
      <c r="AT26" s="3088"/>
      <c r="AU26" s="3086"/>
    </row>
    <row r="27" spans="1:47" ht="1.5" customHeight="1" x14ac:dyDescent="0.2">
      <c r="A27" s="9"/>
      <c r="B27" s="813"/>
      <c r="C27" s="2040"/>
      <c r="D27" s="3222" t="s">
        <v>1865</v>
      </c>
      <c r="E27" s="3222"/>
      <c r="F27" s="3222"/>
      <c r="G27" s="3222"/>
      <c r="H27" s="3179"/>
      <c r="I27" s="3179"/>
      <c r="J27" s="3179"/>
      <c r="K27" s="3179"/>
      <c r="L27" s="3179"/>
      <c r="M27" s="3179"/>
      <c r="N27" s="3179"/>
      <c r="O27" s="3179"/>
      <c r="P27" s="3179"/>
      <c r="Q27" s="3179"/>
      <c r="R27" s="3179"/>
      <c r="S27" s="3179"/>
      <c r="T27" s="3179"/>
      <c r="U27" s="3179"/>
      <c r="V27" s="3179"/>
      <c r="W27" s="3179"/>
      <c r="X27" s="3179"/>
      <c r="Y27" s="3179"/>
      <c r="Z27" s="3179"/>
      <c r="AA27" s="3179"/>
      <c r="AB27" s="3179"/>
      <c r="AC27" s="3179"/>
      <c r="AD27" s="3179"/>
      <c r="AE27" s="3179"/>
      <c r="AF27" s="3179"/>
      <c r="AG27" s="3179"/>
      <c r="AH27" s="3179"/>
      <c r="AI27" s="3179"/>
      <c r="AJ27" s="1847"/>
      <c r="AK27" s="625"/>
      <c r="AL27" s="22"/>
      <c r="AN27" s="3188"/>
      <c r="AO27" s="3189"/>
      <c r="AP27" s="3247"/>
      <c r="AQ27" s="2732"/>
      <c r="AR27" s="2732"/>
      <c r="AS27" s="2732"/>
      <c r="AT27" s="3088"/>
      <c r="AU27" s="3089"/>
    </row>
    <row r="28" spans="1:47" ht="12" customHeight="1" x14ac:dyDescent="0.2">
      <c r="A28" s="9"/>
      <c r="B28" s="812"/>
      <c r="C28" s="2039"/>
      <c r="D28" s="3222"/>
      <c r="E28" s="3222"/>
      <c r="F28" s="3222"/>
      <c r="G28" s="3222"/>
      <c r="H28" s="3179" t="str">
        <f ca="1">Combate!$AV51&amp;Combate!$AW51&amp;Combate!$AX51&amp;Combate!$AY51&amp;Combate!$AZ51&amp;Combate!$BA51&amp;Combate!$BB51&amp;Combate!$BC51&amp;Combate!$BD51&amp;Combate!$BE51&amp;Combate!$BF51&amp;Combate!$BG51</f>
        <v>5 Desarmado (CON)</v>
      </c>
      <c r="I28" s="3179"/>
      <c r="J28" s="3179"/>
      <c r="K28" s="3179"/>
      <c r="L28" s="3179"/>
      <c r="M28" s="3179"/>
      <c r="N28" s="3179"/>
      <c r="O28" s="3179"/>
      <c r="P28" s="3179"/>
      <c r="Q28" s="3179"/>
      <c r="R28" s="3179"/>
      <c r="S28" s="3179"/>
      <c r="T28" s="3179"/>
      <c r="U28" s="3179"/>
      <c r="V28" s="3179"/>
      <c r="W28" s="3179"/>
      <c r="X28" s="3179"/>
      <c r="Y28" s="3179"/>
      <c r="Z28" s="3179"/>
      <c r="AA28" s="3179"/>
      <c r="AB28" s="3179"/>
      <c r="AC28" s="3179"/>
      <c r="AD28" s="3179"/>
      <c r="AE28" s="3179"/>
      <c r="AF28" s="3179"/>
      <c r="AG28" s="3179"/>
      <c r="AH28" s="3179"/>
      <c r="AI28" s="3179"/>
      <c r="AJ28" s="1847"/>
      <c r="AK28" s="625"/>
      <c r="AL28" s="22"/>
      <c r="AN28" s="3188"/>
      <c r="AO28" s="3189"/>
      <c r="AP28" s="3247"/>
      <c r="AQ28" s="2732"/>
      <c r="AR28" s="2732"/>
      <c r="AS28" s="2732"/>
      <c r="AT28" s="3088"/>
      <c r="AU28" s="3089"/>
    </row>
    <row r="29" spans="1:47" ht="12" customHeight="1" x14ac:dyDescent="0.2">
      <c r="A29" s="9"/>
      <c r="B29" s="812"/>
      <c r="C29" s="2039"/>
      <c r="D29" s="3222"/>
      <c r="E29" s="3222"/>
      <c r="F29" s="3222"/>
      <c r="G29" s="3222"/>
      <c r="H29" s="3179"/>
      <c r="I29" s="3179"/>
      <c r="J29" s="3179"/>
      <c r="K29" s="3179"/>
      <c r="L29" s="3179"/>
      <c r="M29" s="3179"/>
      <c r="N29" s="3179"/>
      <c r="O29" s="3179"/>
      <c r="P29" s="3179"/>
      <c r="Q29" s="3179"/>
      <c r="R29" s="3179"/>
      <c r="S29" s="3179"/>
      <c r="T29" s="3179"/>
      <c r="U29" s="3179"/>
      <c r="V29" s="3179"/>
      <c r="W29" s="3179"/>
      <c r="X29" s="3179"/>
      <c r="Y29" s="3179"/>
      <c r="Z29" s="3179"/>
      <c r="AA29" s="3179"/>
      <c r="AB29" s="3179"/>
      <c r="AC29" s="3179"/>
      <c r="AD29" s="3179"/>
      <c r="AE29" s="3179"/>
      <c r="AF29" s="3179"/>
      <c r="AG29" s="3179"/>
      <c r="AH29" s="3179"/>
      <c r="AI29" s="3179"/>
      <c r="AJ29" s="1847"/>
      <c r="AK29" s="625"/>
      <c r="AL29" s="22"/>
      <c r="AN29" s="3207" t="s">
        <v>2583</v>
      </c>
      <c r="AO29" s="3248"/>
      <c r="AP29" s="3209"/>
      <c r="AQ29" s="2734"/>
      <c r="AR29" s="2734"/>
      <c r="AS29" s="2734"/>
      <c r="AT29" s="3088"/>
      <c r="AU29" s="3086"/>
    </row>
    <row r="30" spans="1:47" ht="1.5" customHeight="1" x14ac:dyDescent="0.2">
      <c r="A30" s="9"/>
      <c r="B30" s="813"/>
      <c r="C30" s="2040"/>
      <c r="D30" s="2680"/>
      <c r="E30" s="2680"/>
      <c r="F30" s="2680"/>
      <c r="G30" s="2563"/>
      <c r="H30" s="3179"/>
      <c r="I30" s="3179"/>
      <c r="J30" s="3179"/>
      <c r="K30" s="3179"/>
      <c r="L30" s="3179"/>
      <c r="M30" s="3179"/>
      <c r="N30" s="3179"/>
      <c r="O30" s="3179"/>
      <c r="P30" s="3179"/>
      <c r="Q30" s="3179"/>
      <c r="R30" s="3179"/>
      <c r="S30" s="3179"/>
      <c r="T30" s="3179"/>
      <c r="U30" s="3179"/>
      <c r="V30" s="3179"/>
      <c r="W30" s="3179"/>
      <c r="X30" s="3179"/>
      <c r="Y30" s="3179"/>
      <c r="Z30" s="3179"/>
      <c r="AA30" s="3179"/>
      <c r="AB30" s="3179"/>
      <c r="AC30" s="3179"/>
      <c r="AD30" s="3179"/>
      <c r="AE30" s="3179"/>
      <c r="AF30" s="3179"/>
      <c r="AG30" s="3179"/>
      <c r="AH30" s="3179"/>
      <c r="AI30" s="3179"/>
      <c r="AJ30" s="1847"/>
      <c r="AK30" s="625"/>
      <c r="AL30" s="22"/>
      <c r="AN30" s="3207"/>
      <c r="AO30" s="3248"/>
      <c r="AP30" s="3209"/>
      <c r="AQ30" s="2734"/>
      <c r="AR30" s="2734"/>
      <c r="AS30" s="2734"/>
      <c r="AT30" s="3088"/>
      <c r="AU30" s="3086"/>
    </row>
    <row r="31" spans="1:47" ht="12" customHeight="1" thickBot="1" x14ac:dyDescent="0.25">
      <c r="A31" s="9"/>
      <c r="B31" s="812"/>
      <c r="C31" s="2039"/>
      <c r="D31" s="2680"/>
      <c r="E31" s="2680"/>
      <c r="F31" s="2680"/>
      <c r="G31" s="2700" t="s">
        <v>1866</v>
      </c>
      <c r="H31" s="2701"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2"/>
      <c r="J31" s="2702"/>
      <c r="K31" s="2702"/>
      <c r="L31" s="2702"/>
      <c r="M31" s="2702"/>
      <c r="N31" s="2702"/>
      <c r="O31" s="2702"/>
      <c r="P31" s="2702"/>
      <c r="Q31" s="2702"/>
      <c r="R31" s="2702"/>
      <c r="S31" s="2702"/>
      <c r="T31" s="2702"/>
      <c r="U31" s="2702"/>
      <c r="V31" s="2702"/>
      <c r="W31" s="2702"/>
      <c r="X31" s="2702"/>
      <c r="Y31" s="2702"/>
      <c r="Z31" s="2702"/>
      <c r="AA31" s="2702"/>
      <c r="AB31" s="2702"/>
      <c r="AC31" s="2702"/>
      <c r="AD31" s="2702"/>
      <c r="AE31" s="2702"/>
      <c r="AF31" s="2702"/>
      <c r="AG31" s="2702"/>
      <c r="AH31" s="2702"/>
      <c r="AI31" s="2702"/>
      <c r="AJ31" s="1847"/>
      <c r="AK31" s="625"/>
      <c r="AL31" s="22"/>
      <c r="AN31" s="3210"/>
      <c r="AO31" s="3211"/>
      <c r="AP31" s="3212"/>
      <c r="AQ31" s="2734"/>
      <c r="AR31" s="2734"/>
      <c r="AS31" s="2734"/>
      <c r="AT31" s="3088"/>
      <c r="AU31" s="3086"/>
    </row>
    <row r="32" spans="1:47" ht="12" customHeight="1" x14ac:dyDescent="0.2">
      <c r="A32" s="9"/>
      <c r="B32" s="812"/>
      <c r="C32" s="2039"/>
      <c r="D32" s="2563"/>
      <c r="E32" s="2563"/>
      <c r="F32" s="2563"/>
      <c r="G32" s="2703" t="s">
        <v>1867</v>
      </c>
      <c r="H32" s="3180" t="str">
        <f>Combate!I16&amp;IF(Combate!$C$15="",""," ("&amp;Combate!I15&amp;")")</f>
        <v>0</v>
      </c>
      <c r="I32" s="3180"/>
      <c r="J32" s="2704"/>
      <c r="K32" s="2703" t="s">
        <v>1868</v>
      </c>
      <c r="L32" s="3180" t="str">
        <f>Combate!J16&amp;IF(Combate!$C$15="",""," ("&amp;Combate!J15&amp;")")</f>
        <v>0</v>
      </c>
      <c r="M32" s="3180"/>
      <c r="N32" s="2704"/>
      <c r="O32" s="2703" t="s">
        <v>1869</v>
      </c>
      <c r="P32" s="3180" t="str">
        <f>Combate!K16&amp;IF(Combate!$C$15="",""," ("&amp;Combate!K15&amp;")")</f>
        <v>0</v>
      </c>
      <c r="Q32" s="3180"/>
      <c r="R32" s="2704"/>
      <c r="S32" s="2703" t="s">
        <v>1870</v>
      </c>
      <c r="T32" s="3180" t="str">
        <f>Combate!L16&amp;IF(Combate!$C$15="",""," ("&amp;Combate!L15&amp;")")</f>
        <v>0</v>
      </c>
      <c r="U32" s="3180"/>
      <c r="V32" s="2704"/>
      <c r="W32" s="2703" t="s">
        <v>1872</v>
      </c>
      <c r="X32" s="3180" t="str">
        <f>Combate!M16&amp;IF(Combate!$C$15="",""," ("&amp;Combate!M15&amp;")")</f>
        <v>0</v>
      </c>
      <c r="Y32" s="3180"/>
      <c r="Z32" s="2704"/>
      <c r="AA32" s="2703" t="s">
        <v>1871</v>
      </c>
      <c r="AB32" s="3180" t="str">
        <f>Combate!N16&amp;IF(Combate!$C$15="",""," ("&amp;Combate!N15&amp;")")</f>
        <v>0</v>
      </c>
      <c r="AC32" s="3180"/>
      <c r="AD32" s="2704"/>
      <c r="AE32" s="2703" t="s">
        <v>1873</v>
      </c>
      <c r="AF32" s="3180" t="str">
        <f>Combate!O16&amp;IF(Combate!$C$15="",""," ("&amp;Combate!O15&amp;")")</f>
        <v>0</v>
      </c>
      <c r="AG32" s="3180"/>
      <c r="AH32" s="2688"/>
      <c r="AI32" s="2704"/>
      <c r="AJ32" s="1847"/>
      <c r="AK32" s="625"/>
      <c r="AL32" s="22"/>
      <c r="AQ32" s="2736"/>
      <c r="AR32" s="2736"/>
      <c r="AS32" s="2736"/>
      <c r="AT32" s="3087"/>
      <c r="AU32" s="3086"/>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7"/>
      <c r="AR33" s="2737"/>
      <c r="AS33" s="2737"/>
      <c r="AT33" s="3086"/>
      <c r="AU33" s="3086"/>
    </row>
    <row r="34" spans="1:47" ht="1.5" customHeight="1" x14ac:dyDescent="0.2">
      <c r="A34" s="9"/>
      <c r="B34" s="813"/>
      <c r="C34" s="2040"/>
      <c r="D34" s="2680"/>
      <c r="E34" s="2680"/>
      <c r="F34" s="2680"/>
      <c r="G34" s="2680"/>
      <c r="H34" s="2563"/>
      <c r="I34" s="2563"/>
      <c r="J34" s="2563"/>
      <c r="K34" s="2563"/>
      <c r="L34" s="2563"/>
      <c r="M34" s="2563"/>
      <c r="N34" s="2563"/>
      <c r="O34" s="2563"/>
      <c r="P34" s="2563"/>
      <c r="Q34" s="2563"/>
      <c r="R34" s="2563"/>
      <c r="S34" s="2563"/>
      <c r="T34" s="2563"/>
      <c r="U34" s="2563"/>
      <c r="V34" s="2563"/>
      <c r="W34" s="2563"/>
      <c r="X34" s="2563"/>
      <c r="Y34" s="2563"/>
      <c r="Z34" s="2563"/>
      <c r="AA34" s="2563"/>
      <c r="AB34" s="2563"/>
      <c r="AC34" s="2563"/>
      <c r="AD34" s="2563"/>
      <c r="AE34" s="2563"/>
      <c r="AF34" s="2563"/>
      <c r="AG34" s="2563"/>
      <c r="AH34" s="2563"/>
      <c r="AI34" s="2563"/>
      <c r="AJ34" s="1847"/>
      <c r="AK34" s="625"/>
      <c r="AL34" s="22"/>
      <c r="AQ34" s="2737"/>
      <c r="AR34" s="2737"/>
      <c r="AS34" s="2737"/>
      <c r="AT34" s="3086"/>
      <c r="AU34" s="3086"/>
    </row>
    <row r="35" spans="1:47" ht="12" customHeight="1" x14ac:dyDescent="0.2">
      <c r="A35" s="9"/>
      <c r="B35" s="485"/>
      <c r="C35" s="2705"/>
      <c r="D35" s="3171" t="s">
        <v>1874</v>
      </c>
      <c r="E35" s="3171"/>
      <c r="F35" s="3171"/>
      <c r="G35" s="3171"/>
      <c r="H35" s="2680"/>
      <c r="I35" s="3170" t="str">
        <f>"("&amp;Ki!F24&amp;")"</f>
        <v>(0)</v>
      </c>
      <c r="J35" s="3170"/>
      <c r="K35" s="2704" t="s">
        <v>1851</v>
      </c>
      <c r="L35" s="2704"/>
      <c r="M35" s="3170" t="str">
        <f>Ki!F18</f>
        <v>-</v>
      </c>
      <c r="N35" s="3170"/>
      <c r="O35" s="2704" t="s">
        <v>1852</v>
      </c>
      <c r="P35" s="2704"/>
      <c r="Q35" s="3170" t="str">
        <f>Ki!F16</f>
        <v>-</v>
      </c>
      <c r="R35" s="3170"/>
      <c r="S35" s="2704" t="s">
        <v>1853</v>
      </c>
      <c r="T35" s="2704"/>
      <c r="U35" s="3170" t="str">
        <f>Ki!F12</f>
        <v>-</v>
      </c>
      <c r="V35" s="3170"/>
      <c r="W35" s="2704" t="s">
        <v>1854</v>
      </c>
      <c r="X35" s="2704"/>
      <c r="Y35" s="3170" t="str">
        <f>Ki!F14</f>
        <v>-</v>
      </c>
      <c r="Z35" s="3170"/>
      <c r="AA35" s="2704" t="s">
        <v>1855</v>
      </c>
      <c r="AB35" s="2704"/>
      <c r="AC35" s="3170" t="str">
        <f>Ki!F20</f>
        <v>-</v>
      </c>
      <c r="AD35" s="3170"/>
      <c r="AE35" s="2704" t="s">
        <v>1857</v>
      </c>
      <c r="AF35" s="2704"/>
      <c r="AG35" s="3170" t="str">
        <f>Ki!F22</f>
        <v>-</v>
      </c>
      <c r="AH35" s="3170"/>
      <c r="AI35" s="2688"/>
      <c r="AJ35" s="1849"/>
      <c r="AK35" s="625"/>
      <c r="AL35" s="22"/>
      <c r="AQ35" s="2737"/>
      <c r="AR35" s="2737"/>
      <c r="AS35" s="2737"/>
      <c r="AT35" s="3086"/>
      <c r="AU35" s="3086"/>
    </row>
    <row r="36" spans="1:47" ht="1.5" customHeight="1" x14ac:dyDescent="0.2">
      <c r="A36" s="9"/>
      <c r="B36" s="813"/>
      <c r="C36" s="2040"/>
      <c r="D36" s="2563"/>
      <c r="E36" s="2563"/>
      <c r="F36" s="2563"/>
      <c r="G36" s="2563"/>
      <c r="H36" s="2563"/>
      <c r="I36" s="2563"/>
      <c r="J36" s="2563"/>
      <c r="K36" s="2563"/>
      <c r="L36" s="2563"/>
      <c r="M36" s="2563"/>
      <c r="N36" s="2563"/>
      <c r="O36" s="2563"/>
      <c r="P36" s="2563"/>
      <c r="Q36" s="2563"/>
      <c r="R36" s="2563"/>
      <c r="S36" s="2563"/>
      <c r="T36" s="2563"/>
      <c r="U36" s="2563"/>
      <c r="V36" s="2563"/>
      <c r="W36" s="2563"/>
      <c r="X36" s="2563"/>
      <c r="Y36" s="2563"/>
      <c r="Z36" s="2563"/>
      <c r="AA36" s="2563"/>
      <c r="AB36" s="2563"/>
      <c r="AC36" s="2563"/>
      <c r="AD36" s="2563"/>
      <c r="AE36" s="2563"/>
      <c r="AF36" s="2563"/>
      <c r="AG36" s="2563"/>
      <c r="AH36" s="2563"/>
      <c r="AI36" s="2563"/>
      <c r="AJ36" s="1847"/>
      <c r="AK36" s="625"/>
      <c r="AL36" s="22"/>
      <c r="AQ36" s="2737"/>
      <c r="AR36" s="2737"/>
      <c r="AS36" s="2737"/>
      <c r="AT36" s="3086"/>
      <c r="AU36" s="3086"/>
    </row>
    <row r="37" spans="1:47" ht="12" customHeight="1" x14ac:dyDescent="0.2">
      <c r="A37" s="9"/>
      <c r="B37" s="2300"/>
      <c r="C37" s="2706"/>
      <c r="D37" s="3171" t="s">
        <v>9961</v>
      </c>
      <c r="E37" s="3171"/>
      <c r="F37" s="3171"/>
      <c r="G37" s="3171"/>
      <c r="H37" s="3171"/>
      <c r="I37" s="3174" t="str">
        <f>"("&amp;Ki!D24&amp;")"</f>
        <v>(0)</v>
      </c>
      <c r="J37" s="3174"/>
      <c r="K37" s="2704" t="s">
        <v>1851</v>
      </c>
      <c r="L37" s="2704"/>
      <c r="M37" s="3170">
        <f>Ki!D18</f>
        <v>0</v>
      </c>
      <c r="N37" s="3170"/>
      <c r="O37" s="2704" t="s">
        <v>1852</v>
      </c>
      <c r="P37" s="2704"/>
      <c r="Q37" s="3170">
        <f>Ki!D16</f>
        <v>0</v>
      </c>
      <c r="R37" s="3170"/>
      <c r="S37" s="2704" t="s">
        <v>1853</v>
      </c>
      <c r="T37" s="2704"/>
      <c r="U37" s="3170">
        <f>Ki!D12</f>
        <v>0</v>
      </c>
      <c r="V37" s="3170"/>
      <c r="W37" s="2704" t="s">
        <v>1854</v>
      </c>
      <c r="X37" s="2704"/>
      <c r="Y37" s="3170">
        <f>Ki!D14</f>
        <v>0</v>
      </c>
      <c r="Z37" s="3170"/>
      <c r="AA37" s="2704" t="s">
        <v>1855</v>
      </c>
      <c r="AB37" s="2704"/>
      <c r="AC37" s="3170">
        <f>Ki!D20</f>
        <v>0</v>
      </c>
      <c r="AD37" s="3170"/>
      <c r="AE37" s="2704" t="s">
        <v>1857</v>
      </c>
      <c r="AF37" s="2704"/>
      <c r="AG37" s="3170">
        <f>Ki!D22</f>
        <v>0</v>
      </c>
      <c r="AH37" s="3170"/>
      <c r="AI37" s="2688"/>
      <c r="AJ37" s="1849"/>
      <c r="AK37" s="625"/>
      <c r="AL37" s="22"/>
      <c r="AQ37" s="2737"/>
      <c r="AR37" s="2737"/>
      <c r="AS37" s="2737"/>
      <c r="AT37" s="3086"/>
      <c r="AU37" s="3086"/>
    </row>
    <row r="38" spans="1:47" ht="1.5" customHeight="1" x14ac:dyDescent="0.2">
      <c r="A38" s="9"/>
      <c r="B38" s="813"/>
      <c r="C38" s="2040"/>
      <c r="D38" s="3178" t="s">
        <v>1875</v>
      </c>
      <c r="E38" s="3178"/>
      <c r="F38" s="3178"/>
      <c r="G38" s="3178"/>
      <c r="H38" s="2680"/>
      <c r="I38" s="2680"/>
      <c r="J38" s="2563"/>
      <c r="K38" s="2563"/>
      <c r="L38" s="2563"/>
      <c r="M38" s="2563"/>
      <c r="N38" s="2563"/>
      <c r="O38" s="2563"/>
      <c r="P38" s="2563"/>
      <c r="Q38" s="2563"/>
      <c r="R38" s="2563"/>
      <c r="S38" s="2563"/>
      <c r="T38" s="2563"/>
      <c r="U38" s="2563"/>
      <c r="V38" s="2563"/>
      <c r="W38" s="2563"/>
      <c r="X38" s="2563"/>
      <c r="Y38" s="2563"/>
      <c r="Z38" s="2563"/>
      <c r="AA38" s="2563"/>
      <c r="AB38" s="2563"/>
      <c r="AC38" s="2563"/>
      <c r="AD38" s="2563"/>
      <c r="AE38" s="2563"/>
      <c r="AF38" s="2563"/>
      <c r="AG38" s="2563"/>
      <c r="AH38" s="2563"/>
      <c r="AI38" s="2563"/>
      <c r="AJ38" s="1847"/>
      <c r="AK38" s="625"/>
      <c r="AL38" s="22"/>
      <c r="AQ38" s="2737"/>
      <c r="AR38" s="2737"/>
      <c r="AS38" s="2737"/>
      <c r="AT38" s="3086"/>
      <c r="AU38" s="3086"/>
    </row>
    <row r="39" spans="1:47" ht="12" customHeight="1" x14ac:dyDescent="0.2">
      <c r="A39" s="9"/>
      <c r="B39" s="2300"/>
      <c r="C39" s="2706"/>
      <c r="D39" s="3178"/>
      <c r="E39" s="3178"/>
      <c r="F39" s="3178"/>
      <c r="G39" s="3178"/>
      <c r="H39" s="3179" t="str">
        <f>IFERROR(RIGHT(AT39,LEN(AT39)-2),"")</f>
        <v/>
      </c>
      <c r="I39" s="3179"/>
      <c r="J39" s="3179"/>
      <c r="K39" s="3179"/>
      <c r="L39" s="3179"/>
      <c r="M39" s="3179"/>
      <c r="N39" s="3179"/>
      <c r="O39" s="3179"/>
      <c r="P39" s="3179"/>
      <c r="Q39" s="3179"/>
      <c r="R39" s="3179"/>
      <c r="S39" s="3179"/>
      <c r="T39" s="3179"/>
      <c r="U39" s="3179"/>
      <c r="V39" s="3179"/>
      <c r="W39" s="3179"/>
      <c r="X39" s="3179"/>
      <c r="Y39" s="3179"/>
      <c r="Z39" s="3179"/>
      <c r="AA39" s="3179"/>
      <c r="AB39" s="3179"/>
      <c r="AC39" s="3179"/>
      <c r="AD39" s="3179"/>
      <c r="AE39" s="3179"/>
      <c r="AF39" s="3179"/>
      <c r="AG39" s="3179"/>
      <c r="AH39" s="3179"/>
      <c r="AI39" s="3179"/>
      <c r="AJ39" s="1853"/>
      <c r="AK39" s="625"/>
      <c r="AL39" s="22"/>
      <c r="AQ39" s="2737"/>
      <c r="AR39" s="2737"/>
      <c r="AS39" s="2737"/>
      <c r="AT39" s="3090"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6"/>
    </row>
    <row r="40" spans="1:47" ht="12" customHeight="1" x14ac:dyDescent="0.2">
      <c r="A40" s="9"/>
      <c r="B40" s="2300"/>
      <c r="C40" s="2706"/>
      <c r="D40" s="3178"/>
      <c r="E40" s="3178"/>
      <c r="F40" s="3178"/>
      <c r="G40" s="3178"/>
      <c r="H40" s="3179"/>
      <c r="I40" s="3179"/>
      <c r="J40" s="3179"/>
      <c r="K40" s="3179"/>
      <c r="L40" s="3179"/>
      <c r="M40" s="3179"/>
      <c r="N40" s="3179"/>
      <c r="O40" s="3179"/>
      <c r="P40" s="3179"/>
      <c r="Q40" s="3179"/>
      <c r="R40" s="3179"/>
      <c r="S40" s="3179"/>
      <c r="T40" s="3179"/>
      <c r="U40" s="3179"/>
      <c r="V40" s="3179"/>
      <c r="W40" s="3179"/>
      <c r="X40" s="3179"/>
      <c r="Y40" s="3179"/>
      <c r="Z40" s="3179"/>
      <c r="AA40" s="3179"/>
      <c r="AB40" s="3179"/>
      <c r="AC40" s="3179"/>
      <c r="AD40" s="3179"/>
      <c r="AE40" s="3179"/>
      <c r="AF40" s="3179"/>
      <c r="AG40" s="3179"/>
      <c r="AH40" s="3179"/>
      <c r="AI40" s="3179"/>
      <c r="AJ40" s="1853"/>
      <c r="AK40" s="625"/>
      <c r="AL40" s="23"/>
      <c r="AQ40" s="2737"/>
      <c r="AR40" s="2737"/>
      <c r="AS40" s="2737"/>
      <c r="AT40" s="3086"/>
      <c r="AU40" s="3086"/>
    </row>
    <row r="41" spans="1:47" ht="12" customHeight="1" x14ac:dyDescent="0.2">
      <c r="A41" s="9"/>
      <c r="B41" s="2300"/>
      <c r="C41" s="2706"/>
      <c r="D41" s="2704"/>
      <c r="E41" s="2704"/>
      <c r="F41" s="2704"/>
      <c r="G41" s="2704"/>
      <c r="H41" s="3179"/>
      <c r="I41" s="3179"/>
      <c r="J41" s="3179"/>
      <c r="K41" s="3179"/>
      <c r="L41" s="3179"/>
      <c r="M41" s="3179"/>
      <c r="N41" s="3179"/>
      <c r="O41" s="3179"/>
      <c r="P41" s="3179"/>
      <c r="Q41" s="3179"/>
      <c r="R41" s="3179"/>
      <c r="S41" s="3179"/>
      <c r="T41" s="3179"/>
      <c r="U41" s="3179"/>
      <c r="V41" s="3179"/>
      <c r="W41" s="3179"/>
      <c r="X41" s="3179"/>
      <c r="Y41" s="3179"/>
      <c r="Z41" s="3179"/>
      <c r="AA41" s="3179"/>
      <c r="AB41" s="3179"/>
      <c r="AC41" s="3179"/>
      <c r="AD41" s="3179"/>
      <c r="AE41" s="3179"/>
      <c r="AF41" s="3179"/>
      <c r="AG41" s="3179"/>
      <c r="AH41" s="3179"/>
      <c r="AI41" s="3179"/>
      <c r="AJ41" s="1853"/>
      <c r="AK41" s="625"/>
      <c r="AL41" s="23"/>
      <c r="AQ41" s="2737"/>
      <c r="AR41" s="2737"/>
      <c r="AS41" s="2737"/>
      <c r="AT41" s="3086"/>
      <c r="AU41" s="3086"/>
    </row>
    <row r="42" spans="1:47" ht="1.5" customHeight="1" x14ac:dyDescent="0.2">
      <c r="A42" s="9"/>
      <c r="B42" s="813"/>
      <c r="C42" s="2040"/>
      <c r="D42" s="3171" t="s">
        <v>1876</v>
      </c>
      <c r="E42" s="3171"/>
      <c r="F42" s="3171"/>
      <c r="G42" s="2563"/>
      <c r="H42" s="2563"/>
      <c r="I42" s="2563"/>
      <c r="J42" s="2563"/>
      <c r="K42" s="2563"/>
      <c r="L42" s="2563"/>
      <c r="M42" s="2563"/>
      <c r="N42" s="2563"/>
      <c r="O42" s="2563"/>
      <c r="P42" s="2563"/>
      <c r="Q42" s="2563"/>
      <c r="R42" s="2563"/>
      <c r="S42" s="2563"/>
      <c r="T42" s="2563"/>
      <c r="U42" s="2563"/>
      <c r="V42" s="2563"/>
      <c r="W42" s="2563"/>
      <c r="X42" s="2563"/>
      <c r="Y42" s="2563"/>
      <c r="Z42" s="2563"/>
      <c r="AA42" s="2563"/>
      <c r="AB42" s="2563"/>
      <c r="AC42" s="2563"/>
      <c r="AD42" s="2563"/>
      <c r="AE42" s="2563"/>
      <c r="AF42" s="2563"/>
      <c r="AG42" s="2563"/>
      <c r="AH42" s="2563"/>
      <c r="AI42" s="2563"/>
      <c r="AJ42" s="1847"/>
      <c r="AK42" s="625"/>
      <c r="AL42" s="22"/>
      <c r="AQ42" s="2737"/>
      <c r="AR42" s="2737"/>
      <c r="AS42" s="2737"/>
      <c r="AT42" s="3086"/>
      <c r="AU42" s="3086"/>
    </row>
    <row r="43" spans="1:47" ht="12" customHeight="1" x14ac:dyDescent="0.2">
      <c r="A43" s="9"/>
      <c r="B43" s="2300"/>
      <c r="C43" s="2706"/>
      <c r="D43" s="3171"/>
      <c r="E43" s="3171"/>
      <c r="F43" s="3171"/>
      <c r="G43" s="3179" t="str">
        <f>Ki!AN26</f>
        <v/>
      </c>
      <c r="H43" s="3179"/>
      <c r="I43" s="3179"/>
      <c r="J43" s="3179"/>
      <c r="K43" s="3179"/>
      <c r="L43" s="3179"/>
      <c r="M43" s="3179"/>
      <c r="N43" s="3179"/>
      <c r="O43" s="3179"/>
      <c r="P43" s="3179"/>
      <c r="Q43" s="3179"/>
      <c r="R43" s="3179"/>
      <c r="S43" s="3179"/>
      <c r="T43" s="3179"/>
      <c r="U43" s="3179"/>
      <c r="V43" s="3179"/>
      <c r="W43" s="3179"/>
      <c r="X43" s="3179"/>
      <c r="Y43" s="3179"/>
      <c r="Z43" s="3179"/>
      <c r="AA43" s="3179"/>
      <c r="AB43" s="3179"/>
      <c r="AC43" s="3179"/>
      <c r="AD43" s="3179"/>
      <c r="AE43" s="3179"/>
      <c r="AF43" s="3179"/>
      <c r="AG43" s="3179"/>
      <c r="AH43" s="3179"/>
      <c r="AI43" s="3179"/>
      <c r="AJ43" s="1853"/>
      <c r="AK43" s="625"/>
      <c r="AL43" s="23"/>
      <c r="AQ43" s="2737"/>
      <c r="AR43" s="2737"/>
      <c r="AS43" s="2737"/>
      <c r="AT43" s="3086"/>
      <c r="AU43" s="3086"/>
    </row>
    <row r="44" spans="1:47" ht="12" customHeight="1" x14ac:dyDescent="0.2">
      <c r="A44" s="9"/>
      <c r="B44" s="2300"/>
      <c r="C44" s="2706"/>
      <c r="D44" s="2704"/>
      <c r="E44" s="2704"/>
      <c r="F44" s="2704"/>
      <c r="G44" s="3179"/>
      <c r="H44" s="3179"/>
      <c r="I44" s="3179"/>
      <c r="J44" s="3179"/>
      <c r="K44" s="3179"/>
      <c r="L44" s="3179"/>
      <c r="M44" s="3179"/>
      <c r="N44" s="3179"/>
      <c r="O44" s="3179"/>
      <c r="P44" s="3179"/>
      <c r="Q44" s="3179"/>
      <c r="R44" s="3179"/>
      <c r="S44" s="3179"/>
      <c r="T44" s="3179"/>
      <c r="U44" s="3179"/>
      <c r="V44" s="3179"/>
      <c r="W44" s="3179"/>
      <c r="X44" s="3179"/>
      <c r="Y44" s="3179"/>
      <c r="Z44" s="3179"/>
      <c r="AA44" s="3179"/>
      <c r="AB44" s="3179"/>
      <c r="AC44" s="3179"/>
      <c r="AD44" s="3179"/>
      <c r="AE44" s="3179"/>
      <c r="AF44" s="3179"/>
      <c r="AG44" s="3179"/>
      <c r="AH44" s="3179"/>
      <c r="AI44" s="3179"/>
      <c r="AJ44" s="1853"/>
      <c r="AK44" s="625"/>
      <c r="AL44" s="23"/>
      <c r="AQ44" s="2737"/>
      <c r="AR44" s="2737"/>
      <c r="AS44" s="2737"/>
      <c r="AT44" s="3086"/>
      <c r="AU44" s="3086"/>
    </row>
    <row r="45" spans="1:47" ht="12" customHeight="1" x14ac:dyDescent="0.2">
      <c r="A45" s="9"/>
      <c r="B45" s="2300"/>
      <c r="C45" s="2706"/>
      <c r="D45" s="1838"/>
      <c r="E45" s="1838"/>
      <c r="F45" s="1838"/>
      <c r="G45" s="3186"/>
      <c r="H45" s="3186"/>
      <c r="I45" s="3186"/>
      <c r="J45" s="3186"/>
      <c r="K45" s="3186"/>
      <c r="L45" s="3186"/>
      <c r="M45" s="3186"/>
      <c r="N45" s="3186"/>
      <c r="O45" s="3186"/>
      <c r="P45" s="3186"/>
      <c r="Q45" s="3186"/>
      <c r="R45" s="3186"/>
      <c r="S45" s="3186"/>
      <c r="T45" s="3186"/>
      <c r="U45" s="3186"/>
      <c r="V45" s="3186"/>
      <c r="W45" s="3186"/>
      <c r="X45" s="3186"/>
      <c r="Y45" s="3186"/>
      <c r="Z45" s="3186"/>
      <c r="AA45" s="3186"/>
      <c r="AB45" s="3186"/>
      <c r="AC45" s="3186"/>
      <c r="AD45" s="3186"/>
      <c r="AE45" s="3186"/>
      <c r="AF45" s="3186"/>
      <c r="AG45" s="3186"/>
      <c r="AH45" s="3186"/>
      <c r="AI45" s="3186"/>
      <c r="AJ45" s="1853"/>
      <c r="AK45" s="625"/>
      <c r="AL45" s="23"/>
      <c r="AQ45" s="2737"/>
      <c r="AR45" s="2737"/>
      <c r="AS45" s="2737"/>
      <c r="AT45" s="3086"/>
      <c r="AU45" s="3086"/>
    </row>
    <row r="46" spans="1:47" ht="2.25" customHeight="1" x14ac:dyDescent="0.2">
      <c r="A46" s="9"/>
      <c r="B46" s="2300"/>
      <c r="C46" s="2706"/>
      <c r="D46" s="2704"/>
      <c r="E46" s="2704"/>
      <c r="F46" s="2704"/>
      <c r="G46" s="2671"/>
      <c r="H46" s="2671"/>
      <c r="I46" s="2671"/>
      <c r="J46" s="2671"/>
      <c r="K46" s="2671"/>
      <c r="L46" s="2671"/>
      <c r="M46" s="2671"/>
      <c r="N46" s="2671"/>
      <c r="O46" s="2671"/>
      <c r="P46" s="2671"/>
      <c r="Q46" s="2671"/>
      <c r="R46" s="2671"/>
      <c r="S46" s="2671"/>
      <c r="T46" s="2671"/>
      <c r="U46" s="2671"/>
      <c r="V46" s="2671"/>
      <c r="W46" s="2671"/>
      <c r="X46" s="2671"/>
      <c r="Y46" s="2671"/>
      <c r="Z46" s="2671"/>
      <c r="AA46" s="2671"/>
      <c r="AB46" s="2671"/>
      <c r="AC46" s="2671"/>
      <c r="AD46" s="2671"/>
      <c r="AE46" s="2671"/>
      <c r="AF46" s="2671"/>
      <c r="AG46" s="2671"/>
      <c r="AH46" s="2671"/>
      <c r="AI46" s="2671"/>
      <c r="AJ46" s="1853"/>
      <c r="AK46" s="625"/>
      <c r="AL46" s="23"/>
      <c r="AQ46" s="2737"/>
      <c r="AR46" s="2737"/>
      <c r="AS46" s="2737"/>
      <c r="AT46" s="3086"/>
      <c r="AU46" s="3086"/>
    </row>
    <row r="47" spans="1:47" ht="1.5" customHeight="1" thickBot="1" x14ac:dyDescent="0.25">
      <c r="A47" s="9"/>
      <c r="B47" s="813"/>
      <c r="C47" s="2040"/>
      <c r="D47" s="2563"/>
      <c r="E47" s="2563"/>
      <c r="F47" s="256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1847"/>
      <c r="AK47" s="625"/>
      <c r="AL47" s="22"/>
      <c r="AQ47" s="2737"/>
      <c r="AR47" s="2737"/>
      <c r="AS47" s="2737"/>
      <c r="AT47" s="3086"/>
      <c r="AU47" s="3086"/>
    </row>
    <row r="48" spans="1:47" ht="12" customHeight="1" x14ac:dyDescent="0.2">
      <c r="A48" s="9"/>
      <c r="B48" s="2300"/>
      <c r="C48" s="2706"/>
      <c r="D48" s="2708" t="s">
        <v>10425</v>
      </c>
      <c r="E48" s="949"/>
      <c r="F48" s="949"/>
      <c r="G48" s="2955"/>
      <c r="H48" s="949"/>
      <c r="I48" s="2955"/>
      <c r="J48" s="3173" t="str">
        <f>IF(Místicos!P12=Místicos!Q12,Místicos!P12,Místicos!P12&amp;" Ofensiva"&amp;", "&amp;Místicos!Q12&amp;" Defensiva")&amp;IF(OR(Místicos!BA11,Místicos!BB11,Místicos!BC11),". "&amp;Místicos!AT10,"")</f>
        <v>0</v>
      </c>
      <c r="K48" s="3173"/>
      <c r="L48" s="3173"/>
      <c r="M48" s="3173"/>
      <c r="N48" s="3173"/>
      <c r="O48" s="3173"/>
      <c r="P48" s="3173"/>
      <c r="Q48" s="3173"/>
      <c r="R48" s="3173"/>
      <c r="S48" s="3173"/>
      <c r="T48" s="2952"/>
      <c r="U48" s="2951" t="s">
        <v>1880</v>
      </c>
      <c r="V48" s="3170">
        <f>IF(AND(Místicos!AT10="Onmyodo",SUM(Místicos!$AW$62:$AW$72)&gt;0),Místicos!K18-SUM(Místicos!$AW$62:$AW$72)&amp;" ("&amp;Místicos!K18&amp;")",Místicos!K18)</f>
        <v>0</v>
      </c>
      <c r="W48" s="3170"/>
      <c r="X48" s="3170"/>
      <c r="Y48" s="3170"/>
      <c r="Z48" s="2956"/>
      <c r="AA48" s="949"/>
      <c r="AB48" s="949"/>
      <c r="AC48" s="2951" t="s">
        <v>10424</v>
      </c>
      <c r="AD48" s="3170">
        <f>IF(Místicos!J12&lt;&gt;Místicos!I12,Místicos!J12&amp;" ("&amp;Místicos!I12&amp;")",Místicos!J12)</f>
        <v>0</v>
      </c>
      <c r="AE48" s="3170"/>
      <c r="AF48" s="3170"/>
      <c r="AG48" s="3170"/>
      <c r="AH48" s="3170"/>
      <c r="AI48" s="3170"/>
      <c r="AJ48" s="1850"/>
      <c r="AK48" s="625"/>
      <c r="AL48" s="23"/>
      <c r="AN48" s="3158" t="s">
        <v>1512</v>
      </c>
      <c r="AO48" s="3159"/>
      <c r="AP48" s="3160"/>
      <c r="AQ48" s="2737"/>
      <c r="AR48" s="2737"/>
      <c r="AS48" s="2737"/>
      <c r="AT48" s="3086"/>
      <c r="AU48" s="3086"/>
    </row>
    <row r="49" spans="1:47" ht="1.5" customHeight="1" x14ac:dyDescent="0.2">
      <c r="A49" s="9"/>
      <c r="B49" s="813"/>
      <c r="C49" s="2040"/>
      <c r="D49" s="949"/>
      <c r="E49" s="2708"/>
      <c r="F49" s="2708"/>
      <c r="G49" s="2708"/>
      <c r="H49" s="2708"/>
      <c r="I49" s="2708"/>
      <c r="J49" s="2563"/>
      <c r="K49" s="2563"/>
      <c r="L49" s="2563"/>
      <c r="M49" s="2563"/>
      <c r="N49" s="2563"/>
      <c r="O49" s="2563"/>
      <c r="P49" s="2563"/>
      <c r="Q49" s="2563"/>
      <c r="R49" s="2563"/>
      <c r="S49" s="949"/>
      <c r="T49" s="2563"/>
      <c r="U49" s="2563"/>
      <c r="V49" s="949"/>
      <c r="W49" s="2563"/>
      <c r="X49" s="949"/>
      <c r="Y49" s="2563"/>
      <c r="Z49" s="2563"/>
      <c r="AA49" s="2563"/>
      <c r="AB49" s="2563"/>
      <c r="AC49" s="2563"/>
      <c r="AD49" s="2563"/>
      <c r="AE49" s="2563"/>
      <c r="AF49" s="2563"/>
      <c r="AG49" s="2563"/>
      <c r="AH49" s="2563"/>
      <c r="AI49" s="2563"/>
      <c r="AJ49" s="1847"/>
      <c r="AK49" s="625"/>
      <c r="AL49" s="22"/>
      <c r="AN49" s="2977"/>
      <c r="AO49" s="2921"/>
      <c r="AP49" s="2922"/>
      <c r="AQ49" s="2737"/>
      <c r="AR49" s="2737"/>
      <c r="AS49" s="2737"/>
      <c r="AT49" s="3086"/>
      <c r="AU49" s="3086"/>
    </row>
    <row r="50" spans="1:47" ht="12" customHeight="1" x14ac:dyDescent="0.2">
      <c r="A50" s="9"/>
      <c r="B50" s="814"/>
      <c r="C50" s="2707"/>
      <c r="D50" s="2687" t="s">
        <v>1877</v>
      </c>
      <c r="E50" s="949"/>
      <c r="F50" s="3172">
        <f>Tablas!H1100</f>
        <v>0</v>
      </c>
      <c r="G50" s="3172"/>
      <c r="H50" s="3172"/>
      <c r="I50" s="3172"/>
      <c r="J50" s="3172"/>
      <c r="K50" s="3172"/>
      <c r="L50" s="3172"/>
      <c r="M50" s="3172"/>
      <c r="N50" s="3172"/>
      <c r="O50" s="2954"/>
      <c r="P50" s="949"/>
      <c r="Q50" s="2950"/>
      <c r="R50" s="2951" t="s">
        <v>1878</v>
      </c>
      <c r="S50" s="3170">
        <f>Místicos!M26</f>
        <v>0</v>
      </c>
      <c r="T50" s="3170"/>
      <c r="U50" s="949"/>
      <c r="V50" s="2950"/>
      <c r="W50" s="2951" t="s">
        <v>1881</v>
      </c>
      <c r="X50" s="3170">
        <f>Místicos!M27</f>
        <v>0</v>
      </c>
      <c r="Y50" s="3170"/>
      <c r="Z50" s="949"/>
      <c r="AA50" s="2951" t="s">
        <v>1879</v>
      </c>
      <c r="AB50" s="3170">
        <f>Místicos!M28</f>
        <v>0</v>
      </c>
      <c r="AC50" s="3170"/>
      <c r="AD50" s="949"/>
      <c r="AE50" s="949"/>
      <c r="AF50" s="949"/>
      <c r="AG50" s="2951" t="s">
        <v>1882</v>
      </c>
      <c r="AH50" s="3170">
        <f>Místicos!M29</f>
        <v>0</v>
      </c>
      <c r="AI50" s="3170"/>
      <c r="AJ50" s="1850"/>
      <c r="AK50" s="625"/>
      <c r="AL50" s="23"/>
      <c r="AN50" s="3161" t="s">
        <v>8525</v>
      </c>
      <c r="AO50" s="3162"/>
      <c r="AP50" s="3167" t="s">
        <v>2583</v>
      </c>
      <c r="AQ50" s="2737"/>
      <c r="AR50" s="2737"/>
      <c r="AS50" s="2737"/>
      <c r="AT50" s="3086"/>
      <c r="AU50" s="3086"/>
    </row>
    <row r="51" spans="1:47" ht="1.5" customHeight="1" x14ac:dyDescent="0.2">
      <c r="A51" s="9"/>
      <c r="B51" s="813"/>
      <c r="C51" s="2040"/>
      <c r="D51" s="3177" t="s">
        <v>10426</v>
      </c>
      <c r="E51" s="3177"/>
      <c r="F51" s="3177"/>
      <c r="G51" s="2690"/>
      <c r="H51" s="2690"/>
      <c r="I51" s="949"/>
      <c r="J51" s="2563"/>
      <c r="K51" s="2563"/>
      <c r="L51" s="2563"/>
      <c r="M51" s="2563"/>
      <c r="N51" s="2563"/>
      <c r="O51" s="2563"/>
      <c r="P51" s="2563"/>
      <c r="Q51" s="2563"/>
      <c r="R51" s="2563"/>
      <c r="S51" s="2563"/>
      <c r="T51" s="2563"/>
      <c r="U51" s="2563"/>
      <c r="V51" s="2563"/>
      <c r="W51" s="2563"/>
      <c r="X51" s="2563"/>
      <c r="Y51" s="2563"/>
      <c r="Z51" s="2563"/>
      <c r="AA51" s="2563"/>
      <c r="AB51" s="2563"/>
      <c r="AC51" s="2563"/>
      <c r="AD51" s="2563"/>
      <c r="AE51" s="2563"/>
      <c r="AF51" s="2563"/>
      <c r="AG51" s="2563"/>
      <c r="AH51" s="2563"/>
      <c r="AI51" s="2563"/>
      <c r="AJ51" s="1847"/>
      <c r="AK51" s="625"/>
      <c r="AL51" s="22"/>
      <c r="AN51" s="3161"/>
      <c r="AO51" s="3162"/>
      <c r="AP51" s="3167"/>
      <c r="AQ51" s="2737"/>
      <c r="AR51" s="2737"/>
      <c r="AS51" s="2737"/>
      <c r="AT51" s="3086"/>
      <c r="AU51" s="3086"/>
    </row>
    <row r="52" spans="1:47" ht="12" customHeight="1" x14ac:dyDescent="0.2">
      <c r="A52" s="9"/>
      <c r="B52" s="814"/>
      <c r="C52" s="2707"/>
      <c r="D52" s="3177"/>
      <c r="E52" s="3177"/>
      <c r="F52" s="3177"/>
      <c r="G52" s="3175" t="str">
        <f>IFERROR(MID(Tablas!G2013,3,LEN(Tablas!G2013)),"")</f>
        <v/>
      </c>
      <c r="H52" s="3175"/>
      <c r="I52" s="3175"/>
      <c r="J52" s="3175"/>
      <c r="K52" s="3175"/>
      <c r="L52" s="3175"/>
      <c r="M52" s="3175"/>
      <c r="N52" s="3175"/>
      <c r="O52" s="3175"/>
      <c r="P52" s="3175"/>
      <c r="Q52" s="3175"/>
      <c r="R52" s="3175"/>
      <c r="S52" s="3175"/>
      <c r="T52" s="3175"/>
      <c r="U52" s="3175"/>
      <c r="V52" s="3175"/>
      <c r="W52" s="3175"/>
      <c r="X52" s="3175"/>
      <c r="Y52" s="3175"/>
      <c r="Z52" s="3175"/>
      <c r="AA52" s="3175"/>
      <c r="AB52" s="3175"/>
      <c r="AC52" s="3175"/>
      <c r="AD52" s="3175"/>
      <c r="AE52" s="3175"/>
      <c r="AF52" s="3175"/>
      <c r="AG52" s="3175"/>
      <c r="AH52" s="3175"/>
      <c r="AI52" s="3175"/>
      <c r="AJ52" s="1849"/>
      <c r="AK52" s="625"/>
      <c r="AL52" s="23"/>
      <c r="AN52" s="3161"/>
      <c r="AO52" s="3162"/>
      <c r="AP52" s="3167"/>
      <c r="AQ52" s="2737"/>
      <c r="AR52" s="2737"/>
      <c r="AS52" s="2737"/>
      <c r="AT52" s="3086"/>
      <c r="AU52" s="3086"/>
    </row>
    <row r="53" spans="1:47" ht="1.5" customHeight="1" x14ac:dyDescent="0.2">
      <c r="A53" s="9"/>
      <c r="B53" s="813"/>
      <c r="C53" s="2040"/>
      <c r="D53" s="3177"/>
      <c r="E53" s="3177"/>
      <c r="F53" s="3177"/>
      <c r="G53" s="3175"/>
      <c r="H53" s="3175"/>
      <c r="I53" s="3175"/>
      <c r="J53" s="3175"/>
      <c r="K53" s="3175"/>
      <c r="L53" s="3175"/>
      <c r="M53" s="3175"/>
      <c r="N53" s="3175"/>
      <c r="O53" s="3175"/>
      <c r="P53" s="3175"/>
      <c r="Q53" s="3175"/>
      <c r="R53" s="3175"/>
      <c r="S53" s="3175"/>
      <c r="T53" s="3175"/>
      <c r="U53" s="3175"/>
      <c r="V53" s="3175"/>
      <c r="W53" s="3175"/>
      <c r="X53" s="3175"/>
      <c r="Y53" s="3175"/>
      <c r="Z53" s="3175"/>
      <c r="AA53" s="3175"/>
      <c r="AB53" s="3175"/>
      <c r="AC53" s="3175"/>
      <c r="AD53" s="3175"/>
      <c r="AE53" s="3175"/>
      <c r="AF53" s="3175"/>
      <c r="AG53" s="3175"/>
      <c r="AH53" s="3175"/>
      <c r="AI53" s="3175"/>
      <c r="AJ53" s="1847"/>
      <c r="AK53" s="625"/>
      <c r="AL53" s="22"/>
      <c r="AN53" s="3161"/>
      <c r="AO53" s="3162"/>
      <c r="AP53" s="2978"/>
      <c r="AQ53" s="2737"/>
      <c r="AR53" s="2737"/>
      <c r="AS53" s="2737"/>
      <c r="AT53" s="3086"/>
      <c r="AU53" s="3086"/>
    </row>
    <row r="54" spans="1:47" ht="12" customHeight="1" x14ac:dyDescent="0.2">
      <c r="A54" s="9"/>
      <c r="B54" s="814"/>
      <c r="C54" s="2707"/>
      <c r="D54" s="3177"/>
      <c r="E54" s="3177"/>
      <c r="F54" s="3177"/>
      <c r="G54" s="3175"/>
      <c r="H54" s="3175"/>
      <c r="I54" s="3175"/>
      <c r="J54" s="3175"/>
      <c r="K54" s="3175"/>
      <c r="L54" s="3175"/>
      <c r="M54" s="3175"/>
      <c r="N54" s="3175"/>
      <c r="O54" s="3175"/>
      <c r="P54" s="3175"/>
      <c r="Q54" s="3175"/>
      <c r="R54" s="3175"/>
      <c r="S54" s="3175"/>
      <c r="T54" s="3175"/>
      <c r="U54" s="3175"/>
      <c r="V54" s="3175"/>
      <c r="W54" s="3175"/>
      <c r="X54" s="3175"/>
      <c r="Y54" s="3175"/>
      <c r="Z54" s="3175"/>
      <c r="AA54" s="3175"/>
      <c r="AB54" s="3175"/>
      <c r="AC54" s="3175"/>
      <c r="AD54" s="3175"/>
      <c r="AE54" s="3175"/>
      <c r="AF54" s="3175"/>
      <c r="AG54" s="3175"/>
      <c r="AH54" s="3175"/>
      <c r="AI54" s="3175"/>
      <c r="AJ54" s="1853"/>
      <c r="AK54" s="625"/>
      <c r="AL54" s="23"/>
      <c r="AN54" s="3163" t="s">
        <v>8732</v>
      </c>
      <c r="AO54" s="3164"/>
      <c r="AP54" s="3168" t="s">
        <v>2583</v>
      </c>
      <c r="AQ54" s="2737"/>
      <c r="AR54" s="2737"/>
      <c r="AS54" s="2737"/>
      <c r="AT54" s="3086"/>
      <c r="AU54" s="3086"/>
    </row>
    <row r="55" spans="1:47" ht="12" customHeight="1" x14ac:dyDescent="0.2">
      <c r="A55" s="9"/>
      <c r="B55" s="814"/>
      <c r="C55" s="2707"/>
      <c r="D55" s="2957"/>
      <c r="E55" s="2957"/>
      <c r="F55" s="2957"/>
      <c r="G55" s="3175"/>
      <c r="H55" s="3175"/>
      <c r="I55" s="3175"/>
      <c r="J55" s="3175"/>
      <c r="K55" s="3175"/>
      <c r="L55" s="3175"/>
      <c r="M55" s="3175"/>
      <c r="N55" s="3175"/>
      <c r="O55" s="3175"/>
      <c r="P55" s="3175"/>
      <c r="Q55" s="3175"/>
      <c r="R55" s="3175"/>
      <c r="S55" s="3175"/>
      <c r="T55" s="3175"/>
      <c r="U55" s="3175"/>
      <c r="V55" s="3175"/>
      <c r="W55" s="3175"/>
      <c r="X55" s="3175"/>
      <c r="Y55" s="3175"/>
      <c r="Z55" s="3175"/>
      <c r="AA55" s="3175"/>
      <c r="AB55" s="3175"/>
      <c r="AC55" s="3175"/>
      <c r="AD55" s="3175"/>
      <c r="AE55" s="3175"/>
      <c r="AF55" s="3175"/>
      <c r="AG55" s="3175"/>
      <c r="AH55" s="3175"/>
      <c r="AI55" s="3175"/>
      <c r="AJ55" s="1853"/>
      <c r="AK55" s="625"/>
      <c r="AL55" s="23"/>
      <c r="AN55" s="3163"/>
      <c r="AO55" s="3164"/>
      <c r="AP55" s="3168"/>
      <c r="AQ55" s="2737"/>
      <c r="AR55" s="2737"/>
      <c r="AS55" s="2737"/>
      <c r="AT55" s="3086"/>
      <c r="AU55" s="3086"/>
    </row>
    <row r="56" spans="1:47" ht="12" customHeight="1" x14ac:dyDescent="0.2">
      <c r="A56" s="9"/>
      <c r="B56" s="485"/>
      <c r="C56" s="2705"/>
      <c r="D56" s="2952"/>
      <c r="E56" s="2952"/>
      <c r="F56" s="2952"/>
      <c r="G56" s="3175"/>
      <c r="H56" s="3175"/>
      <c r="I56" s="3175"/>
      <c r="J56" s="3175"/>
      <c r="K56" s="3175"/>
      <c r="L56" s="3175"/>
      <c r="M56" s="3175"/>
      <c r="N56" s="3175"/>
      <c r="O56" s="3175"/>
      <c r="P56" s="3175"/>
      <c r="Q56" s="3175"/>
      <c r="R56" s="3175"/>
      <c r="S56" s="3175"/>
      <c r="T56" s="3175"/>
      <c r="U56" s="3175"/>
      <c r="V56" s="3175"/>
      <c r="W56" s="3175"/>
      <c r="X56" s="3175"/>
      <c r="Y56" s="3175"/>
      <c r="Z56" s="3175"/>
      <c r="AA56" s="3175"/>
      <c r="AB56" s="3175"/>
      <c r="AC56" s="3175"/>
      <c r="AD56" s="3175"/>
      <c r="AE56" s="3175"/>
      <c r="AF56" s="3175"/>
      <c r="AG56" s="3175"/>
      <c r="AH56" s="3175"/>
      <c r="AI56" s="3175"/>
      <c r="AJ56" s="1853"/>
      <c r="AK56" s="625"/>
      <c r="AL56" s="23"/>
      <c r="AN56" s="3161" t="s">
        <v>1690</v>
      </c>
      <c r="AO56" s="3162"/>
      <c r="AP56" s="3167" t="s">
        <v>2583</v>
      </c>
      <c r="AQ56" s="2737"/>
      <c r="AR56" s="2737"/>
      <c r="AS56" s="2737"/>
      <c r="AT56" s="3086"/>
      <c r="AU56" s="3086"/>
    </row>
    <row r="57" spans="1:47" ht="12" customHeight="1" thickBot="1" x14ac:dyDescent="0.25">
      <c r="A57" s="9"/>
      <c r="B57" s="485"/>
      <c r="C57" s="2705"/>
      <c r="D57" s="2953"/>
      <c r="E57" s="2953"/>
      <c r="F57" s="2953"/>
      <c r="G57" s="3176"/>
      <c r="H57" s="3176"/>
      <c r="I57" s="3176"/>
      <c r="J57" s="3176"/>
      <c r="K57" s="3176"/>
      <c r="L57" s="3176"/>
      <c r="M57" s="3176"/>
      <c r="N57" s="3176"/>
      <c r="O57" s="3176"/>
      <c r="P57" s="3176"/>
      <c r="Q57" s="3176"/>
      <c r="R57" s="3176"/>
      <c r="S57" s="3176"/>
      <c r="T57" s="3176"/>
      <c r="U57" s="3176"/>
      <c r="V57" s="3176"/>
      <c r="W57" s="3176"/>
      <c r="X57" s="3176"/>
      <c r="Y57" s="3176"/>
      <c r="Z57" s="3176"/>
      <c r="AA57" s="3176"/>
      <c r="AB57" s="3176"/>
      <c r="AC57" s="3176"/>
      <c r="AD57" s="3176"/>
      <c r="AE57" s="3176"/>
      <c r="AF57" s="3176"/>
      <c r="AG57" s="3176"/>
      <c r="AH57" s="3176"/>
      <c r="AI57" s="3176"/>
      <c r="AJ57" s="1853"/>
      <c r="AK57" s="625"/>
      <c r="AL57" s="23"/>
      <c r="AN57" s="3165"/>
      <c r="AO57" s="3166"/>
      <c r="AP57" s="3169"/>
      <c r="AQ57" s="2737"/>
      <c r="AR57" s="2737"/>
      <c r="AS57" s="2737"/>
      <c r="AT57" s="3086"/>
      <c r="AU57" s="3086"/>
    </row>
    <row r="58" spans="1:47" ht="2.25" customHeight="1" x14ac:dyDescent="0.2">
      <c r="A58" s="9"/>
      <c r="B58" s="485"/>
      <c r="C58" s="2705"/>
      <c r="D58" s="2704"/>
      <c r="E58" s="2704"/>
      <c r="F58" s="2704"/>
      <c r="G58" s="2704"/>
      <c r="H58" s="2704"/>
      <c r="I58" s="2671"/>
      <c r="J58" s="2671"/>
      <c r="K58" s="2671"/>
      <c r="L58" s="2671"/>
      <c r="M58" s="2671"/>
      <c r="N58" s="2671"/>
      <c r="O58" s="2671"/>
      <c r="P58" s="2671"/>
      <c r="Q58" s="2671"/>
      <c r="R58" s="2671"/>
      <c r="S58" s="2671"/>
      <c r="T58" s="2671"/>
      <c r="U58" s="2671"/>
      <c r="V58" s="2671"/>
      <c r="W58" s="2671"/>
      <c r="X58" s="2671"/>
      <c r="Y58" s="2671"/>
      <c r="Z58" s="2671"/>
      <c r="AA58" s="2671"/>
      <c r="AB58" s="2671"/>
      <c r="AC58" s="2671"/>
      <c r="AD58" s="2671"/>
      <c r="AE58" s="2671"/>
      <c r="AF58" s="2671"/>
      <c r="AG58" s="2671"/>
      <c r="AH58" s="2671"/>
      <c r="AI58" s="2671"/>
      <c r="AJ58" s="1853"/>
      <c r="AK58" s="625"/>
      <c r="AL58" s="23"/>
      <c r="AQ58" s="2737"/>
      <c r="AR58" s="2737"/>
      <c r="AS58" s="2737"/>
      <c r="AT58" s="3086"/>
      <c r="AU58" s="3086"/>
    </row>
    <row r="59" spans="1:47" ht="1.5" customHeight="1" x14ac:dyDescent="0.2">
      <c r="A59" s="9"/>
      <c r="B59" s="813"/>
      <c r="C59" s="2040"/>
      <c r="D59" s="2563"/>
      <c r="E59" s="2563"/>
      <c r="F59" s="2563"/>
      <c r="G59" s="2563"/>
      <c r="H59" s="2563"/>
      <c r="I59" s="2563"/>
      <c r="J59" s="2563"/>
      <c r="K59" s="2563"/>
      <c r="L59" s="2563"/>
      <c r="M59" s="2563"/>
      <c r="N59" s="2563"/>
      <c r="O59" s="2563"/>
      <c r="P59" s="2563"/>
      <c r="Q59" s="2563"/>
      <c r="R59" s="3203" t="s">
        <v>1885</v>
      </c>
      <c r="S59" s="3203"/>
      <c r="T59" s="3203"/>
      <c r="U59" s="3203"/>
      <c r="V59" s="3203"/>
      <c r="W59" s="3203"/>
      <c r="X59" s="2563"/>
      <c r="Y59" s="2563"/>
      <c r="Z59" s="2563"/>
      <c r="AA59" s="2563"/>
      <c r="AB59" s="2563"/>
      <c r="AC59" s="2563"/>
      <c r="AD59" s="2563"/>
      <c r="AE59" s="2563"/>
      <c r="AF59" s="2563"/>
      <c r="AG59" s="2563"/>
      <c r="AH59" s="2563"/>
      <c r="AI59" s="2563"/>
      <c r="AJ59" s="1847"/>
      <c r="AK59" s="625"/>
      <c r="AL59" s="22"/>
      <c r="AQ59" s="2737"/>
      <c r="AR59" s="2737"/>
      <c r="AS59" s="2737"/>
      <c r="AT59" s="3086"/>
      <c r="AU59" s="3086"/>
    </row>
    <row r="60" spans="1:47" ht="12" customHeight="1" x14ac:dyDescent="0.2">
      <c r="A60" s="9"/>
      <c r="B60" s="814"/>
      <c r="C60" s="2707"/>
      <c r="D60" s="2691" t="s">
        <v>1883</v>
      </c>
      <c r="E60" s="2691"/>
      <c r="F60" s="2691"/>
      <c r="G60" s="2691"/>
      <c r="H60" s="3206">
        <f>Psíquicos!I16</f>
        <v>0</v>
      </c>
      <c r="I60" s="3206"/>
      <c r="J60" s="3206"/>
      <c r="K60" s="3206"/>
      <c r="L60" s="2708" t="s">
        <v>1884</v>
      </c>
      <c r="M60" s="2708"/>
      <c r="N60" s="2708"/>
      <c r="O60" s="3206">
        <f>Psíquicos!M13</f>
        <v>0</v>
      </c>
      <c r="P60" s="3206"/>
      <c r="Q60" s="3206"/>
      <c r="R60" s="3203"/>
      <c r="S60" s="3203"/>
      <c r="T60" s="3203"/>
      <c r="U60" s="3203"/>
      <c r="V60" s="3203"/>
      <c r="W60" s="3203"/>
      <c r="X60" s="3204" t="str">
        <f>IFERROR(RIGHT(AT60,LEN(AT60)-2),"")</f>
        <v/>
      </c>
      <c r="Y60" s="3204"/>
      <c r="Z60" s="3204"/>
      <c r="AA60" s="3204"/>
      <c r="AB60" s="3204"/>
      <c r="AC60" s="3204"/>
      <c r="AD60" s="3204"/>
      <c r="AE60" s="3204"/>
      <c r="AF60" s="3204"/>
      <c r="AG60" s="3204"/>
      <c r="AH60" s="3204"/>
      <c r="AI60" s="3204"/>
      <c r="AJ60" s="1850"/>
      <c r="AK60" s="625"/>
      <c r="AL60" s="23"/>
      <c r="AQ60" s="2737"/>
      <c r="AR60" s="2737"/>
      <c r="AS60" s="2737"/>
      <c r="AT60" s="3086" t="str">
        <f>IF(Psíquicos!C39="","",", "&amp;Psíquicos!C39)&amp;IF(Psíquicos!C41="","",", "&amp;Psíquicos!C41)&amp;IF(Psíquicos!C43="","",", "&amp;Psíquicos!C43)&amp;IF(Psíquicos!C45="","",", "&amp;Psíquicos!C45)&amp;IF(Psíquicos!C47="","",", "&amp;Psíquicos!C47)&amp;IF(Psíquicos!C49="","",", "&amp;Psíquicos!C49)</f>
        <v/>
      </c>
      <c r="AU60" s="3086"/>
    </row>
    <row r="61" spans="1:47" ht="1.5" customHeight="1" x14ac:dyDescent="0.2">
      <c r="A61" s="9"/>
      <c r="B61" s="813"/>
      <c r="C61" s="2040"/>
      <c r="D61" s="2563"/>
      <c r="E61" s="2563"/>
      <c r="F61" s="2563"/>
      <c r="G61" s="2563"/>
      <c r="H61" s="2563"/>
      <c r="I61" s="2563"/>
      <c r="J61" s="2563"/>
      <c r="K61" s="2563"/>
      <c r="L61" s="2563"/>
      <c r="M61" s="2563"/>
      <c r="N61" s="2563"/>
      <c r="O61" s="2563"/>
      <c r="P61" s="2563"/>
      <c r="Q61" s="2563"/>
      <c r="R61" s="2563"/>
      <c r="S61" s="2563"/>
      <c r="T61" s="2563"/>
      <c r="U61" s="2563"/>
      <c r="V61" s="2563"/>
      <c r="W61" s="2563"/>
      <c r="X61" s="3204"/>
      <c r="Y61" s="3204"/>
      <c r="Z61" s="3204"/>
      <c r="AA61" s="3204"/>
      <c r="AB61" s="3204"/>
      <c r="AC61" s="3204"/>
      <c r="AD61" s="3204"/>
      <c r="AE61" s="3204"/>
      <c r="AF61" s="3204"/>
      <c r="AG61" s="3204"/>
      <c r="AH61" s="3204"/>
      <c r="AI61" s="3204"/>
      <c r="AJ61" s="1847"/>
      <c r="AK61" s="625"/>
      <c r="AL61" s="22"/>
      <c r="AQ61" s="2737"/>
      <c r="AR61" s="2737"/>
      <c r="AS61" s="2737"/>
      <c r="AT61" s="3086"/>
      <c r="AU61" s="3086"/>
    </row>
    <row r="62" spans="1:47" ht="12" customHeight="1" x14ac:dyDescent="0.2">
      <c r="A62" s="9"/>
      <c r="B62" s="814"/>
      <c r="C62" s="2707"/>
      <c r="D62" s="2691" t="s">
        <v>1886</v>
      </c>
      <c r="E62" s="2691"/>
      <c r="F62" s="2691"/>
      <c r="G62" s="2691"/>
      <c r="H62" s="2691"/>
      <c r="I62" s="2691"/>
      <c r="J62" s="3179">
        <f>Psíquicos!H11</f>
        <v>0</v>
      </c>
      <c r="K62" s="3179"/>
      <c r="L62" s="3179"/>
      <c r="M62" s="3179"/>
      <c r="N62" s="3179"/>
      <c r="O62" s="3179"/>
      <c r="P62" s="3179"/>
      <c r="Q62" s="3179"/>
      <c r="R62" s="3179"/>
      <c r="S62" s="3179"/>
      <c r="T62" s="3179"/>
      <c r="U62" s="3179"/>
      <c r="V62" s="3179"/>
      <c r="W62" s="3179"/>
      <c r="X62" s="3204"/>
      <c r="Y62" s="3204"/>
      <c r="Z62" s="3204"/>
      <c r="AA62" s="3204"/>
      <c r="AB62" s="3204"/>
      <c r="AC62" s="3204"/>
      <c r="AD62" s="3204"/>
      <c r="AE62" s="3204"/>
      <c r="AF62" s="3204"/>
      <c r="AG62" s="3204"/>
      <c r="AH62" s="3204"/>
      <c r="AI62" s="3204"/>
      <c r="AJ62" s="1850"/>
      <c r="AK62" s="625"/>
      <c r="AL62" s="23"/>
      <c r="AQ62" s="2737"/>
      <c r="AR62" s="2737"/>
      <c r="AS62" s="2737"/>
      <c r="AT62" s="3086"/>
      <c r="AU62" s="3086"/>
    </row>
    <row r="63" spans="1:47" ht="1.5" customHeight="1" x14ac:dyDescent="0.2">
      <c r="A63" s="9"/>
      <c r="B63" s="813"/>
      <c r="C63" s="2040"/>
      <c r="D63" s="2563"/>
      <c r="E63" s="2563"/>
      <c r="F63" s="2563"/>
      <c r="G63" s="2563"/>
      <c r="H63" s="2563"/>
      <c r="I63" s="2563"/>
      <c r="J63" s="2563"/>
      <c r="K63" s="2563"/>
      <c r="L63" s="2563"/>
      <c r="M63" s="2563"/>
      <c r="N63" s="2563"/>
      <c r="O63" s="2563"/>
      <c r="P63" s="2563"/>
      <c r="Q63" s="2563"/>
      <c r="R63" s="2563"/>
      <c r="S63" s="2563"/>
      <c r="T63" s="2563"/>
      <c r="U63" s="2563"/>
      <c r="V63" s="2563"/>
      <c r="W63" s="2563"/>
      <c r="X63" s="3204"/>
      <c r="Y63" s="3204"/>
      <c r="Z63" s="3204"/>
      <c r="AA63" s="3204"/>
      <c r="AB63" s="3204"/>
      <c r="AC63" s="3204"/>
      <c r="AD63" s="3204"/>
      <c r="AE63" s="3204"/>
      <c r="AF63" s="3204"/>
      <c r="AG63" s="3204"/>
      <c r="AH63" s="3204"/>
      <c r="AI63" s="3204"/>
      <c r="AJ63" s="1847"/>
      <c r="AK63" s="625"/>
      <c r="AL63" s="22"/>
      <c r="AQ63" s="2737"/>
      <c r="AR63" s="2737"/>
      <c r="AS63" s="2737"/>
      <c r="AT63" s="3086"/>
      <c r="AU63" s="3086"/>
    </row>
    <row r="64" spans="1:47" ht="12" customHeight="1" x14ac:dyDescent="0.2">
      <c r="A64" s="9"/>
      <c r="B64" s="814"/>
      <c r="C64" s="2707"/>
      <c r="D64" s="2691" t="s">
        <v>1887</v>
      </c>
      <c r="E64" s="2691"/>
      <c r="F64" s="2691"/>
      <c r="G64" s="2691"/>
      <c r="H64" s="2691"/>
      <c r="I64" s="2691"/>
      <c r="J64" s="2691"/>
      <c r="K64" s="3179">
        <f>IF(Psíquicos!P12=Psíquicos!Q12,Psíquicos!P12,Psíquicos!P12&amp;" Ofensiva"&amp;", "&amp;Psíquicos!Q12&amp;" Defensiva")</f>
        <v>0</v>
      </c>
      <c r="L64" s="3179"/>
      <c r="M64" s="3179"/>
      <c r="N64" s="3179"/>
      <c r="O64" s="3179"/>
      <c r="P64" s="3179"/>
      <c r="Q64" s="3179"/>
      <c r="R64" s="3179"/>
      <c r="S64" s="3179"/>
      <c r="T64" s="3179"/>
      <c r="U64" s="3179"/>
      <c r="V64" s="3179"/>
      <c r="W64" s="3179"/>
      <c r="X64" s="3204"/>
      <c r="Y64" s="3204"/>
      <c r="Z64" s="3204"/>
      <c r="AA64" s="3204"/>
      <c r="AB64" s="3204"/>
      <c r="AC64" s="3204"/>
      <c r="AD64" s="3204"/>
      <c r="AE64" s="3204"/>
      <c r="AF64" s="3204"/>
      <c r="AG64" s="3204"/>
      <c r="AH64" s="3204"/>
      <c r="AI64" s="3204"/>
      <c r="AJ64" s="1853"/>
      <c r="AK64" s="625"/>
      <c r="AL64" s="23"/>
      <c r="AQ64" s="2737"/>
      <c r="AR64" s="2737"/>
      <c r="AS64" s="2737"/>
      <c r="AT64" s="3086"/>
      <c r="AU64" s="3086"/>
    </row>
    <row r="65" spans="1:47" ht="1.5" customHeight="1" x14ac:dyDescent="0.2">
      <c r="A65" s="9"/>
      <c r="B65" s="813"/>
      <c r="C65" s="2040"/>
      <c r="D65" s="3171" t="s">
        <v>1888</v>
      </c>
      <c r="E65" s="3171"/>
      <c r="F65" s="3171"/>
      <c r="G65" s="3171"/>
      <c r="H65" s="3171"/>
      <c r="I65" s="3171"/>
      <c r="J65" s="3171"/>
      <c r="K65" s="2563"/>
      <c r="L65" s="2563"/>
      <c r="M65" s="2563"/>
      <c r="N65" s="2563"/>
      <c r="O65" s="2563"/>
      <c r="P65" s="2563"/>
      <c r="Q65" s="2563"/>
      <c r="R65" s="2563"/>
      <c r="S65" s="2563"/>
      <c r="T65" s="2563"/>
      <c r="U65" s="2563"/>
      <c r="V65" s="2563"/>
      <c r="W65" s="2563"/>
      <c r="X65" s="2563"/>
      <c r="Y65" s="2563"/>
      <c r="Z65" s="2563"/>
      <c r="AA65" s="2563"/>
      <c r="AB65" s="2563"/>
      <c r="AC65" s="2563"/>
      <c r="AD65" s="2563"/>
      <c r="AE65" s="2563"/>
      <c r="AF65" s="2563"/>
      <c r="AG65" s="2563"/>
      <c r="AH65" s="2563"/>
      <c r="AI65" s="2563"/>
      <c r="AJ65" s="1847"/>
      <c r="AK65" s="625"/>
      <c r="AL65" s="22"/>
      <c r="AQ65" s="2737"/>
      <c r="AR65" s="2737"/>
      <c r="AS65" s="2737"/>
      <c r="AT65" s="3086"/>
      <c r="AU65" s="3086"/>
    </row>
    <row r="66" spans="1:47" ht="12" customHeight="1" x14ac:dyDescent="0.2">
      <c r="A66" s="9"/>
      <c r="B66" s="814"/>
      <c r="C66" s="2707"/>
      <c r="D66" s="3171"/>
      <c r="E66" s="3171"/>
      <c r="F66" s="3171"/>
      <c r="G66" s="3171"/>
      <c r="H66" s="3171"/>
      <c r="I66" s="3171"/>
      <c r="J66" s="3171"/>
      <c r="K66" s="3179" t="str">
        <f>IF(Psíquicos!C25=0,"",Psíquicos!C25)&amp;IF(Psíquicos!C27=0,"",", "&amp;Psíquicos!C27)&amp;IF(Psíquicos!C29=0,"",", "&amp;Psíquicos!C29)&amp;IF(Psíquicos!C31=0,"",", "&amp;Psíquicos!C31)&amp;IF(Psíquicos!C33=0,"",", "&amp;Psíquicos!C33)&amp;IF(Psíquicos!C35=0,"",", "&amp;Psíquicos!C35)</f>
        <v/>
      </c>
      <c r="L66" s="3179"/>
      <c r="M66" s="3179"/>
      <c r="N66" s="3179"/>
      <c r="O66" s="3179"/>
      <c r="P66" s="3179"/>
      <c r="Q66" s="3179"/>
      <c r="R66" s="3179"/>
      <c r="S66" s="3179"/>
      <c r="T66" s="3179"/>
      <c r="U66" s="3179"/>
      <c r="V66" s="3179"/>
      <c r="W66" s="3179"/>
      <c r="X66" s="3179"/>
      <c r="Y66" s="3179"/>
      <c r="Z66" s="3179"/>
      <c r="AA66" s="3179"/>
      <c r="AB66" s="3179"/>
      <c r="AC66" s="3179"/>
      <c r="AD66" s="3179"/>
      <c r="AE66" s="3179"/>
      <c r="AF66" s="3179"/>
      <c r="AG66" s="3179"/>
      <c r="AH66" s="3179"/>
      <c r="AI66" s="3179"/>
      <c r="AJ66" s="1853"/>
      <c r="AK66" s="625"/>
      <c r="AL66" s="23"/>
      <c r="AQ66" s="2737"/>
      <c r="AR66" s="2737"/>
      <c r="AS66" s="2737"/>
      <c r="AT66" s="3086"/>
      <c r="AU66" s="3086"/>
    </row>
    <row r="67" spans="1:47" ht="1.5" customHeight="1" x14ac:dyDescent="0.2">
      <c r="A67" s="9"/>
      <c r="B67" s="813"/>
      <c r="C67" s="2040"/>
      <c r="D67" s="2563"/>
      <c r="E67" s="2563"/>
      <c r="F67" s="2563"/>
      <c r="G67" s="2563"/>
      <c r="H67" s="2563"/>
      <c r="I67" s="2563"/>
      <c r="J67" s="2563"/>
      <c r="K67" s="2563"/>
      <c r="L67" s="2563"/>
      <c r="M67" s="2563"/>
      <c r="N67" s="2563"/>
      <c r="O67" s="2563"/>
      <c r="P67" s="2563"/>
      <c r="Q67" s="2563"/>
      <c r="R67" s="2563"/>
      <c r="S67" s="2563"/>
      <c r="T67" s="2563"/>
      <c r="U67" s="2563"/>
      <c r="V67" s="2563"/>
      <c r="W67" s="2563"/>
      <c r="X67" s="2563"/>
      <c r="Y67" s="2563"/>
      <c r="Z67" s="2563"/>
      <c r="AA67" s="2563"/>
      <c r="AB67" s="2563"/>
      <c r="AC67" s="2563"/>
      <c r="AD67" s="2563"/>
      <c r="AE67" s="2563"/>
      <c r="AF67" s="2563"/>
      <c r="AG67" s="2563"/>
      <c r="AH67" s="2563"/>
      <c r="AI67" s="2563"/>
      <c r="AJ67" s="1847"/>
      <c r="AK67" s="625"/>
      <c r="AL67" s="22"/>
      <c r="AQ67" s="2737"/>
      <c r="AR67" s="2737"/>
      <c r="AS67" s="2737"/>
      <c r="AT67" s="3086"/>
      <c r="AU67" s="3086"/>
    </row>
    <row r="68" spans="1:47" ht="12" customHeight="1" x14ac:dyDescent="0.2">
      <c r="A68" s="9"/>
      <c r="B68" s="812"/>
      <c r="C68" s="2039"/>
      <c r="D68" s="2680" t="s">
        <v>1889</v>
      </c>
      <c r="E68" s="2680"/>
      <c r="F68" s="2680"/>
      <c r="G68" s="2680"/>
      <c r="H68" s="2680"/>
      <c r="I68" s="2680"/>
      <c r="J68" s="3179" t="str">
        <f>IFERROR(MID(Psíquicos!AR15,3,LEN(Psíquicos!AR15)),"")</f>
        <v/>
      </c>
      <c r="K68" s="3179"/>
      <c r="L68" s="3179"/>
      <c r="M68" s="3179"/>
      <c r="N68" s="3179"/>
      <c r="O68" s="3179"/>
      <c r="P68" s="3179"/>
      <c r="Q68" s="3179"/>
      <c r="R68" s="3179"/>
      <c r="S68" s="3179"/>
      <c r="T68" s="3179"/>
      <c r="U68" s="3179"/>
      <c r="V68" s="3179"/>
      <c r="W68" s="3179"/>
      <c r="X68" s="3179"/>
      <c r="Y68" s="3179"/>
      <c r="Z68" s="3179"/>
      <c r="AA68" s="3179"/>
      <c r="AB68" s="3179"/>
      <c r="AC68" s="3179"/>
      <c r="AD68" s="3179"/>
      <c r="AE68" s="3179"/>
      <c r="AF68" s="3179"/>
      <c r="AG68" s="3179"/>
      <c r="AH68" s="3179"/>
      <c r="AI68" s="3179"/>
      <c r="AJ68" s="1847"/>
      <c r="AK68" s="625"/>
      <c r="AL68" s="23"/>
      <c r="AQ68" s="2737"/>
      <c r="AR68" s="2737"/>
      <c r="AS68" s="2737"/>
      <c r="AT68" s="3086"/>
      <c r="AU68" s="3086"/>
    </row>
    <row r="69" spans="1:47" ht="12" customHeight="1" x14ac:dyDescent="0.2">
      <c r="A69" s="9"/>
      <c r="B69" s="812"/>
      <c r="C69" s="2039"/>
      <c r="D69" s="2563"/>
      <c r="E69" s="2563"/>
      <c r="F69" s="2563"/>
      <c r="G69" s="2563"/>
      <c r="H69" s="2563"/>
      <c r="I69" s="2563"/>
      <c r="J69" s="3179"/>
      <c r="K69" s="3179"/>
      <c r="L69" s="3179"/>
      <c r="M69" s="3179"/>
      <c r="N69" s="3179"/>
      <c r="O69" s="3179"/>
      <c r="P69" s="3179"/>
      <c r="Q69" s="3179"/>
      <c r="R69" s="3179"/>
      <c r="S69" s="3179"/>
      <c r="T69" s="3179"/>
      <c r="U69" s="3179"/>
      <c r="V69" s="3179"/>
      <c r="W69" s="3179"/>
      <c r="X69" s="3179"/>
      <c r="Y69" s="3179"/>
      <c r="Z69" s="3179"/>
      <c r="AA69" s="3179"/>
      <c r="AB69" s="3179"/>
      <c r="AC69" s="3179"/>
      <c r="AD69" s="3179"/>
      <c r="AE69" s="3179"/>
      <c r="AF69" s="3179"/>
      <c r="AG69" s="3179"/>
      <c r="AH69" s="3179"/>
      <c r="AI69" s="3179"/>
      <c r="AJ69" s="1853"/>
      <c r="AK69" s="625"/>
      <c r="AL69" s="23"/>
      <c r="AQ69" s="2737"/>
      <c r="AR69" s="2737"/>
      <c r="AS69" s="2737"/>
      <c r="AT69" s="3086"/>
      <c r="AU69" s="3086"/>
    </row>
    <row r="70" spans="1:47" ht="12" customHeight="1" x14ac:dyDescent="0.2">
      <c r="A70" s="9"/>
      <c r="B70" s="812"/>
      <c r="C70" s="2039"/>
      <c r="D70" s="1838"/>
      <c r="E70" s="1838"/>
      <c r="F70" s="1838"/>
      <c r="G70" s="1838"/>
      <c r="H70" s="1838"/>
      <c r="I70" s="1838"/>
      <c r="J70" s="3186"/>
      <c r="K70" s="3186"/>
      <c r="L70" s="3186"/>
      <c r="M70" s="3186"/>
      <c r="N70" s="3186"/>
      <c r="O70" s="3186"/>
      <c r="P70" s="3186"/>
      <c r="Q70" s="3186"/>
      <c r="R70" s="3186"/>
      <c r="S70" s="3186"/>
      <c r="T70" s="3186"/>
      <c r="U70" s="3186"/>
      <c r="V70" s="3186"/>
      <c r="W70" s="3186"/>
      <c r="X70" s="3186"/>
      <c r="Y70" s="3186"/>
      <c r="Z70" s="3186"/>
      <c r="AA70" s="3186"/>
      <c r="AB70" s="3186"/>
      <c r="AC70" s="3186"/>
      <c r="AD70" s="3186"/>
      <c r="AE70" s="3186"/>
      <c r="AF70" s="3186"/>
      <c r="AG70" s="3186"/>
      <c r="AH70" s="3186"/>
      <c r="AI70" s="3186"/>
      <c r="AJ70" s="1850"/>
      <c r="AK70" s="625"/>
      <c r="AL70" s="23"/>
      <c r="AQ70" s="2737"/>
      <c r="AR70" s="2737"/>
      <c r="AS70" s="2737"/>
      <c r="AT70" s="3086"/>
      <c r="AU70" s="3086"/>
    </row>
    <row r="71" spans="1:47" ht="2.25" customHeight="1" x14ac:dyDescent="0.2">
      <c r="A71" s="9"/>
      <c r="B71" s="812"/>
      <c r="C71" s="2039"/>
      <c r="D71" s="2704"/>
      <c r="E71" s="2704"/>
      <c r="F71" s="2704"/>
      <c r="G71" s="2704"/>
      <c r="H71" s="2704"/>
      <c r="I71" s="2704"/>
      <c r="J71" s="2704"/>
      <c r="K71" s="2704"/>
      <c r="L71" s="2704"/>
      <c r="M71" s="2704"/>
      <c r="N71" s="2704"/>
      <c r="O71" s="2704"/>
      <c r="P71" s="2704"/>
      <c r="Q71" s="2704"/>
      <c r="R71" s="2704"/>
      <c r="S71" s="2704"/>
      <c r="T71" s="2704"/>
      <c r="U71" s="2704"/>
      <c r="V71" s="2704"/>
      <c r="W71" s="2704"/>
      <c r="X71" s="2704"/>
      <c r="Y71" s="2704"/>
      <c r="Z71" s="2704"/>
      <c r="AA71" s="2704"/>
      <c r="AB71" s="2704"/>
      <c r="AC71" s="2704"/>
      <c r="AD71" s="2704"/>
      <c r="AE71" s="2704"/>
      <c r="AF71" s="2704"/>
      <c r="AG71" s="2704"/>
      <c r="AH71" s="2704"/>
      <c r="AI71" s="2704"/>
      <c r="AJ71" s="1850"/>
      <c r="AK71" s="625"/>
      <c r="AL71" s="23"/>
      <c r="AQ71" s="2737"/>
      <c r="AR71" s="2737"/>
      <c r="AS71" s="2737"/>
      <c r="AT71" s="3086"/>
      <c r="AU71" s="3086"/>
    </row>
    <row r="72" spans="1:47" ht="1.5" customHeight="1" x14ac:dyDescent="0.2">
      <c r="A72" s="9"/>
      <c r="B72" s="813"/>
      <c r="C72" s="2040"/>
      <c r="D72" s="3171" t="s">
        <v>1890</v>
      </c>
      <c r="E72" s="3171"/>
      <c r="F72" s="3171"/>
      <c r="G72" s="3171"/>
      <c r="H72" s="3171"/>
      <c r="I72" s="3171"/>
      <c r="J72" s="3171"/>
      <c r="K72" s="2563"/>
      <c r="L72" s="2563"/>
      <c r="M72" s="2563"/>
      <c r="N72" s="2563"/>
      <c r="O72" s="2563"/>
      <c r="P72" s="2563"/>
      <c r="Q72" s="2563"/>
      <c r="R72" s="2563"/>
      <c r="S72" s="2563"/>
      <c r="T72" s="2563"/>
      <c r="U72" s="2563"/>
      <c r="V72" s="2563"/>
      <c r="W72" s="2563"/>
      <c r="X72" s="2563"/>
      <c r="Y72" s="2563"/>
      <c r="Z72" s="2563"/>
      <c r="AA72" s="2563"/>
      <c r="AB72" s="2563"/>
      <c r="AC72" s="2563"/>
      <c r="AD72" s="2563"/>
      <c r="AE72" s="2563"/>
      <c r="AF72" s="2563"/>
      <c r="AG72" s="2563"/>
      <c r="AH72" s="2563"/>
      <c r="AI72" s="2563"/>
      <c r="AJ72" s="1847"/>
      <c r="AK72" s="625"/>
      <c r="AL72" s="22"/>
      <c r="AQ72" s="2737"/>
      <c r="AR72" s="2737"/>
      <c r="AS72" s="2737"/>
      <c r="AT72" s="3086"/>
      <c r="AU72" s="3086"/>
    </row>
    <row r="73" spans="1:47" ht="12" customHeight="1" x14ac:dyDescent="0.2">
      <c r="A73" s="9"/>
      <c r="B73" s="812"/>
      <c r="C73" s="2039"/>
      <c r="D73" s="3171"/>
      <c r="E73" s="3171"/>
      <c r="F73" s="3171"/>
      <c r="G73" s="3171"/>
      <c r="H73" s="3171"/>
      <c r="I73" s="3171"/>
      <c r="J73" s="3171"/>
      <c r="K73" s="3179" t="str">
        <f>IFERROR(RIGHT(Tablas!G2004,LEN(Tablas!G2004)-2),"")</f>
        <v/>
      </c>
      <c r="L73" s="3179"/>
      <c r="M73" s="3179"/>
      <c r="N73" s="3179"/>
      <c r="O73" s="3179"/>
      <c r="P73" s="3179"/>
      <c r="Q73" s="3179"/>
      <c r="R73" s="3179"/>
      <c r="S73" s="3179"/>
      <c r="T73" s="3179"/>
      <c r="U73" s="3179"/>
      <c r="V73" s="3179"/>
      <c r="W73" s="3179"/>
      <c r="X73" s="3179"/>
      <c r="Y73" s="3179"/>
      <c r="Z73" s="3179"/>
      <c r="AA73" s="3179"/>
      <c r="AB73" s="3179"/>
      <c r="AC73" s="3179"/>
      <c r="AD73" s="3179"/>
      <c r="AE73" s="3179"/>
      <c r="AF73" s="3179"/>
      <c r="AG73" s="3179"/>
      <c r="AH73" s="3179"/>
      <c r="AI73" s="3179"/>
      <c r="AJ73" s="1853"/>
      <c r="AK73" s="625"/>
      <c r="AL73" s="23"/>
      <c r="AQ73" s="2736"/>
      <c r="AR73" s="2737"/>
      <c r="AS73" s="2737"/>
      <c r="AT73" s="3086"/>
      <c r="AU73" s="3091"/>
    </row>
    <row r="74" spans="1:47" ht="12" customHeight="1" x14ac:dyDescent="0.2">
      <c r="A74" s="9"/>
      <c r="B74" s="812"/>
      <c r="C74" s="2039"/>
      <c r="D74" s="2704"/>
      <c r="E74" s="2704"/>
      <c r="F74" s="2704"/>
      <c r="G74" s="2704"/>
      <c r="H74" s="2704"/>
      <c r="I74" s="2704"/>
      <c r="J74" s="2704"/>
      <c r="K74" s="3179"/>
      <c r="L74" s="3179"/>
      <c r="M74" s="3179"/>
      <c r="N74" s="3179"/>
      <c r="O74" s="3179"/>
      <c r="P74" s="3179"/>
      <c r="Q74" s="3179"/>
      <c r="R74" s="3179"/>
      <c r="S74" s="3179"/>
      <c r="T74" s="3179"/>
      <c r="U74" s="3179"/>
      <c r="V74" s="3179"/>
      <c r="W74" s="3179"/>
      <c r="X74" s="3179"/>
      <c r="Y74" s="3179"/>
      <c r="Z74" s="3179"/>
      <c r="AA74" s="3179"/>
      <c r="AB74" s="3179"/>
      <c r="AC74" s="3179"/>
      <c r="AD74" s="3179"/>
      <c r="AE74" s="3179"/>
      <c r="AF74" s="3179"/>
      <c r="AG74" s="3179"/>
      <c r="AH74" s="3179"/>
      <c r="AI74" s="3179"/>
      <c r="AJ74" s="1853"/>
      <c r="AK74" s="625"/>
      <c r="AL74" s="23"/>
      <c r="AQ74" s="2737"/>
      <c r="AR74" s="2737"/>
      <c r="AS74" s="2737"/>
      <c r="AT74" s="3086"/>
      <c r="AU74" s="3086"/>
    </row>
    <row r="75" spans="1:47" ht="1.5" customHeight="1" x14ac:dyDescent="0.2">
      <c r="A75" s="9"/>
      <c r="B75" s="813"/>
      <c r="C75" s="2040"/>
      <c r="D75" s="3171" t="s">
        <v>1891</v>
      </c>
      <c r="E75" s="3171"/>
      <c r="F75" s="3171"/>
      <c r="G75" s="3171"/>
      <c r="H75" s="3171"/>
      <c r="I75" s="3171"/>
      <c r="J75" s="3171"/>
      <c r="K75" s="2563"/>
      <c r="L75" s="2563"/>
      <c r="M75" s="2563"/>
      <c r="N75" s="2563"/>
      <c r="O75" s="2563"/>
      <c r="P75" s="2563"/>
      <c r="Q75" s="2563"/>
      <c r="R75" s="2563"/>
      <c r="S75" s="2563"/>
      <c r="T75" s="2563"/>
      <c r="U75" s="2563"/>
      <c r="V75" s="2563"/>
      <c r="W75" s="2563"/>
      <c r="X75" s="2563"/>
      <c r="Y75" s="2563"/>
      <c r="Z75" s="2563"/>
      <c r="AA75" s="2563"/>
      <c r="AB75" s="2563"/>
      <c r="AC75" s="2563"/>
      <c r="AD75" s="2563"/>
      <c r="AE75" s="2563"/>
      <c r="AF75" s="2563"/>
      <c r="AG75" s="2563"/>
      <c r="AH75" s="2563"/>
      <c r="AI75" s="2563"/>
      <c r="AJ75" s="1847"/>
      <c r="AK75" s="625"/>
      <c r="AL75" s="22"/>
      <c r="AQ75" s="2737"/>
      <c r="AR75" s="2737"/>
      <c r="AS75" s="2737"/>
      <c r="AT75" s="3086"/>
      <c r="AU75" s="3086"/>
    </row>
    <row r="76" spans="1:47" ht="12" customHeight="1" x14ac:dyDescent="0.2">
      <c r="A76" s="9"/>
      <c r="B76" s="812"/>
      <c r="C76" s="2039"/>
      <c r="D76" s="3171"/>
      <c r="E76" s="3171"/>
      <c r="F76" s="3171"/>
      <c r="G76" s="3171"/>
      <c r="H76" s="3171"/>
      <c r="I76" s="3171"/>
      <c r="J76" s="3171"/>
      <c r="K76" s="3179" t="str">
        <f>Tablas!$G$2063</f>
        <v/>
      </c>
      <c r="L76" s="3179"/>
      <c r="M76" s="3179"/>
      <c r="N76" s="3179"/>
      <c r="O76" s="3179"/>
      <c r="P76" s="3179"/>
      <c r="Q76" s="3179"/>
      <c r="R76" s="3179"/>
      <c r="S76" s="3179"/>
      <c r="T76" s="3179"/>
      <c r="U76" s="3179"/>
      <c r="V76" s="3179"/>
      <c r="W76" s="3179"/>
      <c r="X76" s="3179"/>
      <c r="Y76" s="3179"/>
      <c r="Z76" s="3179"/>
      <c r="AA76" s="3179"/>
      <c r="AB76" s="3179"/>
      <c r="AC76" s="3179"/>
      <c r="AD76" s="3179"/>
      <c r="AE76" s="3179"/>
      <c r="AF76" s="3179"/>
      <c r="AG76" s="3179"/>
      <c r="AH76" s="3179"/>
      <c r="AI76" s="3179"/>
      <c r="AJ76" s="1853"/>
      <c r="AK76" s="625"/>
      <c r="AL76" s="23"/>
      <c r="AQ76" s="2737"/>
      <c r="AR76" s="2737"/>
      <c r="AS76" s="2737"/>
      <c r="AT76" s="3086"/>
      <c r="AU76" s="3086"/>
    </row>
    <row r="77" spans="1:47" ht="12" customHeight="1" x14ac:dyDescent="0.2">
      <c r="A77" s="9"/>
      <c r="B77" s="812"/>
      <c r="C77" s="2039"/>
      <c r="D77" s="2704"/>
      <c r="E77" s="2704"/>
      <c r="F77" s="2704"/>
      <c r="G77" s="2704"/>
      <c r="H77" s="2704"/>
      <c r="I77" s="2704"/>
      <c r="J77" s="2704"/>
      <c r="K77" s="3179"/>
      <c r="L77" s="3179"/>
      <c r="M77" s="3179"/>
      <c r="N77" s="3179"/>
      <c r="O77" s="3179"/>
      <c r="P77" s="3179"/>
      <c r="Q77" s="3179"/>
      <c r="R77" s="3179"/>
      <c r="S77" s="3179"/>
      <c r="T77" s="3179"/>
      <c r="U77" s="3179"/>
      <c r="V77" s="3179"/>
      <c r="W77" s="3179"/>
      <c r="X77" s="3179"/>
      <c r="Y77" s="3179"/>
      <c r="Z77" s="3179"/>
      <c r="AA77" s="3179"/>
      <c r="AB77" s="3179"/>
      <c r="AC77" s="3179"/>
      <c r="AD77" s="3179"/>
      <c r="AE77" s="3179"/>
      <c r="AF77" s="3179"/>
      <c r="AG77" s="3179"/>
      <c r="AH77" s="3179"/>
      <c r="AI77" s="3179"/>
      <c r="AJ77" s="1853"/>
      <c r="AK77" s="625"/>
      <c r="AL77" s="23"/>
      <c r="AQ77" s="2737"/>
      <c r="AR77" s="2737"/>
      <c r="AS77" s="2737"/>
      <c r="AT77" s="3086"/>
      <c r="AU77" s="3086"/>
    </row>
    <row r="78" spans="1:47" ht="1.5" customHeight="1" x14ac:dyDescent="0.2">
      <c r="A78" s="9"/>
      <c r="B78" s="813"/>
      <c r="C78" s="2040"/>
      <c r="D78" s="2563"/>
      <c r="E78" s="2563"/>
      <c r="F78" s="2563"/>
      <c r="G78" s="2563"/>
      <c r="H78" s="2563"/>
      <c r="I78" s="2563"/>
      <c r="J78" s="2563"/>
      <c r="K78" s="2563"/>
      <c r="L78" s="2563"/>
      <c r="M78" s="2563"/>
      <c r="N78" s="2563"/>
      <c r="O78" s="2563"/>
      <c r="P78" s="2563"/>
      <c r="Q78" s="2563"/>
      <c r="R78" s="2563"/>
      <c r="S78" s="2563"/>
      <c r="T78" s="2563"/>
      <c r="U78" s="2563"/>
      <c r="V78" s="2563"/>
      <c r="W78" s="2563"/>
      <c r="X78" s="2563"/>
      <c r="Y78" s="2563"/>
      <c r="Z78" s="2563"/>
      <c r="AA78" s="2563"/>
      <c r="AB78" s="2563"/>
      <c r="AC78" s="2563"/>
      <c r="AD78" s="2563"/>
      <c r="AE78" s="2563"/>
      <c r="AF78" s="2563"/>
      <c r="AG78" s="2563"/>
      <c r="AH78" s="2563"/>
      <c r="AI78" s="2563"/>
      <c r="AJ78" s="1847"/>
      <c r="AK78" s="625"/>
      <c r="AL78" s="22"/>
      <c r="AQ78" s="2737"/>
      <c r="AR78" s="2737"/>
      <c r="AS78" s="2737"/>
      <c r="AT78" s="3086"/>
      <c r="AU78" s="3086"/>
    </row>
    <row r="79" spans="1:47" ht="12" customHeight="1" x14ac:dyDescent="0.2">
      <c r="A79" s="9"/>
      <c r="B79" s="812"/>
      <c r="C79" s="2039"/>
      <c r="D79" s="3187" t="s">
        <v>7286</v>
      </c>
      <c r="E79" s="3187"/>
      <c r="F79" s="3187"/>
      <c r="G79" s="3179" t="str">
        <f>IFERROR(RIGHT(AT79,LEN(AT79)-2),"")</f>
        <v/>
      </c>
      <c r="H79" s="3179"/>
      <c r="I79" s="3179"/>
      <c r="J79" s="3179"/>
      <c r="K79" s="3179"/>
      <c r="L79" s="3179"/>
      <c r="M79" s="3179"/>
      <c r="N79" s="3179"/>
      <c r="O79" s="3179"/>
      <c r="P79" s="3179"/>
      <c r="Q79" s="3179"/>
      <c r="R79" s="3179"/>
      <c r="S79" s="3179"/>
      <c r="T79" s="3179"/>
      <c r="U79" s="3179"/>
      <c r="V79" s="3179"/>
      <c r="W79" s="3179"/>
      <c r="X79" s="3179"/>
      <c r="Y79" s="3179"/>
      <c r="Z79" s="3179"/>
      <c r="AA79" s="3179"/>
      <c r="AB79" s="3179"/>
      <c r="AC79" s="3179"/>
      <c r="AD79" s="3179"/>
      <c r="AE79" s="3179"/>
      <c r="AF79" s="3179"/>
      <c r="AG79" s="3179"/>
      <c r="AH79" s="3179"/>
      <c r="AI79" s="3179"/>
      <c r="AJ79" s="1853"/>
      <c r="AK79" s="625"/>
      <c r="AL79" s="23"/>
      <c r="AQ79" s="2737"/>
      <c r="AR79" s="2737"/>
      <c r="AS79" s="2737"/>
      <c r="AT79" s="3090"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6"/>
    </row>
    <row r="80" spans="1:47" ht="0.75" customHeight="1" x14ac:dyDescent="0.2">
      <c r="A80" s="9"/>
      <c r="B80" s="813"/>
      <c r="C80" s="2040"/>
      <c r="D80" s="2709"/>
      <c r="E80" s="2563"/>
      <c r="F80" s="2563"/>
      <c r="G80" s="3179"/>
      <c r="H80" s="3179"/>
      <c r="I80" s="3179"/>
      <c r="J80" s="3179"/>
      <c r="K80" s="3179"/>
      <c r="L80" s="3179"/>
      <c r="M80" s="3179"/>
      <c r="N80" s="3179"/>
      <c r="O80" s="3179"/>
      <c r="P80" s="3179"/>
      <c r="Q80" s="3179"/>
      <c r="R80" s="3179"/>
      <c r="S80" s="3179"/>
      <c r="T80" s="3179"/>
      <c r="U80" s="3179"/>
      <c r="V80" s="3179"/>
      <c r="W80" s="3179"/>
      <c r="X80" s="3179"/>
      <c r="Y80" s="3179"/>
      <c r="Z80" s="3179"/>
      <c r="AA80" s="3179"/>
      <c r="AB80" s="3179"/>
      <c r="AC80" s="3179"/>
      <c r="AD80" s="3179"/>
      <c r="AE80" s="3179"/>
      <c r="AF80" s="3179"/>
      <c r="AG80" s="3179"/>
      <c r="AH80" s="3179"/>
      <c r="AI80" s="3179"/>
      <c r="AJ80" s="1847"/>
      <c r="AK80" s="625"/>
      <c r="AL80" s="22"/>
      <c r="AQ80" s="2737"/>
      <c r="AR80" s="2737"/>
      <c r="AS80" s="2737"/>
      <c r="AT80" s="3086"/>
      <c r="AU80" s="3086"/>
    </row>
    <row r="81" spans="1:47" ht="12" customHeight="1" x14ac:dyDescent="0.2">
      <c r="A81" s="9"/>
      <c r="B81" s="812"/>
      <c r="C81" s="2039"/>
      <c r="D81" s="2666"/>
      <c r="E81" s="2666"/>
      <c r="F81" s="2666"/>
      <c r="G81" s="3186"/>
      <c r="H81" s="3186"/>
      <c r="I81" s="3186"/>
      <c r="J81" s="3186"/>
      <c r="K81" s="3186"/>
      <c r="L81" s="3186"/>
      <c r="M81" s="3186"/>
      <c r="N81" s="3186"/>
      <c r="O81" s="3186"/>
      <c r="P81" s="3186"/>
      <c r="Q81" s="3186"/>
      <c r="R81" s="3186"/>
      <c r="S81" s="3186"/>
      <c r="T81" s="3186"/>
      <c r="U81" s="3186"/>
      <c r="V81" s="3186"/>
      <c r="W81" s="3186"/>
      <c r="X81" s="3186"/>
      <c r="Y81" s="3186"/>
      <c r="Z81" s="3186"/>
      <c r="AA81" s="3186"/>
      <c r="AB81" s="3186"/>
      <c r="AC81" s="3186"/>
      <c r="AD81" s="3186"/>
      <c r="AE81" s="3186"/>
      <c r="AF81" s="3186"/>
      <c r="AG81" s="3186"/>
      <c r="AH81" s="3186"/>
      <c r="AI81" s="3186"/>
      <c r="AJ81" s="1853"/>
      <c r="AK81" s="625"/>
      <c r="AL81" s="23"/>
      <c r="AQ81" s="2737"/>
      <c r="AR81" s="2737"/>
      <c r="AS81" s="2737"/>
      <c r="AT81" s="3086"/>
      <c r="AU81" s="3086"/>
    </row>
    <row r="82" spans="1:47" ht="2.25" customHeight="1" x14ac:dyDescent="0.2">
      <c r="A82" s="9"/>
      <c r="B82" s="812"/>
      <c r="C82" s="2039"/>
      <c r="D82" s="2694"/>
      <c r="E82" s="2694"/>
      <c r="F82" s="2694"/>
      <c r="G82" s="2710"/>
      <c r="H82" s="2710"/>
      <c r="I82" s="2710"/>
      <c r="J82" s="2710"/>
      <c r="K82" s="2710"/>
      <c r="L82" s="2710"/>
      <c r="M82" s="2710"/>
      <c r="N82" s="2710"/>
      <c r="O82" s="2710"/>
      <c r="P82" s="2710"/>
      <c r="Q82" s="2710"/>
      <c r="R82" s="2710"/>
      <c r="S82" s="2710"/>
      <c r="T82" s="2710"/>
      <c r="U82" s="2710"/>
      <c r="V82" s="2710"/>
      <c r="W82" s="2710"/>
      <c r="X82" s="2710"/>
      <c r="Y82" s="2710"/>
      <c r="Z82" s="2710"/>
      <c r="AA82" s="2710"/>
      <c r="AB82" s="2710"/>
      <c r="AC82" s="2710"/>
      <c r="AD82" s="2710"/>
      <c r="AE82" s="2710"/>
      <c r="AF82" s="2710"/>
      <c r="AG82" s="2710"/>
      <c r="AH82" s="2710"/>
      <c r="AI82" s="2710"/>
      <c r="AJ82" s="1853"/>
      <c r="AK82" s="625"/>
      <c r="AL82" s="23"/>
      <c r="AQ82" s="2737"/>
      <c r="AR82" s="2737"/>
      <c r="AS82" s="2737"/>
      <c r="AT82" s="3086"/>
      <c r="AU82" s="3086"/>
    </row>
    <row r="83" spans="1:47" ht="1.5" customHeight="1" x14ac:dyDescent="0.2">
      <c r="A83" s="9"/>
      <c r="B83" s="813"/>
      <c r="C83" s="2040"/>
      <c r="D83" s="3171" t="s">
        <v>1892</v>
      </c>
      <c r="E83" s="3171"/>
      <c r="F83" s="3171"/>
      <c r="G83" s="3171"/>
      <c r="H83" s="3171"/>
      <c r="I83" s="3171"/>
      <c r="J83" s="3171"/>
      <c r="K83" s="2563"/>
      <c r="L83" s="2563"/>
      <c r="M83" s="2563"/>
      <c r="N83" s="2563"/>
      <c r="O83" s="2563"/>
      <c r="P83" s="2563"/>
      <c r="Q83" s="2563"/>
      <c r="R83" s="2563"/>
      <c r="S83" s="2563"/>
      <c r="T83" s="2563"/>
      <c r="U83" s="2563"/>
      <c r="V83" s="2563"/>
      <c r="W83" s="2563"/>
      <c r="X83" s="2563"/>
      <c r="Y83" s="2563"/>
      <c r="Z83" s="2563"/>
      <c r="AA83" s="2563"/>
      <c r="AB83" s="2563"/>
      <c r="AC83" s="2563"/>
      <c r="AD83" s="2563"/>
      <c r="AE83" s="2563"/>
      <c r="AF83" s="2563"/>
      <c r="AG83" s="2563"/>
      <c r="AH83" s="2563"/>
      <c r="AI83" s="2563"/>
      <c r="AJ83" s="1847"/>
      <c r="AK83" s="625"/>
      <c r="AL83" s="22"/>
      <c r="AQ83" s="2737"/>
      <c r="AR83" s="2737"/>
      <c r="AS83" s="2737"/>
      <c r="AT83" s="3086"/>
      <c r="AU83" s="3086"/>
    </row>
    <row r="84" spans="1:47" ht="12" customHeight="1" x14ac:dyDescent="0.2">
      <c r="A84" s="9"/>
      <c r="B84" s="812"/>
      <c r="C84" s="2039"/>
      <c r="D84" s="3171"/>
      <c r="E84" s="3171"/>
      <c r="F84" s="3171"/>
      <c r="G84" s="3171"/>
      <c r="H84" s="3171"/>
      <c r="I84" s="3171"/>
      <c r="J84" s="3171"/>
      <c r="K84" s="3179" t="str">
        <f>IFERROR(RIGHT(AT87,LEN(AT87)-2),"")</f>
        <v/>
      </c>
      <c r="L84" s="3179"/>
      <c r="M84" s="3179"/>
      <c r="N84" s="3179"/>
      <c r="O84" s="3179"/>
      <c r="P84" s="3179"/>
      <c r="Q84" s="3179"/>
      <c r="R84" s="3179"/>
      <c r="S84" s="3179"/>
      <c r="T84" s="3179"/>
      <c r="U84" s="3179"/>
      <c r="V84" s="3179"/>
      <c r="W84" s="3179"/>
      <c r="X84" s="3179"/>
      <c r="Y84" s="3179"/>
      <c r="Z84" s="3179"/>
      <c r="AA84" s="3179"/>
      <c r="AB84" s="3179"/>
      <c r="AC84" s="3179"/>
      <c r="AD84" s="3179"/>
      <c r="AE84" s="3179"/>
      <c r="AF84" s="3179"/>
      <c r="AG84" s="3179"/>
      <c r="AH84" s="3179"/>
      <c r="AI84" s="3179"/>
      <c r="AJ84" s="1853"/>
      <c r="AK84" s="625"/>
      <c r="AL84" s="23"/>
      <c r="AQ84" s="2737"/>
      <c r="AR84" s="2737"/>
      <c r="AS84" s="2737"/>
      <c r="AT84" s="3086"/>
      <c r="AU84" s="3086"/>
    </row>
    <row r="85" spans="1:47" ht="12" customHeight="1" x14ac:dyDescent="0.2">
      <c r="A85" s="9"/>
      <c r="B85" s="812"/>
      <c r="C85" s="2039"/>
      <c r="D85" s="2680"/>
      <c r="E85" s="2704"/>
      <c r="F85" s="2704"/>
      <c r="G85" s="2704"/>
      <c r="H85" s="2711"/>
      <c r="I85" s="2711"/>
      <c r="J85" s="2704"/>
      <c r="K85" s="3179"/>
      <c r="L85" s="3179"/>
      <c r="M85" s="3179"/>
      <c r="N85" s="3179"/>
      <c r="O85" s="3179"/>
      <c r="P85" s="3179"/>
      <c r="Q85" s="3179"/>
      <c r="R85" s="3179"/>
      <c r="S85" s="3179"/>
      <c r="T85" s="3179"/>
      <c r="U85" s="3179"/>
      <c r="V85" s="3179"/>
      <c r="W85" s="3179"/>
      <c r="X85" s="3179"/>
      <c r="Y85" s="3179"/>
      <c r="Z85" s="3179"/>
      <c r="AA85" s="3179"/>
      <c r="AB85" s="3179"/>
      <c r="AC85" s="3179"/>
      <c r="AD85" s="3179"/>
      <c r="AE85" s="3179"/>
      <c r="AF85" s="3179"/>
      <c r="AG85" s="3179"/>
      <c r="AH85" s="3179"/>
      <c r="AI85" s="3179"/>
      <c r="AJ85" s="1853"/>
      <c r="AK85" s="625"/>
      <c r="AL85" s="23"/>
      <c r="AQ85" s="2737"/>
      <c r="AR85" s="2737"/>
      <c r="AS85" s="2737"/>
      <c r="AT85" s="3086"/>
      <c r="AU85" s="3086"/>
    </row>
    <row r="86" spans="1:47" ht="1.5" customHeight="1" x14ac:dyDescent="0.2">
      <c r="A86" s="9"/>
      <c r="B86" s="813"/>
      <c r="C86" s="2040"/>
      <c r="D86" s="3171" t="s">
        <v>1893</v>
      </c>
      <c r="E86" s="3171"/>
      <c r="F86" s="3171"/>
      <c r="G86" s="2563"/>
      <c r="H86" s="2563"/>
      <c r="I86" s="2563"/>
      <c r="J86" s="2563"/>
      <c r="K86" s="2563"/>
      <c r="L86" s="2563"/>
      <c r="M86" s="2563"/>
      <c r="N86" s="2563"/>
      <c r="O86" s="2563"/>
      <c r="P86" s="2563"/>
      <c r="Q86" s="2563"/>
      <c r="R86" s="2563"/>
      <c r="S86" s="2563"/>
      <c r="T86" s="2563"/>
      <c r="U86" s="2563"/>
      <c r="V86" s="2563"/>
      <c r="W86" s="2563"/>
      <c r="X86" s="2563"/>
      <c r="Y86" s="2563"/>
      <c r="Z86" s="2563"/>
      <c r="AA86" s="2563"/>
      <c r="AB86" s="2563"/>
      <c r="AC86" s="2563"/>
      <c r="AD86" s="2563"/>
      <c r="AE86" s="2563"/>
      <c r="AF86" s="2563"/>
      <c r="AG86" s="2563"/>
      <c r="AH86" s="2563"/>
      <c r="AI86" s="2563"/>
      <c r="AJ86" s="1847"/>
      <c r="AK86" s="625"/>
      <c r="AL86" s="22"/>
      <c r="AQ86" s="2737"/>
      <c r="AR86" s="2737"/>
      <c r="AS86" s="2737"/>
      <c r="AT86" s="3086"/>
      <c r="AU86" s="3086"/>
    </row>
    <row r="87" spans="1:47" ht="12" customHeight="1" x14ac:dyDescent="0.2">
      <c r="A87" s="9"/>
      <c r="B87" s="812"/>
      <c r="C87" s="2039"/>
      <c r="D87" s="3171"/>
      <c r="E87" s="3171"/>
      <c r="F87" s="3171"/>
      <c r="G87" s="3179" t="str">
        <f>Tablas!J2100</f>
        <v/>
      </c>
      <c r="H87" s="3179"/>
      <c r="I87" s="3179"/>
      <c r="J87" s="3179"/>
      <c r="K87" s="3179"/>
      <c r="L87" s="3179"/>
      <c r="M87" s="3179"/>
      <c r="N87" s="3179"/>
      <c r="O87" s="3179"/>
      <c r="P87" s="3179"/>
      <c r="Q87" s="3179"/>
      <c r="R87" s="3179"/>
      <c r="S87" s="3179"/>
      <c r="T87" s="3179"/>
      <c r="U87" s="3179"/>
      <c r="V87" s="3179"/>
      <c r="W87" s="3179"/>
      <c r="X87" s="3179"/>
      <c r="Y87" s="3179"/>
      <c r="Z87" s="3179"/>
      <c r="AA87" s="3179"/>
      <c r="AB87" s="3179"/>
      <c r="AC87" s="3179"/>
      <c r="AD87" s="3179"/>
      <c r="AE87" s="3179"/>
      <c r="AF87" s="3179"/>
      <c r="AG87" s="3179"/>
      <c r="AH87" s="3179"/>
      <c r="AI87" s="3179"/>
      <c r="AJ87" s="1853"/>
      <c r="AK87" s="625"/>
      <c r="AL87" s="23"/>
      <c r="AQ87" s="2737"/>
      <c r="AR87" s="2737"/>
      <c r="AS87" s="2737"/>
      <c r="AT87" s="3086"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6"/>
    </row>
    <row r="88" spans="1:47" ht="12" customHeight="1" x14ac:dyDescent="0.2">
      <c r="A88" s="9"/>
      <c r="B88" s="812"/>
      <c r="C88" s="2039"/>
      <c r="D88" s="2704"/>
      <c r="E88" s="2704"/>
      <c r="F88" s="2704"/>
      <c r="G88" s="3179"/>
      <c r="H88" s="3179"/>
      <c r="I88" s="3179"/>
      <c r="J88" s="3179"/>
      <c r="K88" s="3179"/>
      <c r="L88" s="3179"/>
      <c r="M88" s="3179"/>
      <c r="N88" s="3179"/>
      <c r="O88" s="3179"/>
      <c r="P88" s="3179"/>
      <c r="Q88" s="3179"/>
      <c r="R88" s="3179"/>
      <c r="S88" s="3179"/>
      <c r="T88" s="3179"/>
      <c r="U88" s="3179"/>
      <c r="V88" s="3179"/>
      <c r="W88" s="3179"/>
      <c r="X88" s="3179"/>
      <c r="Y88" s="3179"/>
      <c r="Z88" s="3179"/>
      <c r="AA88" s="3179"/>
      <c r="AB88" s="3179"/>
      <c r="AC88" s="3179"/>
      <c r="AD88" s="3179"/>
      <c r="AE88" s="3179"/>
      <c r="AF88" s="3179"/>
      <c r="AG88" s="3179"/>
      <c r="AH88" s="3179"/>
      <c r="AI88" s="3179"/>
      <c r="AJ88" s="1853"/>
      <c r="AK88" s="625"/>
      <c r="AL88" s="23"/>
      <c r="AQ88" s="2737"/>
      <c r="AR88" s="2737"/>
      <c r="AS88" s="2737"/>
      <c r="AT88" s="3086"/>
      <c r="AU88" s="3086"/>
    </row>
    <row r="89" spans="1:47" ht="12" customHeight="1" x14ac:dyDescent="0.2">
      <c r="A89" s="9"/>
      <c r="B89" s="812"/>
      <c r="C89" s="2039"/>
      <c r="D89" s="2704"/>
      <c r="E89" s="2704"/>
      <c r="F89" s="2704"/>
      <c r="G89" s="3179"/>
      <c r="H89" s="3179"/>
      <c r="I89" s="3179"/>
      <c r="J89" s="3179"/>
      <c r="K89" s="3179"/>
      <c r="L89" s="3179"/>
      <c r="M89" s="3179"/>
      <c r="N89" s="3179"/>
      <c r="O89" s="3179"/>
      <c r="P89" s="3179"/>
      <c r="Q89" s="3179"/>
      <c r="R89" s="3179"/>
      <c r="S89" s="3179"/>
      <c r="T89" s="3179"/>
      <c r="U89" s="3179"/>
      <c r="V89" s="3179"/>
      <c r="W89" s="3179"/>
      <c r="X89" s="3179"/>
      <c r="Y89" s="3179"/>
      <c r="Z89" s="3179"/>
      <c r="AA89" s="3179"/>
      <c r="AB89" s="3179"/>
      <c r="AC89" s="3179"/>
      <c r="AD89" s="3179"/>
      <c r="AE89" s="3179"/>
      <c r="AF89" s="3179"/>
      <c r="AG89" s="3179"/>
      <c r="AH89" s="3179"/>
      <c r="AI89" s="3179"/>
      <c r="AJ89" s="1853"/>
      <c r="AK89" s="625"/>
      <c r="AL89" s="23"/>
      <c r="AQ89" s="2737"/>
      <c r="AR89" s="2737"/>
      <c r="AS89" s="2737"/>
      <c r="AT89" s="3086"/>
      <c r="AU89" s="3086"/>
    </row>
    <row r="90" spans="1:47" ht="12" customHeight="1" x14ac:dyDescent="0.2">
      <c r="A90" s="9"/>
      <c r="B90" s="812"/>
      <c r="C90" s="2039"/>
      <c r="D90" s="1838"/>
      <c r="E90" s="1838"/>
      <c r="F90" s="1838"/>
      <c r="G90" s="3186"/>
      <c r="H90" s="3186"/>
      <c r="I90" s="3186"/>
      <c r="J90" s="3186"/>
      <c r="K90" s="3186"/>
      <c r="L90" s="3186"/>
      <c r="M90" s="3186"/>
      <c r="N90" s="3186"/>
      <c r="O90" s="3186"/>
      <c r="P90" s="3186"/>
      <c r="Q90" s="3186"/>
      <c r="R90" s="3186"/>
      <c r="S90" s="3186"/>
      <c r="T90" s="3186"/>
      <c r="U90" s="3186"/>
      <c r="V90" s="3186"/>
      <c r="W90" s="3186"/>
      <c r="X90" s="3186"/>
      <c r="Y90" s="3186"/>
      <c r="Z90" s="3186"/>
      <c r="AA90" s="3186"/>
      <c r="AB90" s="3186"/>
      <c r="AC90" s="3186"/>
      <c r="AD90" s="3186"/>
      <c r="AE90" s="3186"/>
      <c r="AF90" s="3186"/>
      <c r="AG90" s="3186"/>
      <c r="AH90" s="3186"/>
      <c r="AI90" s="3186"/>
      <c r="AJ90" s="1853"/>
      <c r="AK90" s="625"/>
      <c r="AL90" s="23"/>
      <c r="AQ90" s="2736"/>
      <c r="AR90" s="2736"/>
      <c r="AS90" s="2736"/>
      <c r="AT90" s="3086"/>
      <c r="AU90" s="3086"/>
    </row>
    <row r="91" spans="1:47" ht="2.25" customHeight="1" x14ac:dyDescent="0.2">
      <c r="A91" s="9"/>
      <c r="B91" s="812"/>
      <c r="C91" s="2039"/>
      <c r="D91" s="2704"/>
      <c r="E91" s="2704"/>
      <c r="F91" s="2704"/>
      <c r="G91" s="2671"/>
      <c r="H91" s="2671"/>
      <c r="I91" s="2671"/>
      <c r="J91" s="2671"/>
      <c r="K91" s="2671"/>
      <c r="L91" s="2671"/>
      <c r="M91" s="2671"/>
      <c r="N91" s="2671"/>
      <c r="O91" s="2671"/>
      <c r="P91" s="2671"/>
      <c r="Q91" s="2671"/>
      <c r="R91" s="2671"/>
      <c r="S91" s="2671"/>
      <c r="T91" s="2671"/>
      <c r="U91" s="2671"/>
      <c r="V91" s="2671"/>
      <c r="W91" s="2671"/>
      <c r="X91" s="2671"/>
      <c r="Y91" s="2671"/>
      <c r="Z91" s="2671"/>
      <c r="AA91" s="2671"/>
      <c r="AB91" s="2671"/>
      <c r="AC91" s="2671"/>
      <c r="AD91" s="2671"/>
      <c r="AE91" s="2671"/>
      <c r="AF91" s="2671"/>
      <c r="AG91" s="2671"/>
      <c r="AH91" s="2671"/>
      <c r="AI91" s="2671"/>
      <c r="AJ91" s="1853"/>
      <c r="AK91" s="625"/>
      <c r="AL91" s="23"/>
      <c r="AQ91" s="2736"/>
      <c r="AR91" s="2736"/>
      <c r="AS91" s="2736"/>
      <c r="AT91" s="3086"/>
      <c r="AU91" s="3086"/>
    </row>
    <row r="92" spans="1:47" ht="1.5" customHeight="1" x14ac:dyDescent="0.2">
      <c r="A92" s="9"/>
      <c r="B92" s="813"/>
      <c r="C92" s="2040"/>
      <c r="D92" s="3205" t="s">
        <v>1361</v>
      </c>
      <c r="E92" s="3205"/>
      <c r="F92" s="3205"/>
      <c r="G92" s="2563"/>
      <c r="H92" s="2563"/>
      <c r="I92" s="2563"/>
      <c r="J92" s="2563"/>
      <c r="K92" s="2563"/>
      <c r="L92" s="3187" t="s">
        <v>1895</v>
      </c>
      <c r="M92" s="3187"/>
      <c r="N92" s="3187"/>
      <c r="O92" s="3187"/>
      <c r="P92" s="3187"/>
      <c r="Q92" s="3187"/>
      <c r="R92" s="3187"/>
      <c r="S92" s="2563"/>
      <c r="T92" s="2563"/>
      <c r="U92" s="2563"/>
      <c r="V92" s="2563"/>
      <c r="W92" s="2563"/>
      <c r="X92" s="2563"/>
      <c r="Y92" s="2563"/>
      <c r="Z92" s="2563"/>
      <c r="AA92" s="2563"/>
      <c r="AB92" s="2563"/>
      <c r="AC92" s="2563"/>
      <c r="AD92" s="2563"/>
      <c r="AE92" s="2563"/>
      <c r="AF92" s="2563"/>
      <c r="AG92" s="2563"/>
      <c r="AH92" s="2563"/>
      <c r="AI92" s="2563"/>
      <c r="AJ92" s="1847"/>
      <c r="AK92" s="625"/>
      <c r="AL92" s="22"/>
      <c r="AQ92" s="2736"/>
      <c r="AR92" s="2736"/>
      <c r="AS92" s="2736"/>
      <c r="AT92" s="3086"/>
      <c r="AU92" s="3086"/>
    </row>
    <row r="93" spans="1:47" ht="12" customHeight="1" x14ac:dyDescent="0.2">
      <c r="A93" s="9"/>
      <c r="B93" s="812"/>
      <c r="C93" s="2039"/>
      <c r="D93" s="3205"/>
      <c r="E93" s="3205"/>
      <c r="F93" s="3205"/>
      <c r="G93" s="3202" t="str">
        <f>Tamaño&amp;", "&amp;Principal!L6</f>
        <v>1, Medio</v>
      </c>
      <c r="H93" s="3202"/>
      <c r="I93" s="3202"/>
      <c r="J93" s="3202"/>
      <c r="K93" s="3202"/>
      <c r="L93" s="3187"/>
      <c r="M93" s="3187"/>
      <c r="N93" s="3187"/>
      <c r="O93" s="3187"/>
      <c r="P93" s="3187"/>
      <c r="Q93" s="3187"/>
      <c r="R93" s="3187"/>
      <c r="S93" s="3184" t="str">
        <f>Tablas!T65</f>
        <v>1 (&lt; 1 m / asalto)</v>
      </c>
      <c r="T93" s="3184"/>
      <c r="U93" s="3184"/>
      <c r="V93" s="3184"/>
      <c r="W93" s="3184"/>
      <c r="X93" s="3184"/>
      <c r="Y93" s="3184"/>
      <c r="Z93" s="3184"/>
      <c r="AA93" s="3184"/>
      <c r="AB93" s="3184"/>
      <c r="AC93" s="3184"/>
      <c r="AD93" s="3184"/>
      <c r="AE93" s="3184"/>
      <c r="AF93" s="3184"/>
      <c r="AG93" s="3184"/>
      <c r="AH93" s="3184"/>
      <c r="AI93" s="3184"/>
      <c r="AJ93" s="1850"/>
      <c r="AK93" s="625"/>
      <c r="AL93" s="23"/>
      <c r="AQ93" s="2736"/>
      <c r="AR93" s="2736"/>
      <c r="AS93" s="2736"/>
      <c r="AT93" s="3086"/>
      <c r="AU93" s="3086"/>
    </row>
    <row r="94" spans="1:47" ht="1.5" customHeight="1" x14ac:dyDescent="0.2">
      <c r="A94" s="9"/>
      <c r="B94" s="813"/>
      <c r="C94" s="2040"/>
      <c r="D94" s="2563"/>
      <c r="E94" s="2563"/>
      <c r="F94" s="2563"/>
      <c r="G94" s="2563"/>
      <c r="H94" s="2563"/>
      <c r="I94" s="2563"/>
      <c r="J94" s="2563"/>
      <c r="K94" s="2563"/>
      <c r="L94" s="3187" t="s">
        <v>1894</v>
      </c>
      <c r="M94" s="3187"/>
      <c r="N94" s="3187"/>
      <c r="O94" s="3187"/>
      <c r="P94" s="3187"/>
      <c r="Q94" s="2563"/>
      <c r="R94" s="2563"/>
      <c r="S94" s="2563"/>
      <c r="T94" s="2563"/>
      <c r="U94" s="2563"/>
      <c r="V94" s="2563"/>
      <c r="W94" s="2563"/>
      <c r="X94" s="2563"/>
      <c r="Y94" s="2563"/>
      <c r="Z94" s="2563"/>
      <c r="AA94" s="2563"/>
      <c r="AB94" s="2563"/>
      <c r="AC94" s="2563"/>
      <c r="AD94" s="2563"/>
      <c r="AE94" s="2563"/>
      <c r="AF94" s="2563"/>
      <c r="AG94" s="2563"/>
      <c r="AH94" s="2563"/>
      <c r="AI94" s="2563"/>
      <c r="AJ94" s="1847"/>
      <c r="AK94" s="625"/>
      <c r="AL94" s="22"/>
      <c r="AQ94" s="2736"/>
      <c r="AR94" s="2736"/>
      <c r="AS94" s="2736"/>
      <c r="AT94" s="3086"/>
      <c r="AU94" s="3086"/>
    </row>
    <row r="95" spans="1:47" ht="13.5" customHeight="1" x14ac:dyDescent="0.2">
      <c r="A95" s="9"/>
      <c r="B95" s="812"/>
      <c r="C95" s="2039"/>
      <c r="D95" s="2158" t="s">
        <v>1896</v>
      </c>
      <c r="E95" s="1838"/>
      <c r="F95" s="1838"/>
      <c r="G95" s="1838"/>
      <c r="H95" s="3198" t="str">
        <f>IF(Cansancio=0,"Incansable",Cansancio)</f>
        <v>Incansable</v>
      </c>
      <c r="I95" s="3198"/>
      <c r="J95" s="3198"/>
      <c r="K95" s="3198"/>
      <c r="L95" s="3200"/>
      <c r="M95" s="3200"/>
      <c r="N95" s="3200"/>
      <c r="O95" s="3200"/>
      <c r="P95" s="3200"/>
      <c r="Q95" s="3201" t="str">
        <f>Regeneración&amp;IF(Regeneración=0," Ninguna"," ("&amp;Principal!K11&amp;" y pen: "&amp;Principal!K12&amp;")")</f>
        <v>0 Ninguna</v>
      </c>
      <c r="R95" s="3201"/>
      <c r="S95" s="3201"/>
      <c r="T95" s="3201"/>
      <c r="U95" s="3201"/>
      <c r="V95" s="3201"/>
      <c r="W95" s="3201"/>
      <c r="X95" s="3201"/>
      <c r="Y95" s="3201"/>
      <c r="Z95" s="3201"/>
      <c r="AA95" s="2158"/>
      <c r="AB95" s="2158"/>
      <c r="AC95" s="2158"/>
      <c r="AD95" s="2158"/>
      <c r="AE95" s="2158"/>
      <c r="AF95" s="2308" t="s">
        <v>1423</v>
      </c>
      <c r="AG95" s="2669" t="str">
        <f>"  "&amp;Principal!J32</f>
        <v xml:space="preserve">  1</v>
      </c>
      <c r="AH95" s="2669"/>
      <c r="AI95" s="2669"/>
      <c r="AJ95" s="1850"/>
      <c r="AK95" s="625"/>
      <c r="AL95" s="23"/>
      <c r="AQ95" s="2736"/>
      <c r="AR95" s="2736"/>
      <c r="AS95" s="2736"/>
      <c r="AT95" s="3086"/>
      <c r="AU95" s="3086"/>
    </row>
    <row r="96" spans="1:47" ht="2.25" customHeight="1" thickBot="1" x14ac:dyDescent="0.25">
      <c r="A96" s="9"/>
      <c r="B96" s="485"/>
      <c r="C96" s="2705"/>
      <c r="D96" s="2704"/>
      <c r="E96" s="2704"/>
      <c r="F96" s="2704"/>
      <c r="G96" s="2704"/>
      <c r="H96" s="2704"/>
      <c r="I96" s="2671"/>
      <c r="J96" s="2671"/>
      <c r="K96" s="2671"/>
      <c r="L96" s="2671"/>
      <c r="M96" s="2671"/>
      <c r="N96" s="2671"/>
      <c r="O96" s="2671"/>
      <c r="P96" s="2671"/>
      <c r="Q96" s="2671"/>
      <c r="R96" s="2671"/>
      <c r="S96" s="2671"/>
      <c r="T96" s="2671"/>
      <c r="U96" s="2671"/>
      <c r="V96" s="2671"/>
      <c r="W96" s="2671"/>
      <c r="X96" s="2671"/>
      <c r="Y96" s="2671"/>
      <c r="Z96" s="2671"/>
      <c r="AA96" s="2671"/>
      <c r="AB96" s="2671"/>
      <c r="AC96" s="2671"/>
      <c r="AD96" s="2671"/>
      <c r="AE96" s="2671"/>
      <c r="AF96" s="2671"/>
      <c r="AG96" s="2671"/>
      <c r="AH96" s="2671"/>
      <c r="AI96" s="2671"/>
      <c r="AJ96" s="1853"/>
      <c r="AK96" s="625"/>
      <c r="AL96" s="23"/>
      <c r="AN96" s="575"/>
      <c r="AO96" s="575"/>
      <c r="AP96" s="575"/>
      <c r="AQ96" s="2738"/>
      <c r="AR96" s="2738"/>
      <c r="AS96" s="2738"/>
      <c r="AT96" s="3086"/>
      <c r="AU96" s="3086"/>
    </row>
    <row r="97" spans="1:47" ht="12" customHeight="1" x14ac:dyDescent="0.2">
      <c r="A97" s="9"/>
      <c r="B97" s="812"/>
      <c r="C97" s="2039"/>
      <c r="D97" s="2680" t="s">
        <v>1897</v>
      </c>
      <c r="E97" s="2680"/>
      <c r="F97" s="2680"/>
      <c r="G97" s="2680"/>
      <c r="H97" s="2680"/>
      <c r="I97" s="2680"/>
      <c r="J97" s="2680"/>
      <c r="K97" s="2680"/>
      <c r="L97" s="2680"/>
      <c r="M97" s="2694"/>
      <c r="N97" s="2704"/>
      <c r="O97" s="2704"/>
      <c r="P97" s="2704"/>
      <c r="Q97" s="2704"/>
      <c r="R97" s="2704"/>
      <c r="S97" s="2704"/>
      <c r="T97" s="2704"/>
      <c r="U97" s="2704"/>
      <c r="V97" s="2704"/>
      <c r="W97" s="2704"/>
      <c r="X97" s="2704"/>
      <c r="Y97" s="2704"/>
      <c r="Z97" s="2704"/>
      <c r="AA97" s="2704"/>
      <c r="AB97" s="2704"/>
      <c r="AC97" s="2704"/>
      <c r="AD97" s="2704"/>
      <c r="AE97" s="2704"/>
      <c r="AF97" s="2704"/>
      <c r="AG97" s="2704"/>
      <c r="AH97" s="2704"/>
      <c r="AI97" s="2704"/>
      <c r="AJ97" s="1850"/>
      <c r="AK97" s="625"/>
      <c r="AL97" s="23"/>
      <c r="AN97" s="3158" t="s">
        <v>9595</v>
      </c>
      <c r="AO97" s="3159"/>
      <c r="AP97" s="3160"/>
      <c r="AQ97" s="2732"/>
      <c r="AR97" s="2732"/>
      <c r="AS97" s="2732"/>
      <c r="AT97" s="3086"/>
      <c r="AU97" s="3086"/>
    </row>
    <row r="98" spans="1:47" ht="12" customHeight="1" x14ac:dyDescent="0.2">
      <c r="A98" s="9"/>
      <c r="B98" s="812"/>
      <c r="C98" s="2039"/>
      <c r="D98" s="3179" t="str">
        <f>IF(AN99=AT100,Tablas!N2029,Tablas!K2029)</f>
        <v/>
      </c>
      <c r="E98" s="3179"/>
      <c r="F98" s="3179"/>
      <c r="G98" s="3179"/>
      <c r="H98" s="3179"/>
      <c r="I98" s="3179"/>
      <c r="J98" s="3179"/>
      <c r="K98" s="3179"/>
      <c r="L98" s="3179"/>
      <c r="M98" s="3179"/>
      <c r="N98" s="3179"/>
      <c r="O98" s="3179"/>
      <c r="P98" s="3179"/>
      <c r="Q98" s="3179"/>
      <c r="R98" s="3179"/>
      <c r="S98" s="3179"/>
      <c r="T98" s="3179"/>
      <c r="U98" s="3179"/>
      <c r="V98" s="3179"/>
      <c r="W98" s="3179"/>
      <c r="X98" s="3179"/>
      <c r="Y98" s="3179"/>
      <c r="Z98" s="3179"/>
      <c r="AA98" s="3179"/>
      <c r="AB98" s="3179"/>
      <c r="AC98" s="3179"/>
      <c r="AD98" s="3179"/>
      <c r="AE98" s="3179"/>
      <c r="AF98" s="3179"/>
      <c r="AG98" s="3179"/>
      <c r="AH98" s="3179"/>
      <c r="AI98" s="3179"/>
      <c r="AJ98" s="1853"/>
      <c r="AK98" s="625"/>
      <c r="AL98" s="23"/>
      <c r="AN98" s="3181"/>
      <c r="AO98" s="3182"/>
      <c r="AP98" s="3183"/>
      <c r="AQ98" s="2732"/>
      <c r="AR98" s="2732"/>
      <c r="AS98" s="2732"/>
      <c r="AT98" s="3086"/>
      <c r="AU98" s="3086"/>
    </row>
    <row r="99" spans="1:47" ht="12" customHeight="1" x14ac:dyDescent="0.2">
      <c r="A99" s="9"/>
      <c r="B99" s="812"/>
      <c r="C99" s="2039"/>
      <c r="D99" s="3179"/>
      <c r="E99" s="3179"/>
      <c r="F99" s="3179"/>
      <c r="G99" s="3179"/>
      <c r="H99" s="3179"/>
      <c r="I99" s="3179"/>
      <c r="J99" s="3179"/>
      <c r="K99" s="3179"/>
      <c r="L99" s="3179"/>
      <c r="M99" s="3179"/>
      <c r="N99" s="3179"/>
      <c r="O99" s="3179"/>
      <c r="P99" s="3179"/>
      <c r="Q99" s="3179"/>
      <c r="R99" s="3179"/>
      <c r="S99" s="3179"/>
      <c r="T99" s="3179"/>
      <c r="U99" s="3179"/>
      <c r="V99" s="3179"/>
      <c r="W99" s="3179"/>
      <c r="X99" s="3179"/>
      <c r="Y99" s="3179"/>
      <c r="Z99" s="3179"/>
      <c r="AA99" s="3179"/>
      <c r="AB99" s="3179"/>
      <c r="AC99" s="3179"/>
      <c r="AD99" s="3179"/>
      <c r="AE99" s="3179"/>
      <c r="AF99" s="3179"/>
      <c r="AG99" s="3179"/>
      <c r="AH99" s="3179"/>
      <c r="AI99" s="3179"/>
      <c r="AJ99" s="1853"/>
      <c r="AK99" s="625"/>
      <c r="AL99" s="23"/>
      <c r="AN99" s="3207" t="s">
        <v>9594</v>
      </c>
      <c r="AO99" s="3208"/>
      <c r="AP99" s="3209"/>
      <c r="AQ99" s="2734"/>
      <c r="AR99" s="2734"/>
      <c r="AS99" s="2734"/>
      <c r="AT99" s="3092" t="s">
        <v>9593</v>
      </c>
      <c r="AU99" s="3086"/>
    </row>
    <row r="100" spans="1:47" ht="12" customHeight="1" thickBot="1" x14ac:dyDescent="0.25">
      <c r="A100" s="9"/>
      <c r="B100" s="812"/>
      <c r="C100" s="2039"/>
      <c r="D100" s="3179"/>
      <c r="E100" s="3179"/>
      <c r="F100" s="3179"/>
      <c r="G100" s="3179"/>
      <c r="H100" s="3179"/>
      <c r="I100" s="3179"/>
      <c r="J100" s="3179"/>
      <c r="K100" s="3179"/>
      <c r="L100" s="3179"/>
      <c r="M100" s="3179"/>
      <c r="N100" s="3179"/>
      <c r="O100" s="3179"/>
      <c r="P100" s="3179"/>
      <c r="Q100" s="3179"/>
      <c r="R100" s="3179"/>
      <c r="S100" s="3179"/>
      <c r="T100" s="3179"/>
      <c r="U100" s="3179"/>
      <c r="V100" s="3179"/>
      <c r="W100" s="3179"/>
      <c r="X100" s="3179"/>
      <c r="Y100" s="3179"/>
      <c r="Z100" s="3179"/>
      <c r="AA100" s="3179"/>
      <c r="AB100" s="3179"/>
      <c r="AC100" s="3179"/>
      <c r="AD100" s="3179"/>
      <c r="AE100" s="3179"/>
      <c r="AF100" s="3179"/>
      <c r="AG100" s="3179"/>
      <c r="AH100" s="3179"/>
      <c r="AI100" s="3179"/>
      <c r="AJ100" s="1853"/>
      <c r="AK100" s="625"/>
      <c r="AL100" s="23"/>
      <c r="AN100" s="3210"/>
      <c r="AO100" s="3211"/>
      <c r="AP100" s="3212"/>
      <c r="AQ100" s="2734"/>
      <c r="AR100" s="2734"/>
      <c r="AS100" s="2734"/>
      <c r="AT100" s="3090" t="s">
        <v>9594</v>
      </c>
      <c r="AU100" s="3086"/>
    </row>
    <row r="101" spans="1:47" ht="12" customHeight="1" x14ac:dyDescent="0.2">
      <c r="A101" s="9"/>
      <c r="B101" s="812"/>
      <c r="C101" s="2039"/>
      <c r="D101" s="3179"/>
      <c r="E101" s="3179"/>
      <c r="F101" s="3179"/>
      <c r="G101" s="3179"/>
      <c r="H101" s="3179"/>
      <c r="I101" s="3179"/>
      <c r="J101" s="3179"/>
      <c r="K101" s="3179"/>
      <c r="L101" s="3179"/>
      <c r="M101" s="3179"/>
      <c r="N101" s="3179"/>
      <c r="O101" s="3179"/>
      <c r="P101" s="3179"/>
      <c r="Q101" s="3179"/>
      <c r="R101" s="3179"/>
      <c r="S101" s="3179"/>
      <c r="T101" s="3179"/>
      <c r="U101" s="3179"/>
      <c r="V101" s="3179"/>
      <c r="W101" s="3179"/>
      <c r="X101" s="3179"/>
      <c r="Y101" s="3179"/>
      <c r="Z101" s="3179"/>
      <c r="AA101" s="3179"/>
      <c r="AB101" s="3179"/>
      <c r="AC101" s="3179"/>
      <c r="AD101" s="3179"/>
      <c r="AE101" s="3179"/>
      <c r="AF101" s="3179"/>
      <c r="AG101" s="3179"/>
      <c r="AH101" s="3179"/>
      <c r="AI101" s="3179"/>
      <c r="AJ101" s="1853"/>
      <c r="AK101" s="625"/>
      <c r="AL101" s="23"/>
      <c r="AN101" s="3158" t="s">
        <v>10057</v>
      </c>
      <c r="AO101" s="3159"/>
      <c r="AP101" s="3160"/>
      <c r="AQ101" s="2732"/>
      <c r="AR101" s="2732"/>
      <c r="AS101" s="2732"/>
      <c r="AT101" s="3086"/>
      <c r="AU101" s="3086"/>
    </row>
    <row r="102" spans="1:47" ht="12" customHeight="1" x14ac:dyDescent="0.2">
      <c r="A102" s="9"/>
      <c r="B102" s="812"/>
      <c r="C102" s="2039"/>
      <c r="D102" s="3179"/>
      <c r="E102" s="3179"/>
      <c r="F102" s="3179"/>
      <c r="G102" s="3179"/>
      <c r="H102" s="3179"/>
      <c r="I102" s="3179"/>
      <c r="J102" s="3179"/>
      <c r="K102" s="3179"/>
      <c r="L102" s="3179"/>
      <c r="M102" s="3179"/>
      <c r="N102" s="3179"/>
      <c r="O102" s="3179"/>
      <c r="P102" s="3179"/>
      <c r="Q102" s="3179"/>
      <c r="R102" s="3179"/>
      <c r="S102" s="3179"/>
      <c r="T102" s="3179"/>
      <c r="U102" s="3179"/>
      <c r="V102" s="3179"/>
      <c r="W102" s="3179"/>
      <c r="X102" s="3179"/>
      <c r="Y102" s="3179"/>
      <c r="Z102" s="3179"/>
      <c r="AA102" s="3179"/>
      <c r="AB102" s="3179"/>
      <c r="AC102" s="3179"/>
      <c r="AD102" s="3179"/>
      <c r="AE102" s="3179"/>
      <c r="AF102" s="3179"/>
      <c r="AG102" s="3179"/>
      <c r="AH102" s="3179"/>
      <c r="AI102" s="3179"/>
      <c r="AJ102" s="1853"/>
      <c r="AK102" s="625"/>
      <c r="AL102" s="23"/>
      <c r="AN102" s="3213" t="s">
        <v>1381</v>
      </c>
      <c r="AO102" s="3214"/>
      <c r="AP102" s="3215"/>
      <c r="AQ102" s="2739"/>
      <c r="AR102" s="2739"/>
      <c r="AS102" s="2739"/>
      <c r="AT102" s="3086"/>
      <c r="AU102" s="3086"/>
    </row>
    <row r="103" spans="1:47" ht="12" customHeight="1" thickBot="1" x14ac:dyDescent="0.25">
      <c r="A103" s="9"/>
      <c r="B103" s="812"/>
      <c r="C103" s="2677"/>
      <c r="D103" s="3185"/>
      <c r="E103" s="3185"/>
      <c r="F103" s="3185"/>
      <c r="G103" s="3185"/>
      <c r="H103" s="3185"/>
      <c r="I103" s="3185"/>
      <c r="J103" s="3185"/>
      <c r="K103" s="3185"/>
      <c r="L103" s="3185"/>
      <c r="M103" s="3185"/>
      <c r="N103" s="3185"/>
      <c r="O103" s="3185"/>
      <c r="P103" s="3185"/>
      <c r="Q103" s="3185"/>
      <c r="R103" s="3185"/>
      <c r="S103" s="3185"/>
      <c r="T103" s="3185"/>
      <c r="U103" s="3185"/>
      <c r="V103" s="3185"/>
      <c r="W103" s="3185"/>
      <c r="X103" s="3185"/>
      <c r="Y103" s="3185"/>
      <c r="Z103" s="3185"/>
      <c r="AA103" s="3185"/>
      <c r="AB103" s="3185"/>
      <c r="AC103" s="3185"/>
      <c r="AD103" s="3185"/>
      <c r="AE103" s="3185"/>
      <c r="AF103" s="3185"/>
      <c r="AG103" s="3185"/>
      <c r="AH103" s="3185"/>
      <c r="AI103" s="3185"/>
      <c r="AJ103" s="2712"/>
      <c r="AK103" s="625"/>
      <c r="AL103" s="23"/>
      <c r="AN103" s="3210"/>
      <c r="AO103" s="3211"/>
      <c r="AP103" s="3212"/>
      <c r="AQ103" s="2739"/>
      <c r="AR103" s="2739"/>
      <c r="AS103" s="2739"/>
      <c r="AT103" s="3086"/>
      <c r="AU103" s="3086"/>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6"/>
      <c r="AR104" s="2736"/>
      <c r="AS104" s="2736"/>
      <c r="AT104" s="3086"/>
      <c r="AU104" s="3086"/>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6"/>
      <c r="AR105" s="2736"/>
      <c r="AS105" s="2736"/>
      <c r="AT105" s="3086"/>
      <c r="AU105" s="3086"/>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094"/>
      <c r="AQ106" s="2737"/>
      <c r="AR106" s="2737"/>
      <c r="AS106" s="2737"/>
      <c r="AT106" s="3086"/>
      <c r="AU106" s="3086"/>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7"/>
      <c r="AR107" s="2737"/>
      <c r="AS107" s="2737"/>
      <c r="AT107" s="3086"/>
      <c r="AU107" s="3086"/>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7"/>
      <c r="AR108" s="2737"/>
      <c r="AS108" s="2737"/>
      <c r="AT108" s="3086"/>
      <c r="AU108" s="3086"/>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7"/>
      <c r="AR109" s="2737"/>
      <c r="AS109" s="2737"/>
      <c r="AT109" s="3086"/>
      <c r="AU109" s="3086"/>
    </row>
    <row r="110" spans="1:47" ht="12.75" customHeight="1" x14ac:dyDescent="0.2">
      <c r="A110" s="2327"/>
      <c r="B110" s="2302"/>
      <c r="C110" s="1841"/>
      <c r="D110" s="2331"/>
      <c r="E110" s="3199" t="s">
        <v>9600</v>
      </c>
      <c r="F110" s="3199"/>
      <c r="G110" s="3199"/>
      <c r="H110" s="3199"/>
      <c r="I110" s="3199"/>
      <c r="J110" s="3199"/>
      <c r="K110" s="3199"/>
      <c r="L110" s="3199"/>
      <c r="M110" s="3199"/>
      <c r="N110" s="3199"/>
      <c r="O110" s="3199"/>
      <c r="P110" s="3199"/>
      <c r="Q110" s="3199"/>
      <c r="R110" s="3199"/>
      <c r="S110" s="3199"/>
      <c r="T110" s="3199"/>
      <c r="U110" s="3199"/>
      <c r="V110" s="3199"/>
      <c r="W110" s="3199"/>
      <c r="X110" s="3199"/>
      <c r="Y110" s="3199"/>
      <c r="Z110" s="3199"/>
      <c r="AA110" s="3199"/>
      <c r="AB110" s="3199"/>
      <c r="AC110" s="3199"/>
      <c r="AD110" s="3199"/>
      <c r="AE110" s="3199"/>
      <c r="AF110" s="3199"/>
      <c r="AG110" s="3199"/>
      <c r="AH110" s="3199"/>
      <c r="AI110" s="2331"/>
      <c r="AJ110" s="2367"/>
      <c r="AK110" s="1834"/>
      <c r="AL110" s="1833"/>
      <c r="AQ110" s="2737"/>
      <c r="AR110" s="2737"/>
      <c r="AS110" s="2737"/>
      <c r="AT110" s="3086"/>
      <c r="AU110" s="3086"/>
    </row>
    <row r="111" spans="1:47" ht="12.75" customHeight="1" x14ac:dyDescent="0.2">
      <c r="A111" s="2327"/>
      <c r="B111" s="2302"/>
      <c r="C111" s="1841"/>
      <c r="D111" s="2333"/>
      <c r="E111" s="3199"/>
      <c r="F111" s="3199"/>
      <c r="G111" s="3199"/>
      <c r="H111" s="3199"/>
      <c r="I111" s="3199"/>
      <c r="J111" s="3199"/>
      <c r="K111" s="3199"/>
      <c r="L111" s="3199"/>
      <c r="M111" s="3199"/>
      <c r="N111" s="3199"/>
      <c r="O111" s="3199"/>
      <c r="P111" s="3199"/>
      <c r="Q111" s="3199"/>
      <c r="R111" s="3199"/>
      <c r="S111" s="3199"/>
      <c r="T111" s="3199"/>
      <c r="U111" s="3199"/>
      <c r="V111" s="3199"/>
      <c r="W111" s="3199"/>
      <c r="X111" s="3199"/>
      <c r="Y111" s="3199"/>
      <c r="Z111" s="3199"/>
      <c r="AA111" s="3199"/>
      <c r="AB111" s="3199"/>
      <c r="AC111" s="3199"/>
      <c r="AD111" s="3199"/>
      <c r="AE111" s="3199"/>
      <c r="AF111" s="3199"/>
      <c r="AG111" s="3199"/>
      <c r="AH111" s="3199"/>
      <c r="AI111" s="2332"/>
      <c r="AJ111" s="2367"/>
      <c r="AK111" s="1834"/>
      <c r="AL111" s="1833"/>
      <c r="AQ111" s="2737"/>
      <c r="AR111" s="2737"/>
      <c r="AS111" s="2737"/>
      <c r="AT111" s="3086"/>
      <c r="AU111" s="3086"/>
    </row>
    <row r="112" spans="1:47" ht="13.5" customHeight="1" x14ac:dyDescent="0.2">
      <c r="A112" s="2327"/>
      <c r="B112" s="2302"/>
      <c r="C112" s="1841"/>
      <c r="D112" s="3196"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96"/>
      <c r="F112" s="3196"/>
      <c r="G112" s="3196"/>
      <c r="H112" s="3196"/>
      <c r="I112" s="3196"/>
      <c r="J112" s="3196"/>
      <c r="K112" s="3196"/>
      <c r="L112" s="3196"/>
      <c r="M112" s="3196"/>
      <c r="N112" s="3196"/>
      <c r="O112" s="3196"/>
      <c r="P112" s="3196"/>
      <c r="Q112" s="3196"/>
      <c r="R112" s="3196"/>
      <c r="S112" s="3196"/>
      <c r="T112" s="3196"/>
      <c r="U112" s="3196"/>
      <c r="V112" s="3196"/>
      <c r="W112" s="3196"/>
      <c r="X112" s="3196"/>
      <c r="Y112" s="3196"/>
      <c r="Z112" s="3196"/>
      <c r="AA112" s="3196"/>
      <c r="AB112" s="3196"/>
      <c r="AC112" s="3196"/>
      <c r="AD112" s="3196"/>
      <c r="AE112" s="3196"/>
      <c r="AF112" s="3196"/>
      <c r="AG112" s="3196"/>
      <c r="AH112" s="3196"/>
      <c r="AI112" s="3196"/>
      <c r="AJ112" s="2367"/>
      <c r="AK112" s="1834"/>
      <c r="AL112" s="1833"/>
      <c r="AN112" s="3197"/>
      <c r="AO112" s="3197"/>
      <c r="AP112" s="3197"/>
      <c r="AQ112" s="2740"/>
      <c r="AR112" s="2740"/>
      <c r="AS112" s="2740"/>
      <c r="AT112" s="3086"/>
      <c r="AU112" s="3086"/>
    </row>
    <row r="113" spans="1:47" ht="11.45" customHeight="1" x14ac:dyDescent="0.2">
      <c r="A113" s="2327"/>
      <c r="B113" s="2302"/>
      <c r="C113" s="1841"/>
      <c r="D113" s="3196"/>
      <c r="E113" s="3196"/>
      <c r="F113" s="3196"/>
      <c r="G113" s="3196"/>
      <c r="H113" s="3196"/>
      <c r="I113" s="3196"/>
      <c r="J113" s="3196"/>
      <c r="K113" s="3196"/>
      <c r="L113" s="3196"/>
      <c r="M113" s="3196"/>
      <c r="N113" s="3196"/>
      <c r="O113" s="3196"/>
      <c r="P113" s="3196"/>
      <c r="Q113" s="3196"/>
      <c r="R113" s="3196"/>
      <c r="S113" s="3196"/>
      <c r="T113" s="3196"/>
      <c r="U113" s="3196"/>
      <c r="V113" s="3196"/>
      <c r="W113" s="3196"/>
      <c r="X113" s="3196"/>
      <c r="Y113" s="3196"/>
      <c r="Z113" s="3196"/>
      <c r="AA113" s="3196"/>
      <c r="AB113" s="3196"/>
      <c r="AC113" s="3196"/>
      <c r="AD113" s="3196"/>
      <c r="AE113" s="3196"/>
      <c r="AF113" s="3196"/>
      <c r="AG113" s="3196"/>
      <c r="AH113" s="3196"/>
      <c r="AI113" s="3196"/>
      <c r="AJ113" s="2367"/>
      <c r="AK113" s="1834"/>
      <c r="AL113" s="1833"/>
      <c r="AQ113" s="2737"/>
      <c r="AR113" s="2737"/>
      <c r="AS113" s="2737"/>
      <c r="AT113" s="3086"/>
      <c r="AU113" s="3086"/>
    </row>
    <row r="114" spans="1:47" ht="11.45" customHeight="1" x14ac:dyDescent="0.2">
      <c r="A114" s="2327"/>
      <c r="B114" s="2302"/>
      <c r="C114" s="1841"/>
      <c r="D114" s="3196"/>
      <c r="E114" s="3196"/>
      <c r="F114" s="3196"/>
      <c r="G114" s="3196"/>
      <c r="H114" s="3196"/>
      <c r="I114" s="3196"/>
      <c r="J114" s="3196"/>
      <c r="K114" s="3196"/>
      <c r="L114" s="3196"/>
      <c r="M114" s="3196"/>
      <c r="N114" s="3196"/>
      <c r="O114" s="3196"/>
      <c r="P114" s="3196"/>
      <c r="Q114" s="3196"/>
      <c r="R114" s="3196"/>
      <c r="S114" s="3196"/>
      <c r="T114" s="3196"/>
      <c r="U114" s="3196"/>
      <c r="V114" s="3196"/>
      <c r="W114" s="3196"/>
      <c r="X114" s="3196"/>
      <c r="Y114" s="3196"/>
      <c r="Z114" s="3196"/>
      <c r="AA114" s="3196"/>
      <c r="AB114" s="3196"/>
      <c r="AC114" s="3196"/>
      <c r="AD114" s="3196"/>
      <c r="AE114" s="3196"/>
      <c r="AF114" s="3196"/>
      <c r="AG114" s="3196"/>
      <c r="AH114" s="3196"/>
      <c r="AI114" s="3196"/>
      <c r="AJ114" s="2367"/>
      <c r="AK114" s="1834"/>
      <c r="AL114" s="1833"/>
      <c r="AQ114" s="2737"/>
      <c r="AR114" s="2737"/>
      <c r="AS114" s="2737"/>
      <c r="AT114" s="3086"/>
      <c r="AU114" s="3086"/>
    </row>
    <row r="115" spans="1:47" ht="11.45" customHeight="1" x14ac:dyDescent="0.2">
      <c r="A115" s="2327"/>
      <c r="B115" s="2302"/>
      <c r="C115" s="1841"/>
      <c r="D115" s="3196"/>
      <c r="E115" s="3196"/>
      <c r="F115" s="3196"/>
      <c r="G115" s="3196"/>
      <c r="H115" s="3196"/>
      <c r="I115" s="3196"/>
      <c r="J115" s="3196"/>
      <c r="K115" s="3196"/>
      <c r="L115" s="3196"/>
      <c r="M115" s="3196"/>
      <c r="N115" s="3196"/>
      <c r="O115" s="3196"/>
      <c r="P115" s="3196"/>
      <c r="Q115" s="3196"/>
      <c r="R115" s="3196"/>
      <c r="S115" s="3196"/>
      <c r="T115" s="3196"/>
      <c r="U115" s="3196"/>
      <c r="V115" s="3196"/>
      <c r="W115" s="3196"/>
      <c r="X115" s="3196"/>
      <c r="Y115" s="3196"/>
      <c r="Z115" s="3196"/>
      <c r="AA115" s="3196"/>
      <c r="AB115" s="3196"/>
      <c r="AC115" s="3196"/>
      <c r="AD115" s="3196"/>
      <c r="AE115" s="3196"/>
      <c r="AF115" s="3196"/>
      <c r="AG115" s="3196"/>
      <c r="AH115" s="3196"/>
      <c r="AI115" s="3196"/>
      <c r="AJ115" s="2367"/>
      <c r="AK115" s="1835"/>
      <c r="AL115" s="1837"/>
      <c r="AQ115" s="2737"/>
      <c r="AR115" s="2737"/>
      <c r="AS115" s="2737"/>
      <c r="AT115" s="3086"/>
      <c r="AU115" s="3086"/>
    </row>
    <row r="116" spans="1:47" ht="11.45" customHeight="1" x14ac:dyDescent="0.2">
      <c r="A116" s="2327"/>
      <c r="B116" s="2302"/>
      <c r="C116" s="1841"/>
      <c r="D116" s="3196"/>
      <c r="E116" s="3196"/>
      <c r="F116" s="3196"/>
      <c r="G116" s="3196"/>
      <c r="H116" s="3196"/>
      <c r="I116" s="3196"/>
      <c r="J116" s="3196"/>
      <c r="K116" s="3196"/>
      <c r="L116" s="3196"/>
      <c r="M116" s="3196"/>
      <c r="N116" s="3196"/>
      <c r="O116" s="3196"/>
      <c r="P116" s="3196"/>
      <c r="Q116" s="3196"/>
      <c r="R116" s="3196"/>
      <c r="S116" s="3196"/>
      <c r="T116" s="3196"/>
      <c r="U116" s="3196"/>
      <c r="V116" s="3196"/>
      <c r="W116" s="3196"/>
      <c r="X116" s="3196"/>
      <c r="Y116" s="3196"/>
      <c r="Z116" s="3196"/>
      <c r="AA116" s="3196"/>
      <c r="AB116" s="3196"/>
      <c r="AC116" s="3196"/>
      <c r="AD116" s="3196"/>
      <c r="AE116" s="3196"/>
      <c r="AF116" s="3196"/>
      <c r="AG116" s="3196"/>
      <c r="AH116" s="3196"/>
      <c r="AI116" s="3196"/>
      <c r="AJ116" s="2367"/>
      <c r="AK116" s="1835"/>
      <c r="AL116" s="1837"/>
      <c r="AQ116" s="2737"/>
      <c r="AR116" s="2737"/>
      <c r="AS116" s="2737"/>
      <c r="AT116" s="3086"/>
      <c r="AU116" s="3086"/>
    </row>
    <row r="117" spans="1:47" ht="11.45" customHeight="1" x14ac:dyDescent="0.2">
      <c r="A117" s="2327"/>
      <c r="B117" s="2302"/>
      <c r="C117" s="1845"/>
      <c r="D117" s="3196"/>
      <c r="E117" s="3196"/>
      <c r="F117" s="3196"/>
      <c r="G117" s="3196"/>
      <c r="H117" s="3196"/>
      <c r="I117" s="3196"/>
      <c r="J117" s="3196"/>
      <c r="K117" s="3196"/>
      <c r="L117" s="3196"/>
      <c r="M117" s="3196"/>
      <c r="N117" s="3196"/>
      <c r="O117" s="3196"/>
      <c r="P117" s="3196"/>
      <c r="Q117" s="3196"/>
      <c r="R117" s="3196"/>
      <c r="S117" s="3196"/>
      <c r="T117" s="3196"/>
      <c r="U117" s="3196"/>
      <c r="V117" s="3196"/>
      <c r="W117" s="3196"/>
      <c r="X117" s="3196"/>
      <c r="Y117" s="3196"/>
      <c r="Z117" s="3196"/>
      <c r="AA117" s="3196"/>
      <c r="AB117" s="3196"/>
      <c r="AC117" s="3196"/>
      <c r="AD117" s="3196"/>
      <c r="AE117" s="3196"/>
      <c r="AF117" s="3196"/>
      <c r="AG117" s="3196"/>
      <c r="AH117" s="3196"/>
      <c r="AI117" s="3196"/>
      <c r="AJ117" s="2367"/>
      <c r="AK117" s="1835"/>
      <c r="AL117" s="1837"/>
      <c r="AQ117" s="2737"/>
      <c r="AR117" s="2737"/>
      <c r="AS117" s="2737"/>
      <c r="AT117" s="3086"/>
      <c r="AU117" s="3086"/>
    </row>
    <row r="118" spans="1:47" ht="11.45" customHeight="1" x14ac:dyDescent="0.2">
      <c r="A118" s="2327"/>
      <c r="B118" s="2302"/>
      <c r="C118" s="1845"/>
      <c r="D118" s="3196"/>
      <c r="E118" s="3196"/>
      <c r="F118" s="3196"/>
      <c r="G118" s="3196"/>
      <c r="H118" s="3196"/>
      <c r="I118" s="3196"/>
      <c r="J118" s="3196"/>
      <c r="K118" s="3196"/>
      <c r="L118" s="3196"/>
      <c r="M118" s="3196"/>
      <c r="N118" s="3196"/>
      <c r="O118" s="3196"/>
      <c r="P118" s="3196"/>
      <c r="Q118" s="3196"/>
      <c r="R118" s="3196"/>
      <c r="S118" s="3196"/>
      <c r="T118" s="3196"/>
      <c r="U118" s="3196"/>
      <c r="V118" s="3196"/>
      <c r="W118" s="3196"/>
      <c r="X118" s="3196"/>
      <c r="Y118" s="3196"/>
      <c r="Z118" s="3196"/>
      <c r="AA118" s="3196"/>
      <c r="AB118" s="3196"/>
      <c r="AC118" s="3196"/>
      <c r="AD118" s="3196"/>
      <c r="AE118" s="3196"/>
      <c r="AF118" s="3196"/>
      <c r="AG118" s="3196"/>
      <c r="AH118" s="3196"/>
      <c r="AI118" s="3196"/>
      <c r="AJ118" s="2367"/>
      <c r="AK118" s="1835"/>
      <c r="AL118" s="1837"/>
      <c r="AQ118" s="2737"/>
      <c r="AR118" s="2737"/>
      <c r="AS118" s="2737"/>
      <c r="AT118" s="3086"/>
      <c r="AU118" s="3086"/>
    </row>
    <row r="119" spans="1:47" ht="11.45" customHeight="1" x14ac:dyDescent="0.2">
      <c r="A119" s="2327"/>
      <c r="B119" s="2302"/>
      <c r="C119" s="1845"/>
      <c r="D119" s="3196"/>
      <c r="E119" s="3196"/>
      <c r="F119" s="3196"/>
      <c r="G119" s="3196"/>
      <c r="H119" s="3196"/>
      <c r="I119" s="3196"/>
      <c r="J119" s="3196"/>
      <c r="K119" s="3196"/>
      <c r="L119" s="3196"/>
      <c r="M119" s="3196"/>
      <c r="N119" s="3196"/>
      <c r="O119" s="3196"/>
      <c r="P119" s="3196"/>
      <c r="Q119" s="3196"/>
      <c r="R119" s="3196"/>
      <c r="S119" s="3196"/>
      <c r="T119" s="3196"/>
      <c r="U119" s="3196"/>
      <c r="V119" s="3196"/>
      <c r="W119" s="3196"/>
      <c r="X119" s="3196"/>
      <c r="Y119" s="3196"/>
      <c r="Z119" s="3196"/>
      <c r="AA119" s="3196"/>
      <c r="AB119" s="3196"/>
      <c r="AC119" s="3196"/>
      <c r="AD119" s="3196"/>
      <c r="AE119" s="3196"/>
      <c r="AF119" s="3196"/>
      <c r="AG119" s="3196"/>
      <c r="AH119" s="3196"/>
      <c r="AI119" s="3196"/>
      <c r="AJ119" s="2367"/>
      <c r="AK119" s="1835"/>
      <c r="AL119" s="1837"/>
      <c r="AQ119" s="2737"/>
      <c r="AR119" s="2737"/>
      <c r="AS119" s="2737"/>
      <c r="AT119" s="3086"/>
      <c r="AU119" s="3086"/>
    </row>
    <row r="120" spans="1:47" ht="11.45" customHeight="1" x14ac:dyDescent="0.2">
      <c r="A120" s="2327"/>
      <c r="B120" s="2302"/>
      <c r="C120" s="1845"/>
      <c r="D120" s="3196"/>
      <c r="E120" s="3196"/>
      <c r="F120" s="3196"/>
      <c r="G120" s="3196"/>
      <c r="H120" s="3196"/>
      <c r="I120" s="3196"/>
      <c r="J120" s="3196"/>
      <c r="K120" s="3196"/>
      <c r="L120" s="3196"/>
      <c r="M120" s="3196"/>
      <c r="N120" s="3196"/>
      <c r="O120" s="3196"/>
      <c r="P120" s="3196"/>
      <c r="Q120" s="3196"/>
      <c r="R120" s="3196"/>
      <c r="S120" s="3196"/>
      <c r="T120" s="3196"/>
      <c r="U120" s="3196"/>
      <c r="V120" s="3196"/>
      <c r="W120" s="3196"/>
      <c r="X120" s="3196"/>
      <c r="Y120" s="3196"/>
      <c r="Z120" s="3196"/>
      <c r="AA120" s="3196"/>
      <c r="AB120" s="3196"/>
      <c r="AC120" s="3196"/>
      <c r="AD120" s="3196"/>
      <c r="AE120" s="3196"/>
      <c r="AF120" s="3196"/>
      <c r="AG120" s="3196"/>
      <c r="AH120" s="3196"/>
      <c r="AI120" s="3196"/>
      <c r="AJ120" s="2367"/>
      <c r="AK120" s="1835"/>
      <c r="AL120" s="1837"/>
      <c r="AQ120" s="2737"/>
      <c r="AR120" s="2737"/>
      <c r="AS120" s="2737"/>
      <c r="AT120" s="3086"/>
      <c r="AU120" s="3086"/>
    </row>
    <row r="121" spans="1:47" ht="11.45" customHeight="1" x14ac:dyDescent="0.2">
      <c r="A121" s="2327"/>
      <c r="B121" s="2302"/>
      <c r="C121" s="1845"/>
      <c r="D121" s="3196"/>
      <c r="E121" s="3196"/>
      <c r="F121" s="3196"/>
      <c r="G121" s="3196"/>
      <c r="H121" s="3196"/>
      <c r="I121" s="3196"/>
      <c r="J121" s="3196"/>
      <c r="K121" s="3196"/>
      <c r="L121" s="3196"/>
      <c r="M121" s="3196"/>
      <c r="N121" s="3196"/>
      <c r="O121" s="3196"/>
      <c r="P121" s="3196"/>
      <c r="Q121" s="3196"/>
      <c r="R121" s="3196"/>
      <c r="S121" s="3196"/>
      <c r="T121" s="3196"/>
      <c r="U121" s="3196"/>
      <c r="V121" s="3196"/>
      <c r="W121" s="3196"/>
      <c r="X121" s="3196"/>
      <c r="Y121" s="3196"/>
      <c r="Z121" s="3196"/>
      <c r="AA121" s="3196"/>
      <c r="AB121" s="3196"/>
      <c r="AC121" s="3196"/>
      <c r="AD121" s="3196"/>
      <c r="AE121" s="3196"/>
      <c r="AF121" s="3196"/>
      <c r="AG121" s="3196"/>
      <c r="AH121" s="3196"/>
      <c r="AI121" s="3196"/>
      <c r="AJ121" s="2367"/>
      <c r="AK121" s="1835"/>
      <c r="AL121" s="1837"/>
      <c r="AQ121" s="2737"/>
      <c r="AR121" s="2737"/>
      <c r="AS121" s="2737"/>
      <c r="AT121" s="3086"/>
      <c r="AU121" s="3086"/>
    </row>
    <row r="122" spans="1:47" ht="11.45" customHeight="1" x14ac:dyDescent="0.2">
      <c r="A122" s="2327"/>
      <c r="B122" s="2302"/>
      <c r="C122" s="1845"/>
      <c r="D122" s="3196"/>
      <c r="E122" s="3196"/>
      <c r="F122" s="3196"/>
      <c r="G122" s="3196"/>
      <c r="H122" s="3196"/>
      <c r="I122" s="3196"/>
      <c r="J122" s="3196"/>
      <c r="K122" s="3196"/>
      <c r="L122" s="3196"/>
      <c r="M122" s="3196"/>
      <c r="N122" s="3196"/>
      <c r="O122" s="3196"/>
      <c r="P122" s="3196"/>
      <c r="Q122" s="3196"/>
      <c r="R122" s="3196"/>
      <c r="S122" s="3196"/>
      <c r="T122" s="3196"/>
      <c r="U122" s="3196"/>
      <c r="V122" s="3196"/>
      <c r="W122" s="3196"/>
      <c r="X122" s="3196"/>
      <c r="Y122" s="3196"/>
      <c r="Z122" s="3196"/>
      <c r="AA122" s="3196"/>
      <c r="AB122" s="3196"/>
      <c r="AC122" s="3196"/>
      <c r="AD122" s="3196"/>
      <c r="AE122" s="3196"/>
      <c r="AF122" s="3196"/>
      <c r="AG122" s="3196"/>
      <c r="AH122" s="3196"/>
      <c r="AI122" s="3196"/>
      <c r="AJ122" s="2368"/>
      <c r="AK122" s="1835"/>
      <c r="AL122" s="1837"/>
      <c r="AQ122" s="2737"/>
      <c r="AR122" s="2737"/>
      <c r="AS122" s="2737"/>
      <c r="AT122" s="3086"/>
      <c r="AU122" s="3086"/>
    </row>
    <row r="123" spans="1:47" ht="11.45" customHeight="1" x14ac:dyDescent="0.2">
      <c r="A123" s="2327"/>
      <c r="B123" s="2302"/>
      <c r="C123" s="1841"/>
      <c r="D123" s="3196"/>
      <c r="E123" s="3196"/>
      <c r="F123" s="3196"/>
      <c r="G123" s="3196"/>
      <c r="H123" s="3196"/>
      <c r="I123" s="3196"/>
      <c r="J123" s="3196"/>
      <c r="K123" s="3196"/>
      <c r="L123" s="3196"/>
      <c r="M123" s="3196"/>
      <c r="N123" s="3196"/>
      <c r="O123" s="3196"/>
      <c r="P123" s="3196"/>
      <c r="Q123" s="3196"/>
      <c r="R123" s="3196"/>
      <c r="S123" s="3196"/>
      <c r="T123" s="3196"/>
      <c r="U123" s="3196"/>
      <c r="V123" s="3196"/>
      <c r="W123" s="3196"/>
      <c r="X123" s="3196"/>
      <c r="Y123" s="3196"/>
      <c r="Z123" s="3196"/>
      <c r="AA123" s="3196"/>
      <c r="AB123" s="3196"/>
      <c r="AC123" s="3196"/>
      <c r="AD123" s="3196"/>
      <c r="AE123" s="3196"/>
      <c r="AF123" s="3196"/>
      <c r="AG123" s="3196"/>
      <c r="AH123" s="3196"/>
      <c r="AI123" s="3196"/>
      <c r="AJ123" s="2368"/>
      <c r="AK123" s="1835"/>
      <c r="AL123" s="1837"/>
      <c r="AQ123" s="2737"/>
      <c r="AR123" s="2737"/>
      <c r="AS123" s="2737"/>
      <c r="AT123" s="3086"/>
      <c r="AU123" s="3086"/>
    </row>
    <row r="124" spans="1:47" ht="11.45" customHeight="1" x14ac:dyDescent="0.2">
      <c r="A124" s="2326"/>
      <c r="B124" s="2307"/>
      <c r="C124" s="2369"/>
      <c r="D124" s="3196"/>
      <c r="E124" s="3196"/>
      <c r="F124" s="3196"/>
      <c r="G124" s="3196"/>
      <c r="H124" s="3196"/>
      <c r="I124" s="3196"/>
      <c r="J124" s="3196"/>
      <c r="K124" s="3196"/>
      <c r="L124" s="3196"/>
      <c r="M124" s="3196"/>
      <c r="N124" s="3196"/>
      <c r="O124" s="3196"/>
      <c r="P124" s="3196"/>
      <c r="Q124" s="3196"/>
      <c r="R124" s="3196"/>
      <c r="S124" s="3196"/>
      <c r="T124" s="3196"/>
      <c r="U124" s="3196"/>
      <c r="V124" s="3196"/>
      <c r="W124" s="3196"/>
      <c r="X124" s="3196"/>
      <c r="Y124" s="3196"/>
      <c r="Z124" s="3196"/>
      <c r="AA124" s="3196"/>
      <c r="AB124" s="3196"/>
      <c r="AC124" s="3196"/>
      <c r="AD124" s="3196"/>
      <c r="AE124" s="3196"/>
      <c r="AF124" s="3196"/>
      <c r="AG124" s="3196"/>
      <c r="AH124" s="3196"/>
      <c r="AI124" s="3196"/>
      <c r="AJ124" s="2370"/>
      <c r="AK124" s="1392"/>
      <c r="AL124" s="949"/>
      <c r="AQ124" s="2737"/>
      <c r="AR124" s="2737"/>
      <c r="AS124" s="2737"/>
      <c r="AT124" s="3086"/>
      <c r="AU124" s="3086"/>
    </row>
    <row r="125" spans="1:47" ht="11.45" customHeight="1" x14ac:dyDescent="0.2">
      <c r="A125" s="2327"/>
      <c r="B125" s="2302"/>
      <c r="C125" s="1845"/>
      <c r="D125" s="3196"/>
      <c r="E125" s="3196"/>
      <c r="F125" s="3196"/>
      <c r="G125" s="3196"/>
      <c r="H125" s="3196"/>
      <c r="I125" s="3196"/>
      <c r="J125" s="3196"/>
      <c r="K125" s="3196"/>
      <c r="L125" s="3196"/>
      <c r="M125" s="3196"/>
      <c r="N125" s="3196"/>
      <c r="O125" s="3196"/>
      <c r="P125" s="3196"/>
      <c r="Q125" s="3196"/>
      <c r="R125" s="3196"/>
      <c r="S125" s="3196"/>
      <c r="T125" s="3196"/>
      <c r="U125" s="3196"/>
      <c r="V125" s="3196"/>
      <c r="W125" s="3196"/>
      <c r="X125" s="3196"/>
      <c r="Y125" s="3196"/>
      <c r="Z125" s="3196"/>
      <c r="AA125" s="3196"/>
      <c r="AB125" s="3196"/>
      <c r="AC125" s="3196"/>
      <c r="AD125" s="3196"/>
      <c r="AE125" s="3196"/>
      <c r="AF125" s="3196"/>
      <c r="AG125" s="3196"/>
      <c r="AH125" s="3196"/>
      <c r="AI125" s="3196"/>
      <c r="AJ125" s="2371"/>
      <c r="AK125" s="1835"/>
      <c r="AL125" s="1837"/>
      <c r="AQ125" s="2737"/>
      <c r="AR125" s="2737"/>
      <c r="AS125" s="2737"/>
      <c r="AT125" s="3086"/>
      <c r="AU125" s="3086"/>
    </row>
    <row r="126" spans="1:47" ht="11.45" customHeight="1" x14ac:dyDescent="0.2">
      <c r="A126" s="2327"/>
      <c r="B126" s="2302"/>
      <c r="C126" s="1845"/>
      <c r="D126" s="3196"/>
      <c r="E126" s="3196"/>
      <c r="F126" s="3196"/>
      <c r="G126" s="3196"/>
      <c r="H126" s="3196"/>
      <c r="I126" s="3196"/>
      <c r="J126" s="3196"/>
      <c r="K126" s="3196"/>
      <c r="L126" s="3196"/>
      <c r="M126" s="3196"/>
      <c r="N126" s="3196"/>
      <c r="O126" s="3196"/>
      <c r="P126" s="3196"/>
      <c r="Q126" s="3196"/>
      <c r="R126" s="3196"/>
      <c r="S126" s="3196"/>
      <c r="T126" s="3196"/>
      <c r="U126" s="3196"/>
      <c r="V126" s="3196"/>
      <c r="W126" s="3196"/>
      <c r="X126" s="3196"/>
      <c r="Y126" s="3196"/>
      <c r="Z126" s="3196"/>
      <c r="AA126" s="3196"/>
      <c r="AB126" s="3196"/>
      <c r="AC126" s="3196"/>
      <c r="AD126" s="3196"/>
      <c r="AE126" s="3196"/>
      <c r="AF126" s="3196"/>
      <c r="AG126" s="3196"/>
      <c r="AH126" s="3196"/>
      <c r="AI126" s="3196"/>
      <c r="AJ126" s="2371"/>
      <c r="AK126" s="1835"/>
      <c r="AL126" s="1837"/>
      <c r="AQ126" s="2737"/>
      <c r="AR126" s="2737"/>
      <c r="AS126" s="2737"/>
      <c r="AT126" s="3086"/>
      <c r="AU126" s="3086"/>
    </row>
    <row r="127" spans="1:47" ht="11.45" customHeight="1" x14ac:dyDescent="0.2">
      <c r="A127" s="2326"/>
      <c r="B127" s="2307"/>
      <c r="C127" s="2369"/>
      <c r="D127" s="3196"/>
      <c r="E127" s="3196"/>
      <c r="F127" s="3196"/>
      <c r="G127" s="3196"/>
      <c r="H127" s="3196"/>
      <c r="I127" s="3196"/>
      <c r="J127" s="3196"/>
      <c r="K127" s="3196"/>
      <c r="L127" s="3196"/>
      <c r="M127" s="3196"/>
      <c r="N127" s="3196"/>
      <c r="O127" s="3196"/>
      <c r="P127" s="3196"/>
      <c r="Q127" s="3196"/>
      <c r="R127" s="3196"/>
      <c r="S127" s="3196"/>
      <c r="T127" s="3196"/>
      <c r="U127" s="3196"/>
      <c r="V127" s="3196"/>
      <c r="W127" s="3196"/>
      <c r="X127" s="3196"/>
      <c r="Y127" s="3196"/>
      <c r="Z127" s="3196"/>
      <c r="AA127" s="3196"/>
      <c r="AB127" s="3196"/>
      <c r="AC127" s="3196"/>
      <c r="AD127" s="3196"/>
      <c r="AE127" s="3196"/>
      <c r="AF127" s="3196"/>
      <c r="AG127" s="3196"/>
      <c r="AH127" s="3196"/>
      <c r="AI127" s="3196"/>
      <c r="AJ127" s="2370"/>
      <c r="AK127" s="1392"/>
      <c r="AL127" s="949"/>
      <c r="AQ127" s="2737"/>
      <c r="AR127" s="2737"/>
      <c r="AS127" s="2737"/>
      <c r="AT127" s="3086"/>
      <c r="AU127" s="3086"/>
    </row>
    <row r="128" spans="1:47" ht="11.45" customHeight="1" x14ac:dyDescent="0.2">
      <c r="A128" s="2327"/>
      <c r="B128" s="2302"/>
      <c r="C128" s="1845"/>
      <c r="D128" s="3196"/>
      <c r="E128" s="3196"/>
      <c r="F128" s="3196"/>
      <c r="G128" s="3196"/>
      <c r="H128" s="3196"/>
      <c r="I128" s="3196"/>
      <c r="J128" s="3196"/>
      <c r="K128" s="3196"/>
      <c r="L128" s="3196"/>
      <c r="M128" s="3196"/>
      <c r="N128" s="3196"/>
      <c r="O128" s="3196"/>
      <c r="P128" s="3196"/>
      <c r="Q128" s="3196"/>
      <c r="R128" s="3196"/>
      <c r="S128" s="3196"/>
      <c r="T128" s="3196"/>
      <c r="U128" s="3196"/>
      <c r="V128" s="3196"/>
      <c r="W128" s="3196"/>
      <c r="X128" s="3196"/>
      <c r="Y128" s="3196"/>
      <c r="Z128" s="3196"/>
      <c r="AA128" s="3196"/>
      <c r="AB128" s="3196"/>
      <c r="AC128" s="3196"/>
      <c r="AD128" s="3196"/>
      <c r="AE128" s="3196"/>
      <c r="AF128" s="3196"/>
      <c r="AG128" s="3196"/>
      <c r="AH128" s="3196"/>
      <c r="AI128" s="3196"/>
      <c r="AJ128" s="2372"/>
      <c r="AK128" s="1835"/>
      <c r="AL128" s="1837"/>
      <c r="AQ128" s="2737"/>
      <c r="AR128" s="2737"/>
      <c r="AS128" s="2737"/>
      <c r="AT128" s="3086"/>
      <c r="AU128" s="3086"/>
    </row>
    <row r="129" spans="1:47" ht="11.45" customHeight="1" x14ac:dyDescent="0.2">
      <c r="A129" s="2327"/>
      <c r="B129" s="2302"/>
      <c r="C129" s="1845"/>
      <c r="D129" s="3196"/>
      <c r="E129" s="3196"/>
      <c r="F129" s="3196"/>
      <c r="G129" s="3196"/>
      <c r="H129" s="3196"/>
      <c r="I129" s="3196"/>
      <c r="J129" s="3196"/>
      <c r="K129" s="3196"/>
      <c r="L129" s="3196"/>
      <c r="M129" s="3196"/>
      <c r="N129" s="3196"/>
      <c r="O129" s="3196"/>
      <c r="P129" s="3196"/>
      <c r="Q129" s="3196"/>
      <c r="R129" s="3196"/>
      <c r="S129" s="3196"/>
      <c r="T129" s="3196"/>
      <c r="U129" s="3196"/>
      <c r="V129" s="3196"/>
      <c r="W129" s="3196"/>
      <c r="X129" s="3196"/>
      <c r="Y129" s="3196"/>
      <c r="Z129" s="3196"/>
      <c r="AA129" s="3196"/>
      <c r="AB129" s="3196"/>
      <c r="AC129" s="3196"/>
      <c r="AD129" s="3196"/>
      <c r="AE129" s="3196"/>
      <c r="AF129" s="3196"/>
      <c r="AG129" s="3196"/>
      <c r="AH129" s="3196"/>
      <c r="AI129" s="3196"/>
      <c r="AJ129" s="2372"/>
      <c r="AK129" s="1835"/>
      <c r="AL129" s="1837"/>
      <c r="AQ129" s="2737"/>
      <c r="AR129" s="2737"/>
      <c r="AS129" s="2737"/>
      <c r="AT129" s="3086"/>
      <c r="AU129" s="3086"/>
    </row>
    <row r="130" spans="1:47" ht="11.45" customHeight="1" x14ac:dyDescent="0.2">
      <c r="A130" s="2326"/>
      <c r="B130" s="2307"/>
      <c r="C130" s="2369"/>
      <c r="D130" s="3196"/>
      <c r="E130" s="3196"/>
      <c r="F130" s="3196"/>
      <c r="G130" s="3196"/>
      <c r="H130" s="3196"/>
      <c r="I130" s="3196"/>
      <c r="J130" s="3196"/>
      <c r="K130" s="3196"/>
      <c r="L130" s="3196"/>
      <c r="M130" s="3196"/>
      <c r="N130" s="3196"/>
      <c r="O130" s="3196"/>
      <c r="P130" s="3196"/>
      <c r="Q130" s="3196"/>
      <c r="R130" s="3196"/>
      <c r="S130" s="3196"/>
      <c r="T130" s="3196"/>
      <c r="U130" s="3196"/>
      <c r="V130" s="3196"/>
      <c r="W130" s="3196"/>
      <c r="X130" s="3196"/>
      <c r="Y130" s="3196"/>
      <c r="Z130" s="3196"/>
      <c r="AA130" s="3196"/>
      <c r="AB130" s="3196"/>
      <c r="AC130" s="3196"/>
      <c r="AD130" s="3196"/>
      <c r="AE130" s="3196"/>
      <c r="AF130" s="3196"/>
      <c r="AG130" s="3196"/>
      <c r="AH130" s="3196"/>
      <c r="AI130" s="3196"/>
      <c r="AJ130" s="2370"/>
      <c r="AK130" s="1392"/>
      <c r="AL130" s="949"/>
      <c r="AQ130" s="2737"/>
      <c r="AR130" s="2737"/>
      <c r="AS130" s="2737"/>
      <c r="AT130" s="3086"/>
      <c r="AU130" s="3086"/>
    </row>
    <row r="131" spans="1:47" ht="11.45" customHeight="1" x14ac:dyDescent="0.2">
      <c r="A131" s="2327"/>
      <c r="B131" s="2302"/>
      <c r="C131" s="1841"/>
      <c r="D131" s="3196"/>
      <c r="E131" s="3196"/>
      <c r="F131" s="3196"/>
      <c r="G131" s="3196"/>
      <c r="H131" s="3196"/>
      <c r="I131" s="3196"/>
      <c r="J131" s="3196"/>
      <c r="K131" s="3196"/>
      <c r="L131" s="3196"/>
      <c r="M131" s="3196"/>
      <c r="N131" s="3196"/>
      <c r="O131" s="3196"/>
      <c r="P131" s="3196"/>
      <c r="Q131" s="3196"/>
      <c r="R131" s="3196"/>
      <c r="S131" s="3196"/>
      <c r="T131" s="3196"/>
      <c r="U131" s="3196"/>
      <c r="V131" s="3196"/>
      <c r="W131" s="3196"/>
      <c r="X131" s="3196"/>
      <c r="Y131" s="3196"/>
      <c r="Z131" s="3196"/>
      <c r="AA131" s="3196"/>
      <c r="AB131" s="3196"/>
      <c r="AC131" s="3196"/>
      <c r="AD131" s="3196"/>
      <c r="AE131" s="3196"/>
      <c r="AF131" s="3196"/>
      <c r="AG131" s="3196"/>
      <c r="AH131" s="3196"/>
      <c r="AI131" s="3196"/>
      <c r="AJ131" s="2372"/>
      <c r="AK131" s="1835"/>
      <c r="AL131" s="1837"/>
      <c r="AQ131" s="2737"/>
      <c r="AR131" s="2737"/>
      <c r="AS131" s="2737"/>
      <c r="AT131" s="3086"/>
      <c r="AU131" s="3086"/>
    </row>
    <row r="132" spans="1:47" ht="11.45" customHeight="1" x14ac:dyDescent="0.2">
      <c r="A132" s="2327"/>
      <c r="B132" s="2302"/>
      <c r="C132" s="1841"/>
      <c r="D132" s="3196"/>
      <c r="E132" s="3196"/>
      <c r="F132" s="3196"/>
      <c r="G132" s="3196"/>
      <c r="H132" s="3196"/>
      <c r="I132" s="3196"/>
      <c r="J132" s="3196"/>
      <c r="K132" s="3196"/>
      <c r="L132" s="3196"/>
      <c r="M132" s="3196"/>
      <c r="N132" s="3196"/>
      <c r="O132" s="3196"/>
      <c r="P132" s="3196"/>
      <c r="Q132" s="3196"/>
      <c r="R132" s="3196"/>
      <c r="S132" s="3196"/>
      <c r="T132" s="3196"/>
      <c r="U132" s="3196"/>
      <c r="V132" s="3196"/>
      <c r="W132" s="3196"/>
      <c r="X132" s="3196"/>
      <c r="Y132" s="3196"/>
      <c r="Z132" s="3196"/>
      <c r="AA132" s="3196"/>
      <c r="AB132" s="3196"/>
      <c r="AC132" s="3196"/>
      <c r="AD132" s="3196"/>
      <c r="AE132" s="3196"/>
      <c r="AF132" s="3196"/>
      <c r="AG132" s="3196"/>
      <c r="AH132" s="3196"/>
      <c r="AI132" s="3196"/>
      <c r="AJ132" s="2372"/>
      <c r="AK132" s="1835"/>
      <c r="AL132" s="1837"/>
      <c r="AQ132" s="2737"/>
      <c r="AR132" s="2737"/>
      <c r="AS132" s="2737"/>
      <c r="AT132" s="3086"/>
      <c r="AU132" s="3086"/>
    </row>
    <row r="133" spans="1:47" ht="11.45" customHeight="1" x14ac:dyDescent="0.2">
      <c r="A133" s="2326"/>
      <c r="B133" s="2307"/>
      <c r="C133" s="2369"/>
      <c r="D133" s="3196"/>
      <c r="E133" s="3196"/>
      <c r="F133" s="3196"/>
      <c r="G133" s="3196"/>
      <c r="H133" s="3196"/>
      <c r="I133" s="3196"/>
      <c r="J133" s="3196"/>
      <c r="K133" s="3196"/>
      <c r="L133" s="3196"/>
      <c r="M133" s="3196"/>
      <c r="N133" s="3196"/>
      <c r="O133" s="3196"/>
      <c r="P133" s="3196"/>
      <c r="Q133" s="3196"/>
      <c r="R133" s="3196"/>
      <c r="S133" s="3196"/>
      <c r="T133" s="3196"/>
      <c r="U133" s="3196"/>
      <c r="V133" s="3196"/>
      <c r="W133" s="3196"/>
      <c r="X133" s="3196"/>
      <c r="Y133" s="3196"/>
      <c r="Z133" s="3196"/>
      <c r="AA133" s="3196"/>
      <c r="AB133" s="3196"/>
      <c r="AC133" s="3196"/>
      <c r="AD133" s="3196"/>
      <c r="AE133" s="3196"/>
      <c r="AF133" s="3196"/>
      <c r="AG133" s="3196"/>
      <c r="AH133" s="3196"/>
      <c r="AI133" s="3196"/>
      <c r="AJ133" s="2370"/>
      <c r="AK133" s="1392"/>
      <c r="AL133" s="949"/>
      <c r="AQ133" s="2737"/>
      <c r="AR133" s="2737"/>
      <c r="AS133" s="2737"/>
      <c r="AT133" s="3086"/>
      <c r="AU133" s="3086"/>
    </row>
    <row r="134" spans="1:47" ht="11.45" customHeight="1" x14ac:dyDescent="0.2">
      <c r="A134" s="2327"/>
      <c r="B134" s="2302"/>
      <c r="C134" s="1841"/>
      <c r="D134" s="3196"/>
      <c r="E134" s="3196"/>
      <c r="F134" s="3196"/>
      <c r="G134" s="3196"/>
      <c r="H134" s="3196"/>
      <c r="I134" s="3196"/>
      <c r="J134" s="3196"/>
      <c r="K134" s="3196"/>
      <c r="L134" s="3196"/>
      <c r="M134" s="3196"/>
      <c r="N134" s="3196"/>
      <c r="O134" s="3196"/>
      <c r="P134" s="3196"/>
      <c r="Q134" s="3196"/>
      <c r="R134" s="3196"/>
      <c r="S134" s="3196"/>
      <c r="T134" s="3196"/>
      <c r="U134" s="3196"/>
      <c r="V134" s="3196"/>
      <c r="W134" s="3196"/>
      <c r="X134" s="3196"/>
      <c r="Y134" s="3196"/>
      <c r="Z134" s="3196"/>
      <c r="AA134" s="3196"/>
      <c r="AB134" s="3196"/>
      <c r="AC134" s="3196"/>
      <c r="AD134" s="3196"/>
      <c r="AE134" s="3196"/>
      <c r="AF134" s="3196"/>
      <c r="AG134" s="3196"/>
      <c r="AH134" s="3196"/>
      <c r="AI134" s="3196"/>
      <c r="AJ134" s="2371"/>
      <c r="AK134" s="1835"/>
      <c r="AL134" s="1837"/>
      <c r="AT134" s="3085"/>
      <c r="AU134" s="3085"/>
    </row>
    <row r="135" spans="1:47" ht="11.45" customHeight="1" x14ac:dyDescent="0.2">
      <c r="A135" s="2327"/>
      <c r="B135" s="2302"/>
      <c r="C135" s="1841"/>
      <c r="D135" s="3196"/>
      <c r="E135" s="3196"/>
      <c r="F135" s="3196"/>
      <c r="G135" s="3196"/>
      <c r="H135" s="3196"/>
      <c r="I135" s="3196"/>
      <c r="J135" s="3196"/>
      <c r="K135" s="3196"/>
      <c r="L135" s="3196"/>
      <c r="M135" s="3196"/>
      <c r="N135" s="3196"/>
      <c r="O135" s="3196"/>
      <c r="P135" s="3196"/>
      <c r="Q135" s="3196"/>
      <c r="R135" s="3196"/>
      <c r="S135" s="3196"/>
      <c r="T135" s="3196"/>
      <c r="U135" s="3196"/>
      <c r="V135" s="3196"/>
      <c r="W135" s="3196"/>
      <c r="X135" s="3196"/>
      <c r="Y135" s="3196"/>
      <c r="Z135" s="3196"/>
      <c r="AA135" s="3196"/>
      <c r="AB135" s="3196"/>
      <c r="AC135" s="3196"/>
      <c r="AD135" s="3196"/>
      <c r="AE135" s="3196"/>
      <c r="AF135" s="3196"/>
      <c r="AG135" s="3196"/>
      <c r="AH135" s="3196"/>
      <c r="AI135" s="3196"/>
      <c r="AJ135" s="2371"/>
      <c r="AK135" s="1835"/>
      <c r="AL135" s="1837"/>
      <c r="AT135" s="3085"/>
      <c r="AU135" s="3085"/>
    </row>
    <row r="136" spans="1:47" ht="11.45" customHeight="1" x14ac:dyDescent="0.2">
      <c r="A136" s="2326"/>
      <c r="B136" s="2307"/>
      <c r="C136" s="2369"/>
      <c r="D136" s="3196"/>
      <c r="E136" s="3196"/>
      <c r="F136" s="3196"/>
      <c r="G136" s="3196"/>
      <c r="H136" s="3196"/>
      <c r="I136" s="3196"/>
      <c r="J136" s="3196"/>
      <c r="K136" s="3196"/>
      <c r="L136" s="3196"/>
      <c r="M136" s="3196"/>
      <c r="N136" s="3196"/>
      <c r="O136" s="3196"/>
      <c r="P136" s="3196"/>
      <c r="Q136" s="3196"/>
      <c r="R136" s="3196"/>
      <c r="S136" s="3196"/>
      <c r="T136" s="3196"/>
      <c r="U136" s="3196"/>
      <c r="V136" s="3196"/>
      <c r="W136" s="3196"/>
      <c r="X136" s="3196"/>
      <c r="Y136" s="3196"/>
      <c r="Z136" s="3196"/>
      <c r="AA136" s="3196"/>
      <c r="AB136" s="3196"/>
      <c r="AC136" s="3196"/>
      <c r="AD136" s="3196"/>
      <c r="AE136" s="3196"/>
      <c r="AF136" s="3196"/>
      <c r="AG136" s="3196"/>
      <c r="AH136" s="3196"/>
      <c r="AI136" s="3196"/>
      <c r="AJ136" s="2370"/>
      <c r="AK136" s="1392"/>
      <c r="AL136" s="949"/>
      <c r="AT136" s="3085"/>
      <c r="AU136" s="3085"/>
    </row>
    <row r="137" spans="1:47" ht="11.45" customHeight="1" x14ac:dyDescent="0.2">
      <c r="A137" s="2327"/>
      <c r="B137" s="2302"/>
      <c r="C137" s="1841"/>
      <c r="D137" s="3196"/>
      <c r="E137" s="3196"/>
      <c r="F137" s="3196"/>
      <c r="G137" s="3196"/>
      <c r="H137" s="3196"/>
      <c r="I137" s="3196"/>
      <c r="J137" s="3196"/>
      <c r="K137" s="3196"/>
      <c r="L137" s="3196"/>
      <c r="M137" s="3196"/>
      <c r="N137" s="3196"/>
      <c r="O137" s="3196"/>
      <c r="P137" s="3196"/>
      <c r="Q137" s="3196"/>
      <c r="R137" s="3196"/>
      <c r="S137" s="3196"/>
      <c r="T137" s="3196"/>
      <c r="U137" s="3196"/>
      <c r="V137" s="3196"/>
      <c r="W137" s="3196"/>
      <c r="X137" s="3196"/>
      <c r="Y137" s="3196"/>
      <c r="Z137" s="3196"/>
      <c r="AA137" s="3196"/>
      <c r="AB137" s="3196"/>
      <c r="AC137" s="3196"/>
      <c r="AD137" s="3196"/>
      <c r="AE137" s="3196"/>
      <c r="AF137" s="3196"/>
      <c r="AG137" s="3196"/>
      <c r="AH137" s="3196"/>
      <c r="AI137" s="3196"/>
      <c r="AJ137" s="2373"/>
      <c r="AK137" s="1835"/>
      <c r="AL137" s="1837"/>
      <c r="AT137" s="3085"/>
      <c r="AU137" s="3085"/>
    </row>
    <row r="138" spans="1:47" ht="11.45" customHeight="1" x14ac:dyDescent="0.2">
      <c r="A138" s="2327"/>
      <c r="B138" s="2302"/>
      <c r="C138" s="1841"/>
      <c r="D138" s="3196"/>
      <c r="E138" s="3196"/>
      <c r="F138" s="3196"/>
      <c r="G138" s="3196"/>
      <c r="H138" s="3196"/>
      <c r="I138" s="3196"/>
      <c r="J138" s="3196"/>
      <c r="K138" s="3196"/>
      <c r="L138" s="3196"/>
      <c r="M138" s="3196"/>
      <c r="N138" s="3196"/>
      <c r="O138" s="3196"/>
      <c r="P138" s="3196"/>
      <c r="Q138" s="3196"/>
      <c r="R138" s="3196"/>
      <c r="S138" s="3196"/>
      <c r="T138" s="3196"/>
      <c r="U138" s="3196"/>
      <c r="V138" s="3196"/>
      <c r="W138" s="3196"/>
      <c r="X138" s="3196"/>
      <c r="Y138" s="3196"/>
      <c r="Z138" s="3196"/>
      <c r="AA138" s="3196"/>
      <c r="AB138" s="3196"/>
      <c r="AC138" s="3196"/>
      <c r="AD138" s="3196"/>
      <c r="AE138" s="3196"/>
      <c r="AF138" s="3196"/>
      <c r="AG138" s="3196"/>
      <c r="AH138" s="3196"/>
      <c r="AI138" s="3196"/>
      <c r="AJ138" s="2368"/>
      <c r="AK138" s="1835"/>
      <c r="AL138" s="1837"/>
      <c r="AT138" s="3085"/>
      <c r="AU138" s="3085"/>
    </row>
    <row r="139" spans="1:47" ht="11.45" customHeight="1" x14ac:dyDescent="0.2">
      <c r="A139" s="2327"/>
      <c r="B139" s="2302"/>
      <c r="C139" s="1841"/>
      <c r="D139" s="3196"/>
      <c r="E139" s="3196"/>
      <c r="F139" s="3196"/>
      <c r="G139" s="3196"/>
      <c r="H139" s="3196"/>
      <c r="I139" s="3196"/>
      <c r="J139" s="3196"/>
      <c r="K139" s="3196"/>
      <c r="L139" s="3196"/>
      <c r="M139" s="3196"/>
      <c r="N139" s="3196"/>
      <c r="O139" s="3196"/>
      <c r="P139" s="3196"/>
      <c r="Q139" s="3196"/>
      <c r="R139" s="3196"/>
      <c r="S139" s="3196"/>
      <c r="T139" s="3196"/>
      <c r="U139" s="3196"/>
      <c r="V139" s="3196"/>
      <c r="W139" s="3196"/>
      <c r="X139" s="3196"/>
      <c r="Y139" s="3196"/>
      <c r="Z139" s="3196"/>
      <c r="AA139" s="3196"/>
      <c r="AB139" s="3196"/>
      <c r="AC139" s="3196"/>
      <c r="AD139" s="3196"/>
      <c r="AE139" s="3196"/>
      <c r="AF139" s="3196"/>
      <c r="AG139" s="3196"/>
      <c r="AH139" s="3196"/>
      <c r="AI139" s="3196"/>
      <c r="AJ139" s="2368"/>
      <c r="AK139" s="1835"/>
      <c r="AL139" s="1837"/>
      <c r="AT139" s="3085"/>
      <c r="AU139" s="3085"/>
    </row>
    <row r="140" spans="1:47" ht="11.45" customHeight="1" x14ac:dyDescent="0.2">
      <c r="A140" s="2326"/>
      <c r="B140" s="2307"/>
      <c r="C140" s="2369"/>
      <c r="D140" s="3196"/>
      <c r="E140" s="3196"/>
      <c r="F140" s="3196"/>
      <c r="G140" s="3196"/>
      <c r="H140" s="3196"/>
      <c r="I140" s="3196"/>
      <c r="J140" s="3196"/>
      <c r="K140" s="3196"/>
      <c r="L140" s="3196"/>
      <c r="M140" s="3196"/>
      <c r="N140" s="3196"/>
      <c r="O140" s="3196"/>
      <c r="P140" s="3196"/>
      <c r="Q140" s="3196"/>
      <c r="R140" s="3196"/>
      <c r="S140" s="3196"/>
      <c r="T140" s="3196"/>
      <c r="U140" s="3196"/>
      <c r="V140" s="3196"/>
      <c r="W140" s="3196"/>
      <c r="X140" s="3196"/>
      <c r="Y140" s="3196"/>
      <c r="Z140" s="3196"/>
      <c r="AA140" s="3196"/>
      <c r="AB140" s="3196"/>
      <c r="AC140" s="3196"/>
      <c r="AD140" s="3196"/>
      <c r="AE140" s="3196"/>
      <c r="AF140" s="3196"/>
      <c r="AG140" s="3196"/>
      <c r="AH140" s="3196"/>
      <c r="AI140" s="3196"/>
      <c r="AJ140" s="2370"/>
      <c r="AK140" s="1392"/>
      <c r="AL140" s="949"/>
      <c r="AT140" s="3085"/>
      <c r="AU140" s="3085"/>
    </row>
    <row r="141" spans="1:47" ht="11.45" customHeight="1" x14ac:dyDescent="0.2">
      <c r="A141" s="2327"/>
      <c r="B141" s="2302"/>
      <c r="C141" s="1851"/>
      <c r="D141" s="3196"/>
      <c r="E141" s="3196"/>
      <c r="F141" s="3196"/>
      <c r="G141" s="3196"/>
      <c r="H141" s="3196"/>
      <c r="I141" s="3196"/>
      <c r="J141" s="3196"/>
      <c r="K141" s="3196"/>
      <c r="L141" s="3196"/>
      <c r="M141" s="3196"/>
      <c r="N141" s="3196"/>
      <c r="O141" s="3196"/>
      <c r="P141" s="3196"/>
      <c r="Q141" s="3196"/>
      <c r="R141" s="3196"/>
      <c r="S141" s="3196"/>
      <c r="T141" s="3196"/>
      <c r="U141" s="3196"/>
      <c r="V141" s="3196"/>
      <c r="W141" s="3196"/>
      <c r="X141" s="3196"/>
      <c r="Y141" s="3196"/>
      <c r="Z141" s="3196"/>
      <c r="AA141" s="3196"/>
      <c r="AB141" s="3196"/>
      <c r="AC141" s="3196"/>
      <c r="AD141" s="3196"/>
      <c r="AE141" s="3196"/>
      <c r="AF141" s="3196"/>
      <c r="AG141" s="3196"/>
      <c r="AH141" s="3196"/>
      <c r="AI141" s="3196"/>
      <c r="AJ141" s="2373"/>
      <c r="AK141" s="1835"/>
      <c r="AL141" s="1837"/>
      <c r="AT141" s="3085"/>
      <c r="AU141" s="3085"/>
    </row>
    <row r="142" spans="1:47" ht="11.45" customHeight="1" x14ac:dyDescent="0.2">
      <c r="A142" s="2326"/>
      <c r="B142" s="2307"/>
      <c r="C142" s="2369"/>
      <c r="D142" s="3196"/>
      <c r="E142" s="3196"/>
      <c r="F142" s="3196"/>
      <c r="G142" s="3196"/>
      <c r="H142" s="3196"/>
      <c r="I142" s="3196"/>
      <c r="J142" s="3196"/>
      <c r="K142" s="3196"/>
      <c r="L142" s="3196"/>
      <c r="M142" s="3196"/>
      <c r="N142" s="3196"/>
      <c r="O142" s="3196"/>
      <c r="P142" s="3196"/>
      <c r="Q142" s="3196"/>
      <c r="R142" s="3196"/>
      <c r="S142" s="3196"/>
      <c r="T142" s="3196"/>
      <c r="U142" s="3196"/>
      <c r="V142" s="3196"/>
      <c r="W142" s="3196"/>
      <c r="X142" s="3196"/>
      <c r="Y142" s="3196"/>
      <c r="Z142" s="3196"/>
      <c r="AA142" s="3196"/>
      <c r="AB142" s="3196"/>
      <c r="AC142" s="3196"/>
      <c r="AD142" s="3196"/>
      <c r="AE142" s="3196"/>
      <c r="AF142" s="3196"/>
      <c r="AG142" s="3196"/>
      <c r="AH142" s="3196"/>
      <c r="AI142" s="3196"/>
      <c r="AJ142" s="2370"/>
      <c r="AK142" s="1392"/>
      <c r="AL142" s="949"/>
      <c r="AT142" s="3085"/>
      <c r="AU142" s="3085"/>
    </row>
    <row r="143" spans="1:47" ht="11.45" customHeight="1" x14ac:dyDescent="0.2">
      <c r="A143" s="2327"/>
      <c r="B143" s="2302"/>
      <c r="C143" s="1852"/>
      <c r="D143" s="3196"/>
      <c r="E143" s="3196"/>
      <c r="F143" s="3196"/>
      <c r="G143" s="3196"/>
      <c r="H143" s="3196"/>
      <c r="I143" s="3196"/>
      <c r="J143" s="3196"/>
      <c r="K143" s="3196"/>
      <c r="L143" s="3196"/>
      <c r="M143" s="3196"/>
      <c r="N143" s="3196"/>
      <c r="O143" s="3196"/>
      <c r="P143" s="3196"/>
      <c r="Q143" s="3196"/>
      <c r="R143" s="3196"/>
      <c r="S143" s="3196"/>
      <c r="T143" s="3196"/>
      <c r="U143" s="3196"/>
      <c r="V143" s="3196"/>
      <c r="W143" s="3196"/>
      <c r="X143" s="3196"/>
      <c r="Y143" s="3196"/>
      <c r="Z143" s="3196"/>
      <c r="AA143" s="3196"/>
      <c r="AB143" s="3196"/>
      <c r="AC143" s="3196"/>
      <c r="AD143" s="3196"/>
      <c r="AE143" s="3196"/>
      <c r="AF143" s="3196"/>
      <c r="AG143" s="3196"/>
      <c r="AH143" s="3196"/>
      <c r="AI143" s="3196"/>
      <c r="AJ143" s="2373"/>
      <c r="AK143" s="1835"/>
      <c r="AL143" s="1837"/>
      <c r="AT143" s="3085"/>
      <c r="AU143" s="3085"/>
    </row>
    <row r="144" spans="1:47" ht="11.45" customHeight="1" x14ac:dyDescent="0.2">
      <c r="A144" s="2326"/>
      <c r="B144" s="2307"/>
      <c r="C144" s="2369"/>
      <c r="D144" s="3196"/>
      <c r="E144" s="3196"/>
      <c r="F144" s="3196"/>
      <c r="G144" s="3196"/>
      <c r="H144" s="3196"/>
      <c r="I144" s="3196"/>
      <c r="J144" s="3196"/>
      <c r="K144" s="3196"/>
      <c r="L144" s="3196"/>
      <c r="M144" s="3196"/>
      <c r="N144" s="3196"/>
      <c r="O144" s="3196"/>
      <c r="P144" s="3196"/>
      <c r="Q144" s="3196"/>
      <c r="R144" s="3196"/>
      <c r="S144" s="3196"/>
      <c r="T144" s="3196"/>
      <c r="U144" s="3196"/>
      <c r="V144" s="3196"/>
      <c r="W144" s="3196"/>
      <c r="X144" s="3196"/>
      <c r="Y144" s="3196"/>
      <c r="Z144" s="3196"/>
      <c r="AA144" s="3196"/>
      <c r="AB144" s="3196"/>
      <c r="AC144" s="3196"/>
      <c r="AD144" s="3196"/>
      <c r="AE144" s="3196"/>
      <c r="AF144" s="3196"/>
      <c r="AG144" s="3196"/>
      <c r="AH144" s="3196"/>
      <c r="AI144" s="3196"/>
      <c r="AJ144" s="2370"/>
      <c r="AK144" s="1392"/>
      <c r="AL144" s="949"/>
      <c r="AT144" s="3085"/>
      <c r="AU144" s="3085"/>
    </row>
    <row r="145" spans="1:47" ht="11.45" customHeight="1" x14ac:dyDescent="0.2">
      <c r="A145" s="2327"/>
      <c r="B145" s="2302"/>
      <c r="C145" s="1852"/>
      <c r="D145" s="3196"/>
      <c r="E145" s="3196"/>
      <c r="F145" s="3196"/>
      <c r="G145" s="3196"/>
      <c r="H145" s="3196"/>
      <c r="I145" s="3196"/>
      <c r="J145" s="3196"/>
      <c r="K145" s="3196"/>
      <c r="L145" s="3196"/>
      <c r="M145" s="3196"/>
      <c r="N145" s="3196"/>
      <c r="O145" s="3196"/>
      <c r="P145" s="3196"/>
      <c r="Q145" s="3196"/>
      <c r="R145" s="3196"/>
      <c r="S145" s="3196"/>
      <c r="T145" s="3196"/>
      <c r="U145" s="3196"/>
      <c r="V145" s="3196"/>
      <c r="W145" s="3196"/>
      <c r="X145" s="3196"/>
      <c r="Y145" s="3196"/>
      <c r="Z145" s="3196"/>
      <c r="AA145" s="3196"/>
      <c r="AB145" s="3196"/>
      <c r="AC145" s="3196"/>
      <c r="AD145" s="3196"/>
      <c r="AE145" s="3196"/>
      <c r="AF145" s="3196"/>
      <c r="AG145" s="3196"/>
      <c r="AH145" s="3196"/>
      <c r="AI145" s="3196"/>
      <c r="AJ145" s="2374"/>
      <c r="AK145" s="1835"/>
      <c r="AL145" s="1837"/>
      <c r="AT145" s="3085"/>
      <c r="AU145" s="3085"/>
    </row>
    <row r="146" spans="1:47" ht="11.45" customHeight="1" x14ac:dyDescent="0.2">
      <c r="A146" s="2327"/>
      <c r="B146" s="2302"/>
      <c r="C146" s="1852"/>
      <c r="D146" s="3196"/>
      <c r="E146" s="3196"/>
      <c r="F146" s="3196"/>
      <c r="G146" s="3196"/>
      <c r="H146" s="3196"/>
      <c r="I146" s="3196"/>
      <c r="J146" s="3196"/>
      <c r="K146" s="3196"/>
      <c r="L146" s="3196"/>
      <c r="M146" s="3196"/>
      <c r="N146" s="3196"/>
      <c r="O146" s="3196"/>
      <c r="P146" s="3196"/>
      <c r="Q146" s="3196"/>
      <c r="R146" s="3196"/>
      <c r="S146" s="3196"/>
      <c r="T146" s="3196"/>
      <c r="U146" s="3196"/>
      <c r="V146" s="3196"/>
      <c r="W146" s="3196"/>
      <c r="X146" s="3196"/>
      <c r="Y146" s="3196"/>
      <c r="Z146" s="3196"/>
      <c r="AA146" s="3196"/>
      <c r="AB146" s="3196"/>
      <c r="AC146" s="3196"/>
      <c r="AD146" s="3196"/>
      <c r="AE146" s="3196"/>
      <c r="AF146" s="3196"/>
      <c r="AG146" s="3196"/>
      <c r="AH146" s="3196"/>
      <c r="AI146" s="3196"/>
      <c r="AJ146" s="2374"/>
      <c r="AK146" s="1835"/>
      <c r="AL146" s="2094"/>
      <c r="AT146" s="3085"/>
      <c r="AU146" s="3085"/>
    </row>
    <row r="147" spans="1:47" ht="11.45" customHeight="1" x14ac:dyDescent="0.2">
      <c r="A147" s="2327"/>
      <c r="B147" s="2302"/>
      <c r="C147" s="1852"/>
      <c r="D147" s="3196"/>
      <c r="E147" s="3196"/>
      <c r="F147" s="3196"/>
      <c r="G147" s="3196"/>
      <c r="H147" s="3196"/>
      <c r="I147" s="3196"/>
      <c r="J147" s="3196"/>
      <c r="K147" s="3196"/>
      <c r="L147" s="3196"/>
      <c r="M147" s="3196"/>
      <c r="N147" s="3196"/>
      <c r="O147" s="3196"/>
      <c r="P147" s="3196"/>
      <c r="Q147" s="3196"/>
      <c r="R147" s="3196"/>
      <c r="S147" s="3196"/>
      <c r="T147" s="3196"/>
      <c r="U147" s="3196"/>
      <c r="V147" s="3196"/>
      <c r="W147" s="3196"/>
      <c r="X147" s="3196"/>
      <c r="Y147" s="3196"/>
      <c r="Z147" s="3196"/>
      <c r="AA147" s="3196"/>
      <c r="AB147" s="3196"/>
      <c r="AC147" s="3196"/>
      <c r="AD147" s="3196"/>
      <c r="AE147" s="3196"/>
      <c r="AF147" s="3196"/>
      <c r="AG147" s="3196"/>
      <c r="AH147" s="3196"/>
      <c r="AI147" s="3196"/>
      <c r="AJ147" s="2374"/>
      <c r="AK147" s="1835"/>
      <c r="AL147" s="2094"/>
      <c r="AT147" s="3085"/>
      <c r="AU147" s="3085"/>
    </row>
    <row r="148" spans="1:47" ht="11.45" customHeight="1" x14ac:dyDescent="0.2">
      <c r="A148" s="2326"/>
      <c r="B148" s="2307"/>
      <c r="C148" s="2369"/>
      <c r="D148" s="3196"/>
      <c r="E148" s="3196"/>
      <c r="F148" s="3196"/>
      <c r="G148" s="3196"/>
      <c r="H148" s="3196"/>
      <c r="I148" s="3196"/>
      <c r="J148" s="3196"/>
      <c r="K148" s="3196"/>
      <c r="L148" s="3196"/>
      <c r="M148" s="3196"/>
      <c r="N148" s="3196"/>
      <c r="O148" s="3196"/>
      <c r="P148" s="3196"/>
      <c r="Q148" s="3196"/>
      <c r="R148" s="3196"/>
      <c r="S148" s="3196"/>
      <c r="T148" s="3196"/>
      <c r="U148" s="3196"/>
      <c r="V148" s="3196"/>
      <c r="W148" s="3196"/>
      <c r="X148" s="3196"/>
      <c r="Y148" s="3196"/>
      <c r="Z148" s="3196"/>
      <c r="AA148" s="3196"/>
      <c r="AB148" s="3196"/>
      <c r="AC148" s="3196"/>
      <c r="AD148" s="3196"/>
      <c r="AE148" s="3196"/>
      <c r="AF148" s="3196"/>
      <c r="AG148" s="3196"/>
      <c r="AH148" s="3196"/>
      <c r="AI148" s="3196"/>
      <c r="AJ148" s="2370"/>
      <c r="AK148" s="1392"/>
      <c r="AL148" s="949"/>
      <c r="AT148" s="3085"/>
      <c r="AU148" s="3085"/>
    </row>
    <row r="149" spans="1:47" ht="11.45" customHeight="1" x14ac:dyDescent="0.2">
      <c r="A149" s="2327"/>
      <c r="B149" s="2302"/>
      <c r="C149" s="1852"/>
      <c r="D149" s="3196"/>
      <c r="E149" s="3196"/>
      <c r="F149" s="3196"/>
      <c r="G149" s="3196"/>
      <c r="H149" s="3196"/>
      <c r="I149" s="3196"/>
      <c r="J149" s="3196"/>
      <c r="K149" s="3196"/>
      <c r="L149" s="3196"/>
      <c r="M149" s="3196"/>
      <c r="N149" s="3196"/>
      <c r="O149" s="3196"/>
      <c r="P149" s="3196"/>
      <c r="Q149" s="3196"/>
      <c r="R149" s="3196"/>
      <c r="S149" s="3196"/>
      <c r="T149" s="3196"/>
      <c r="U149" s="3196"/>
      <c r="V149" s="3196"/>
      <c r="W149" s="3196"/>
      <c r="X149" s="3196"/>
      <c r="Y149" s="3196"/>
      <c r="Z149" s="3196"/>
      <c r="AA149" s="3196"/>
      <c r="AB149" s="3196"/>
      <c r="AC149" s="3196"/>
      <c r="AD149" s="3196"/>
      <c r="AE149" s="3196"/>
      <c r="AF149" s="3196"/>
      <c r="AG149" s="3196"/>
      <c r="AH149" s="3196"/>
      <c r="AI149" s="3196"/>
      <c r="AJ149" s="2374"/>
      <c r="AK149" s="1835"/>
      <c r="AL149" s="2094"/>
      <c r="AT149" s="3085"/>
      <c r="AU149" s="3085"/>
    </row>
    <row r="150" spans="1:47" ht="11.45" customHeight="1" x14ac:dyDescent="0.2">
      <c r="A150" s="2327"/>
      <c r="B150" s="2302"/>
      <c r="C150" s="1852"/>
      <c r="D150" s="3196"/>
      <c r="E150" s="3196"/>
      <c r="F150" s="3196"/>
      <c r="G150" s="3196"/>
      <c r="H150" s="3196"/>
      <c r="I150" s="3196"/>
      <c r="J150" s="3196"/>
      <c r="K150" s="3196"/>
      <c r="L150" s="3196"/>
      <c r="M150" s="3196"/>
      <c r="N150" s="3196"/>
      <c r="O150" s="3196"/>
      <c r="P150" s="3196"/>
      <c r="Q150" s="3196"/>
      <c r="R150" s="3196"/>
      <c r="S150" s="3196"/>
      <c r="T150" s="3196"/>
      <c r="U150" s="3196"/>
      <c r="V150" s="3196"/>
      <c r="W150" s="3196"/>
      <c r="X150" s="3196"/>
      <c r="Y150" s="3196"/>
      <c r="Z150" s="3196"/>
      <c r="AA150" s="3196"/>
      <c r="AB150" s="3196"/>
      <c r="AC150" s="3196"/>
      <c r="AD150" s="3196"/>
      <c r="AE150" s="3196"/>
      <c r="AF150" s="3196"/>
      <c r="AG150" s="3196"/>
      <c r="AH150" s="3196"/>
      <c r="AI150" s="3196"/>
      <c r="AJ150" s="2374"/>
      <c r="AK150" s="1835"/>
      <c r="AL150" s="2094"/>
      <c r="AT150" s="3085"/>
      <c r="AU150" s="3085"/>
    </row>
    <row r="151" spans="1:47" ht="11.45" customHeight="1" x14ac:dyDescent="0.2">
      <c r="A151" s="2327"/>
      <c r="B151" s="2302"/>
      <c r="C151" s="1852"/>
      <c r="D151" s="3196"/>
      <c r="E151" s="3196"/>
      <c r="F151" s="3196"/>
      <c r="G151" s="3196"/>
      <c r="H151" s="3196"/>
      <c r="I151" s="3196"/>
      <c r="J151" s="3196"/>
      <c r="K151" s="3196"/>
      <c r="L151" s="3196"/>
      <c r="M151" s="3196"/>
      <c r="N151" s="3196"/>
      <c r="O151" s="3196"/>
      <c r="P151" s="3196"/>
      <c r="Q151" s="3196"/>
      <c r="R151" s="3196"/>
      <c r="S151" s="3196"/>
      <c r="T151" s="3196"/>
      <c r="U151" s="3196"/>
      <c r="V151" s="3196"/>
      <c r="W151" s="3196"/>
      <c r="X151" s="3196"/>
      <c r="Y151" s="3196"/>
      <c r="Z151" s="3196"/>
      <c r="AA151" s="3196"/>
      <c r="AB151" s="3196"/>
      <c r="AC151" s="3196"/>
      <c r="AD151" s="3196"/>
      <c r="AE151" s="3196"/>
      <c r="AF151" s="3196"/>
      <c r="AG151" s="3196"/>
      <c r="AH151" s="3196"/>
      <c r="AI151" s="3196"/>
      <c r="AJ151" s="2374"/>
      <c r="AK151" s="1835"/>
      <c r="AL151" s="2094"/>
      <c r="AT151" s="3085"/>
      <c r="AU151" s="3085"/>
    </row>
    <row r="152" spans="1:47" ht="11.45" customHeight="1" x14ac:dyDescent="0.2">
      <c r="A152" s="2327"/>
      <c r="B152" s="2302"/>
      <c r="C152" s="1852"/>
      <c r="D152" s="3196"/>
      <c r="E152" s="3196"/>
      <c r="F152" s="3196"/>
      <c r="G152" s="3196"/>
      <c r="H152" s="3196"/>
      <c r="I152" s="3196"/>
      <c r="J152" s="3196"/>
      <c r="K152" s="3196"/>
      <c r="L152" s="3196"/>
      <c r="M152" s="3196"/>
      <c r="N152" s="3196"/>
      <c r="O152" s="3196"/>
      <c r="P152" s="3196"/>
      <c r="Q152" s="3196"/>
      <c r="R152" s="3196"/>
      <c r="S152" s="3196"/>
      <c r="T152" s="3196"/>
      <c r="U152" s="3196"/>
      <c r="V152" s="3196"/>
      <c r="W152" s="3196"/>
      <c r="X152" s="3196"/>
      <c r="Y152" s="3196"/>
      <c r="Z152" s="3196"/>
      <c r="AA152" s="3196"/>
      <c r="AB152" s="3196"/>
      <c r="AC152" s="3196"/>
      <c r="AD152" s="3196"/>
      <c r="AE152" s="3196"/>
      <c r="AF152" s="3196"/>
      <c r="AG152" s="3196"/>
      <c r="AH152" s="3196"/>
      <c r="AI152" s="3196"/>
      <c r="AJ152" s="2374"/>
      <c r="AK152" s="1835"/>
      <c r="AL152" s="2094"/>
      <c r="AT152" s="3085"/>
      <c r="AU152" s="3085"/>
    </row>
    <row r="153" spans="1:47" ht="11.45" customHeight="1" x14ac:dyDescent="0.2">
      <c r="A153" s="2326"/>
      <c r="B153" s="2307"/>
      <c r="C153" s="2369"/>
      <c r="D153" s="3196"/>
      <c r="E153" s="3196"/>
      <c r="F153" s="3196"/>
      <c r="G153" s="3196"/>
      <c r="H153" s="3196"/>
      <c r="I153" s="3196"/>
      <c r="J153" s="3196"/>
      <c r="K153" s="3196"/>
      <c r="L153" s="3196"/>
      <c r="M153" s="3196"/>
      <c r="N153" s="3196"/>
      <c r="O153" s="3196"/>
      <c r="P153" s="3196"/>
      <c r="Q153" s="3196"/>
      <c r="R153" s="3196"/>
      <c r="S153" s="3196"/>
      <c r="T153" s="3196"/>
      <c r="U153" s="3196"/>
      <c r="V153" s="3196"/>
      <c r="W153" s="3196"/>
      <c r="X153" s="3196"/>
      <c r="Y153" s="3196"/>
      <c r="Z153" s="3196"/>
      <c r="AA153" s="3196"/>
      <c r="AB153" s="3196"/>
      <c r="AC153" s="3196"/>
      <c r="AD153" s="3196"/>
      <c r="AE153" s="3196"/>
      <c r="AF153" s="3196"/>
      <c r="AG153" s="3196"/>
      <c r="AH153" s="3196"/>
      <c r="AI153" s="3196"/>
      <c r="AJ153" s="2370"/>
      <c r="AK153" s="1392"/>
      <c r="AL153" s="949"/>
      <c r="AT153" s="3085"/>
      <c r="AU153" s="3085"/>
    </row>
    <row r="154" spans="1:47" ht="11.45" customHeight="1" x14ac:dyDescent="0.2">
      <c r="A154" s="2327"/>
      <c r="B154" s="2302"/>
      <c r="C154" s="1852"/>
      <c r="D154" s="3196"/>
      <c r="E154" s="3196"/>
      <c r="F154" s="3196"/>
      <c r="G154" s="3196"/>
      <c r="H154" s="3196"/>
      <c r="I154" s="3196"/>
      <c r="J154" s="3196"/>
      <c r="K154" s="3196"/>
      <c r="L154" s="3196"/>
      <c r="M154" s="3196"/>
      <c r="N154" s="3196"/>
      <c r="O154" s="3196"/>
      <c r="P154" s="3196"/>
      <c r="Q154" s="3196"/>
      <c r="R154" s="3196"/>
      <c r="S154" s="3196"/>
      <c r="T154" s="3196"/>
      <c r="U154" s="3196"/>
      <c r="V154" s="3196"/>
      <c r="W154" s="3196"/>
      <c r="X154" s="3196"/>
      <c r="Y154" s="3196"/>
      <c r="Z154" s="3196"/>
      <c r="AA154" s="3196"/>
      <c r="AB154" s="3196"/>
      <c r="AC154" s="3196"/>
      <c r="AD154" s="3196"/>
      <c r="AE154" s="3196"/>
      <c r="AF154" s="3196"/>
      <c r="AG154" s="3196"/>
      <c r="AH154" s="3196"/>
      <c r="AI154" s="3196"/>
      <c r="AJ154" s="2368"/>
      <c r="AK154" s="1835"/>
      <c r="AL154" s="2094"/>
      <c r="AT154" s="3085"/>
      <c r="AU154" s="3085"/>
    </row>
    <row r="155" spans="1:47" ht="11.45" customHeight="1" x14ac:dyDescent="0.2">
      <c r="A155" s="2326"/>
      <c r="B155" s="2307"/>
      <c r="C155" s="2369"/>
      <c r="D155" s="3196"/>
      <c r="E155" s="3196"/>
      <c r="F155" s="3196"/>
      <c r="G155" s="3196"/>
      <c r="H155" s="3196"/>
      <c r="I155" s="3196"/>
      <c r="J155" s="3196"/>
      <c r="K155" s="3196"/>
      <c r="L155" s="3196"/>
      <c r="M155" s="3196"/>
      <c r="N155" s="3196"/>
      <c r="O155" s="3196"/>
      <c r="P155" s="3196"/>
      <c r="Q155" s="3196"/>
      <c r="R155" s="3196"/>
      <c r="S155" s="3196"/>
      <c r="T155" s="3196"/>
      <c r="U155" s="3196"/>
      <c r="V155" s="3196"/>
      <c r="W155" s="3196"/>
      <c r="X155" s="3196"/>
      <c r="Y155" s="3196"/>
      <c r="Z155" s="3196"/>
      <c r="AA155" s="3196"/>
      <c r="AB155" s="3196"/>
      <c r="AC155" s="3196"/>
      <c r="AD155" s="3196"/>
      <c r="AE155" s="3196"/>
      <c r="AF155" s="3196"/>
      <c r="AG155" s="3196"/>
      <c r="AH155" s="3196"/>
      <c r="AI155" s="3196"/>
      <c r="AJ155" s="2370"/>
      <c r="AK155" s="1392"/>
      <c r="AL155" s="949"/>
      <c r="AT155" s="3085"/>
      <c r="AU155" s="3085"/>
    </row>
    <row r="156" spans="1:47" ht="11.45" customHeight="1" x14ac:dyDescent="0.2">
      <c r="A156" s="2327"/>
      <c r="B156" s="2302"/>
      <c r="C156" s="1854"/>
      <c r="D156" s="3196"/>
      <c r="E156" s="3196"/>
      <c r="F156" s="3196"/>
      <c r="G156" s="3196"/>
      <c r="H156" s="3196"/>
      <c r="I156" s="3196"/>
      <c r="J156" s="3196"/>
      <c r="K156" s="3196"/>
      <c r="L156" s="3196"/>
      <c r="M156" s="3196"/>
      <c r="N156" s="3196"/>
      <c r="O156" s="3196"/>
      <c r="P156" s="3196"/>
      <c r="Q156" s="3196"/>
      <c r="R156" s="3196"/>
      <c r="S156" s="3196"/>
      <c r="T156" s="3196"/>
      <c r="U156" s="3196"/>
      <c r="V156" s="3196"/>
      <c r="W156" s="3196"/>
      <c r="X156" s="3196"/>
      <c r="Y156" s="3196"/>
      <c r="Z156" s="3196"/>
      <c r="AA156" s="3196"/>
      <c r="AB156" s="3196"/>
      <c r="AC156" s="3196"/>
      <c r="AD156" s="3196"/>
      <c r="AE156" s="3196"/>
      <c r="AF156" s="3196"/>
      <c r="AG156" s="3196"/>
      <c r="AH156" s="3196"/>
      <c r="AI156" s="3196"/>
      <c r="AJ156" s="2368"/>
      <c r="AK156" s="1835"/>
      <c r="AL156" s="2094"/>
      <c r="AT156" s="3085"/>
      <c r="AU156" s="3085"/>
    </row>
    <row r="157" spans="1:47" ht="11.45" customHeight="1" x14ac:dyDescent="0.2">
      <c r="A157" s="2326"/>
      <c r="B157" s="2307"/>
      <c r="C157" s="2369"/>
      <c r="D157" s="3196"/>
      <c r="E157" s="3196"/>
      <c r="F157" s="3196"/>
      <c r="G157" s="3196"/>
      <c r="H157" s="3196"/>
      <c r="I157" s="3196"/>
      <c r="J157" s="3196"/>
      <c r="K157" s="3196"/>
      <c r="L157" s="3196"/>
      <c r="M157" s="3196"/>
      <c r="N157" s="3196"/>
      <c r="O157" s="3196"/>
      <c r="P157" s="3196"/>
      <c r="Q157" s="3196"/>
      <c r="R157" s="3196"/>
      <c r="S157" s="3196"/>
      <c r="T157" s="3196"/>
      <c r="U157" s="3196"/>
      <c r="V157" s="3196"/>
      <c r="W157" s="3196"/>
      <c r="X157" s="3196"/>
      <c r="Y157" s="3196"/>
      <c r="Z157" s="3196"/>
      <c r="AA157" s="3196"/>
      <c r="AB157" s="3196"/>
      <c r="AC157" s="3196"/>
      <c r="AD157" s="3196"/>
      <c r="AE157" s="3196"/>
      <c r="AF157" s="3196"/>
      <c r="AG157" s="3196"/>
      <c r="AH157" s="3196"/>
      <c r="AI157" s="3196"/>
      <c r="AJ157" s="2370"/>
      <c r="AK157" s="1392"/>
      <c r="AL157" s="949"/>
      <c r="AT157" s="3085"/>
      <c r="AU157" s="3085"/>
    </row>
    <row r="158" spans="1:47" ht="11.45" customHeight="1" x14ac:dyDescent="0.2">
      <c r="A158" s="2327"/>
      <c r="B158" s="2302"/>
      <c r="C158" s="1854"/>
      <c r="D158" s="3196"/>
      <c r="E158" s="3196"/>
      <c r="F158" s="3196"/>
      <c r="G158" s="3196"/>
      <c r="H158" s="3196"/>
      <c r="I158" s="3196"/>
      <c r="J158" s="3196"/>
      <c r="K158" s="3196"/>
      <c r="L158" s="3196"/>
      <c r="M158" s="3196"/>
      <c r="N158" s="3196"/>
      <c r="O158" s="3196"/>
      <c r="P158" s="3196"/>
      <c r="Q158" s="3196"/>
      <c r="R158" s="3196"/>
      <c r="S158" s="3196"/>
      <c r="T158" s="3196"/>
      <c r="U158" s="3196"/>
      <c r="V158" s="3196"/>
      <c r="W158" s="3196"/>
      <c r="X158" s="3196"/>
      <c r="Y158" s="3196"/>
      <c r="Z158" s="3196"/>
      <c r="AA158" s="3196"/>
      <c r="AB158" s="3196"/>
      <c r="AC158" s="3196"/>
      <c r="AD158" s="3196"/>
      <c r="AE158" s="3196"/>
      <c r="AF158" s="3196"/>
      <c r="AG158" s="3196"/>
      <c r="AH158" s="3196"/>
      <c r="AI158" s="3196"/>
      <c r="AJ158" s="2373"/>
      <c r="AK158" s="1835"/>
      <c r="AL158" s="2094"/>
      <c r="AT158" s="3085"/>
      <c r="AU158" s="3085"/>
    </row>
    <row r="159" spans="1:47" ht="11.45" customHeight="1" x14ac:dyDescent="0.2">
      <c r="A159" s="2326"/>
      <c r="B159" s="2307"/>
      <c r="C159" s="2369"/>
      <c r="D159" s="3196"/>
      <c r="E159" s="3196"/>
      <c r="F159" s="3196"/>
      <c r="G159" s="3196"/>
      <c r="H159" s="3196"/>
      <c r="I159" s="3196"/>
      <c r="J159" s="3196"/>
      <c r="K159" s="3196"/>
      <c r="L159" s="3196"/>
      <c r="M159" s="3196"/>
      <c r="N159" s="3196"/>
      <c r="O159" s="3196"/>
      <c r="P159" s="3196"/>
      <c r="Q159" s="3196"/>
      <c r="R159" s="3196"/>
      <c r="S159" s="3196"/>
      <c r="T159" s="3196"/>
      <c r="U159" s="3196"/>
      <c r="V159" s="3196"/>
      <c r="W159" s="3196"/>
      <c r="X159" s="3196"/>
      <c r="Y159" s="3196"/>
      <c r="Z159" s="3196"/>
      <c r="AA159" s="3196"/>
      <c r="AB159" s="3196"/>
      <c r="AC159" s="3196"/>
      <c r="AD159" s="3196"/>
      <c r="AE159" s="3196"/>
      <c r="AF159" s="3196"/>
      <c r="AG159" s="3196"/>
      <c r="AH159" s="3196"/>
      <c r="AI159" s="3196"/>
      <c r="AJ159" s="2370"/>
      <c r="AK159" s="1392"/>
      <c r="AL159" s="949"/>
      <c r="AT159" s="3085"/>
      <c r="AU159" s="3085"/>
    </row>
    <row r="160" spans="1:47" ht="11.45" customHeight="1" x14ac:dyDescent="0.2">
      <c r="A160" s="2327"/>
      <c r="B160" s="2302"/>
      <c r="C160" s="1854"/>
      <c r="D160" s="3196"/>
      <c r="E160" s="3196"/>
      <c r="F160" s="3196"/>
      <c r="G160" s="3196"/>
      <c r="H160" s="3196"/>
      <c r="I160" s="3196"/>
      <c r="J160" s="3196"/>
      <c r="K160" s="3196"/>
      <c r="L160" s="3196"/>
      <c r="M160" s="3196"/>
      <c r="N160" s="3196"/>
      <c r="O160" s="3196"/>
      <c r="P160" s="3196"/>
      <c r="Q160" s="3196"/>
      <c r="R160" s="3196"/>
      <c r="S160" s="3196"/>
      <c r="T160" s="3196"/>
      <c r="U160" s="3196"/>
      <c r="V160" s="3196"/>
      <c r="W160" s="3196"/>
      <c r="X160" s="3196"/>
      <c r="Y160" s="3196"/>
      <c r="Z160" s="3196"/>
      <c r="AA160" s="3196"/>
      <c r="AB160" s="3196"/>
      <c r="AC160" s="3196"/>
      <c r="AD160" s="3196"/>
      <c r="AE160" s="3196"/>
      <c r="AF160" s="3196"/>
      <c r="AG160" s="3196"/>
      <c r="AH160" s="3196"/>
      <c r="AI160" s="3196"/>
      <c r="AJ160" s="2374"/>
      <c r="AK160" s="1835"/>
      <c r="AL160" s="2094"/>
      <c r="AT160" s="3085"/>
      <c r="AU160" s="3085"/>
    </row>
    <row r="161" spans="1:47" ht="11.45" customHeight="1" x14ac:dyDescent="0.2">
      <c r="A161" s="2327"/>
      <c r="B161" s="2302"/>
      <c r="C161" s="1854"/>
      <c r="D161" s="3196"/>
      <c r="E161" s="3196"/>
      <c r="F161" s="3196"/>
      <c r="G161" s="3196"/>
      <c r="H161" s="3196"/>
      <c r="I161" s="3196"/>
      <c r="J161" s="3196"/>
      <c r="K161" s="3196"/>
      <c r="L161" s="3196"/>
      <c r="M161" s="3196"/>
      <c r="N161" s="3196"/>
      <c r="O161" s="3196"/>
      <c r="P161" s="3196"/>
      <c r="Q161" s="3196"/>
      <c r="R161" s="3196"/>
      <c r="S161" s="3196"/>
      <c r="T161" s="3196"/>
      <c r="U161" s="3196"/>
      <c r="V161" s="3196"/>
      <c r="W161" s="3196"/>
      <c r="X161" s="3196"/>
      <c r="Y161" s="3196"/>
      <c r="Z161" s="3196"/>
      <c r="AA161" s="3196"/>
      <c r="AB161" s="3196"/>
      <c r="AC161" s="3196"/>
      <c r="AD161" s="3196"/>
      <c r="AE161" s="3196"/>
      <c r="AF161" s="3196"/>
      <c r="AG161" s="3196"/>
      <c r="AH161" s="3196"/>
      <c r="AI161" s="3196"/>
      <c r="AJ161" s="2374"/>
      <c r="AK161" s="1835"/>
      <c r="AL161" s="2094"/>
      <c r="AT161" s="3085"/>
      <c r="AU161" s="3085"/>
    </row>
    <row r="162" spans="1:47" ht="11.45" customHeight="1" x14ac:dyDescent="0.2">
      <c r="A162" s="2327"/>
      <c r="B162" s="2302"/>
      <c r="C162" s="1851"/>
      <c r="D162" s="3196"/>
      <c r="E162" s="3196"/>
      <c r="F162" s="3196"/>
      <c r="G162" s="3196"/>
      <c r="H162" s="3196"/>
      <c r="I162" s="3196"/>
      <c r="J162" s="3196"/>
      <c r="K162" s="3196"/>
      <c r="L162" s="3196"/>
      <c r="M162" s="3196"/>
      <c r="N162" s="3196"/>
      <c r="O162" s="3196"/>
      <c r="P162" s="3196"/>
      <c r="Q162" s="3196"/>
      <c r="R162" s="3196"/>
      <c r="S162" s="3196"/>
      <c r="T162" s="3196"/>
      <c r="U162" s="3196"/>
      <c r="V162" s="3196"/>
      <c r="W162" s="3196"/>
      <c r="X162" s="3196"/>
      <c r="Y162" s="3196"/>
      <c r="Z162" s="3196"/>
      <c r="AA162" s="3196"/>
      <c r="AB162" s="3196"/>
      <c r="AC162" s="3196"/>
      <c r="AD162" s="3196"/>
      <c r="AE162" s="3196"/>
      <c r="AF162" s="3196"/>
      <c r="AG162" s="3196"/>
      <c r="AH162" s="3196"/>
      <c r="AI162" s="3196"/>
      <c r="AJ162" s="2374"/>
      <c r="AK162" s="1835"/>
      <c r="AL162" s="2094"/>
      <c r="AT162" s="3085"/>
      <c r="AU162" s="3085"/>
    </row>
    <row r="163" spans="1:47" ht="11.45" customHeight="1" x14ac:dyDescent="0.2">
      <c r="A163" s="2327"/>
      <c r="B163" s="2302"/>
      <c r="C163" s="1851"/>
      <c r="D163" s="3196"/>
      <c r="E163" s="3196"/>
      <c r="F163" s="3196"/>
      <c r="G163" s="3196"/>
      <c r="H163" s="3196"/>
      <c r="I163" s="3196"/>
      <c r="J163" s="3196"/>
      <c r="K163" s="3196"/>
      <c r="L163" s="3196"/>
      <c r="M163" s="3196"/>
      <c r="N163" s="3196"/>
      <c r="O163" s="3196"/>
      <c r="P163" s="3196"/>
      <c r="Q163" s="3196"/>
      <c r="R163" s="3196"/>
      <c r="S163" s="3196"/>
      <c r="T163" s="3196"/>
      <c r="U163" s="3196"/>
      <c r="V163" s="3196"/>
      <c r="W163" s="3196"/>
      <c r="X163" s="3196"/>
      <c r="Y163" s="3196"/>
      <c r="Z163" s="3196"/>
      <c r="AA163" s="3196"/>
      <c r="AB163" s="3196"/>
      <c r="AC163" s="3196"/>
      <c r="AD163" s="3196"/>
      <c r="AE163" s="3196"/>
      <c r="AF163" s="3196"/>
      <c r="AG163" s="3196"/>
      <c r="AH163" s="3196"/>
      <c r="AI163" s="3196"/>
      <c r="AJ163" s="2374"/>
      <c r="AK163" s="1835"/>
      <c r="AL163" s="2094"/>
      <c r="AT163" s="3085"/>
      <c r="AU163" s="3085"/>
    </row>
    <row r="164" spans="1:47" ht="11.45" customHeight="1" x14ac:dyDescent="0.2">
      <c r="A164" s="2327"/>
      <c r="B164" s="2302"/>
      <c r="C164" s="1851"/>
      <c r="D164" s="3196"/>
      <c r="E164" s="3196"/>
      <c r="F164" s="3196"/>
      <c r="G164" s="3196"/>
      <c r="H164" s="3196"/>
      <c r="I164" s="3196"/>
      <c r="J164" s="3196"/>
      <c r="K164" s="3196"/>
      <c r="L164" s="3196"/>
      <c r="M164" s="3196"/>
      <c r="N164" s="3196"/>
      <c r="O164" s="3196"/>
      <c r="P164" s="3196"/>
      <c r="Q164" s="3196"/>
      <c r="R164" s="3196"/>
      <c r="S164" s="3196"/>
      <c r="T164" s="3196"/>
      <c r="U164" s="3196"/>
      <c r="V164" s="3196"/>
      <c r="W164" s="3196"/>
      <c r="X164" s="3196"/>
      <c r="Y164" s="3196"/>
      <c r="Z164" s="3196"/>
      <c r="AA164" s="3196"/>
      <c r="AB164" s="3196"/>
      <c r="AC164" s="3196"/>
      <c r="AD164" s="3196"/>
      <c r="AE164" s="3196"/>
      <c r="AF164" s="3196"/>
      <c r="AG164" s="3196"/>
      <c r="AH164" s="3196"/>
      <c r="AI164" s="3196"/>
      <c r="AJ164" s="2374"/>
      <c r="AK164" s="1835"/>
      <c r="AL164" s="2094"/>
      <c r="AT164" s="3085"/>
      <c r="AU164" s="3085"/>
    </row>
    <row r="165" spans="1:47" ht="11.45" customHeight="1" x14ac:dyDescent="0.2">
      <c r="A165" s="2326"/>
      <c r="B165" s="2307"/>
      <c r="C165" s="2369"/>
      <c r="D165" s="3196"/>
      <c r="E165" s="3196"/>
      <c r="F165" s="3196"/>
      <c r="G165" s="3196"/>
      <c r="H165" s="3196"/>
      <c r="I165" s="3196"/>
      <c r="J165" s="3196"/>
      <c r="K165" s="3196"/>
      <c r="L165" s="3196"/>
      <c r="M165" s="3196"/>
      <c r="N165" s="3196"/>
      <c r="O165" s="3196"/>
      <c r="P165" s="3196"/>
      <c r="Q165" s="3196"/>
      <c r="R165" s="3196"/>
      <c r="S165" s="3196"/>
      <c r="T165" s="3196"/>
      <c r="U165" s="3196"/>
      <c r="V165" s="3196"/>
      <c r="W165" s="3196"/>
      <c r="X165" s="3196"/>
      <c r="Y165" s="3196"/>
      <c r="Z165" s="3196"/>
      <c r="AA165" s="3196"/>
      <c r="AB165" s="3196"/>
      <c r="AC165" s="3196"/>
      <c r="AD165" s="3196"/>
      <c r="AE165" s="3196"/>
      <c r="AF165" s="3196"/>
      <c r="AG165" s="3196"/>
      <c r="AH165" s="3196"/>
      <c r="AI165" s="3196"/>
      <c r="AJ165" s="2370"/>
      <c r="AK165" s="1392"/>
      <c r="AL165" s="949"/>
      <c r="AT165" s="3085"/>
      <c r="AU165" s="3085"/>
    </row>
    <row r="166" spans="1:47" ht="11.45" customHeight="1" x14ac:dyDescent="0.2">
      <c r="A166" s="2327"/>
      <c r="B166" s="2302"/>
      <c r="C166" s="1854"/>
      <c r="D166" s="3196"/>
      <c r="E166" s="3196"/>
      <c r="F166" s="3196"/>
      <c r="G166" s="3196"/>
      <c r="H166" s="3196"/>
      <c r="I166" s="3196"/>
      <c r="J166" s="3196"/>
      <c r="K166" s="3196"/>
      <c r="L166" s="3196"/>
      <c r="M166" s="3196"/>
      <c r="N166" s="3196"/>
      <c r="O166" s="3196"/>
      <c r="P166" s="3196"/>
      <c r="Q166" s="3196"/>
      <c r="R166" s="3196"/>
      <c r="S166" s="3196"/>
      <c r="T166" s="3196"/>
      <c r="U166" s="3196"/>
      <c r="V166" s="3196"/>
      <c r="W166" s="3196"/>
      <c r="X166" s="3196"/>
      <c r="Y166" s="3196"/>
      <c r="Z166" s="3196"/>
      <c r="AA166" s="3196"/>
      <c r="AB166" s="3196"/>
      <c r="AC166" s="3196"/>
      <c r="AD166" s="3196"/>
      <c r="AE166" s="3196"/>
      <c r="AF166" s="3196"/>
      <c r="AG166" s="3196"/>
      <c r="AH166" s="3196"/>
      <c r="AI166" s="3196"/>
      <c r="AJ166" s="2368"/>
      <c r="AK166" s="1835"/>
      <c r="AL166" s="2094"/>
      <c r="AT166" s="3085"/>
      <c r="AU166" s="3085"/>
    </row>
    <row r="167" spans="1:47" ht="11.45" customHeight="1" x14ac:dyDescent="0.2">
      <c r="A167" s="2326"/>
      <c r="B167" s="2307"/>
      <c r="C167" s="2369"/>
      <c r="D167" s="3196"/>
      <c r="E167" s="3196"/>
      <c r="F167" s="3196"/>
      <c r="G167" s="3196"/>
      <c r="H167" s="3196"/>
      <c r="I167" s="3196"/>
      <c r="J167" s="3196"/>
      <c r="K167" s="3196"/>
      <c r="L167" s="3196"/>
      <c r="M167" s="3196"/>
      <c r="N167" s="3196"/>
      <c r="O167" s="3196"/>
      <c r="P167" s="3196"/>
      <c r="Q167" s="3196"/>
      <c r="R167" s="3196"/>
      <c r="S167" s="3196"/>
      <c r="T167" s="3196"/>
      <c r="U167" s="3196"/>
      <c r="V167" s="3196"/>
      <c r="W167" s="3196"/>
      <c r="X167" s="3196"/>
      <c r="Y167" s="3196"/>
      <c r="Z167" s="3196"/>
      <c r="AA167" s="3196"/>
      <c r="AB167" s="3196"/>
      <c r="AC167" s="3196"/>
      <c r="AD167" s="3196"/>
      <c r="AE167" s="3196"/>
      <c r="AF167" s="3196"/>
      <c r="AG167" s="3196"/>
      <c r="AH167" s="3196"/>
      <c r="AI167" s="3196"/>
      <c r="AJ167" s="2370"/>
      <c r="AK167" s="1392"/>
      <c r="AL167" s="949"/>
      <c r="AT167" s="3085"/>
      <c r="AU167" s="3085"/>
    </row>
    <row r="168" spans="1:47" ht="11.45" customHeight="1" x14ac:dyDescent="0.2">
      <c r="A168" s="2327"/>
      <c r="B168" s="2302"/>
      <c r="C168" s="1854"/>
      <c r="D168" s="3196"/>
      <c r="E168" s="3196"/>
      <c r="F168" s="3196"/>
      <c r="G168" s="3196"/>
      <c r="H168" s="3196"/>
      <c r="I168" s="3196"/>
      <c r="J168" s="3196"/>
      <c r="K168" s="3196"/>
      <c r="L168" s="3196"/>
      <c r="M168" s="3196"/>
      <c r="N168" s="3196"/>
      <c r="O168" s="3196"/>
      <c r="P168" s="3196"/>
      <c r="Q168" s="3196"/>
      <c r="R168" s="3196"/>
      <c r="S168" s="3196"/>
      <c r="T168" s="3196"/>
      <c r="U168" s="3196"/>
      <c r="V168" s="3196"/>
      <c r="W168" s="3196"/>
      <c r="X168" s="3196"/>
      <c r="Y168" s="3196"/>
      <c r="Z168" s="3196"/>
      <c r="AA168" s="3196"/>
      <c r="AB168" s="3196"/>
      <c r="AC168" s="3196"/>
      <c r="AD168" s="3196"/>
      <c r="AE168" s="3196"/>
      <c r="AF168" s="3196"/>
      <c r="AG168" s="3196"/>
      <c r="AH168" s="3196"/>
      <c r="AI168" s="3196"/>
      <c r="AJ168" s="2368"/>
      <c r="AK168" s="1835"/>
      <c r="AL168" s="2094"/>
      <c r="AT168" s="3085"/>
      <c r="AU168" s="3085"/>
    </row>
    <row r="169" spans="1:47" ht="11.45" customHeight="1" x14ac:dyDescent="0.2">
      <c r="A169" s="2326"/>
      <c r="B169" s="2307"/>
      <c r="C169" s="2369"/>
      <c r="D169" s="3196"/>
      <c r="E169" s="3196"/>
      <c r="F169" s="3196"/>
      <c r="G169" s="3196"/>
      <c r="H169" s="3196"/>
      <c r="I169" s="3196"/>
      <c r="J169" s="3196"/>
      <c r="K169" s="3196"/>
      <c r="L169" s="3196"/>
      <c r="M169" s="3196"/>
      <c r="N169" s="3196"/>
      <c r="O169" s="3196"/>
      <c r="P169" s="3196"/>
      <c r="Q169" s="3196"/>
      <c r="R169" s="3196"/>
      <c r="S169" s="3196"/>
      <c r="T169" s="3196"/>
      <c r="U169" s="3196"/>
      <c r="V169" s="3196"/>
      <c r="W169" s="3196"/>
      <c r="X169" s="3196"/>
      <c r="Y169" s="3196"/>
      <c r="Z169" s="3196"/>
      <c r="AA169" s="3196"/>
      <c r="AB169" s="3196"/>
      <c r="AC169" s="3196"/>
      <c r="AD169" s="3196"/>
      <c r="AE169" s="3196"/>
      <c r="AF169" s="3196"/>
      <c r="AG169" s="3196"/>
      <c r="AH169" s="3196"/>
      <c r="AI169" s="3196"/>
      <c r="AJ169" s="2370"/>
      <c r="AK169" s="1392"/>
      <c r="AL169" s="949"/>
      <c r="AT169" s="3085"/>
      <c r="AU169" s="3085"/>
    </row>
    <row r="170" spans="1:47" ht="11.45" customHeight="1" x14ac:dyDescent="0.2">
      <c r="A170" s="2327"/>
      <c r="B170" s="2302"/>
      <c r="C170" s="1854"/>
      <c r="D170" s="3196"/>
      <c r="E170" s="3196"/>
      <c r="F170" s="3196"/>
      <c r="G170" s="3196"/>
      <c r="H170" s="3196"/>
      <c r="I170" s="3196"/>
      <c r="J170" s="3196"/>
      <c r="K170" s="3196"/>
      <c r="L170" s="3196"/>
      <c r="M170" s="3196"/>
      <c r="N170" s="3196"/>
      <c r="O170" s="3196"/>
      <c r="P170" s="3196"/>
      <c r="Q170" s="3196"/>
      <c r="R170" s="3196"/>
      <c r="S170" s="3196"/>
      <c r="T170" s="3196"/>
      <c r="U170" s="3196"/>
      <c r="V170" s="3196"/>
      <c r="W170" s="3196"/>
      <c r="X170" s="3196"/>
      <c r="Y170" s="3196"/>
      <c r="Z170" s="3196"/>
      <c r="AA170" s="3196"/>
      <c r="AB170" s="3196"/>
      <c r="AC170" s="3196"/>
      <c r="AD170" s="3196"/>
      <c r="AE170" s="3196"/>
      <c r="AF170" s="3196"/>
      <c r="AG170" s="3196"/>
      <c r="AH170" s="3196"/>
      <c r="AI170" s="3196"/>
      <c r="AJ170" s="2374"/>
      <c r="AK170" s="1835"/>
      <c r="AL170" s="2094"/>
      <c r="AT170" s="3085"/>
      <c r="AU170" s="3085"/>
    </row>
    <row r="171" spans="1:47" ht="11.45" customHeight="1" x14ac:dyDescent="0.2">
      <c r="A171" s="2326"/>
      <c r="B171" s="2307"/>
      <c r="C171" s="2369"/>
      <c r="D171" s="3196"/>
      <c r="E171" s="3196"/>
      <c r="F171" s="3196"/>
      <c r="G171" s="3196"/>
      <c r="H171" s="3196"/>
      <c r="I171" s="3196"/>
      <c r="J171" s="3196"/>
      <c r="K171" s="3196"/>
      <c r="L171" s="3196"/>
      <c r="M171" s="3196"/>
      <c r="N171" s="3196"/>
      <c r="O171" s="3196"/>
      <c r="P171" s="3196"/>
      <c r="Q171" s="3196"/>
      <c r="R171" s="3196"/>
      <c r="S171" s="3196"/>
      <c r="T171" s="3196"/>
      <c r="U171" s="3196"/>
      <c r="V171" s="3196"/>
      <c r="W171" s="3196"/>
      <c r="X171" s="3196"/>
      <c r="Y171" s="3196"/>
      <c r="Z171" s="3196"/>
      <c r="AA171" s="3196"/>
      <c r="AB171" s="3196"/>
      <c r="AC171" s="3196"/>
      <c r="AD171" s="3196"/>
      <c r="AE171" s="3196"/>
      <c r="AF171" s="3196"/>
      <c r="AG171" s="3196"/>
      <c r="AH171" s="3196"/>
      <c r="AI171" s="3196"/>
      <c r="AJ171" s="2370"/>
      <c r="AK171" s="1392"/>
      <c r="AL171" s="949"/>
      <c r="AT171" s="3085"/>
      <c r="AU171" s="3085"/>
    </row>
    <row r="172" spans="1:47" ht="11.45" customHeight="1" x14ac:dyDescent="0.2">
      <c r="A172" s="2327"/>
      <c r="B172" s="2302"/>
      <c r="C172" s="1854"/>
      <c r="D172" s="3196"/>
      <c r="E172" s="3196"/>
      <c r="F172" s="3196"/>
      <c r="G172" s="3196"/>
      <c r="H172" s="3196"/>
      <c r="I172" s="3196"/>
      <c r="J172" s="3196"/>
      <c r="K172" s="3196"/>
      <c r="L172" s="3196"/>
      <c r="M172" s="3196"/>
      <c r="N172" s="3196"/>
      <c r="O172" s="3196"/>
      <c r="P172" s="3196"/>
      <c r="Q172" s="3196"/>
      <c r="R172" s="3196"/>
      <c r="S172" s="3196"/>
      <c r="T172" s="3196"/>
      <c r="U172" s="3196"/>
      <c r="V172" s="3196"/>
      <c r="W172" s="3196"/>
      <c r="X172" s="3196"/>
      <c r="Y172" s="3196"/>
      <c r="Z172" s="3196"/>
      <c r="AA172" s="3196"/>
      <c r="AB172" s="3196"/>
      <c r="AC172" s="3196"/>
      <c r="AD172" s="3196"/>
      <c r="AE172" s="3196"/>
      <c r="AF172" s="3196"/>
      <c r="AG172" s="3196"/>
      <c r="AH172" s="3196"/>
      <c r="AI172" s="3196"/>
      <c r="AJ172" s="2374"/>
      <c r="AK172" s="1835"/>
      <c r="AL172" s="2094"/>
      <c r="AT172" s="3085"/>
      <c r="AU172" s="3085"/>
    </row>
    <row r="173" spans="1:47" ht="11.45" customHeight="1" x14ac:dyDescent="0.2">
      <c r="A173" s="2326"/>
      <c r="B173" s="2307"/>
      <c r="C173" s="2369"/>
      <c r="D173" s="3196"/>
      <c r="E173" s="3196"/>
      <c r="F173" s="3196"/>
      <c r="G173" s="3196"/>
      <c r="H173" s="3196"/>
      <c r="I173" s="3196"/>
      <c r="J173" s="3196"/>
      <c r="K173" s="3196"/>
      <c r="L173" s="3196"/>
      <c r="M173" s="3196"/>
      <c r="N173" s="3196"/>
      <c r="O173" s="3196"/>
      <c r="P173" s="3196"/>
      <c r="Q173" s="3196"/>
      <c r="R173" s="3196"/>
      <c r="S173" s="3196"/>
      <c r="T173" s="3196"/>
      <c r="U173" s="3196"/>
      <c r="V173" s="3196"/>
      <c r="W173" s="3196"/>
      <c r="X173" s="3196"/>
      <c r="Y173" s="3196"/>
      <c r="Z173" s="3196"/>
      <c r="AA173" s="3196"/>
      <c r="AB173" s="3196"/>
      <c r="AC173" s="3196"/>
      <c r="AD173" s="3196"/>
      <c r="AE173" s="3196"/>
      <c r="AF173" s="3196"/>
      <c r="AG173" s="3196"/>
      <c r="AH173" s="3196"/>
      <c r="AI173" s="3196"/>
      <c r="AJ173" s="2370"/>
      <c r="AK173" s="1392"/>
      <c r="AL173" s="949"/>
      <c r="AT173" s="3085"/>
      <c r="AU173" s="3085"/>
    </row>
    <row r="174" spans="1:47" ht="11.45" customHeight="1" x14ac:dyDescent="0.2">
      <c r="A174" s="2327"/>
      <c r="B174" s="2302"/>
      <c r="C174" s="1841"/>
      <c r="D174" s="3196"/>
      <c r="E174" s="3196"/>
      <c r="F174" s="3196"/>
      <c r="G174" s="3196"/>
      <c r="H174" s="3196"/>
      <c r="I174" s="3196"/>
      <c r="J174" s="3196"/>
      <c r="K174" s="3196"/>
      <c r="L174" s="3196"/>
      <c r="M174" s="3196"/>
      <c r="N174" s="3196"/>
      <c r="O174" s="3196"/>
      <c r="P174" s="3196"/>
      <c r="Q174" s="3196"/>
      <c r="R174" s="3196"/>
      <c r="S174" s="3196"/>
      <c r="T174" s="3196"/>
      <c r="U174" s="3196"/>
      <c r="V174" s="3196"/>
      <c r="W174" s="3196"/>
      <c r="X174" s="3196"/>
      <c r="Y174" s="3196"/>
      <c r="Z174" s="3196"/>
      <c r="AA174" s="3196"/>
      <c r="AB174" s="3196"/>
      <c r="AC174" s="3196"/>
      <c r="AD174" s="3196"/>
      <c r="AE174" s="3196"/>
      <c r="AF174" s="3196"/>
      <c r="AG174" s="3196"/>
      <c r="AH174" s="3196"/>
      <c r="AI174" s="3196"/>
      <c r="AJ174" s="2371"/>
      <c r="AK174" s="1835"/>
      <c r="AL174" s="2094"/>
      <c r="AT174" s="3085"/>
      <c r="AU174" s="3085"/>
    </row>
    <row r="175" spans="1:47" ht="11.45" customHeight="1" x14ac:dyDescent="0.2">
      <c r="A175" s="2327"/>
      <c r="B175" s="2302"/>
      <c r="C175" s="1841"/>
      <c r="D175" s="3196"/>
      <c r="E175" s="3196"/>
      <c r="F175" s="3196"/>
      <c r="G175" s="3196"/>
      <c r="H175" s="3196"/>
      <c r="I175" s="3196"/>
      <c r="J175" s="3196"/>
      <c r="K175" s="3196"/>
      <c r="L175" s="3196"/>
      <c r="M175" s="3196"/>
      <c r="N175" s="3196"/>
      <c r="O175" s="3196"/>
      <c r="P175" s="3196"/>
      <c r="Q175" s="3196"/>
      <c r="R175" s="3196"/>
      <c r="S175" s="3196"/>
      <c r="T175" s="3196"/>
      <c r="U175" s="3196"/>
      <c r="V175" s="3196"/>
      <c r="W175" s="3196"/>
      <c r="X175" s="3196"/>
      <c r="Y175" s="3196"/>
      <c r="Z175" s="3196"/>
      <c r="AA175" s="3196"/>
      <c r="AB175" s="3196"/>
      <c r="AC175" s="3196"/>
      <c r="AD175" s="3196"/>
      <c r="AE175" s="3196"/>
      <c r="AF175" s="3196"/>
      <c r="AG175" s="3196"/>
      <c r="AH175" s="3196"/>
      <c r="AI175" s="3196"/>
      <c r="AJ175" s="2374"/>
      <c r="AK175" s="1835"/>
      <c r="AL175" s="2094"/>
      <c r="AT175" s="3085"/>
      <c r="AU175" s="3085"/>
    </row>
    <row r="176" spans="1:47" ht="11.45" customHeight="1" x14ac:dyDescent="0.2">
      <c r="A176" s="2327"/>
      <c r="B176" s="2302"/>
      <c r="C176" s="1841"/>
      <c r="D176" s="3196"/>
      <c r="E176" s="3196"/>
      <c r="F176" s="3196"/>
      <c r="G176" s="3196"/>
      <c r="H176" s="3196"/>
      <c r="I176" s="3196"/>
      <c r="J176" s="3196"/>
      <c r="K176" s="3196"/>
      <c r="L176" s="3196"/>
      <c r="M176" s="3196"/>
      <c r="N176" s="3196"/>
      <c r="O176" s="3196"/>
      <c r="P176" s="3196"/>
      <c r="Q176" s="3196"/>
      <c r="R176" s="3196"/>
      <c r="S176" s="3196"/>
      <c r="T176" s="3196"/>
      <c r="U176" s="3196"/>
      <c r="V176" s="3196"/>
      <c r="W176" s="3196"/>
      <c r="X176" s="3196"/>
      <c r="Y176" s="3196"/>
      <c r="Z176" s="3196"/>
      <c r="AA176" s="3196"/>
      <c r="AB176" s="3196"/>
      <c r="AC176" s="3196"/>
      <c r="AD176" s="3196"/>
      <c r="AE176" s="3196"/>
      <c r="AF176" s="3196"/>
      <c r="AG176" s="3196"/>
      <c r="AH176" s="3196"/>
      <c r="AI176" s="3196"/>
      <c r="AJ176" s="2368"/>
      <c r="AK176" s="1835"/>
      <c r="AL176" s="2094"/>
      <c r="AT176" s="3085"/>
      <c r="AU176" s="3085"/>
    </row>
    <row r="177" spans="1:47" ht="11.45" customHeight="1" x14ac:dyDescent="0.2">
      <c r="A177" s="2327"/>
      <c r="B177" s="2302"/>
      <c r="C177" s="1841"/>
      <c r="D177" s="3196"/>
      <c r="E177" s="3196"/>
      <c r="F177" s="3196"/>
      <c r="G177" s="3196"/>
      <c r="H177" s="3196"/>
      <c r="I177" s="3196"/>
      <c r="J177" s="3196"/>
      <c r="K177" s="3196"/>
      <c r="L177" s="3196"/>
      <c r="M177" s="3196"/>
      <c r="N177" s="3196"/>
      <c r="O177" s="3196"/>
      <c r="P177" s="3196"/>
      <c r="Q177" s="3196"/>
      <c r="R177" s="3196"/>
      <c r="S177" s="3196"/>
      <c r="T177" s="3196"/>
      <c r="U177" s="3196"/>
      <c r="V177" s="3196"/>
      <c r="W177" s="3196"/>
      <c r="X177" s="3196"/>
      <c r="Y177" s="3196"/>
      <c r="Z177" s="3196"/>
      <c r="AA177" s="3196"/>
      <c r="AB177" s="3196"/>
      <c r="AC177" s="3196"/>
      <c r="AD177" s="3196"/>
      <c r="AE177" s="3196"/>
      <c r="AF177" s="3196"/>
      <c r="AG177" s="3196"/>
      <c r="AH177" s="3196"/>
      <c r="AI177" s="3196"/>
      <c r="AJ177" s="2368"/>
      <c r="AK177" s="1835"/>
      <c r="AL177" s="2094"/>
      <c r="AT177" s="3085"/>
      <c r="AU177" s="3085"/>
    </row>
    <row r="178" spans="1:47" ht="11.45" customHeight="1" x14ac:dyDescent="0.2">
      <c r="A178" s="2326"/>
      <c r="B178" s="2307"/>
      <c r="C178" s="2369"/>
      <c r="D178" s="3196"/>
      <c r="E178" s="3196"/>
      <c r="F178" s="3196"/>
      <c r="G178" s="3196"/>
      <c r="H178" s="3196"/>
      <c r="I178" s="3196"/>
      <c r="J178" s="3196"/>
      <c r="K178" s="3196"/>
      <c r="L178" s="3196"/>
      <c r="M178" s="3196"/>
      <c r="N178" s="3196"/>
      <c r="O178" s="3196"/>
      <c r="P178" s="3196"/>
      <c r="Q178" s="3196"/>
      <c r="R178" s="3196"/>
      <c r="S178" s="3196"/>
      <c r="T178" s="3196"/>
      <c r="U178" s="3196"/>
      <c r="V178" s="3196"/>
      <c r="W178" s="3196"/>
      <c r="X178" s="3196"/>
      <c r="Y178" s="3196"/>
      <c r="Z178" s="3196"/>
      <c r="AA178" s="3196"/>
      <c r="AB178" s="3196"/>
      <c r="AC178" s="3196"/>
      <c r="AD178" s="3196"/>
      <c r="AE178" s="3196"/>
      <c r="AF178" s="3196"/>
      <c r="AG178" s="3196"/>
      <c r="AH178" s="3196"/>
      <c r="AI178" s="3196"/>
      <c r="AJ178" s="2370"/>
      <c r="AK178" s="1392"/>
      <c r="AL178" s="949"/>
      <c r="AT178" s="3085"/>
      <c r="AU178" s="3085"/>
    </row>
    <row r="179" spans="1:47" ht="11.45" customHeight="1" x14ac:dyDescent="0.2">
      <c r="A179" s="2327"/>
      <c r="B179" s="2302"/>
      <c r="C179" s="1841"/>
      <c r="D179" s="3196"/>
      <c r="E179" s="3196"/>
      <c r="F179" s="3196"/>
      <c r="G179" s="3196"/>
      <c r="H179" s="3196"/>
      <c r="I179" s="3196"/>
      <c r="J179" s="3196"/>
      <c r="K179" s="3196"/>
      <c r="L179" s="3196"/>
      <c r="M179" s="3196"/>
      <c r="N179" s="3196"/>
      <c r="O179" s="3196"/>
      <c r="P179" s="3196"/>
      <c r="Q179" s="3196"/>
      <c r="R179" s="3196"/>
      <c r="S179" s="3196"/>
      <c r="T179" s="3196"/>
      <c r="U179" s="3196"/>
      <c r="V179" s="3196"/>
      <c r="W179" s="3196"/>
      <c r="X179" s="3196"/>
      <c r="Y179" s="3196"/>
      <c r="Z179" s="3196"/>
      <c r="AA179" s="3196"/>
      <c r="AB179" s="3196"/>
      <c r="AC179" s="3196"/>
      <c r="AD179" s="3196"/>
      <c r="AE179" s="3196"/>
      <c r="AF179" s="3196"/>
      <c r="AG179" s="3196"/>
      <c r="AH179" s="3196"/>
      <c r="AI179" s="3196"/>
      <c r="AJ179" s="2374"/>
      <c r="AK179" s="1835"/>
      <c r="AL179" s="2094"/>
      <c r="AT179" s="3085"/>
      <c r="AU179" s="3085"/>
    </row>
    <row r="180" spans="1:47" ht="11.45" customHeight="1" x14ac:dyDescent="0.2">
      <c r="A180" s="2327"/>
      <c r="B180" s="2302"/>
      <c r="C180" s="1841"/>
      <c r="D180" s="3196"/>
      <c r="E180" s="3196"/>
      <c r="F180" s="3196"/>
      <c r="G180" s="3196"/>
      <c r="H180" s="3196"/>
      <c r="I180" s="3196"/>
      <c r="J180" s="3196"/>
      <c r="K180" s="3196"/>
      <c r="L180" s="3196"/>
      <c r="M180" s="3196"/>
      <c r="N180" s="3196"/>
      <c r="O180" s="3196"/>
      <c r="P180" s="3196"/>
      <c r="Q180" s="3196"/>
      <c r="R180" s="3196"/>
      <c r="S180" s="3196"/>
      <c r="T180" s="3196"/>
      <c r="U180" s="3196"/>
      <c r="V180" s="3196"/>
      <c r="W180" s="3196"/>
      <c r="X180" s="3196"/>
      <c r="Y180" s="3196"/>
      <c r="Z180" s="3196"/>
      <c r="AA180" s="3196"/>
      <c r="AB180" s="3196"/>
      <c r="AC180" s="3196"/>
      <c r="AD180" s="3196"/>
      <c r="AE180" s="3196"/>
      <c r="AF180" s="3196"/>
      <c r="AG180" s="3196"/>
      <c r="AH180" s="3196"/>
      <c r="AI180" s="3196"/>
      <c r="AJ180" s="2374"/>
      <c r="AK180" s="1835"/>
      <c r="AL180" s="2094"/>
      <c r="AT180" s="3085"/>
      <c r="AU180" s="3085"/>
    </row>
    <row r="181" spans="1:47" ht="11.45" customHeight="1" x14ac:dyDescent="0.2">
      <c r="A181" s="2326"/>
      <c r="B181" s="2307"/>
      <c r="C181" s="2369"/>
      <c r="D181" s="3196"/>
      <c r="E181" s="3196"/>
      <c r="F181" s="3196"/>
      <c r="G181" s="3196"/>
      <c r="H181" s="3196"/>
      <c r="I181" s="3196"/>
      <c r="J181" s="3196"/>
      <c r="K181" s="3196"/>
      <c r="L181" s="3196"/>
      <c r="M181" s="3196"/>
      <c r="N181" s="3196"/>
      <c r="O181" s="3196"/>
      <c r="P181" s="3196"/>
      <c r="Q181" s="3196"/>
      <c r="R181" s="3196"/>
      <c r="S181" s="3196"/>
      <c r="T181" s="3196"/>
      <c r="U181" s="3196"/>
      <c r="V181" s="3196"/>
      <c r="W181" s="3196"/>
      <c r="X181" s="3196"/>
      <c r="Y181" s="3196"/>
      <c r="Z181" s="3196"/>
      <c r="AA181" s="3196"/>
      <c r="AB181" s="3196"/>
      <c r="AC181" s="3196"/>
      <c r="AD181" s="3196"/>
      <c r="AE181" s="3196"/>
      <c r="AF181" s="3196"/>
      <c r="AG181" s="3196"/>
      <c r="AH181" s="3196"/>
      <c r="AI181" s="3196"/>
      <c r="AJ181" s="2370"/>
      <c r="AK181" s="1392"/>
      <c r="AL181" s="949"/>
      <c r="AT181" s="3085"/>
      <c r="AU181" s="3085"/>
    </row>
    <row r="182" spans="1:47" ht="11.45" customHeight="1" x14ac:dyDescent="0.2">
      <c r="A182" s="2327"/>
      <c r="B182" s="2302"/>
      <c r="C182" s="1841"/>
      <c r="D182" s="3196"/>
      <c r="E182" s="3196"/>
      <c r="F182" s="3196"/>
      <c r="G182" s="3196"/>
      <c r="H182" s="3196"/>
      <c r="I182" s="3196"/>
      <c r="J182" s="3196"/>
      <c r="K182" s="3196"/>
      <c r="L182" s="3196"/>
      <c r="M182" s="3196"/>
      <c r="N182" s="3196"/>
      <c r="O182" s="3196"/>
      <c r="P182" s="3196"/>
      <c r="Q182" s="3196"/>
      <c r="R182" s="3196"/>
      <c r="S182" s="3196"/>
      <c r="T182" s="3196"/>
      <c r="U182" s="3196"/>
      <c r="V182" s="3196"/>
      <c r="W182" s="3196"/>
      <c r="X182" s="3196"/>
      <c r="Y182" s="3196"/>
      <c r="Z182" s="3196"/>
      <c r="AA182" s="3196"/>
      <c r="AB182" s="3196"/>
      <c r="AC182" s="3196"/>
      <c r="AD182" s="3196"/>
      <c r="AE182" s="3196"/>
      <c r="AF182" s="3196"/>
      <c r="AG182" s="3196"/>
      <c r="AH182" s="3196"/>
      <c r="AI182" s="3196"/>
      <c r="AJ182" s="2374"/>
      <c r="AK182" s="1835"/>
      <c r="AL182" s="2094"/>
      <c r="AT182" s="3085"/>
      <c r="AU182" s="3085"/>
    </row>
    <row r="183" spans="1:47" ht="11.45" customHeight="1" x14ac:dyDescent="0.2">
      <c r="A183" s="2326"/>
      <c r="B183" s="2307"/>
      <c r="C183" s="2369"/>
      <c r="D183" s="3196"/>
      <c r="E183" s="3196"/>
      <c r="F183" s="3196"/>
      <c r="G183" s="3196"/>
      <c r="H183" s="3196"/>
      <c r="I183" s="3196"/>
      <c r="J183" s="3196"/>
      <c r="K183" s="3196"/>
      <c r="L183" s="3196"/>
      <c r="M183" s="3196"/>
      <c r="N183" s="3196"/>
      <c r="O183" s="3196"/>
      <c r="P183" s="3196"/>
      <c r="Q183" s="3196"/>
      <c r="R183" s="3196"/>
      <c r="S183" s="3196"/>
      <c r="T183" s="3196"/>
      <c r="U183" s="3196"/>
      <c r="V183" s="3196"/>
      <c r="W183" s="3196"/>
      <c r="X183" s="3196"/>
      <c r="Y183" s="3196"/>
      <c r="Z183" s="3196"/>
      <c r="AA183" s="3196"/>
      <c r="AB183" s="3196"/>
      <c r="AC183" s="3196"/>
      <c r="AD183" s="3196"/>
      <c r="AE183" s="3196"/>
      <c r="AF183" s="3196"/>
      <c r="AG183" s="3196"/>
      <c r="AH183" s="3196"/>
      <c r="AI183" s="3196"/>
      <c r="AJ183" s="2370"/>
      <c r="AK183" s="1392"/>
      <c r="AL183" s="949"/>
      <c r="AT183" s="3085"/>
      <c r="AU183" s="3085"/>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85"/>
      <c r="AU184" s="3085"/>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85"/>
      <c r="AU185" s="3085"/>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85"/>
      <c r="AU186" s="3085"/>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85"/>
      <c r="AU187" s="3085"/>
    </row>
  </sheetData>
  <sheetProtection sheet="1" objects="1" scenarios="1"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3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4" t="s">
        <v>8736</v>
      </c>
    </row>
    <row r="2" spans="1:41" s="637" customFormat="1" ht="12" customHeight="1" thickBot="1" x14ac:dyDescent="0.25">
      <c r="A2" s="3386"/>
      <c r="B2" s="634" t="s">
        <v>6569</v>
      </c>
      <c r="C2" s="635"/>
      <c r="D2" s="635"/>
      <c r="E2" s="635"/>
      <c r="F2" s="635"/>
      <c r="G2" s="635"/>
      <c r="H2" s="635"/>
      <c r="I2" s="635"/>
      <c r="J2" s="635"/>
      <c r="K2" s="635"/>
      <c r="L2" s="635"/>
      <c r="M2" s="635"/>
      <c r="N2" s="635"/>
      <c r="O2" s="635"/>
      <c r="P2" s="635"/>
      <c r="Q2" s="635"/>
      <c r="R2" s="635"/>
      <c r="S2" s="635"/>
      <c r="T2" s="636"/>
      <c r="U2" s="633"/>
      <c r="V2" s="576"/>
      <c r="W2" s="2719"/>
      <c r="X2" s="2720"/>
      <c r="Y2" s="2720"/>
      <c r="Z2" s="2720"/>
      <c r="AA2" s="2720"/>
      <c r="AB2" s="2720"/>
      <c r="AC2" s="2720"/>
      <c r="AD2" s="2720"/>
      <c r="AE2" s="2720"/>
      <c r="AF2" s="2720"/>
      <c r="AG2" s="2720"/>
      <c r="AH2" s="2720"/>
      <c r="AI2" s="2720"/>
      <c r="AJ2" s="2720"/>
      <c r="AK2" s="2720"/>
      <c r="AL2" s="2720"/>
      <c r="AM2" s="2721"/>
      <c r="AN2" s="4"/>
      <c r="AO2" s="3139"/>
    </row>
    <row r="3" spans="1:41" ht="12" customHeight="1" thickBot="1" x14ac:dyDescent="0.25">
      <c r="A3" s="3386"/>
      <c r="B3" s="629"/>
      <c r="C3" s="5"/>
      <c r="D3" s="5"/>
      <c r="E3" s="5"/>
      <c r="F3" s="1836"/>
      <c r="G3" s="5"/>
      <c r="H3" s="5"/>
      <c r="I3" s="5"/>
      <c r="J3" s="5"/>
      <c r="K3" s="5"/>
      <c r="L3" s="5"/>
      <c r="T3" s="630"/>
      <c r="U3" s="3"/>
      <c r="V3" s="4"/>
      <c r="W3" s="850"/>
      <c r="X3" s="3341" t="s">
        <v>10159</v>
      </c>
      <c r="Y3" s="3341"/>
      <c r="Z3" s="3341"/>
      <c r="AA3" s="3341"/>
      <c r="AB3" s="3341"/>
      <c r="AC3" s="3341"/>
      <c r="AD3" s="6"/>
      <c r="AE3" s="2246"/>
      <c r="AF3" s="2246"/>
      <c r="AG3" s="2246"/>
      <c r="AH3" s="2246"/>
      <c r="AI3" s="2246"/>
      <c r="AJ3" s="2246"/>
      <c r="AK3" s="2246"/>
      <c r="AL3" s="7"/>
      <c r="AM3" s="1155"/>
      <c r="AN3" s="4"/>
      <c r="AO3" s="3093"/>
    </row>
    <row r="4" spans="1:41" ht="12" customHeight="1" thickBot="1" x14ac:dyDescent="0.25">
      <c r="A4" s="3386"/>
      <c r="B4" s="629"/>
      <c r="L4" s="1624"/>
      <c r="M4" s="3418" t="s">
        <v>8715</v>
      </c>
      <c r="N4" s="3419"/>
      <c r="O4" s="3419"/>
      <c r="P4" s="3419"/>
      <c r="Q4" s="3419"/>
      <c r="R4" s="3419"/>
      <c r="S4" s="3420"/>
      <c r="T4" s="630"/>
      <c r="U4" s="3"/>
      <c r="V4" s="4"/>
      <c r="W4" s="850"/>
      <c r="X4" s="3341"/>
      <c r="Y4" s="3341"/>
      <c r="Z4" s="3341"/>
      <c r="AA4" s="3341"/>
      <c r="AB4" s="3341"/>
      <c r="AC4" s="3341"/>
      <c r="AD4" s="2722"/>
      <c r="AE4" s="3178" t="s">
        <v>1323</v>
      </c>
      <c r="AF4" s="3178"/>
      <c r="AG4" s="3342" t="str">
        <f>IF(OR(General!$F$22="",General!$F$22=0),"",General!$F$22)</f>
        <v/>
      </c>
      <c r="AH4" s="3342"/>
      <c r="AI4" s="3342"/>
      <c r="AJ4" s="3342"/>
      <c r="AK4" s="3342"/>
      <c r="AL4" s="10"/>
      <c r="AM4" s="1155"/>
      <c r="AN4" s="4"/>
      <c r="AO4" s="3139" t="s">
        <v>10231</v>
      </c>
    </row>
    <row r="5" spans="1:41" ht="12" customHeight="1" thickBot="1" x14ac:dyDescent="0.25">
      <c r="A5" s="3386"/>
      <c r="B5" s="629"/>
      <c r="L5" s="1624"/>
      <c r="M5" s="3421"/>
      <c r="N5" s="3422"/>
      <c r="O5" s="3422"/>
      <c r="P5" s="3422"/>
      <c r="Q5" s="3422"/>
      <c r="R5" s="3422"/>
      <c r="S5" s="3423"/>
      <c r="T5" s="630"/>
      <c r="U5" s="3"/>
      <c r="V5" s="4"/>
      <c r="W5" s="850"/>
      <c r="X5" s="3341"/>
      <c r="Y5" s="3341"/>
      <c r="Z5" s="3341"/>
      <c r="AA5" s="3341"/>
      <c r="AB5" s="3341"/>
      <c r="AC5" s="3341"/>
      <c r="AD5" s="2722"/>
      <c r="AE5" s="3335" t="s">
        <v>1324</v>
      </c>
      <c r="AF5" s="3335"/>
      <c r="AG5" s="3184" t="str">
        <f>IF(LEN(PDs!$E$11)&lt;=General!$AO$5,PDs!$E$11,"… /"&amp;RIGHT(PDs!$E$11,General!$AO$5-FIND("/",RIGHT(PDs!$E$11,General!$AO$5))))</f>
        <v/>
      </c>
      <c r="AH5" s="3184"/>
      <c r="AI5" s="3184"/>
      <c r="AJ5" s="2519" t="s">
        <v>1325</v>
      </c>
      <c r="AK5" s="2520" t="str">
        <f>Principal!$O$6</f>
        <v>0</v>
      </c>
      <c r="AL5" s="11"/>
      <c r="AM5" s="1155"/>
      <c r="AN5" s="4"/>
      <c r="AO5" s="3093">
        <v>25</v>
      </c>
    </row>
    <row r="6" spans="1:41" ht="12" customHeight="1" thickBot="1" x14ac:dyDescent="0.25">
      <c r="A6" s="3386"/>
      <c r="B6" s="629"/>
      <c r="C6" s="3449" t="s">
        <v>10159</v>
      </c>
      <c r="D6" s="3450"/>
      <c r="E6" s="3450"/>
      <c r="F6" s="3450"/>
      <c r="G6" s="3450"/>
      <c r="H6" s="3450"/>
      <c r="I6" s="3450"/>
      <c r="J6" s="3450"/>
      <c r="K6" s="3451"/>
      <c r="L6" s="1624"/>
      <c r="M6" s="3421"/>
      <c r="N6" s="3422"/>
      <c r="O6" s="3422"/>
      <c r="P6" s="3422"/>
      <c r="Q6" s="3422"/>
      <c r="R6" s="3422"/>
      <c r="S6" s="3423"/>
      <c r="T6" s="630"/>
      <c r="U6" s="3"/>
      <c r="V6" s="4"/>
      <c r="W6" s="850"/>
      <c r="X6" s="3341"/>
      <c r="Y6" s="3341"/>
      <c r="Z6" s="3341"/>
      <c r="AA6" s="3341"/>
      <c r="AB6" s="3341"/>
      <c r="AC6" s="3341"/>
      <c r="AD6" s="2722"/>
      <c r="AE6" s="3336" t="s">
        <v>1326</v>
      </c>
      <c r="AF6" s="3336"/>
      <c r="AG6" s="3336"/>
      <c r="AH6" s="3336"/>
      <c r="AI6" s="3336"/>
      <c r="AJ6" s="3336"/>
      <c r="AK6" s="3336"/>
      <c r="AL6" s="11"/>
      <c r="AM6" s="1155"/>
      <c r="AN6" s="4"/>
      <c r="AO6" s="3093"/>
    </row>
    <row r="7" spans="1:41" ht="12" customHeight="1" thickBot="1" x14ac:dyDescent="0.25">
      <c r="A7" s="3386"/>
      <c r="B7" s="629"/>
      <c r="C7" s="3452"/>
      <c r="D7" s="3453"/>
      <c r="E7" s="3453"/>
      <c r="F7" s="3453"/>
      <c r="G7" s="3453"/>
      <c r="H7" s="3453"/>
      <c r="I7" s="3453"/>
      <c r="J7" s="3453"/>
      <c r="K7" s="3454"/>
      <c r="L7" s="1624"/>
      <c r="M7" s="3421"/>
      <c r="N7" s="3422"/>
      <c r="O7" s="3422"/>
      <c r="P7" s="3422"/>
      <c r="Q7" s="3422"/>
      <c r="R7" s="3422"/>
      <c r="S7" s="3423"/>
      <c r="T7" s="630"/>
      <c r="U7" s="3"/>
      <c r="V7" s="4"/>
      <c r="W7" s="850"/>
      <c r="X7" s="3341"/>
      <c r="Y7" s="3341"/>
      <c r="Z7" s="3341"/>
      <c r="AA7" s="3341"/>
      <c r="AB7" s="3341"/>
      <c r="AC7" s="3341"/>
      <c r="AD7" s="2722"/>
      <c r="AE7" s="3336"/>
      <c r="AF7" s="3336"/>
      <c r="AG7" s="3336"/>
      <c r="AH7" s="3336"/>
      <c r="AI7" s="3336"/>
      <c r="AJ7" s="3336"/>
      <c r="AK7" s="3336"/>
      <c r="AL7" s="11"/>
      <c r="AM7" s="1155"/>
      <c r="AN7" s="4"/>
      <c r="AO7" s="3093"/>
    </row>
    <row r="8" spans="1:41" ht="12" customHeight="1" thickBot="1" x14ac:dyDescent="0.25">
      <c r="A8" s="3386"/>
      <c r="B8" s="629"/>
      <c r="C8" s="3452"/>
      <c r="D8" s="3453"/>
      <c r="E8" s="3453"/>
      <c r="F8" s="3453"/>
      <c r="G8" s="3453"/>
      <c r="H8" s="3453"/>
      <c r="I8" s="3453"/>
      <c r="J8" s="3453"/>
      <c r="K8" s="3454"/>
      <c r="L8" s="1624"/>
      <c r="M8" s="3421"/>
      <c r="N8" s="3422"/>
      <c r="O8" s="3422"/>
      <c r="P8" s="3422"/>
      <c r="Q8" s="3422"/>
      <c r="R8" s="3422"/>
      <c r="S8" s="3423"/>
      <c r="T8" s="630"/>
      <c r="U8" s="3"/>
      <c r="V8" s="4"/>
      <c r="W8" s="850"/>
      <c r="X8" s="3341"/>
      <c r="Y8" s="3341"/>
      <c r="Z8" s="3341"/>
      <c r="AA8" s="3341"/>
      <c r="AB8" s="3341"/>
      <c r="AC8" s="3341"/>
      <c r="AD8" s="12"/>
      <c r="AE8" s="12"/>
      <c r="AF8" s="12"/>
      <c r="AG8" s="12"/>
      <c r="AH8" s="12"/>
      <c r="AI8" s="12"/>
      <c r="AJ8" s="12"/>
      <c r="AK8" s="12"/>
      <c r="AL8" s="13"/>
      <c r="AM8" s="1155"/>
      <c r="AN8" s="4"/>
      <c r="AO8" s="3093"/>
    </row>
    <row r="9" spans="1:41" ht="12" customHeight="1" thickBot="1" x14ac:dyDescent="0.25">
      <c r="A9" s="3386"/>
      <c r="B9" s="629"/>
      <c r="C9" s="3452"/>
      <c r="D9" s="3453"/>
      <c r="E9" s="3453"/>
      <c r="F9" s="3453"/>
      <c r="G9" s="3453"/>
      <c r="H9" s="3453"/>
      <c r="I9" s="3453"/>
      <c r="J9" s="3453"/>
      <c r="K9" s="3454"/>
      <c r="L9" s="1624"/>
      <c r="M9" s="3421"/>
      <c r="N9" s="3422"/>
      <c r="O9" s="3422"/>
      <c r="P9" s="3422"/>
      <c r="Q9" s="3422"/>
      <c r="R9" s="3422"/>
      <c r="S9" s="3423"/>
      <c r="T9" s="630"/>
      <c r="U9" s="3"/>
      <c r="V9" s="4"/>
      <c r="W9" s="850"/>
      <c r="X9" s="820"/>
      <c r="Y9" s="2398"/>
      <c r="Z9" s="2398"/>
      <c r="AA9" s="2398"/>
      <c r="AB9" s="2398"/>
      <c r="AC9" s="2398"/>
      <c r="AD9" s="820"/>
      <c r="AE9" s="2398"/>
      <c r="AF9" s="2398"/>
      <c r="AG9" s="2398"/>
      <c r="AH9" s="2398"/>
      <c r="AI9" s="2398"/>
      <c r="AJ9" s="2398"/>
      <c r="AK9" s="2398"/>
      <c r="AL9" s="2398"/>
      <c r="AM9" s="1155"/>
      <c r="AN9" s="4"/>
      <c r="AO9" s="3093"/>
    </row>
    <row r="10" spans="1:41" ht="12" customHeight="1" thickBot="1" x14ac:dyDescent="0.25">
      <c r="A10" s="3386"/>
      <c r="B10" s="631"/>
      <c r="C10" s="3452"/>
      <c r="D10" s="3453"/>
      <c r="E10" s="3453"/>
      <c r="F10" s="3453"/>
      <c r="G10" s="3453"/>
      <c r="H10" s="3453"/>
      <c r="I10" s="3453"/>
      <c r="J10" s="3453"/>
      <c r="K10" s="3454"/>
      <c r="L10" s="1624"/>
      <c r="M10" s="3421"/>
      <c r="N10" s="3422"/>
      <c r="O10" s="3422"/>
      <c r="P10" s="3422"/>
      <c r="Q10" s="3422"/>
      <c r="R10" s="3422"/>
      <c r="S10" s="3423"/>
      <c r="T10" s="630"/>
      <c r="U10" s="3"/>
      <c r="V10" s="4"/>
      <c r="W10" s="850"/>
      <c r="X10" s="3350" t="s">
        <v>7066</v>
      </c>
      <c r="Y10" s="3351"/>
      <c r="Z10" s="3351"/>
      <c r="AA10" s="3352"/>
      <c r="AB10" s="3348" t="s">
        <v>10001</v>
      </c>
      <c r="AC10" s="3349"/>
      <c r="AD10" s="2414" t="s">
        <v>2583</v>
      </c>
      <c r="AE10" s="821"/>
      <c r="AF10" s="3303" t="s">
        <v>1330</v>
      </c>
      <c r="AG10" s="3303"/>
      <c r="AH10" s="3303"/>
      <c r="AI10" s="3303"/>
      <c r="AJ10" s="3337" t="s">
        <v>1328</v>
      </c>
      <c r="AK10" s="3337"/>
      <c r="AL10" s="2717" t="s">
        <v>1329</v>
      </c>
      <c r="AM10" s="1155"/>
      <c r="AN10" s="4"/>
      <c r="AO10" s="3093"/>
    </row>
    <row r="11" spans="1:41" ht="12" customHeight="1" x14ac:dyDescent="0.2">
      <c r="A11" s="3386"/>
      <c r="B11" s="631"/>
      <c r="C11" s="3452"/>
      <c r="D11" s="3453"/>
      <c r="E11" s="3453"/>
      <c r="F11" s="3453"/>
      <c r="G11" s="3453"/>
      <c r="H11" s="3453"/>
      <c r="I11" s="3453"/>
      <c r="J11" s="3453"/>
      <c r="K11" s="3454"/>
      <c r="L11" s="1624"/>
      <c r="M11" s="3421"/>
      <c r="N11" s="3422"/>
      <c r="O11" s="3422"/>
      <c r="P11" s="3422"/>
      <c r="Q11" s="3422"/>
      <c r="R11" s="3422"/>
      <c r="S11" s="3423"/>
      <c r="T11" s="630"/>
      <c r="U11" s="3"/>
      <c r="V11" s="4"/>
      <c r="W11" s="850"/>
      <c r="X11" s="3346" t="s">
        <v>10002</v>
      </c>
      <c r="Y11" s="3347"/>
      <c r="Z11" s="3347"/>
      <c r="AA11" s="3345" t="s">
        <v>10003</v>
      </c>
      <c r="AB11" s="3345"/>
      <c r="AC11" s="3343" t="s">
        <v>1349</v>
      </c>
      <c r="AD11" s="3344"/>
      <c r="AE11" s="2723"/>
      <c r="AF11" s="3338"/>
      <c r="AG11" s="3339"/>
      <c r="AH11" s="3339"/>
      <c r="AI11" s="3340"/>
      <c r="AJ11" s="3298"/>
      <c r="AK11" s="3300"/>
      <c r="AL11" s="1554"/>
      <c r="AM11" s="1155"/>
      <c r="AN11" s="4"/>
      <c r="AO11" s="3093"/>
    </row>
    <row r="12" spans="1:41" ht="12" customHeight="1" x14ac:dyDescent="0.2">
      <c r="A12" s="3386"/>
      <c r="B12" s="629"/>
      <c r="C12" s="3452"/>
      <c r="D12" s="3453"/>
      <c r="E12" s="3453"/>
      <c r="F12" s="3453"/>
      <c r="G12" s="3453"/>
      <c r="H12" s="3453"/>
      <c r="I12" s="3453"/>
      <c r="J12" s="3453"/>
      <c r="K12" s="3454"/>
      <c r="L12" s="1624"/>
      <c r="M12" s="3421"/>
      <c r="N12" s="3422"/>
      <c r="O12" s="3422"/>
      <c r="P12" s="3422"/>
      <c r="Q12" s="3422"/>
      <c r="R12" s="3422"/>
      <c r="S12" s="3423"/>
      <c r="T12" s="630"/>
      <c r="U12" s="3"/>
      <c r="V12" s="4"/>
      <c r="W12" s="850"/>
      <c r="X12" s="3358"/>
      <c r="Y12" s="3359"/>
      <c r="Z12" s="3360"/>
      <c r="AA12" s="3364">
        <f>IFERROR(IF(AD10="Sí",VLOOKUP(Nivel_Total,Tabla_ExpNecesaria,AjusteNivel+2,FALSE),VLOOKUP(Nivel_Total,Tabla_ExpTotal,AjusteNivel+2,FALSE)+VLOOKUP(Nivel_Total,Tabla_ExpNecesaria,AjusteNivel+2,FALSE)),"??")</f>
        <v>0</v>
      </c>
      <c r="AB12" s="3368"/>
      <c r="AC12" s="3364">
        <f>IFERROR(IF(AD10="Sí",0,VLOOKUP(Nivel_Total,Tabla_ExpTotal,AjusteNivel+2,FALSE))+X12,"??")</f>
        <v>0</v>
      </c>
      <c r="AD12" s="3365"/>
      <c r="AE12" s="2723"/>
      <c r="AF12" s="3261"/>
      <c r="AG12" s="3262"/>
      <c r="AH12" s="3262"/>
      <c r="AI12" s="3321"/>
      <c r="AJ12" s="3266"/>
      <c r="AK12" s="3268"/>
      <c r="AL12" s="1549"/>
      <c r="AM12" s="1155"/>
      <c r="AN12" s="4"/>
      <c r="AO12" s="3093"/>
    </row>
    <row r="13" spans="1:41" ht="12" customHeight="1" thickBot="1" x14ac:dyDescent="0.25">
      <c r="A13" s="3386"/>
      <c r="B13" s="629"/>
      <c r="C13" s="3452"/>
      <c r="D13" s="3453"/>
      <c r="E13" s="3453"/>
      <c r="F13" s="3453"/>
      <c r="G13" s="3453"/>
      <c r="H13" s="3453"/>
      <c r="I13" s="3453"/>
      <c r="J13" s="3453"/>
      <c r="K13" s="3454"/>
      <c r="L13" s="1624"/>
      <c r="M13" s="3421"/>
      <c r="N13" s="3422"/>
      <c r="O13" s="3422"/>
      <c r="P13" s="3422"/>
      <c r="Q13" s="3422"/>
      <c r="R13" s="3422"/>
      <c r="S13" s="3423"/>
      <c r="T13" s="630"/>
      <c r="U13" s="3"/>
      <c r="V13" s="4"/>
      <c r="W13" s="850"/>
      <c r="X13" s="3361"/>
      <c r="Y13" s="3362"/>
      <c r="Z13" s="3363"/>
      <c r="AA13" s="3366"/>
      <c r="AB13" s="3369"/>
      <c r="AC13" s="3366"/>
      <c r="AD13" s="3367"/>
      <c r="AE13" s="2724"/>
      <c r="AF13" s="3261"/>
      <c r="AG13" s="3262"/>
      <c r="AH13" s="3262"/>
      <c r="AI13" s="3321"/>
      <c r="AJ13" s="3266"/>
      <c r="AK13" s="3268"/>
      <c r="AL13" s="1549"/>
      <c r="AM13" s="1155"/>
      <c r="AN13" s="4"/>
      <c r="AO13" s="3093"/>
    </row>
    <row r="14" spans="1:41" ht="12" customHeight="1" thickBot="1" x14ac:dyDescent="0.25">
      <c r="A14" s="3386"/>
      <c r="B14" s="629"/>
      <c r="C14" s="3452"/>
      <c r="D14" s="3453"/>
      <c r="E14" s="3453"/>
      <c r="F14" s="3453"/>
      <c r="G14" s="3453"/>
      <c r="H14" s="3453"/>
      <c r="I14" s="3453"/>
      <c r="J14" s="3453"/>
      <c r="K14" s="3454"/>
      <c r="L14" s="1624"/>
      <c r="M14" s="3421"/>
      <c r="N14" s="3422"/>
      <c r="O14" s="3422"/>
      <c r="P14" s="3422"/>
      <c r="Q14" s="3422"/>
      <c r="R14" s="3422"/>
      <c r="S14" s="3423"/>
      <c r="T14" s="630"/>
      <c r="U14" s="3"/>
      <c r="V14" s="4"/>
      <c r="W14" s="850"/>
      <c r="X14" s="3370" t="str">
        <f>IF(AND(AC12&gt;=AA12,AA12&gt;0),"¡Subida de Nivel!",IF(AND(General!X12="",OR(Tablas!G479&gt;0,Tablas!G480&gt;0,Tablas!G481&gt;0)),"Suma experiencia de Curtido (50 por PC)",""))</f>
        <v/>
      </c>
      <c r="Y14" s="3370"/>
      <c r="Z14" s="3370"/>
      <c r="AA14" s="3370"/>
      <c r="AB14" s="3370"/>
      <c r="AC14" s="3370"/>
      <c r="AD14" s="3370"/>
      <c r="AE14" s="2723"/>
      <c r="AF14" s="3261"/>
      <c r="AG14" s="3262"/>
      <c r="AH14" s="3262"/>
      <c r="AI14" s="3321"/>
      <c r="AJ14" s="3266"/>
      <c r="AK14" s="3268"/>
      <c r="AL14" s="1549"/>
      <c r="AM14" s="1155"/>
      <c r="AN14" s="4"/>
      <c r="AO14" s="3093"/>
    </row>
    <row r="15" spans="1:41" ht="12" customHeight="1" thickBot="1" x14ac:dyDescent="0.25">
      <c r="A15" s="3386"/>
      <c r="B15" s="629"/>
      <c r="C15" s="3455"/>
      <c r="D15" s="3456"/>
      <c r="E15" s="3456"/>
      <c r="F15" s="3456"/>
      <c r="G15" s="3456"/>
      <c r="H15" s="3456"/>
      <c r="I15" s="3456"/>
      <c r="J15" s="3456"/>
      <c r="K15" s="3457"/>
      <c r="L15" s="1625"/>
      <c r="M15" s="3421"/>
      <c r="N15" s="3422"/>
      <c r="O15" s="3422"/>
      <c r="P15" s="3422"/>
      <c r="Q15" s="3422"/>
      <c r="R15" s="3422"/>
      <c r="S15" s="3423"/>
      <c r="T15" s="630"/>
      <c r="U15" s="3"/>
      <c r="V15" s="4"/>
      <c r="W15" s="850"/>
      <c r="X15" s="3302" t="s">
        <v>1327</v>
      </c>
      <c r="Y15" s="3303"/>
      <c r="Z15" s="3303"/>
      <c r="AA15" s="3303"/>
      <c r="AB15" s="3356" t="s">
        <v>1328</v>
      </c>
      <c r="AC15" s="3357"/>
      <c r="AD15" s="2716" t="s">
        <v>1329</v>
      </c>
      <c r="AE15" s="2723"/>
      <c r="AF15" s="3261"/>
      <c r="AG15" s="3262"/>
      <c r="AH15" s="3262"/>
      <c r="AI15" s="3321"/>
      <c r="AJ15" s="3266"/>
      <c r="AK15" s="3268"/>
      <c r="AL15" s="1549"/>
      <c r="AM15" s="1155"/>
      <c r="AN15" s="4"/>
      <c r="AO15" s="3093"/>
    </row>
    <row r="16" spans="1:41" ht="12" customHeight="1" thickBot="1" x14ac:dyDescent="0.25">
      <c r="A16" s="3386"/>
      <c r="B16" s="629"/>
      <c r="C16" s="1625"/>
      <c r="D16" s="1625"/>
      <c r="E16" s="1625"/>
      <c r="F16" s="1626"/>
      <c r="G16" s="1626"/>
      <c r="H16" s="1626"/>
      <c r="I16" s="1626"/>
      <c r="J16" s="1626"/>
      <c r="K16" s="1626"/>
      <c r="L16" s="1626"/>
      <c r="M16" s="3424"/>
      <c r="N16" s="3425"/>
      <c r="O16" s="3425"/>
      <c r="P16" s="3425"/>
      <c r="Q16" s="3425"/>
      <c r="R16" s="3425"/>
      <c r="S16" s="3426"/>
      <c r="T16" s="630"/>
      <c r="U16" s="3"/>
      <c r="V16" s="4"/>
      <c r="W16" s="850"/>
      <c r="X16" s="3318"/>
      <c r="Y16" s="3319"/>
      <c r="Z16" s="3319"/>
      <c r="AA16" s="3353"/>
      <c r="AB16" s="3354"/>
      <c r="AC16" s="3355"/>
      <c r="AD16" s="1548"/>
      <c r="AE16" s="2723"/>
      <c r="AF16" s="3261"/>
      <c r="AG16" s="3262"/>
      <c r="AH16" s="3262"/>
      <c r="AI16" s="3321"/>
      <c r="AJ16" s="3266"/>
      <c r="AK16" s="3268"/>
      <c r="AL16" s="1549"/>
      <c r="AM16" s="1155"/>
      <c r="AN16" s="4"/>
      <c r="AO16" s="3093"/>
    </row>
    <row r="17" spans="1:41" ht="12" customHeight="1" x14ac:dyDescent="0.2">
      <c r="A17" s="3386"/>
      <c r="B17" s="629"/>
      <c r="C17" s="1625"/>
      <c r="D17" s="1625"/>
      <c r="E17" s="1625"/>
      <c r="F17" s="1625"/>
      <c r="G17" s="1625"/>
      <c r="H17" s="1625"/>
      <c r="I17" s="1625"/>
      <c r="J17" s="1626"/>
      <c r="K17" s="1626"/>
      <c r="T17" s="630"/>
      <c r="U17" s="3"/>
      <c r="V17" s="4"/>
      <c r="W17" s="850"/>
      <c r="X17" s="3261"/>
      <c r="Y17" s="3262"/>
      <c r="Z17" s="3262"/>
      <c r="AA17" s="3321"/>
      <c r="AB17" s="3266"/>
      <c r="AC17" s="3268"/>
      <c r="AD17" s="1549"/>
      <c r="AE17" s="2723"/>
      <c r="AF17" s="3261"/>
      <c r="AG17" s="3262"/>
      <c r="AH17" s="3262"/>
      <c r="AI17" s="3321"/>
      <c r="AJ17" s="3266"/>
      <c r="AK17" s="3268"/>
      <c r="AL17" s="1549"/>
      <c r="AM17" s="1155"/>
      <c r="AN17" s="4"/>
      <c r="AO17" s="3093"/>
    </row>
    <row r="18" spans="1:41" ht="12" customHeight="1" thickBot="1" x14ac:dyDescent="0.25">
      <c r="A18" s="3386"/>
      <c r="B18" s="629"/>
      <c r="C18" s="5"/>
      <c r="S18" s="5"/>
      <c r="T18" s="630"/>
      <c r="U18" s="3"/>
      <c r="V18" s="4"/>
      <c r="W18" s="850"/>
      <c r="X18" s="3261"/>
      <c r="Y18" s="3262"/>
      <c r="Z18" s="3262"/>
      <c r="AA18" s="3321"/>
      <c r="AB18" s="3266"/>
      <c r="AC18" s="3268"/>
      <c r="AD18" s="1549"/>
      <c r="AE18" s="2398"/>
      <c r="AF18" s="3261"/>
      <c r="AG18" s="3262"/>
      <c r="AH18" s="3262"/>
      <c r="AI18" s="3321"/>
      <c r="AJ18" s="3266"/>
      <c r="AK18" s="3268"/>
      <c r="AL18" s="1549"/>
      <c r="AM18" s="1155"/>
      <c r="AN18" s="4"/>
      <c r="AO18" s="3093"/>
    </row>
    <row r="19" spans="1:41" ht="12" customHeight="1" x14ac:dyDescent="0.2">
      <c r="A19" s="3386"/>
      <c r="B19" s="629"/>
      <c r="C19" s="3407" t="s">
        <v>1331</v>
      </c>
      <c r="D19" s="3408"/>
      <c r="E19" s="3408"/>
      <c r="F19" s="3408"/>
      <c r="G19" s="3408"/>
      <c r="H19" s="3408"/>
      <c r="I19" s="3408"/>
      <c r="J19" s="3408"/>
      <c r="K19" s="3408"/>
      <c r="L19" s="3408"/>
      <c r="M19" s="3408"/>
      <c r="N19" s="3408"/>
      <c r="O19" s="3408"/>
      <c r="P19" s="3408"/>
      <c r="Q19" s="3408"/>
      <c r="R19" s="3408"/>
      <c r="S19" s="3409"/>
      <c r="T19" s="630"/>
      <c r="U19" s="3"/>
      <c r="V19" s="4"/>
      <c r="W19" s="850"/>
      <c r="X19" s="3261"/>
      <c r="Y19" s="3262"/>
      <c r="Z19" s="3262"/>
      <c r="AA19" s="3321"/>
      <c r="AB19" s="3266"/>
      <c r="AC19" s="3268"/>
      <c r="AD19" s="1549"/>
      <c r="AE19" s="2398"/>
      <c r="AF19" s="3261"/>
      <c r="AG19" s="3262"/>
      <c r="AH19" s="3262"/>
      <c r="AI19" s="3321"/>
      <c r="AJ19" s="3266"/>
      <c r="AK19" s="3268"/>
      <c r="AL19" s="1549"/>
      <c r="AM19" s="1155"/>
      <c r="AN19" s="4"/>
      <c r="AO19" s="3093"/>
    </row>
    <row r="20" spans="1:41" ht="12" customHeight="1" thickBot="1" x14ac:dyDescent="0.25">
      <c r="A20" s="3386"/>
      <c r="B20" s="629"/>
      <c r="C20" s="3410"/>
      <c r="D20" s="3411"/>
      <c r="E20" s="3411"/>
      <c r="F20" s="3411"/>
      <c r="G20" s="3411"/>
      <c r="H20" s="3411"/>
      <c r="I20" s="3411"/>
      <c r="J20" s="3411"/>
      <c r="K20" s="3411"/>
      <c r="L20" s="3411"/>
      <c r="M20" s="3411"/>
      <c r="N20" s="3411"/>
      <c r="O20" s="3411"/>
      <c r="P20" s="3411"/>
      <c r="Q20" s="3411"/>
      <c r="R20" s="3411"/>
      <c r="S20" s="3412"/>
      <c r="T20" s="630"/>
      <c r="U20" s="3"/>
      <c r="V20" s="4"/>
      <c r="W20" s="850"/>
      <c r="X20" s="3261"/>
      <c r="Y20" s="3262"/>
      <c r="Z20" s="3262"/>
      <c r="AA20" s="3321"/>
      <c r="AB20" s="3266"/>
      <c r="AC20" s="3268"/>
      <c r="AD20" s="1549"/>
      <c r="AE20" s="2398"/>
      <c r="AF20" s="3261"/>
      <c r="AG20" s="3262"/>
      <c r="AH20" s="3262"/>
      <c r="AI20" s="3321"/>
      <c r="AJ20" s="3266"/>
      <c r="AK20" s="3268"/>
      <c r="AL20" s="1549"/>
      <c r="AM20" s="1155"/>
      <c r="AN20" s="4"/>
      <c r="AO20" s="3093"/>
    </row>
    <row r="21" spans="1:41" ht="12" customHeight="1" x14ac:dyDescent="0.2">
      <c r="A21" s="3386"/>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261"/>
      <c r="Y21" s="3262"/>
      <c r="Z21" s="3262"/>
      <c r="AA21" s="3321"/>
      <c r="AB21" s="3266"/>
      <c r="AC21" s="3268"/>
      <c r="AD21" s="1549"/>
      <c r="AE21" s="2398"/>
      <c r="AF21" s="3261"/>
      <c r="AG21" s="3262"/>
      <c r="AH21" s="3262"/>
      <c r="AI21" s="3321"/>
      <c r="AJ21" s="3266"/>
      <c r="AK21" s="3268"/>
      <c r="AL21" s="1549"/>
      <c r="AM21" s="1155"/>
      <c r="AN21" s="4"/>
      <c r="AO21" s="3093"/>
    </row>
    <row r="22" spans="1:41" ht="12" customHeight="1" x14ac:dyDescent="0.2">
      <c r="A22" s="3386"/>
      <c r="B22" s="629"/>
      <c r="C22" s="1542"/>
      <c r="D22" s="3415" t="s">
        <v>1323</v>
      </c>
      <c r="E22" s="3416"/>
      <c r="F22" s="3466"/>
      <c r="G22" s="3467"/>
      <c r="H22" s="3468"/>
      <c r="I22" s="3468"/>
      <c r="J22" s="3468"/>
      <c r="K22" s="3468"/>
      <c r="L22" s="3468"/>
      <c r="M22" s="3468"/>
      <c r="N22" s="3468"/>
      <c r="O22" s="3468"/>
      <c r="P22" s="3468"/>
      <c r="Q22" s="3468"/>
      <c r="R22" s="3469"/>
      <c r="S22" s="1543"/>
      <c r="T22" s="630"/>
      <c r="U22" s="3"/>
      <c r="V22" s="4"/>
      <c r="W22" s="850"/>
      <c r="X22" s="3261"/>
      <c r="Y22" s="3262"/>
      <c r="Z22" s="3262"/>
      <c r="AA22" s="3321"/>
      <c r="AB22" s="3266"/>
      <c r="AC22" s="3268"/>
      <c r="AD22" s="1549"/>
      <c r="AE22" s="2398"/>
      <c r="AF22" s="3261"/>
      <c r="AG22" s="3262"/>
      <c r="AH22" s="3262"/>
      <c r="AI22" s="3321"/>
      <c r="AJ22" s="3266"/>
      <c r="AK22" s="3268"/>
      <c r="AL22" s="1549"/>
      <c r="AM22" s="1155"/>
      <c r="AN22" s="4"/>
      <c r="AO22" s="3093"/>
    </row>
    <row r="23" spans="1:41" ht="12" customHeight="1" thickBot="1" x14ac:dyDescent="0.25">
      <c r="A23" s="3386"/>
      <c r="B23" s="629"/>
      <c r="C23" s="1542"/>
      <c r="D23" s="3417" t="s">
        <v>1332</v>
      </c>
      <c r="E23" s="3417"/>
      <c r="F23" s="3388"/>
      <c r="G23" s="3389"/>
      <c r="H23" s="1615"/>
      <c r="I23" s="1618" t="s">
        <v>7067</v>
      </c>
      <c r="J23" s="3428"/>
      <c r="K23" s="3429"/>
      <c r="L23" s="3429"/>
      <c r="M23" s="3430"/>
      <c r="N23" s="3458" t="s">
        <v>8712</v>
      </c>
      <c r="O23" s="3459"/>
      <c r="P23" s="3459"/>
      <c r="Q23" s="3427" t="s">
        <v>6921</v>
      </c>
      <c r="R23" s="3427"/>
      <c r="S23" s="1543"/>
      <c r="T23" s="630"/>
      <c r="U23" s="3"/>
      <c r="V23" s="4"/>
      <c r="W23" s="850"/>
      <c r="X23" s="3311"/>
      <c r="Y23" s="3312"/>
      <c r="Z23" s="3312"/>
      <c r="AA23" s="3334"/>
      <c r="AB23" s="3269"/>
      <c r="AC23" s="3271"/>
      <c r="AD23" s="1550"/>
      <c r="AE23" s="2398"/>
      <c r="AF23" s="3261"/>
      <c r="AG23" s="3262"/>
      <c r="AH23" s="3262"/>
      <c r="AI23" s="3321"/>
      <c r="AJ23" s="3266"/>
      <c r="AK23" s="3268"/>
      <c r="AL23" s="1549"/>
      <c r="AM23" s="1155"/>
      <c r="AN23" s="4"/>
      <c r="AO23" s="3093"/>
    </row>
    <row r="24" spans="1:41" ht="12" customHeight="1" thickBot="1" x14ac:dyDescent="0.25">
      <c r="A24" s="3386"/>
      <c r="B24" s="629"/>
      <c r="C24" s="1542"/>
      <c r="D24" s="3417" t="s">
        <v>1333</v>
      </c>
      <c r="E24" s="3417"/>
      <c r="F24" s="3470"/>
      <c r="G24" s="3471"/>
      <c r="H24" s="1618" t="s">
        <v>1335</v>
      </c>
      <c r="I24" s="1620"/>
      <c r="J24" s="1619" t="s">
        <v>8447</v>
      </c>
      <c r="K24" s="1621" t="s">
        <v>1339</v>
      </c>
      <c r="L24" s="1622"/>
      <c r="M24" s="1619" t="s">
        <v>8448</v>
      </c>
      <c r="N24" s="3387" t="s">
        <v>1338</v>
      </c>
      <c r="O24" s="3387"/>
      <c r="P24" s="3413"/>
      <c r="Q24" s="3414"/>
      <c r="R24" s="3464"/>
      <c r="S24" s="1543"/>
      <c r="T24" s="630"/>
      <c r="U24" s="3"/>
      <c r="V24" s="4"/>
      <c r="W24" s="850"/>
      <c r="X24" s="2725"/>
      <c r="Y24" s="2723"/>
      <c r="Z24" s="2723"/>
      <c r="AA24" s="2723"/>
      <c r="AB24" s="2723"/>
      <c r="AC24" s="2723"/>
      <c r="AD24" s="2723"/>
      <c r="AE24" s="2398"/>
      <c r="AF24" s="3261"/>
      <c r="AG24" s="3262"/>
      <c r="AH24" s="3262"/>
      <c r="AI24" s="3321"/>
      <c r="AJ24" s="3266"/>
      <c r="AK24" s="3268"/>
      <c r="AL24" s="1549"/>
      <c r="AM24" s="1155"/>
      <c r="AN24" s="4"/>
      <c r="AO24" s="3093"/>
    </row>
    <row r="25" spans="1:41" ht="12" customHeight="1" x14ac:dyDescent="0.2">
      <c r="A25" s="3386"/>
      <c r="B25" s="629"/>
      <c r="C25" s="1542"/>
      <c r="D25" s="3417" t="s">
        <v>8708</v>
      </c>
      <c r="E25" s="3417"/>
      <c r="F25" s="3460"/>
      <c r="G25" s="3460"/>
      <c r="H25" s="1621" t="s">
        <v>1336</v>
      </c>
      <c r="I25" s="3413"/>
      <c r="J25" s="3414"/>
      <c r="K25" s="3414"/>
      <c r="L25" s="1616"/>
      <c r="M25" s="1618" t="s">
        <v>1340</v>
      </c>
      <c r="N25" s="3460"/>
      <c r="O25" s="3460"/>
      <c r="P25" s="3465"/>
      <c r="Q25" s="3465"/>
      <c r="R25" s="3465"/>
      <c r="S25" s="1543"/>
      <c r="T25" s="630"/>
      <c r="U25" s="3"/>
      <c r="V25" s="4"/>
      <c r="W25" s="850"/>
      <c r="X25" s="3302" t="s">
        <v>1337</v>
      </c>
      <c r="Y25" s="3303"/>
      <c r="Z25" s="3303"/>
      <c r="AA25" s="3303"/>
      <c r="AB25" s="3303"/>
      <c r="AC25" s="3303"/>
      <c r="AD25" s="2715" t="s">
        <v>1329</v>
      </c>
      <c r="AE25" s="2398"/>
      <c r="AF25" s="3261"/>
      <c r="AG25" s="3262"/>
      <c r="AH25" s="3262"/>
      <c r="AI25" s="3321"/>
      <c r="AJ25" s="3266"/>
      <c r="AK25" s="3268"/>
      <c r="AL25" s="1549"/>
      <c r="AM25" s="1155"/>
      <c r="AN25" s="4"/>
      <c r="AO25" s="3093"/>
    </row>
    <row r="26" spans="1:41" ht="12" customHeight="1" x14ac:dyDescent="0.2">
      <c r="A26" s="3386"/>
      <c r="B26" s="629"/>
      <c r="C26" s="1542"/>
      <c r="D26" s="3417" t="s">
        <v>1334</v>
      </c>
      <c r="E26" s="3417"/>
      <c r="F26" s="3413"/>
      <c r="G26" s="3464"/>
      <c r="H26" s="1618" t="s">
        <v>6357</v>
      </c>
      <c r="I26" s="3461"/>
      <c r="J26" s="3462"/>
      <c r="K26" s="3463"/>
      <c r="L26" s="1617"/>
      <c r="M26" s="1618" t="str">
        <f>IF(I26="","","Clase social:")</f>
        <v/>
      </c>
      <c r="N26" s="3413"/>
      <c r="O26" s="3414"/>
      <c r="P26" s="3414"/>
      <c r="Q26" s="3414"/>
      <c r="R26" s="3464"/>
      <c r="S26" s="1543"/>
      <c r="T26" s="630"/>
      <c r="U26" s="3"/>
      <c r="V26" s="4"/>
      <c r="W26" s="850"/>
      <c r="X26" s="3318"/>
      <c r="Y26" s="3319"/>
      <c r="Z26" s="3319"/>
      <c r="AA26" s="3319"/>
      <c r="AB26" s="3319"/>
      <c r="AC26" s="3319"/>
      <c r="AD26" s="1551"/>
      <c r="AE26" s="2398"/>
      <c r="AF26" s="3261"/>
      <c r="AG26" s="3262"/>
      <c r="AH26" s="3262"/>
      <c r="AI26" s="3321"/>
      <c r="AJ26" s="3266"/>
      <c r="AK26" s="3268"/>
      <c r="AL26" s="1549"/>
      <c r="AM26" s="1155"/>
      <c r="AN26" s="4"/>
      <c r="AO26" s="3093"/>
    </row>
    <row r="27" spans="1:41" ht="12" customHeight="1" thickBot="1" x14ac:dyDescent="0.25">
      <c r="A27" s="3386"/>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261"/>
      <c r="Y27" s="3262"/>
      <c r="Z27" s="3262"/>
      <c r="AA27" s="3262"/>
      <c r="AB27" s="3262"/>
      <c r="AC27" s="3262"/>
      <c r="AD27" s="1552"/>
      <c r="AE27" s="2398"/>
      <c r="AF27" s="3261"/>
      <c r="AG27" s="3262"/>
      <c r="AH27" s="3262"/>
      <c r="AI27" s="3321"/>
      <c r="AJ27" s="3266"/>
      <c r="AK27" s="3268"/>
      <c r="AL27" s="1549"/>
      <c r="AM27" s="1155"/>
      <c r="AN27" s="4"/>
      <c r="AO27" s="3093"/>
    </row>
    <row r="28" spans="1:41" ht="12" customHeight="1" x14ac:dyDescent="0.2">
      <c r="A28" s="3386"/>
      <c r="B28" s="629"/>
      <c r="C28" s="5"/>
      <c r="D28" s="5"/>
      <c r="S28" s="5"/>
      <c r="T28" s="630"/>
      <c r="U28" s="3"/>
      <c r="V28" s="4"/>
      <c r="W28" s="850"/>
      <c r="X28" s="3261"/>
      <c r="Y28" s="3262"/>
      <c r="Z28" s="3262"/>
      <c r="AA28" s="3262"/>
      <c r="AB28" s="3262"/>
      <c r="AC28" s="3262"/>
      <c r="AD28" s="1552"/>
      <c r="AE28" s="2398"/>
      <c r="AF28" s="3261"/>
      <c r="AG28" s="3262"/>
      <c r="AH28" s="3262"/>
      <c r="AI28" s="3321"/>
      <c r="AJ28" s="3266"/>
      <c r="AK28" s="3268"/>
      <c r="AL28" s="1549"/>
      <c r="AM28" s="1155"/>
      <c r="AN28" s="4"/>
      <c r="AO28" s="3093"/>
    </row>
    <row r="29" spans="1:41" ht="12" customHeight="1" thickBot="1" x14ac:dyDescent="0.25">
      <c r="A29" s="3386"/>
      <c r="B29" s="629"/>
      <c r="C29" s="5"/>
      <c r="D29" s="5"/>
      <c r="E29" s="5"/>
      <c r="F29" s="5"/>
      <c r="G29" s="5"/>
      <c r="H29" s="5"/>
      <c r="I29" s="5"/>
      <c r="J29" s="5"/>
      <c r="K29" s="5"/>
      <c r="L29" s="5"/>
      <c r="M29" s="5"/>
      <c r="N29" s="5"/>
      <c r="O29" s="5"/>
      <c r="P29" s="5"/>
      <c r="Q29" s="5"/>
      <c r="R29" s="5"/>
      <c r="S29" s="5"/>
      <c r="T29" s="630"/>
      <c r="U29" s="3"/>
      <c r="V29" s="4"/>
      <c r="W29" s="850"/>
      <c r="X29" s="3261"/>
      <c r="Y29" s="3262"/>
      <c r="Z29" s="3262"/>
      <c r="AA29" s="3262"/>
      <c r="AB29" s="3262"/>
      <c r="AC29" s="3262"/>
      <c r="AD29" s="1552"/>
      <c r="AE29" s="2398"/>
      <c r="AF29" s="3261"/>
      <c r="AG29" s="3262"/>
      <c r="AH29" s="3262"/>
      <c r="AI29" s="3321"/>
      <c r="AJ29" s="3266"/>
      <c r="AK29" s="3268"/>
      <c r="AL29" s="1549"/>
      <c r="AM29" s="1155"/>
      <c r="AN29" s="4"/>
      <c r="AO29" s="3093"/>
    </row>
    <row r="30" spans="1:41" ht="12" customHeight="1" thickBot="1" x14ac:dyDescent="0.25">
      <c r="A30" s="3386"/>
      <c r="B30" s="629"/>
      <c r="C30" s="3392" t="s">
        <v>8522</v>
      </c>
      <c r="D30" s="3393"/>
      <c r="E30" s="3393"/>
      <c r="F30" s="3393"/>
      <c r="G30" s="3393"/>
      <c r="H30" s="3393"/>
      <c r="I30" s="3393"/>
      <c r="J30" s="3393"/>
      <c r="K30" s="3394"/>
      <c r="M30" s="3392" t="s">
        <v>8714</v>
      </c>
      <c r="N30" s="3393"/>
      <c r="O30" s="3393"/>
      <c r="P30" s="3393"/>
      <c r="Q30" s="3393"/>
      <c r="R30" s="3393"/>
      <c r="S30" s="3394"/>
      <c r="T30" s="630"/>
      <c r="U30" s="3"/>
      <c r="V30" s="4"/>
      <c r="W30" s="850"/>
      <c r="X30" s="3261"/>
      <c r="Y30" s="3262"/>
      <c r="Z30" s="3262"/>
      <c r="AA30" s="3262"/>
      <c r="AB30" s="3262"/>
      <c r="AC30" s="3262"/>
      <c r="AD30" s="1552"/>
      <c r="AE30" s="2398"/>
      <c r="AF30" s="3328"/>
      <c r="AG30" s="3329"/>
      <c r="AH30" s="3329"/>
      <c r="AI30" s="3330"/>
      <c r="AJ30" s="3322"/>
      <c r="AK30" s="3323"/>
      <c r="AL30" s="2357"/>
      <c r="AM30" s="1155"/>
      <c r="AN30" s="4"/>
      <c r="AO30" s="3093"/>
    </row>
    <row r="31" spans="1:41" ht="12" customHeight="1" x14ac:dyDescent="0.2">
      <c r="A31" s="3386"/>
      <c r="B31" s="629"/>
      <c r="C31" s="3440"/>
      <c r="D31" s="3441"/>
      <c r="E31" s="3441"/>
      <c r="F31" s="3441"/>
      <c r="G31" s="3441"/>
      <c r="H31" s="3441"/>
      <c r="I31" s="3441"/>
      <c r="J31" s="3441"/>
      <c r="K31" s="3442"/>
      <c r="L31" s="1623"/>
      <c r="M31" s="3431"/>
      <c r="N31" s="3432"/>
      <c r="O31" s="3432"/>
      <c r="P31" s="3432"/>
      <c r="Q31" s="3432"/>
      <c r="R31" s="3432"/>
      <c r="S31" s="3433"/>
      <c r="T31" s="630"/>
      <c r="U31" s="3"/>
      <c r="V31" s="4"/>
      <c r="W31" s="850"/>
      <c r="X31" s="3261"/>
      <c r="Y31" s="3262"/>
      <c r="Z31" s="3262"/>
      <c r="AA31" s="3262"/>
      <c r="AB31" s="3262"/>
      <c r="AC31" s="3262"/>
      <c r="AD31" s="1552"/>
      <c r="AE31" s="2398"/>
      <c r="AF31" s="3331" t="s">
        <v>9930</v>
      </c>
      <c r="AG31" s="3332"/>
      <c r="AH31" s="3332"/>
      <c r="AI31" s="2726">
        <f>FUE+AO31</f>
        <v>0</v>
      </c>
      <c r="AJ31" s="3326" t="s">
        <v>1341</v>
      </c>
      <c r="AK31" s="3327"/>
      <c r="AL31" s="2363">
        <f>SUM(AD16:AD23,AD26:AD32,AL11:AL30)</f>
        <v>0</v>
      </c>
      <c r="AM31" s="2727"/>
      <c r="AN31" s="4"/>
      <c r="AO31" s="3094">
        <f>TRUNC((IF(Combate!AD14&lt;0,Combate!AD14,0)+IF(Combate!AF14&lt;0,Combate!AF14,0))/20)</f>
        <v>0</v>
      </c>
    </row>
    <row r="32" spans="1:41" ht="12" customHeight="1" thickBot="1" x14ac:dyDescent="0.25">
      <c r="A32" s="3386"/>
      <c r="B32" s="629"/>
      <c r="C32" s="3440"/>
      <c r="D32" s="3441"/>
      <c r="E32" s="3441"/>
      <c r="F32" s="3441"/>
      <c r="G32" s="3441"/>
      <c r="H32" s="3441"/>
      <c r="I32" s="3441"/>
      <c r="J32" s="3441"/>
      <c r="K32" s="3442"/>
      <c r="L32" s="1623"/>
      <c r="M32" s="3434"/>
      <c r="N32" s="3435"/>
      <c r="O32" s="3435"/>
      <c r="P32" s="3435"/>
      <c r="Q32" s="3435"/>
      <c r="R32" s="3435"/>
      <c r="S32" s="3436"/>
      <c r="T32" s="630"/>
      <c r="U32" s="3"/>
      <c r="V32" s="4"/>
      <c r="W32" s="850"/>
      <c r="X32" s="3311"/>
      <c r="Y32" s="3312"/>
      <c r="Z32" s="3312"/>
      <c r="AA32" s="3312"/>
      <c r="AB32" s="3312"/>
      <c r="AC32" s="3312"/>
      <c r="AD32" s="1553"/>
      <c r="AE32" s="2398"/>
      <c r="AF32" s="2356" t="s">
        <v>1339</v>
      </c>
      <c r="AG32" s="2673" t="s">
        <v>1971</v>
      </c>
      <c r="AH32" s="3324" t="str">
        <f>IF(Principal!E14=0,0&amp;" kg",IF(Zen_IP,VLOOKUP(MIN(20,AI31),Tabla_Fuerza,3)&amp;" kg",IF(Inhumanidad_IP,VLOOKUP(MIN(13,AI31),Tabla_Fuerza,3)&amp;" kg",VLOOKUP(MIN(10,AI31),Tabla_Fuerza,3)&amp;" kg")))</f>
        <v>0 kg</v>
      </c>
      <c r="AI32" s="3325"/>
      <c r="AJ32" s="2672" t="s">
        <v>9940</v>
      </c>
      <c r="AK32" s="3325" t="str">
        <f>IF(Principal!E14=0,0&amp;" kg",IF(Zen_IP,VLOOKUP(MIN(20,AI31),Tabla_Fuerza,4)&amp;" kg",IF(Inhumanidad_IP,VLOOKUP(MIN(13,AI31),Tabla_Fuerza,4)&amp;" kg",VLOOKUP(MIN(10,AI31),Tabla_Fuerza,4)&amp;" kg")))</f>
        <v>0 kg</v>
      </c>
      <c r="AL32" s="3333"/>
      <c r="AM32" s="2728"/>
      <c r="AN32" s="4"/>
      <c r="AO32" s="3093"/>
    </row>
    <row r="33" spans="1:41" ht="12" customHeight="1" thickBot="1" x14ac:dyDescent="0.25">
      <c r="A33" s="3386"/>
      <c r="B33" s="629"/>
      <c r="C33" s="3443"/>
      <c r="D33" s="3444"/>
      <c r="E33" s="3444"/>
      <c r="F33" s="3444"/>
      <c r="G33" s="3444"/>
      <c r="H33" s="3444"/>
      <c r="I33" s="3444"/>
      <c r="J33" s="3444"/>
      <c r="K33" s="3445"/>
      <c r="L33" s="1623"/>
      <c r="M33" s="3434"/>
      <c r="N33" s="3435"/>
      <c r="O33" s="3435"/>
      <c r="P33" s="3435"/>
      <c r="Q33" s="3435"/>
      <c r="R33" s="3435"/>
      <c r="S33" s="3436"/>
      <c r="T33" s="630"/>
      <c r="U33" s="3"/>
      <c r="V33" s="4"/>
      <c r="W33" s="850"/>
      <c r="X33" s="2725"/>
      <c r="Y33" s="2723"/>
      <c r="Z33" s="2723"/>
      <c r="AA33" s="2723"/>
      <c r="AB33" s="2723"/>
      <c r="AC33" s="2723"/>
      <c r="AD33" s="2723"/>
      <c r="AE33" s="2723"/>
      <c r="AF33" s="2723"/>
      <c r="AG33" s="2723"/>
      <c r="AH33" s="2723"/>
      <c r="AI33" s="2723"/>
      <c r="AJ33" s="2723"/>
      <c r="AK33" s="2723"/>
      <c r="AL33" s="2723"/>
      <c r="AM33" s="1155"/>
      <c r="AN33" s="4"/>
      <c r="AO33" s="3093"/>
    </row>
    <row r="34" spans="1:41" ht="12" customHeight="1" thickBot="1" x14ac:dyDescent="0.25">
      <c r="A34" s="3386"/>
      <c r="B34" s="629"/>
      <c r="C34" s="5"/>
      <c r="D34" s="5"/>
      <c r="E34" s="5"/>
      <c r="F34" s="5"/>
      <c r="G34" s="5"/>
      <c r="H34" s="5"/>
      <c r="I34" s="5"/>
      <c r="J34" s="5"/>
      <c r="K34" s="18"/>
      <c r="L34" s="1623"/>
      <c r="M34" s="3434"/>
      <c r="N34" s="3435"/>
      <c r="O34" s="3435"/>
      <c r="P34" s="3435"/>
      <c r="Q34" s="3435"/>
      <c r="R34" s="3435"/>
      <c r="S34" s="3436"/>
      <c r="T34" s="630"/>
      <c r="U34" s="3"/>
      <c r="V34" s="4"/>
      <c r="W34" s="850"/>
      <c r="X34" s="3302" t="s">
        <v>1342</v>
      </c>
      <c r="Y34" s="3303"/>
      <c r="Z34" s="3303"/>
      <c r="AA34" s="3303"/>
      <c r="AB34" s="3303"/>
      <c r="AC34" s="3303"/>
      <c r="AD34" s="3303"/>
      <c r="AE34" s="3303"/>
      <c r="AF34" s="3303"/>
      <c r="AG34" s="3303"/>
      <c r="AH34" s="3303"/>
      <c r="AI34" s="3303"/>
      <c r="AJ34" s="3303"/>
      <c r="AK34" s="3303"/>
      <c r="AL34" s="3304"/>
      <c r="AM34" s="1155"/>
      <c r="AN34" s="4"/>
      <c r="AO34" s="3093"/>
    </row>
    <row r="35" spans="1:41" ht="12" customHeight="1" thickBot="1" x14ac:dyDescent="0.25">
      <c r="A35" s="3386"/>
      <c r="B35" s="629"/>
      <c r="C35" s="3392" t="s">
        <v>8523</v>
      </c>
      <c r="D35" s="3393"/>
      <c r="E35" s="3393"/>
      <c r="F35" s="3393"/>
      <c r="G35" s="3393"/>
      <c r="H35" s="3393"/>
      <c r="I35" s="3393"/>
      <c r="J35" s="3393"/>
      <c r="K35" s="3394"/>
      <c r="L35" s="1623"/>
      <c r="M35" s="3434"/>
      <c r="N35" s="3435"/>
      <c r="O35" s="3435"/>
      <c r="P35" s="3435"/>
      <c r="Q35" s="3435"/>
      <c r="R35" s="3435"/>
      <c r="S35" s="3436"/>
      <c r="T35" s="630"/>
      <c r="U35" s="3"/>
      <c r="V35" s="4"/>
      <c r="W35" s="850"/>
      <c r="X35" s="3382"/>
      <c r="Y35" s="3383"/>
      <c r="Z35" s="3384"/>
      <c r="AA35" s="3385"/>
      <c r="AB35" s="3319"/>
      <c r="AC35" s="3319"/>
      <c r="AD35" s="3319"/>
      <c r="AE35" s="3319"/>
      <c r="AF35" s="3319"/>
      <c r="AG35" s="3319"/>
      <c r="AH35" s="3319"/>
      <c r="AI35" s="3319"/>
      <c r="AJ35" s="3319"/>
      <c r="AK35" s="3319"/>
      <c r="AL35" s="3320"/>
      <c r="AM35" s="1155"/>
      <c r="AN35" s="4"/>
      <c r="AO35" s="3093"/>
    </row>
    <row r="36" spans="1:41" ht="12" customHeight="1" x14ac:dyDescent="0.2">
      <c r="A36" s="3386"/>
      <c r="B36" s="629"/>
      <c r="C36" s="3440"/>
      <c r="D36" s="3441"/>
      <c r="E36" s="3441"/>
      <c r="F36" s="3441"/>
      <c r="G36" s="3441"/>
      <c r="H36" s="3441"/>
      <c r="I36" s="3441"/>
      <c r="J36" s="3441"/>
      <c r="K36" s="3442"/>
      <c r="L36" s="1623"/>
      <c r="M36" s="3434"/>
      <c r="N36" s="3435"/>
      <c r="O36" s="3435"/>
      <c r="P36" s="3435"/>
      <c r="Q36" s="3435"/>
      <c r="R36" s="3435"/>
      <c r="S36" s="3436"/>
      <c r="T36" s="630"/>
      <c r="U36" s="3"/>
      <c r="V36" s="4"/>
      <c r="W36" s="850"/>
      <c r="X36" s="3374"/>
      <c r="Y36" s="3375"/>
      <c r="Z36" s="3376"/>
      <c r="AA36" s="3380"/>
      <c r="AB36" s="3262"/>
      <c r="AC36" s="3262"/>
      <c r="AD36" s="3262"/>
      <c r="AE36" s="3262"/>
      <c r="AF36" s="3262"/>
      <c r="AG36" s="3262"/>
      <c r="AH36" s="3262"/>
      <c r="AI36" s="3262"/>
      <c r="AJ36" s="3262"/>
      <c r="AK36" s="3262"/>
      <c r="AL36" s="3263"/>
      <c r="AM36" s="1155"/>
      <c r="AN36" s="4"/>
      <c r="AO36" s="3093"/>
    </row>
    <row r="37" spans="1:41" ht="12" customHeight="1" x14ac:dyDescent="0.2">
      <c r="A37" s="3386"/>
      <c r="B37" s="629"/>
      <c r="C37" s="3440"/>
      <c r="D37" s="3441"/>
      <c r="E37" s="3441"/>
      <c r="F37" s="3441"/>
      <c r="G37" s="3441"/>
      <c r="H37" s="3441"/>
      <c r="I37" s="3441"/>
      <c r="J37" s="3441"/>
      <c r="K37" s="3442"/>
      <c r="L37" s="1623"/>
      <c r="M37" s="3434"/>
      <c r="N37" s="3435"/>
      <c r="O37" s="3435"/>
      <c r="P37" s="3435"/>
      <c r="Q37" s="3435"/>
      <c r="R37" s="3435"/>
      <c r="S37" s="3436"/>
      <c r="T37" s="630"/>
      <c r="U37" s="3"/>
      <c r="V37" s="4"/>
      <c r="W37" s="850"/>
      <c r="X37" s="3374"/>
      <c r="Y37" s="3375"/>
      <c r="Z37" s="3376"/>
      <c r="AA37" s="3380"/>
      <c r="AB37" s="3262"/>
      <c r="AC37" s="3262"/>
      <c r="AD37" s="3262"/>
      <c r="AE37" s="3262"/>
      <c r="AF37" s="3262"/>
      <c r="AG37" s="3262"/>
      <c r="AH37" s="3262"/>
      <c r="AI37" s="3262"/>
      <c r="AJ37" s="3262"/>
      <c r="AK37" s="3262"/>
      <c r="AL37" s="3263"/>
      <c r="AM37" s="1155"/>
      <c r="AN37" s="4"/>
      <c r="AO37" s="3093"/>
    </row>
    <row r="38" spans="1:41" ht="12" customHeight="1" x14ac:dyDescent="0.2">
      <c r="A38" s="3386"/>
      <c r="B38" s="629"/>
      <c r="C38" s="3440"/>
      <c r="D38" s="3441"/>
      <c r="E38" s="3441"/>
      <c r="F38" s="3441"/>
      <c r="G38" s="3441"/>
      <c r="H38" s="3441"/>
      <c r="I38" s="3441"/>
      <c r="J38" s="3441"/>
      <c r="K38" s="3442"/>
      <c r="L38" s="1623"/>
      <c r="M38" s="3434"/>
      <c r="N38" s="3435"/>
      <c r="O38" s="3435"/>
      <c r="P38" s="3435"/>
      <c r="Q38" s="3435"/>
      <c r="R38" s="3435"/>
      <c r="S38" s="3436"/>
      <c r="T38" s="630"/>
      <c r="U38" s="3"/>
      <c r="V38" s="4"/>
      <c r="W38" s="850"/>
      <c r="X38" s="3374"/>
      <c r="Y38" s="3375"/>
      <c r="Z38" s="3376"/>
      <c r="AA38" s="3380"/>
      <c r="AB38" s="3262"/>
      <c r="AC38" s="3262"/>
      <c r="AD38" s="3262"/>
      <c r="AE38" s="3262"/>
      <c r="AF38" s="3262"/>
      <c r="AG38" s="3262"/>
      <c r="AH38" s="3262"/>
      <c r="AI38" s="3262"/>
      <c r="AJ38" s="3262"/>
      <c r="AK38" s="3262"/>
      <c r="AL38" s="3263"/>
      <c r="AM38" s="1155"/>
      <c r="AN38" s="4"/>
      <c r="AO38" s="3093"/>
    </row>
    <row r="39" spans="1:41" ht="12" customHeight="1" x14ac:dyDescent="0.2">
      <c r="A39" s="3386"/>
      <c r="B39" s="629"/>
      <c r="C39" s="3440"/>
      <c r="D39" s="3441"/>
      <c r="E39" s="3441"/>
      <c r="F39" s="3441"/>
      <c r="G39" s="3441"/>
      <c r="H39" s="3441"/>
      <c r="I39" s="3441"/>
      <c r="J39" s="3441"/>
      <c r="K39" s="3442"/>
      <c r="L39" s="1623"/>
      <c r="M39" s="3434"/>
      <c r="N39" s="3435"/>
      <c r="O39" s="3435"/>
      <c r="P39" s="3435"/>
      <c r="Q39" s="3435"/>
      <c r="R39" s="3435"/>
      <c r="S39" s="3436"/>
      <c r="T39" s="630"/>
      <c r="U39" s="3"/>
      <c r="V39" s="4"/>
      <c r="W39" s="850"/>
      <c r="X39" s="3374"/>
      <c r="Y39" s="3375"/>
      <c r="Z39" s="3376"/>
      <c r="AA39" s="3380"/>
      <c r="AB39" s="3262"/>
      <c r="AC39" s="3262"/>
      <c r="AD39" s="3262"/>
      <c r="AE39" s="3262"/>
      <c r="AF39" s="3262"/>
      <c r="AG39" s="3262"/>
      <c r="AH39" s="3262"/>
      <c r="AI39" s="3262"/>
      <c r="AJ39" s="3262"/>
      <c r="AK39" s="3262"/>
      <c r="AL39" s="3263"/>
      <c r="AM39" s="1155"/>
      <c r="AN39" s="4"/>
      <c r="AO39" s="3093"/>
    </row>
    <row r="40" spans="1:41" ht="12" customHeight="1" x14ac:dyDescent="0.2">
      <c r="A40" s="3386"/>
      <c r="B40" s="629"/>
      <c r="C40" s="3440"/>
      <c r="D40" s="3441"/>
      <c r="E40" s="3441"/>
      <c r="F40" s="3441"/>
      <c r="G40" s="3441"/>
      <c r="H40" s="3441"/>
      <c r="I40" s="3441"/>
      <c r="J40" s="3441"/>
      <c r="K40" s="3442"/>
      <c r="L40" s="1623"/>
      <c r="M40" s="3434"/>
      <c r="N40" s="3435"/>
      <c r="O40" s="3435"/>
      <c r="P40" s="3435"/>
      <c r="Q40" s="3435"/>
      <c r="R40" s="3435"/>
      <c r="S40" s="3436"/>
      <c r="T40" s="630"/>
      <c r="U40" s="3"/>
      <c r="V40" s="4"/>
      <c r="W40" s="850"/>
      <c r="X40" s="3374"/>
      <c r="Y40" s="3375"/>
      <c r="Z40" s="3376"/>
      <c r="AA40" s="3380"/>
      <c r="AB40" s="3262"/>
      <c r="AC40" s="3262"/>
      <c r="AD40" s="3262"/>
      <c r="AE40" s="3262"/>
      <c r="AF40" s="3262"/>
      <c r="AG40" s="3262"/>
      <c r="AH40" s="3262"/>
      <c r="AI40" s="3262"/>
      <c r="AJ40" s="3262"/>
      <c r="AK40" s="3262"/>
      <c r="AL40" s="3263"/>
      <c r="AM40" s="1155"/>
      <c r="AN40" s="4"/>
      <c r="AO40" s="3093"/>
    </row>
    <row r="41" spans="1:41" ht="12" customHeight="1" x14ac:dyDescent="0.2">
      <c r="A41" s="3386"/>
      <c r="B41" s="629"/>
      <c r="C41" s="3440"/>
      <c r="D41" s="3441"/>
      <c r="E41" s="3441"/>
      <c r="F41" s="3441"/>
      <c r="G41" s="3441"/>
      <c r="H41" s="3441"/>
      <c r="I41" s="3441"/>
      <c r="J41" s="3441"/>
      <c r="K41" s="3442"/>
      <c r="L41" s="1623"/>
      <c r="M41" s="3434"/>
      <c r="N41" s="3435"/>
      <c r="O41" s="3435"/>
      <c r="P41" s="3435"/>
      <c r="Q41" s="3435"/>
      <c r="R41" s="3435"/>
      <c r="S41" s="3436"/>
      <c r="T41" s="630"/>
      <c r="U41" s="3"/>
      <c r="V41" s="4"/>
      <c r="W41" s="850"/>
      <c r="X41" s="3374"/>
      <c r="Y41" s="3375"/>
      <c r="Z41" s="3376"/>
      <c r="AA41" s="3371"/>
      <c r="AB41" s="3372"/>
      <c r="AC41" s="3372"/>
      <c r="AD41" s="3372"/>
      <c r="AE41" s="3372"/>
      <c r="AF41" s="3372"/>
      <c r="AG41" s="3372"/>
      <c r="AH41" s="3372"/>
      <c r="AI41" s="3372"/>
      <c r="AJ41" s="3372"/>
      <c r="AK41" s="3372"/>
      <c r="AL41" s="3373"/>
      <c r="AM41" s="1155"/>
      <c r="AN41" s="4"/>
      <c r="AO41" s="3093"/>
    </row>
    <row r="42" spans="1:41" ht="12" customHeight="1" x14ac:dyDescent="0.2">
      <c r="A42" s="3386"/>
      <c r="B42" s="629"/>
      <c r="C42" s="3440"/>
      <c r="D42" s="3441"/>
      <c r="E42" s="3441"/>
      <c r="F42" s="3441"/>
      <c r="G42" s="3441"/>
      <c r="H42" s="3441"/>
      <c r="I42" s="3441"/>
      <c r="J42" s="3441"/>
      <c r="K42" s="3442"/>
      <c r="L42" s="1623"/>
      <c r="M42" s="3434"/>
      <c r="N42" s="3435"/>
      <c r="O42" s="3435"/>
      <c r="P42" s="3435"/>
      <c r="Q42" s="3435"/>
      <c r="R42" s="3435"/>
      <c r="S42" s="3436"/>
      <c r="T42" s="630"/>
      <c r="U42" s="3"/>
      <c r="V42" s="4"/>
      <c r="W42" s="850"/>
      <c r="X42" s="3374"/>
      <c r="Y42" s="3375"/>
      <c r="Z42" s="3376"/>
      <c r="AA42" s="3371"/>
      <c r="AB42" s="3372"/>
      <c r="AC42" s="3372"/>
      <c r="AD42" s="3372"/>
      <c r="AE42" s="3372"/>
      <c r="AF42" s="3372"/>
      <c r="AG42" s="3372"/>
      <c r="AH42" s="3372"/>
      <c r="AI42" s="3372"/>
      <c r="AJ42" s="3372"/>
      <c r="AK42" s="3372"/>
      <c r="AL42" s="3373"/>
      <c r="AM42" s="1155"/>
      <c r="AN42" s="4"/>
      <c r="AO42" s="3093"/>
    </row>
    <row r="43" spans="1:41" ht="12" customHeight="1" thickBot="1" x14ac:dyDescent="0.25">
      <c r="A43" s="3386"/>
      <c r="B43" s="629"/>
      <c r="C43" s="3443"/>
      <c r="D43" s="3444"/>
      <c r="E43" s="3444"/>
      <c r="F43" s="3444"/>
      <c r="G43" s="3444"/>
      <c r="H43" s="3444"/>
      <c r="I43" s="3444"/>
      <c r="J43" s="3444"/>
      <c r="K43" s="3445"/>
      <c r="L43" s="1623"/>
      <c r="M43" s="3434"/>
      <c r="N43" s="3435"/>
      <c r="O43" s="3435"/>
      <c r="P43" s="3435"/>
      <c r="Q43" s="3435"/>
      <c r="R43" s="3435"/>
      <c r="S43" s="3436"/>
      <c r="T43" s="630"/>
      <c r="U43" s="3"/>
      <c r="V43" s="4"/>
      <c r="W43" s="850"/>
      <c r="X43" s="3374"/>
      <c r="Y43" s="3375"/>
      <c r="Z43" s="3376"/>
      <c r="AA43" s="3380"/>
      <c r="AB43" s="3262"/>
      <c r="AC43" s="3262"/>
      <c r="AD43" s="3262"/>
      <c r="AE43" s="3262"/>
      <c r="AF43" s="3262"/>
      <c r="AG43" s="3262"/>
      <c r="AH43" s="3262"/>
      <c r="AI43" s="3262"/>
      <c r="AJ43" s="3262"/>
      <c r="AK43" s="3262"/>
      <c r="AL43" s="3263"/>
      <c r="AM43" s="1155"/>
      <c r="AN43" s="4"/>
      <c r="AO43" s="3093"/>
    </row>
    <row r="44" spans="1:41" ht="12" customHeight="1" thickBot="1" x14ac:dyDescent="0.25">
      <c r="A44" s="3386"/>
      <c r="B44" s="629"/>
      <c r="C44" s="5"/>
      <c r="D44" s="5"/>
      <c r="E44" s="5"/>
      <c r="F44" s="5"/>
      <c r="G44" s="5"/>
      <c r="H44" s="5"/>
      <c r="I44" s="5"/>
      <c r="J44" s="5"/>
      <c r="K44" s="5"/>
      <c r="L44" s="1623"/>
      <c r="M44" s="3434"/>
      <c r="N44" s="3435"/>
      <c r="O44" s="3435"/>
      <c r="P44" s="3435"/>
      <c r="Q44" s="3435"/>
      <c r="R44" s="3435"/>
      <c r="S44" s="3436"/>
      <c r="T44" s="630"/>
      <c r="U44" s="3"/>
      <c r="V44" s="4"/>
      <c r="W44" s="850"/>
      <c r="X44" s="3377"/>
      <c r="Y44" s="3378"/>
      <c r="Z44" s="3379"/>
      <c r="AA44" s="3381"/>
      <c r="AB44" s="3312"/>
      <c r="AC44" s="3312"/>
      <c r="AD44" s="3312"/>
      <c r="AE44" s="3312"/>
      <c r="AF44" s="3312"/>
      <c r="AG44" s="3312"/>
      <c r="AH44" s="3312"/>
      <c r="AI44" s="3312"/>
      <c r="AJ44" s="3312"/>
      <c r="AK44" s="3312"/>
      <c r="AL44" s="3313"/>
      <c r="AM44" s="1155"/>
      <c r="AN44" s="4"/>
      <c r="AO44" s="3093"/>
    </row>
    <row r="45" spans="1:41" ht="12" customHeight="1" thickBot="1" x14ac:dyDescent="0.25">
      <c r="A45" s="3386"/>
      <c r="B45" s="629"/>
      <c r="C45" s="3392" t="s">
        <v>8524</v>
      </c>
      <c r="D45" s="3393"/>
      <c r="E45" s="3393"/>
      <c r="F45" s="3393"/>
      <c r="G45" s="3393"/>
      <c r="H45" s="3393"/>
      <c r="I45" s="3393"/>
      <c r="J45" s="3393"/>
      <c r="K45" s="3394"/>
      <c r="L45" s="1623"/>
      <c r="M45" s="3434"/>
      <c r="N45" s="3435"/>
      <c r="O45" s="3435"/>
      <c r="P45" s="3435"/>
      <c r="Q45" s="3435"/>
      <c r="R45" s="3435"/>
      <c r="S45" s="3436"/>
      <c r="T45" s="630"/>
      <c r="U45" s="3"/>
      <c r="V45" s="4"/>
      <c r="W45" s="850"/>
      <c r="X45" s="2725"/>
      <c r="Y45" s="2723"/>
      <c r="Z45" s="2723"/>
      <c r="AA45" s="2723"/>
      <c r="AB45" s="2723"/>
      <c r="AC45" s="2723"/>
      <c r="AD45" s="2723"/>
      <c r="AE45" s="2723"/>
      <c r="AF45" s="2723"/>
      <c r="AG45" s="2723"/>
      <c r="AH45" s="2723"/>
      <c r="AI45" s="2723"/>
      <c r="AJ45" s="2723"/>
      <c r="AK45" s="2723"/>
      <c r="AL45" s="2723"/>
      <c r="AM45" s="1155"/>
      <c r="AN45" s="4"/>
      <c r="AO45" s="3093"/>
    </row>
    <row r="46" spans="1:41" ht="12" customHeight="1" x14ac:dyDescent="0.2">
      <c r="A46" s="3386"/>
      <c r="B46" s="629"/>
      <c r="C46" s="3446"/>
      <c r="D46" s="3447"/>
      <c r="E46" s="3447"/>
      <c r="F46" s="3447"/>
      <c r="G46" s="3447"/>
      <c r="H46" s="3447"/>
      <c r="I46" s="3447"/>
      <c r="J46" s="3447"/>
      <c r="K46" s="3448"/>
      <c r="L46" s="1623"/>
      <c r="M46" s="3434"/>
      <c r="N46" s="3435"/>
      <c r="O46" s="3435"/>
      <c r="P46" s="3435"/>
      <c r="Q46" s="3435"/>
      <c r="R46" s="3435"/>
      <c r="S46" s="3436"/>
      <c r="T46" s="630"/>
      <c r="U46" s="3"/>
      <c r="V46" s="4"/>
      <c r="W46" s="850"/>
      <c r="X46" s="3302" t="s">
        <v>1343</v>
      </c>
      <c r="Y46" s="3303"/>
      <c r="Z46" s="3303"/>
      <c r="AA46" s="3303"/>
      <c r="AB46" s="3303"/>
      <c r="AC46" s="3303"/>
      <c r="AD46" s="3304"/>
      <c r="AE46" s="2723"/>
      <c r="AF46" s="3302" t="s">
        <v>1344</v>
      </c>
      <c r="AG46" s="3303"/>
      <c r="AH46" s="3303"/>
      <c r="AI46" s="3303"/>
      <c r="AJ46" s="3303"/>
      <c r="AK46" s="3303"/>
      <c r="AL46" s="3304"/>
      <c r="AM46" s="1155"/>
      <c r="AN46" s="4"/>
      <c r="AO46" s="3093"/>
    </row>
    <row r="47" spans="1:41" ht="12" customHeight="1" x14ac:dyDescent="0.2">
      <c r="A47" s="3386"/>
      <c r="B47" s="629"/>
      <c r="C47" s="3440"/>
      <c r="D47" s="3441"/>
      <c r="E47" s="3441"/>
      <c r="F47" s="3441"/>
      <c r="G47" s="3441"/>
      <c r="H47" s="3441"/>
      <c r="I47" s="3441"/>
      <c r="J47" s="3441"/>
      <c r="K47" s="3442"/>
      <c r="L47" s="1623"/>
      <c r="M47" s="3434"/>
      <c r="N47" s="3435"/>
      <c r="O47" s="3435"/>
      <c r="P47" s="3435"/>
      <c r="Q47" s="3435"/>
      <c r="R47" s="3435"/>
      <c r="S47" s="3436"/>
      <c r="T47" s="630"/>
      <c r="U47" s="3"/>
      <c r="V47" s="4"/>
      <c r="W47" s="850"/>
      <c r="X47" s="3318"/>
      <c r="Y47" s="3319"/>
      <c r="Z47" s="3319"/>
      <c r="AA47" s="3319"/>
      <c r="AB47" s="3319"/>
      <c r="AC47" s="3319"/>
      <c r="AD47" s="3320"/>
      <c r="AE47" s="2723"/>
      <c r="AF47" s="3318"/>
      <c r="AG47" s="3319"/>
      <c r="AH47" s="3319"/>
      <c r="AI47" s="3319"/>
      <c r="AJ47" s="3319"/>
      <c r="AK47" s="3319"/>
      <c r="AL47" s="3320"/>
      <c r="AM47" s="1155"/>
      <c r="AN47" s="4"/>
      <c r="AO47" s="3093"/>
    </row>
    <row r="48" spans="1:41" ht="12" customHeight="1" x14ac:dyDescent="0.2">
      <c r="A48" s="3386"/>
      <c r="B48" s="629"/>
      <c r="C48" s="3440"/>
      <c r="D48" s="3441"/>
      <c r="E48" s="3441"/>
      <c r="F48" s="3441"/>
      <c r="G48" s="3441"/>
      <c r="H48" s="3441"/>
      <c r="I48" s="3441"/>
      <c r="J48" s="3441"/>
      <c r="K48" s="3442"/>
      <c r="L48" s="1623"/>
      <c r="M48" s="3434"/>
      <c r="N48" s="3435"/>
      <c r="O48" s="3435"/>
      <c r="P48" s="3435"/>
      <c r="Q48" s="3435"/>
      <c r="R48" s="3435"/>
      <c r="S48" s="3436"/>
      <c r="T48" s="630"/>
      <c r="U48" s="3"/>
      <c r="V48" s="4"/>
      <c r="W48" s="850"/>
      <c r="X48" s="3261"/>
      <c r="Y48" s="3262"/>
      <c r="Z48" s="3262"/>
      <c r="AA48" s="3262"/>
      <c r="AB48" s="3262"/>
      <c r="AC48" s="3262"/>
      <c r="AD48" s="3263"/>
      <c r="AE48" s="2723"/>
      <c r="AF48" s="3261"/>
      <c r="AG48" s="3262"/>
      <c r="AH48" s="3262"/>
      <c r="AI48" s="3262"/>
      <c r="AJ48" s="3262"/>
      <c r="AK48" s="3262"/>
      <c r="AL48" s="3263"/>
      <c r="AM48" s="1155"/>
      <c r="AN48" s="4"/>
      <c r="AO48" s="3093"/>
    </row>
    <row r="49" spans="1:41" ht="12" customHeight="1" x14ac:dyDescent="0.2">
      <c r="A49" s="3386"/>
      <c r="B49" s="629"/>
      <c r="C49" s="3440"/>
      <c r="D49" s="3441"/>
      <c r="E49" s="3441"/>
      <c r="F49" s="3441"/>
      <c r="G49" s="3441"/>
      <c r="H49" s="3441"/>
      <c r="I49" s="3441"/>
      <c r="J49" s="3441"/>
      <c r="K49" s="3442"/>
      <c r="L49" s="1623"/>
      <c r="M49" s="3434"/>
      <c r="N49" s="3435"/>
      <c r="O49" s="3435"/>
      <c r="P49" s="3435"/>
      <c r="Q49" s="3435"/>
      <c r="R49" s="3435"/>
      <c r="S49" s="3436"/>
      <c r="T49" s="630"/>
      <c r="U49" s="3"/>
      <c r="V49" s="4"/>
      <c r="W49" s="850"/>
      <c r="X49" s="3261"/>
      <c r="Y49" s="3262"/>
      <c r="Z49" s="3262"/>
      <c r="AA49" s="3262"/>
      <c r="AB49" s="3262"/>
      <c r="AC49" s="3262"/>
      <c r="AD49" s="3263"/>
      <c r="AE49" s="2723"/>
      <c r="AF49" s="3261"/>
      <c r="AG49" s="3262"/>
      <c r="AH49" s="3262"/>
      <c r="AI49" s="3262"/>
      <c r="AJ49" s="3262"/>
      <c r="AK49" s="3262"/>
      <c r="AL49" s="3263"/>
      <c r="AM49" s="1155"/>
      <c r="AN49" s="4"/>
      <c r="AO49" s="3093"/>
    </row>
    <row r="50" spans="1:41" ht="12" customHeight="1" x14ac:dyDescent="0.2">
      <c r="A50" s="3386"/>
      <c r="B50" s="629"/>
      <c r="C50" s="3440"/>
      <c r="D50" s="3441"/>
      <c r="E50" s="3441"/>
      <c r="F50" s="3441"/>
      <c r="G50" s="3441"/>
      <c r="H50" s="3441"/>
      <c r="I50" s="3441"/>
      <c r="J50" s="3441"/>
      <c r="K50" s="3442"/>
      <c r="L50" s="1623"/>
      <c r="M50" s="3434"/>
      <c r="N50" s="3435"/>
      <c r="O50" s="3435"/>
      <c r="P50" s="3435"/>
      <c r="Q50" s="3435"/>
      <c r="R50" s="3435"/>
      <c r="S50" s="3436"/>
      <c r="T50" s="630"/>
      <c r="U50" s="3"/>
      <c r="V50" s="4"/>
      <c r="W50" s="850"/>
      <c r="X50" s="3261"/>
      <c r="Y50" s="3262"/>
      <c r="Z50" s="3262"/>
      <c r="AA50" s="3262"/>
      <c r="AB50" s="3262"/>
      <c r="AC50" s="3262"/>
      <c r="AD50" s="3263"/>
      <c r="AE50" s="2723"/>
      <c r="AF50" s="3261"/>
      <c r="AG50" s="3262"/>
      <c r="AH50" s="3262"/>
      <c r="AI50" s="3262"/>
      <c r="AJ50" s="3262"/>
      <c r="AK50" s="3262"/>
      <c r="AL50" s="3263"/>
      <c r="AM50" s="1155"/>
      <c r="AN50" s="4"/>
      <c r="AO50" s="3093"/>
    </row>
    <row r="51" spans="1:41" ht="12" customHeight="1" x14ac:dyDescent="0.2">
      <c r="A51" s="3386"/>
      <c r="B51" s="629"/>
      <c r="C51" s="3440"/>
      <c r="D51" s="3441"/>
      <c r="E51" s="3441"/>
      <c r="F51" s="3441"/>
      <c r="G51" s="3441"/>
      <c r="H51" s="3441"/>
      <c r="I51" s="3441"/>
      <c r="J51" s="3441"/>
      <c r="K51" s="3442"/>
      <c r="L51" s="1623"/>
      <c r="M51" s="3434"/>
      <c r="N51" s="3435"/>
      <c r="O51" s="3435"/>
      <c r="P51" s="3435"/>
      <c r="Q51" s="3435"/>
      <c r="R51" s="3435"/>
      <c r="S51" s="3436"/>
      <c r="T51" s="630"/>
      <c r="U51" s="3"/>
      <c r="V51" s="4"/>
      <c r="W51" s="850"/>
      <c r="X51" s="3261"/>
      <c r="Y51" s="3262"/>
      <c r="Z51" s="3262"/>
      <c r="AA51" s="3262"/>
      <c r="AB51" s="3262"/>
      <c r="AC51" s="3262"/>
      <c r="AD51" s="3263"/>
      <c r="AE51" s="2723"/>
      <c r="AF51" s="3261"/>
      <c r="AG51" s="3262"/>
      <c r="AH51" s="3262"/>
      <c r="AI51" s="3262"/>
      <c r="AJ51" s="3262"/>
      <c r="AK51" s="3262"/>
      <c r="AL51" s="3263"/>
      <c r="AM51" s="1155"/>
      <c r="AN51" s="4"/>
      <c r="AO51" s="3093"/>
    </row>
    <row r="52" spans="1:41" ht="12" customHeight="1" x14ac:dyDescent="0.2">
      <c r="A52" s="3386"/>
      <c r="B52" s="629"/>
      <c r="C52" s="3440"/>
      <c r="D52" s="3441"/>
      <c r="E52" s="3441"/>
      <c r="F52" s="3441"/>
      <c r="G52" s="3441"/>
      <c r="H52" s="3441"/>
      <c r="I52" s="3441"/>
      <c r="J52" s="3441"/>
      <c r="K52" s="3442"/>
      <c r="L52" s="1623"/>
      <c r="M52" s="3434"/>
      <c r="N52" s="3435"/>
      <c r="O52" s="3435"/>
      <c r="P52" s="3435"/>
      <c r="Q52" s="3435"/>
      <c r="R52" s="3435"/>
      <c r="S52" s="3436"/>
      <c r="T52" s="630"/>
      <c r="U52" s="3"/>
      <c r="V52" s="4"/>
      <c r="W52" s="850"/>
      <c r="X52" s="3261"/>
      <c r="Y52" s="3262"/>
      <c r="Z52" s="3262"/>
      <c r="AA52" s="3262"/>
      <c r="AB52" s="3262"/>
      <c r="AC52" s="3262"/>
      <c r="AD52" s="3263"/>
      <c r="AE52" s="2723"/>
      <c r="AF52" s="3261"/>
      <c r="AG52" s="3262"/>
      <c r="AH52" s="3262"/>
      <c r="AI52" s="3262"/>
      <c r="AJ52" s="3262"/>
      <c r="AK52" s="3262"/>
      <c r="AL52" s="3263"/>
      <c r="AM52" s="1155"/>
      <c r="AN52" s="4"/>
      <c r="AO52" s="3093"/>
    </row>
    <row r="53" spans="1:41" ht="12" customHeight="1" thickBot="1" x14ac:dyDescent="0.25">
      <c r="A53" s="3386"/>
      <c r="B53" s="629"/>
      <c r="C53" s="3443"/>
      <c r="D53" s="3444"/>
      <c r="E53" s="3444"/>
      <c r="F53" s="3444"/>
      <c r="G53" s="3444"/>
      <c r="H53" s="3444"/>
      <c r="I53" s="3444"/>
      <c r="J53" s="3444"/>
      <c r="K53" s="3445"/>
      <c r="L53" s="1623"/>
      <c r="M53" s="3437"/>
      <c r="N53" s="3438"/>
      <c r="O53" s="3438"/>
      <c r="P53" s="3438"/>
      <c r="Q53" s="3438"/>
      <c r="R53" s="3438"/>
      <c r="S53" s="3439"/>
      <c r="T53" s="630"/>
      <c r="U53" s="3"/>
      <c r="V53" s="4"/>
      <c r="W53" s="850"/>
      <c r="X53" s="3261"/>
      <c r="Y53" s="3262"/>
      <c r="Z53" s="3262"/>
      <c r="AA53" s="3262"/>
      <c r="AB53" s="3262"/>
      <c r="AC53" s="3262"/>
      <c r="AD53" s="3263"/>
      <c r="AE53" s="2723"/>
      <c r="AF53" s="3261"/>
      <c r="AG53" s="3262"/>
      <c r="AH53" s="3262"/>
      <c r="AI53" s="3262"/>
      <c r="AJ53" s="3262"/>
      <c r="AK53" s="3262"/>
      <c r="AL53" s="3263"/>
      <c r="AM53" s="1155"/>
      <c r="AN53" s="4"/>
      <c r="AO53" s="3093"/>
    </row>
    <row r="54" spans="1:41" ht="12" customHeight="1" thickBot="1" x14ac:dyDescent="0.25">
      <c r="A54" s="3386"/>
      <c r="B54" s="629"/>
      <c r="C54" s="5"/>
      <c r="D54" s="5"/>
      <c r="E54" s="5"/>
      <c r="F54" s="5"/>
      <c r="G54" s="5"/>
      <c r="H54" s="5"/>
      <c r="I54" s="5"/>
      <c r="J54" s="5"/>
      <c r="K54" s="5"/>
      <c r="L54" s="5"/>
      <c r="M54" s="5"/>
      <c r="N54" s="5"/>
      <c r="O54" s="5"/>
      <c r="P54" s="5"/>
      <c r="Q54" s="5"/>
      <c r="R54" s="5"/>
      <c r="S54" s="5"/>
      <c r="T54" s="630"/>
      <c r="U54" s="3"/>
      <c r="V54" s="4"/>
      <c r="W54" s="850"/>
      <c r="X54" s="3261"/>
      <c r="Y54" s="3262"/>
      <c r="Z54" s="3262"/>
      <c r="AA54" s="3262"/>
      <c r="AB54" s="3262"/>
      <c r="AC54" s="3262"/>
      <c r="AD54" s="3263"/>
      <c r="AE54" s="2723"/>
      <c r="AF54" s="3261"/>
      <c r="AG54" s="3262"/>
      <c r="AH54" s="3262"/>
      <c r="AI54" s="3262"/>
      <c r="AJ54" s="3262"/>
      <c r="AK54" s="3262"/>
      <c r="AL54" s="3263"/>
      <c r="AM54" s="1155"/>
      <c r="AN54" s="4"/>
      <c r="AO54" s="3093"/>
    </row>
    <row r="55" spans="1:41" ht="12" customHeight="1" thickBot="1" x14ac:dyDescent="0.25">
      <c r="A55" s="3386"/>
      <c r="B55" s="629"/>
      <c r="C55" s="3392" t="s">
        <v>8713</v>
      </c>
      <c r="D55" s="3393"/>
      <c r="E55" s="3393"/>
      <c r="F55" s="3393"/>
      <c r="G55" s="3393"/>
      <c r="H55" s="3393"/>
      <c r="I55" s="3393"/>
      <c r="J55" s="3393"/>
      <c r="K55" s="3393"/>
      <c r="L55" s="3393"/>
      <c r="M55" s="3393"/>
      <c r="N55" s="3393"/>
      <c r="O55" s="3393"/>
      <c r="P55" s="3393"/>
      <c r="Q55" s="3393"/>
      <c r="R55" s="3393"/>
      <c r="S55" s="3394"/>
      <c r="T55" s="630"/>
      <c r="U55" s="3"/>
      <c r="V55" s="4"/>
      <c r="W55" s="850"/>
      <c r="X55" s="3311"/>
      <c r="Y55" s="3312"/>
      <c r="Z55" s="3312"/>
      <c r="AA55" s="3312"/>
      <c r="AB55" s="3312"/>
      <c r="AC55" s="3312"/>
      <c r="AD55" s="3313"/>
      <c r="AE55" s="2723"/>
      <c r="AF55" s="3311"/>
      <c r="AG55" s="3312"/>
      <c r="AH55" s="3312"/>
      <c r="AI55" s="3312"/>
      <c r="AJ55" s="3312"/>
      <c r="AK55" s="3312"/>
      <c r="AL55" s="3313"/>
      <c r="AM55" s="1155"/>
      <c r="AN55" s="4"/>
      <c r="AO55" s="3093"/>
    </row>
    <row r="56" spans="1:41" ht="12" customHeight="1" thickBot="1" x14ac:dyDescent="0.25">
      <c r="A56" s="3386"/>
      <c r="B56" s="629"/>
      <c r="C56" s="3395"/>
      <c r="D56" s="3396"/>
      <c r="E56" s="3397"/>
      <c r="F56" s="3397"/>
      <c r="G56" s="3397"/>
      <c r="H56" s="3397"/>
      <c r="I56" s="3397"/>
      <c r="J56" s="3397"/>
      <c r="K56" s="3397"/>
      <c r="L56" s="3397"/>
      <c r="M56" s="3397"/>
      <c r="N56" s="3397"/>
      <c r="O56" s="3397"/>
      <c r="P56" s="3397"/>
      <c r="Q56" s="3397"/>
      <c r="R56" s="3397"/>
      <c r="S56" s="3398"/>
      <c r="T56" s="630"/>
      <c r="U56" s="3"/>
      <c r="V56" s="4"/>
      <c r="W56" s="850"/>
      <c r="X56" s="2725"/>
      <c r="Y56" s="2723"/>
      <c r="Z56" s="2723"/>
      <c r="AA56" s="2723"/>
      <c r="AB56" s="2723"/>
      <c r="AC56" s="2723"/>
      <c r="AD56" s="2723"/>
      <c r="AE56" s="2723"/>
      <c r="AF56" s="2723"/>
      <c r="AG56" s="2723"/>
      <c r="AH56" s="2723"/>
      <c r="AI56" s="2723"/>
      <c r="AJ56" s="2723"/>
      <c r="AK56" s="2723"/>
      <c r="AL56" s="2723"/>
      <c r="AM56" s="1155"/>
      <c r="AN56" s="4"/>
      <c r="AO56" s="3093"/>
    </row>
    <row r="57" spans="1:41" ht="12" customHeight="1" x14ac:dyDescent="0.2">
      <c r="A57" s="3386"/>
      <c r="B57" s="629"/>
      <c r="C57" s="3399"/>
      <c r="D57" s="3400"/>
      <c r="E57" s="3401"/>
      <c r="F57" s="3401"/>
      <c r="G57" s="3401"/>
      <c r="H57" s="3401"/>
      <c r="I57" s="3401"/>
      <c r="J57" s="3401"/>
      <c r="K57" s="3401"/>
      <c r="L57" s="3401"/>
      <c r="M57" s="3401"/>
      <c r="N57" s="3401"/>
      <c r="O57" s="3401"/>
      <c r="P57" s="3401"/>
      <c r="Q57" s="3401"/>
      <c r="R57" s="3401"/>
      <c r="S57" s="3402"/>
      <c r="T57" s="630"/>
      <c r="U57" s="3"/>
      <c r="V57" s="4"/>
      <c r="W57" s="850"/>
      <c r="X57" s="3302" t="s">
        <v>1345</v>
      </c>
      <c r="Y57" s="3303"/>
      <c r="Z57" s="3303"/>
      <c r="AA57" s="3303"/>
      <c r="AB57" s="3303"/>
      <c r="AC57" s="3303"/>
      <c r="AD57" s="3304"/>
      <c r="AE57" s="2723"/>
      <c r="AF57" s="3314" t="s">
        <v>1346</v>
      </c>
      <c r="AG57" s="3315"/>
      <c r="AH57" s="3315"/>
      <c r="AI57" s="3315"/>
      <c r="AJ57" s="3315"/>
      <c r="AK57" s="3316" t="str">
        <f>VLOOKUP(AF59,Tabla_Fama,2)</f>
        <v>Desconocido</v>
      </c>
      <c r="AL57" s="3317"/>
      <c r="AM57" s="1155"/>
      <c r="AN57" s="4"/>
      <c r="AO57" s="3093"/>
    </row>
    <row r="58" spans="1:41" ht="12" customHeight="1" x14ac:dyDescent="0.2">
      <c r="A58" s="3386"/>
      <c r="B58" s="629"/>
      <c r="C58" s="3399"/>
      <c r="D58" s="3400"/>
      <c r="E58" s="3401"/>
      <c r="F58" s="3401"/>
      <c r="G58" s="3401"/>
      <c r="H58" s="3401"/>
      <c r="I58" s="3401"/>
      <c r="J58" s="3401"/>
      <c r="K58" s="3401"/>
      <c r="L58" s="3401"/>
      <c r="M58" s="3401"/>
      <c r="N58" s="3401"/>
      <c r="O58" s="3401"/>
      <c r="P58" s="3401"/>
      <c r="Q58" s="3401"/>
      <c r="R58" s="3401"/>
      <c r="S58" s="3402"/>
      <c r="T58" s="630"/>
      <c r="U58" s="3"/>
      <c r="V58" s="4"/>
      <c r="W58" s="850"/>
      <c r="X58" s="3305" t="s">
        <v>1347</v>
      </c>
      <c r="Y58" s="3306"/>
      <c r="Z58" s="3306"/>
      <c r="AA58" s="3307"/>
      <c r="AB58" s="3308" t="s">
        <v>1348</v>
      </c>
      <c r="AC58" s="3309"/>
      <c r="AD58" s="3310"/>
      <c r="AE58" s="2723"/>
      <c r="AF58" s="2729" t="s">
        <v>1349</v>
      </c>
      <c r="AG58" s="3293" t="s">
        <v>1350</v>
      </c>
      <c r="AH58" s="3293"/>
      <c r="AI58" s="1547"/>
      <c r="AJ58" s="3293" t="s">
        <v>1351</v>
      </c>
      <c r="AK58" s="3293"/>
      <c r="AL58" s="1555"/>
      <c r="AM58" s="1155"/>
      <c r="AN58" s="4"/>
      <c r="AO58" s="3093"/>
    </row>
    <row r="59" spans="1:41" ht="12" customHeight="1" thickBot="1" x14ac:dyDescent="0.25">
      <c r="A59" s="3386"/>
      <c r="B59" s="629"/>
      <c r="C59" s="3399"/>
      <c r="D59" s="3400"/>
      <c r="E59" s="3401"/>
      <c r="F59" s="3401"/>
      <c r="G59" s="3401"/>
      <c r="H59" s="3401"/>
      <c r="I59" s="3401"/>
      <c r="J59" s="3401"/>
      <c r="K59" s="3401"/>
      <c r="L59" s="3401"/>
      <c r="M59" s="3401"/>
      <c r="N59" s="3401"/>
      <c r="O59" s="3401"/>
      <c r="P59" s="3401"/>
      <c r="Q59" s="3401"/>
      <c r="R59" s="3401"/>
      <c r="S59" s="3402"/>
      <c r="T59" s="630"/>
      <c r="U59" s="3"/>
      <c r="V59" s="4"/>
      <c r="W59" s="850"/>
      <c r="X59" s="3301" t="s">
        <v>1352</v>
      </c>
      <c r="Y59" s="3298"/>
      <c r="Z59" s="3299"/>
      <c r="AA59" s="3300"/>
      <c r="AB59" s="3282"/>
      <c r="AC59" s="3283"/>
      <c r="AD59" s="3284"/>
      <c r="AE59" s="2723"/>
      <c r="AF59" s="3291">
        <f>MAX(AI58+AI60+AL59+AL58+AI59,IF(Tablas!$G$485&gt;0,40,IF(Tablas!$G$486&gt;0,65)))</f>
        <v>0</v>
      </c>
      <c r="AG59" s="3293" t="s">
        <v>1353</v>
      </c>
      <c r="AH59" s="3293"/>
      <c r="AI59" s="2670"/>
      <c r="AJ59" s="3293" t="s">
        <v>1354</v>
      </c>
      <c r="AK59" s="3294"/>
      <c r="AL59" s="1556"/>
      <c r="AM59" s="1155"/>
      <c r="AN59" s="4"/>
      <c r="AO59" s="3093"/>
    </row>
    <row r="60" spans="1:41" ht="12" customHeight="1" thickBot="1" x14ac:dyDescent="0.25">
      <c r="A60" s="3386"/>
      <c r="B60" s="629"/>
      <c r="C60" s="3399"/>
      <c r="D60" s="3400"/>
      <c r="E60" s="3401"/>
      <c r="F60" s="3401"/>
      <c r="G60" s="3401"/>
      <c r="H60" s="3401"/>
      <c r="I60" s="3401"/>
      <c r="J60" s="3401"/>
      <c r="K60" s="3401"/>
      <c r="L60" s="3401"/>
      <c r="M60" s="3401"/>
      <c r="N60" s="3401"/>
      <c r="O60" s="3401"/>
      <c r="P60" s="3401"/>
      <c r="Q60" s="3401"/>
      <c r="R60" s="3401"/>
      <c r="S60" s="3402"/>
      <c r="T60" s="630"/>
      <c r="U60" s="3"/>
      <c r="V60" s="4"/>
      <c r="W60" s="850"/>
      <c r="X60" s="3301"/>
      <c r="Y60" s="3266"/>
      <c r="Z60" s="3267"/>
      <c r="AA60" s="3268"/>
      <c r="AB60" s="3285"/>
      <c r="AC60" s="3286"/>
      <c r="AD60" s="3287"/>
      <c r="AE60" s="2723"/>
      <c r="AF60" s="3292"/>
      <c r="AG60" s="3295" t="s">
        <v>1355</v>
      </c>
      <c r="AH60" s="3295"/>
      <c r="AI60" s="1557"/>
      <c r="AJ60" s="3296" t="s">
        <v>1356</v>
      </c>
      <c r="AK60" s="3297"/>
      <c r="AL60" s="1558">
        <f>VLOOKUP(AF59,Tabla_Fama,3)</f>
        <v>0</v>
      </c>
      <c r="AM60" s="1155"/>
      <c r="AN60" s="4"/>
      <c r="AO60" s="3093"/>
    </row>
    <row r="61" spans="1:41" ht="12" customHeight="1" thickBot="1" x14ac:dyDescent="0.25">
      <c r="A61" s="3386"/>
      <c r="B61" s="629"/>
      <c r="C61" s="3399"/>
      <c r="D61" s="3400"/>
      <c r="E61" s="3401"/>
      <c r="F61" s="3401"/>
      <c r="G61" s="3401"/>
      <c r="H61" s="3401"/>
      <c r="I61" s="3401"/>
      <c r="J61" s="3401"/>
      <c r="K61" s="3401"/>
      <c r="L61" s="3401"/>
      <c r="M61" s="3401"/>
      <c r="N61" s="3401"/>
      <c r="O61" s="3401"/>
      <c r="P61" s="3401"/>
      <c r="Q61" s="3401"/>
      <c r="R61" s="3401"/>
      <c r="S61" s="3402"/>
      <c r="T61" s="630"/>
      <c r="U61" s="3"/>
      <c r="V61" s="4"/>
      <c r="W61" s="850"/>
      <c r="X61" s="3301" t="s">
        <v>1357</v>
      </c>
      <c r="Y61" s="3266"/>
      <c r="Z61" s="3267"/>
      <c r="AA61" s="3268"/>
      <c r="AB61" s="3285"/>
      <c r="AC61" s="3286"/>
      <c r="AD61" s="3287"/>
      <c r="AE61" s="2723"/>
      <c r="AF61" s="2723"/>
      <c r="AG61" s="2723"/>
      <c r="AH61" s="2723"/>
      <c r="AI61" s="2723"/>
      <c r="AJ61" s="2723"/>
      <c r="AK61" s="2723"/>
      <c r="AL61" s="2723"/>
      <c r="AM61" s="1155"/>
      <c r="AN61" s="4"/>
      <c r="AO61" s="3093"/>
    </row>
    <row r="62" spans="1:41" ht="12" customHeight="1" x14ac:dyDescent="0.2">
      <c r="A62" s="3386"/>
      <c r="B62" s="629"/>
      <c r="C62" s="3399"/>
      <c r="D62" s="3400"/>
      <c r="E62" s="3401"/>
      <c r="F62" s="3401"/>
      <c r="G62" s="3401"/>
      <c r="H62" s="3401"/>
      <c r="I62" s="3401"/>
      <c r="J62" s="3401"/>
      <c r="K62" s="3401"/>
      <c r="L62" s="3401"/>
      <c r="M62" s="3401"/>
      <c r="N62" s="3401"/>
      <c r="O62" s="3401"/>
      <c r="P62" s="3401"/>
      <c r="Q62" s="3401"/>
      <c r="R62" s="3401"/>
      <c r="S62" s="3402"/>
      <c r="T62" s="630"/>
      <c r="U62" s="3"/>
      <c r="V62" s="4"/>
      <c r="W62" s="850"/>
      <c r="X62" s="3301"/>
      <c r="Y62" s="3266"/>
      <c r="Z62" s="3267"/>
      <c r="AA62" s="3268"/>
      <c r="AB62" s="3285"/>
      <c r="AC62" s="3286"/>
      <c r="AD62" s="3287"/>
      <c r="AE62" s="2723"/>
      <c r="AF62" s="3302" t="s">
        <v>1358</v>
      </c>
      <c r="AG62" s="3303"/>
      <c r="AH62" s="3303"/>
      <c r="AI62" s="3303"/>
      <c r="AJ62" s="3303"/>
      <c r="AK62" s="3303"/>
      <c r="AL62" s="3304"/>
      <c r="AM62" s="1155"/>
      <c r="AN62" s="4"/>
      <c r="AO62" s="3093"/>
    </row>
    <row r="63" spans="1:41" ht="12" customHeight="1" thickBot="1" x14ac:dyDescent="0.25">
      <c r="A63" s="3386"/>
      <c r="B63" s="629"/>
      <c r="C63" s="3399"/>
      <c r="D63" s="3400"/>
      <c r="E63" s="3401"/>
      <c r="F63" s="3401"/>
      <c r="G63" s="3401"/>
      <c r="H63" s="3401"/>
      <c r="I63" s="3401"/>
      <c r="J63" s="3401"/>
      <c r="K63" s="3401"/>
      <c r="L63" s="3401"/>
      <c r="M63" s="3401"/>
      <c r="N63" s="3401"/>
      <c r="O63" s="3401"/>
      <c r="P63" s="3401"/>
      <c r="Q63" s="3401"/>
      <c r="R63" s="3401"/>
      <c r="S63" s="3402"/>
      <c r="T63" s="630"/>
      <c r="U63" s="3"/>
      <c r="V63" s="4"/>
      <c r="W63" s="850"/>
      <c r="X63" s="3264" t="s">
        <v>1359</v>
      </c>
      <c r="Y63" s="3266"/>
      <c r="Z63" s="3267"/>
      <c r="AA63" s="3268"/>
      <c r="AB63" s="3285"/>
      <c r="AC63" s="3286"/>
      <c r="AD63" s="3287"/>
      <c r="AE63" s="2723"/>
      <c r="AF63" s="3272" t="s">
        <v>1360</v>
      </c>
      <c r="AG63" s="3273"/>
      <c r="AH63" s="3273"/>
      <c r="AI63" s="2718">
        <f>IF(INT+POD+VOL=0,0,VLOOKUP(INT+POD+VOL,Tabla_Cordura,3))</f>
        <v>0</v>
      </c>
      <c r="AJ63" s="3274">
        <f>IF(INT+POD+VOL=0,0,VLOOKUP(INT+POD+VOL,Tabla_Cordura,2))</f>
        <v>0</v>
      </c>
      <c r="AK63" s="3276"/>
      <c r="AL63" s="3277"/>
      <c r="AM63" s="1155"/>
      <c r="AN63" s="4"/>
      <c r="AO63" s="3093"/>
    </row>
    <row r="64" spans="1:41" ht="12" customHeight="1" thickBot="1" x14ac:dyDescent="0.25">
      <c r="A64" s="3386"/>
      <c r="B64" s="629"/>
      <c r="C64" s="3403"/>
      <c r="D64" s="3404"/>
      <c r="E64" s="3405"/>
      <c r="F64" s="3405"/>
      <c r="G64" s="3405"/>
      <c r="H64" s="3405"/>
      <c r="I64" s="3405"/>
      <c r="J64" s="3405"/>
      <c r="K64" s="3405"/>
      <c r="L64" s="3405"/>
      <c r="M64" s="3405"/>
      <c r="N64" s="3405"/>
      <c r="O64" s="3405"/>
      <c r="P64" s="3405"/>
      <c r="Q64" s="3405"/>
      <c r="R64" s="3405"/>
      <c r="S64" s="3406"/>
      <c r="T64" s="630"/>
      <c r="U64" s="3"/>
      <c r="V64" s="4"/>
      <c r="W64" s="850"/>
      <c r="X64" s="3265"/>
      <c r="Y64" s="3269"/>
      <c r="Z64" s="3270"/>
      <c r="AA64" s="3271"/>
      <c r="AB64" s="3288"/>
      <c r="AC64" s="3289"/>
      <c r="AD64" s="3290"/>
      <c r="AE64" s="2723"/>
      <c r="AF64" s="3280"/>
      <c r="AG64" s="3281"/>
      <c r="AH64" s="3281"/>
      <c r="AI64" s="3281"/>
      <c r="AJ64" s="3275"/>
      <c r="AK64" s="3278"/>
      <c r="AL64" s="3279"/>
      <c r="AM64" s="1155"/>
      <c r="AN64" s="4"/>
      <c r="AO64" s="3093"/>
    </row>
    <row r="65" spans="1:41" ht="12" customHeight="1" thickBot="1" x14ac:dyDescent="0.25">
      <c r="A65" s="3386"/>
      <c r="B65" s="3390"/>
      <c r="C65" s="3391"/>
      <c r="D65" s="3391"/>
      <c r="E65" s="3391"/>
      <c r="F65" s="3391"/>
      <c r="G65" s="3391"/>
      <c r="H65" s="3391"/>
      <c r="I65" s="3391"/>
      <c r="J65" s="3391"/>
      <c r="K65" s="3391"/>
      <c r="L65" s="3391"/>
      <c r="M65" s="3391"/>
      <c r="N65" s="632"/>
      <c r="O65" s="632"/>
      <c r="P65" s="632"/>
      <c r="Q65" s="632"/>
      <c r="R65" s="632"/>
      <c r="S65" s="632"/>
      <c r="T65" s="20"/>
      <c r="U65" s="3"/>
      <c r="V65" s="4"/>
      <c r="W65" s="2730"/>
      <c r="X65" s="1352"/>
      <c r="Y65" s="1352"/>
      <c r="Z65" s="1352"/>
      <c r="AA65" s="1352"/>
      <c r="AB65" s="1352"/>
      <c r="AC65" s="1352"/>
      <c r="AD65" s="1352"/>
      <c r="AE65" s="1352"/>
      <c r="AF65" s="1352"/>
      <c r="AG65" s="1352"/>
      <c r="AH65" s="1352"/>
      <c r="AI65" s="1352"/>
      <c r="AJ65" s="1352"/>
      <c r="AK65" s="1352"/>
      <c r="AL65" s="1352"/>
      <c r="AM65" s="2143"/>
      <c r="AN65" s="4"/>
      <c r="AO65" s="3093"/>
    </row>
    <row r="66" spans="1:41" ht="12" customHeight="1" x14ac:dyDescent="0.2">
      <c r="A66" s="33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5"/>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8"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4" t="s">
        <v>8736</v>
      </c>
      <c r="AN1" s="3096"/>
      <c r="AO1" s="3096"/>
      <c r="AP1" s="3096"/>
      <c r="AQ1" s="3096"/>
      <c r="AR1" s="3085"/>
      <c r="AS1" s="3085"/>
      <c r="AT1" s="3085"/>
      <c r="AU1" s="3085"/>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84"/>
      <c r="AN2" s="3096"/>
      <c r="AO2" s="3096"/>
      <c r="AP2" s="3096"/>
      <c r="AQ2" s="3096"/>
      <c r="AR2" s="3085"/>
      <c r="AS2" s="3085"/>
      <c r="AT2" s="3085"/>
      <c r="AU2" s="3085"/>
    </row>
    <row r="3" spans="1:47" ht="12" customHeight="1" thickBot="1" x14ac:dyDescent="0.25">
      <c r="A3" s="9"/>
      <c r="B3" s="485"/>
      <c r="C3" s="3753" t="s">
        <v>10159</v>
      </c>
      <c r="D3" s="3753"/>
      <c r="E3" s="3753"/>
      <c r="F3" s="3753"/>
      <c r="G3" s="3753"/>
      <c r="H3" s="3753"/>
      <c r="I3" s="24"/>
      <c r="J3" s="24"/>
      <c r="K3" s="620"/>
      <c r="L3" s="24"/>
      <c r="M3" s="24"/>
      <c r="N3" s="24"/>
      <c r="O3" s="24"/>
      <c r="P3" s="24"/>
      <c r="Q3" s="25"/>
      <c r="R3" s="625"/>
      <c r="S3" s="1050" t="s">
        <v>8290</v>
      </c>
      <c r="T3" s="1049">
        <f>Tablas!J1261</f>
        <v>10</v>
      </c>
      <c r="U3" s="1064"/>
      <c r="V3" s="3341" t="s">
        <v>10159</v>
      </c>
      <c r="W3" s="3341"/>
      <c r="X3" s="3341"/>
      <c r="Y3" s="3341"/>
      <c r="Z3" s="3341"/>
      <c r="AA3" s="3341"/>
      <c r="AB3" s="6"/>
      <c r="AC3" s="6"/>
      <c r="AD3" s="6"/>
      <c r="AE3" s="6"/>
      <c r="AF3" s="6"/>
      <c r="AG3" s="6"/>
      <c r="AH3" s="6"/>
      <c r="AI3" s="6"/>
      <c r="AJ3" s="7"/>
      <c r="AK3" s="1416"/>
      <c r="AL3" s="633"/>
      <c r="AM3" s="3084" t="s">
        <v>10232</v>
      </c>
      <c r="AN3" s="3096"/>
      <c r="AO3" s="3096"/>
      <c r="AP3" s="3096"/>
      <c r="AQ3" s="3096"/>
      <c r="AR3" s="3085"/>
      <c r="AS3" s="3085"/>
      <c r="AT3" s="3085"/>
      <c r="AU3" s="3085"/>
    </row>
    <row r="4" spans="1:47" ht="12" customHeight="1" thickBot="1" x14ac:dyDescent="0.25">
      <c r="A4" s="9"/>
      <c r="B4" s="812"/>
      <c r="C4" s="3753"/>
      <c r="D4" s="3753"/>
      <c r="E4" s="3753"/>
      <c r="F4" s="3753"/>
      <c r="G4" s="3753"/>
      <c r="H4" s="3753"/>
      <c r="I4" s="2330"/>
      <c r="J4" s="2685" t="s">
        <v>1323</v>
      </c>
      <c r="K4" s="3342" t="str">
        <f>IF(OR(General!$F$22="",General!$F$22=0),"",General!$F$22)</f>
        <v/>
      </c>
      <c r="L4" s="3342"/>
      <c r="M4" s="3342"/>
      <c r="N4" s="3342"/>
      <c r="O4" s="3342"/>
      <c r="P4" s="3342"/>
      <c r="Q4" s="2244"/>
      <c r="R4" s="905"/>
      <c r="S4" s="1044"/>
      <c r="T4" s="1045"/>
      <c r="U4" s="1064"/>
      <c r="V4" s="3341"/>
      <c r="W4" s="3341"/>
      <c r="X4" s="3341"/>
      <c r="Y4" s="3341"/>
      <c r="Z4" s="3341"/>
      <c r="AA4" s="3341"/>
      <c r="AB4" s="3750" t="s">
        <v>1323</v>
      </c>
      <c r="AC4" s="3750"/>
      <c r="AD4" s="3342" t="str">
        <f>IF(OR(General!$F$22="",General!$F$22=0),"",General!$F$22)</f>
        <v/>
      </c>
      <c r="AE4" s="3342"/>
      <c r="AF4" s="3342"/>
      <c r="AG4" s="3342"/>
      <c r="AH4" s="3342"/>
      <c r="AI4" s="3342"/>
      <c r="AJ4" s="10"/>
      <c r="AK4" s="1416"/>
      <c r="AL4" s="633"/>
      <c r="AM4" s="3097">
        <v>60</v>
      </c>
      <c r="AN4" s="3096"/>
      <c r="AO4" s="3096"/>
      <c r="AP4" s="3096"/>
      <c r="AQ4" s="3096"/>
      <c r="AR4" s="3085"/>
      <c r="AS4" s="3085"/>
      <c r="AT4" s="3085"/>
      <c r="AU4" s="3085"/>
    </row>
    <row r="5" spans="1:47" ht="12" customHeight="1" thickBot="1" x14ac:dyDescent="0.25">
      <c r="A5" s="9"/>
      <c r="B5" s="812"/>
      <c r="C5" s="3753"/>
      <c r="D5" s="3753"/>
      <c r="E5" s="3753"/>
      <c r="F5" s="3753"/>
      <c r="G5" s="3753"/>
      <c r="H5" s="3753"/>
      <c r="I5" s="2812"/>
      <c r="J5" s="2813" t="s">
        <v>1324</v>
      </c>
      <c r="K5" s="3202" t="str">
        <f>IF(LEN(PDs!E11)&lt;=AM4,PDs!E11,"… /"&amp;RIGHT(PDs!E11,AM4-FIND("/",RIGHT(PDs!E11,AM4))))</f>
        <v/>
      </c>
      <c r="L5" s="3202"/>
      <c r="M5" s="3202"/>
      <c r="N5" s="3202"/>
      <c r="O5" s="3202"/>
      <c r="P5" s="3202"/>
      <c r="Q5" s="3752"/>
      <c r="R5" s="577"/>
      <c r="S5" s="1044"/>
      <c r="T5" s="1045"/>
      <c r="U5" s="1065"/>
      <c r="V5" s="3341"/>
      <c r="W5" s="3341"/>
      <c r="X5" s="3341"/>
      <c r="Y5" s="3341"/>
      <c r="Z5" s="3341"/>
      <c r="AA5" s="3341"/>
      <c r="AB5" s="3751" t="s">
        <v>1324</v>
      </c>
      <c r="AC5" s="3751"/>
      <c r="AD5" s="3179" t="str">
        <f>IF(LEN(PDs!E11)&lt;=AM6,PDs!E11,"… /"&amp;RIGHT(PDs!E11,AM6-FIND("/",RIGHT(PDs!E11,AM6))))</f>
        <v/>
      </c>
      <c r="AE5" s="3179"/>
      <c r="AF5" s="3179"/>
      <c r="AG5" s="3179"/>
      <c r="AH5" s="2519" t="s">
        <v>1325</v>
      </c>
      <c r="AI5" s="2520" t="str">
        <f>$O$6</f>
        <v>0</v>
      </c>
      <c r="AJ5" s="11"/>
      <c r="AK5" s="1416"/>
      <c r="AL5" s="633"/>
      <c r="AM5" s="3098" t="s">
        <v>10233</v>
      </c>
      <c r="AN5" s="3096"/>
      <c r="AO5" s="3096"/>
      <c r="AP5" s="3096"/>
      <c r="AQ5" s="3096"/>
      <c r="AR5" s="3085"/>
      <c r="AS5" s="3085"/>
      <c r="AT5" s="3085"/>
      <c r="AU5" s="3085"/>
    </row>
    <row r="6" spans="1:47" ht="12" customHeight="1" thickBot="1" x14ac:dyDescent="0.25">
      <c r="A6" s="9"/>
      <c r="B6" s="812"/>
      <c r="C6" s="3753"/>
      <c r="D6" s="3753"/>
      <c r="E6" s="3753"/>
      <c r="F6" s="3753"/>
      <c r="G6" s="3753"/>
      <c r="H6" s="3753"/>
      <c r="I6" s="2330"/>
      <c r="J6" s="2813" t="s">
        <v>1361</v>
      </c>
      <c r="K6" s="2765">
        <f>MIN(IF(Raza="Criatura",45,IF(OR(Raza="Jayán",AND(Raza="Turak",COUNTIF(Cercanía_Dragón,"Descomunales"))),24,22)),AS21)</f>
        <v>1</v>
      </c>
      <c r="L6" s="3179" t="str">
        <f>IF(Raza="Criatura",VLOOKUP(Tamaño,Tabla_CreaciónSeres,2),IF(AND(OR(Raza="Jayán",AND(Raza="Turak",COUNTIF(Cercanía_Dragón,"Descomunales"))),Tamaño&gt;22),"Grande","Medio"))</f>
        <v>Medio</v>
      </c>
      <c r="M6" s="3179"/>
      <c r="N6" s="2814" t="s">
        <v>1325</v>
      </c>
      <c r="O6" s="2520" t="str">
        <f>PDs!R17&amp;IF(Principal!AA27=0,""," + "&amp;Principal!AA27)</f>
        <v>0</v>
      </c>
      <c r="P6" s="2563"/>
      <c r="Q6" s="28"/>
      <c r="R6" s="625"/>
      <c r="S6" s="1044"/>
      <c r="T6" s="1045"/>
      <c r="U6" s="1064"/>
      <c r="V6" s="3341"/>
      <c r="W6" s="3341"/>
      <c r="X6" s="3341"/>
      <c r="Y6" s="3341"/>
      <c r="Z6" s="3341"/>
      <c r="AA6" s="3341"/>
      <c r="AB6" s="2722"/>
      <c r="AC6" s="3336" t="s">
        <v>1362</v>
      </c>
      <c r="AD6" s="3336"/>
      <c r="AE6" s="3336"/>
      <c r="AF6" s="3336"/>
      <c r="AG6" s="3336"/>
      <c r="AH6" s="3336"/>
      <c r="AI6" s="3336"/>
      <c r="AJ6" s="11"/>
      <c r="AK6" s="1416"/>
      <c r="AL6" s="633"/>
      <c r="AM6" s="3097">
        <v>48</v>
      </c>
      <c r="AN6" s="3096"/>
      <c r="AO6" s="3096"/>
      <c r="AP6" s="3099"/>
      <c r="AQ6" s="3099"/>
      <c r="AR6" s="3085"/>
      <c r="AS6" s="3085"/>
      <c r="AT6" s="3085"/>
      <c r="AU6" s="3085"/>
    </row>
    <row r="7" spans="1:47" ht="12" customHeight="1" thickBot="1" x14ac:dyDescent="0.25">
      <c r="A7" s="9"/>
      <c r="B7" s="812"/>
      <c r="C7" s="3753"/>
      <c r="D7" s="3753"/>
      <c r="E7" s="3753"/>
      <c r="F7" s="3753"/>
      <c r="G7" s="3753"/>
      <c r="H7" s="3753"/>
      <c r="I7" s="2330"/>
      <c r="J7" s="2815" t="s">
        <v>1363</v>
      </c>
      <c r="K7" s="3179" t="str">
        <f>TipoDeCriatura&amp;IF(AND(TipoDeCriatura="Natural",NOT(Raza=0)),", "&amp;Raza&amp;" ","")&amp;IF(Nephilim="",""," ("&amp;Nephilim&amp;")")&amp;" "&amp;Principal!AB13</f>
        <v>Natural 10</v>
      </c>
      <c r="L7" s="3179"/>
      <c r="M7" s="3179"/>
      <c r="N7" s="3179"/>
      <c r="O7" s="3179"/>
      <c r="P7" s="3179"/>
      <c r="Q7" s="28"/>
      <c r="R7" s="625"/>
      <c r="S7" s="1044"/>
      <c r="T7" s="1045"/>
      <c r="U7" s="1064"/>
      <c r="V7" s="3341"/>
      <c r="W7" s="3341"/>
      <c r="X7" s="3341"/>
      <c r="Y7" s="3341"/>
      <c r="Z7" s="3341"/>
      <c r="AA7" s="3341"/>
      <c r="AB7" s="2722"/>
      <c r="AC7" s="3336"/>
      <c r="AD7" s="3336"/>
      <c r="AE7" s="3336"/>
      <c r="AF7" s="3336"/>
      <c r="AG7" s="3336"/>
      <c r="AH7" s="3336"/>
      <c r="AI7" s="3336"/>
      <c r="AJ7" s="11"/>
      <c r="AK7" s="1416"/>
      <c r="AL7" s="633"/>
      <c r="AM7" s="3084"/>
      <c r="AN7" s="3096"/>
      <c r="AO7" s="3096"/>
      <c r="AP7" s="3096"/>
      <c r="AQ7" s="3096"/>
      <c r="AR7" s="3085"/>
      <c r="AS7" s="3085"/>
      <c r="AT7" s="3085"/>
      <c r="AU7" s="3085"/>
    </row>
    <row r="8" spans="1:47" ht="12" customHeight="1" thickBot="1" x14ac:dyDescent="0.25">
      <c r="A8" s="9"/>
      <c r="B8" s="812"/>
      <c r="C8" s="3753"/>
      <c r="D8" s="3753"/>
      <c r="E8" s="3753"/>
      <c r="F8" s="3753"/>
      <c r="G8" s="3753"/>
      <c r="H8" s="3753"/>
      <c r="I8" s="30"/>
      <c r="J8" s="30"/>
      <c r="K8" s="621"/>
      <c r="L8" s="30"/>
      <c r="M8" s="30"/>
      <c r="N8" s="30"/>
      <c r="O8" s="30"/>
      <c r="P8" s="30"/>
      <c r="Q8" s="31"/>
      <c r="R8" s="625"/>
      <c r="S8" s="1044"/>
      <c r="T8" s="1045"/>
      <c r="U8" s="1064"/>
      <c r="V8" s="3341"/>
      <c r="W8" s="3341"/>
      <c r="X8" s="3341"/>
      <c r="Y8" s="3341"/>
      <c r="Z8" s="3341"/>
      <c r="AA8" s="3341"/>
      <c r="AB8" s="12"/>
      <c r="AC8" s="32"/>
      <c r="AD8" s="32"/>
      <c r="AE8" s="32"/>
      <c r="AF8" s="32"/>
      <c r="AG8" s="32"/>
      <c r="AH8" s="32"/>
      <c r="AI8" s="32"/>
      <c r="AJ8" s="33"/>
      <c r="AK8" s="1416"/>
      <c r="AL8" s="633"/>
      <c r="AM8" s="3084"/>
      <c r="AN8" s="3096"/>
      <c r="AO8" s="3098"/>
      <c r="AP8" s="3096"/>
      <c r="AQ8" s="3100" t="s">
        <v>8449</v>
      </c>
      <c r="AR8" s="3096"/>
      <c r="AS8" s="3096"/>
      <c r="AT8" s="3085"/>
      <c r="AU8" s="3085"/>
    </row>
    <row r="9" spans="1:47" ht="12" customHeight="1" thickBot="1" x14ac:dyDescent="0.25">
      <c r="A9" s="9"/>
      <c r="B9" s="903"/>
      <c r="C9" s="2816"/>
      <c r="D9" s="2816"/>
      <c r="E9" s="2816"/>
      <c r="F9" s="2816"/>
      <c r="G9" s="2816"/>
      <c r="H9" s="2816"/>
      <c r="I9" s="2816"/>
      <c r="J9" s="2816"/>
      <c r="K9" s="2817"/>
      <c r="L9" s="2816"/>
      <c r="M9" s="2816"/>
      <c r="N9" s="2816"/>
      <c r="O9" s="2816"/>
      <c r="P9" s="2816"/>
      <c r="Q9" s="2816"/>
      <c r="R9" s="625"/>
      <c r="S9" s="1044"/>
      <c r="T9" s="1045"/>
      <c r="U9" s="1064"/>
      <c r="V9" s="2798"/>
      <c r="W9" s="2798"/>
      <c r="X9" s="2798"/>
      <c r="Y9" s="2799"/>
      <c r="Z9" s="2799"/>
      <c r="AA9" s="2799"/>
      <c r="AB9" s="2799"/>
      <c r="AC9" s="2799"/>
      <c r="AD9" s="2799"/>
      <c r="AE9" s="2799"/>
      <c r="AF9" s="2799"/>
      <c r="AG9" s="2799"/>
      <c r="AH9" s="2798"/>
      <c r="AI9" s="2798"/>
      <c r="AJ9" s="2798"/>
      <c r="AK9" s="1416"/>
      <c r="AL9" s="633"/>
      <c r="AM9" s="3084"/>
      <c r="AN9" s="3101"/>
      <c r="AO9" s="3096" t="s">
        <v>1365</v>
      </c>
      <c r="AP9" s="3096"/>
      <c r="AQ9" s="3100" t="s">
        <v>7193</v>
      </c>
      <c r="AR9" s="3096" t="s">
        <v>7198</v>
      </c>
      <c r="AS9" s="3096" t="s">
        <v>7199</v>
      </c>
      <c r="AT9" s="3085"/>
      <c r="AU9" s="3085"/>
    </row>
    <row r="10" spans="1:47" ht="12" customHeight="1" thickBot="1" x14ac:dyDescent="0.25">
      <c r="A10" s="9"/>
      <c r="B10" s="904"/>
      <c r="C10" s="3762" t="s">
        <v>1364</v>
      </c>
      <c r="D10" s="2818" t="str">
        <f>SUM(E11:E18)+COUNTIF(E11:E18,10)&amp;" pts"</f>
        <v>0 pts</v>
      </c>
      <c r="E10" s="2819" t="s">
        <v>1365</v>
      </c>
      <c r="F10" s="1572" t="s">
        <v>1366</v>
      </c>
      <c r="G10" s="2820" t="s">
        <v>1349</v>
      </c>
      <c r="H10" s="2821" t="s">
        <v>1367</v>
      </c>
      <c r="I10" s="2395"/>
      <c r="J10" s="3684" t="s">
        <v>1368</v>
      </c>
      <c r="K10" s="3503"/>
      <c r="L10" s="3749"/>
      <c r="M10" s="2395"/>
      <c r="N10" s="3676" t="s">
        <v>1369</v>
      </c>
      <c r="O10" s="3676"/>
      <c r="P10" s="3676"/>
      <c r="Q10" s="3676"/>
      <c r="R10" s="906"/>
      <c r="S10" s="1044"/>
      <c r="T10" s="1045"/>
      <c r="U10" s="1065"/>
      <c r="V10" s="3418" t="s">
        <v>1370</v>
      </c>
      <c r="W10" s="3419"/>
      <c r="X10" s="3419"/>
      <c r="Y10" s="3419"/>
      <c r="Z10" s="3419"/>
      <c r="AA10" s="3419"/>
      <c r="AB10" s="3420"/>
      <c r="AC10" s="2395"/>
      <c r="AD10" s="3746" t="s">
        <v>1371</v>
      </c>
      <c r="AE10" s="3503"/>
      <c r="AF10" s="3503"/>
      <c r="AG10" s="3503"/>
      <c r="AH10" s="3747" t="s">
        <v>1372</v>
      </c>
      <c r="AI10" s="3748"/>
      <c r="AJ10" s="2800">
        <f>SUM(AJ12:AJ23)+IF(OR(TipoDeCriatura="Ánima",TipoDeCriatura="Ánima, Elemental",TipoDeCriatura="No muerto, Espectro"),100,0)+AJ27</f>
        <v>0</v>
      </c>
      <c r="AK10" s="1417"/>
      <c r="AL10" s="633"/>
      <c r="AM10" s="3084"/>
      <c r="AN10" s="3096"/>
      <c r="AO10" s="3100" t="s">
        <v>7194</v>
      </c>
      <c r="AP10" s="3096" t="s">
        <v>10036</v>
      </c>
      <c r="AQ10" s="3100" t="s">
        <v>7196</v>
      </c>
      <c r="AR10" s="3100" t="s">
        <v>10241</v>
      </c>
      <c r="AS10" s="3100" t="s">
        <v>10240</v>
      </c>
      <c r="AT10" s="3096" t="s">
        <v>7209</v>
      </c>
      <c r="AU10" s="3096" t="s">
        <v>10037</v>
      </c>
    </row>
    <row r="11" spans="1:47" ht="12" customHeight="1" thickBot="1" x14ac:dyDescent="0.25">
      <c r="A11" s="9"/>
      <c r="B11" s="904"/>
      <c r="C11" s="3763"/>
      <c r="D11" s="1559" t="s">
        <v>1373</v>
      </c>
      <c r="E11" s="2769"/>
      <c r="F11" s="1711"/>
      <c r="G11" s="2822">
        <f>MIN(20,MAX(0,AS11+F11))</f>
        <v>0</v>
      </c>
      <c r="H11" s="542">
        <f>IF(G11&lt;1,0,VLOOKUP(G11,Tablas!$C$14:$D$33,2))</f>
        <v>0</v>
      </c>
      <c r="I11" s="2395"/>
      <c r="J11" s="3754">
        <f>MIN(20,IF(COUNTIF(AB42:AE69,"Degeneración")&gt;0,0,AS19+L13))</f>
        <v>0</v>
      </c>
      <c r="K11" s="3726" t="str">
        <f>INDEX(Tabla_Regen,M11,3)&amp;INDEX(Tabla_Regen,M11,4)</f>
        <v>Ninguna</v>
      </c>
      <c r="L11" s="3727"/>
      <c r="M11" s="2809">
        <f>MATCH(J11,INDEX(Tabla_Regen,,2),0)</f>
        <v>1</v>
      </c>
      <c r="N11" s="3728">
        <f>PDs!Z188</f>
        <v>20</v>
      </c>
      <c r="O11" s="3728"/>
      <c r="P11" s="3683"/>
      <c r="Q11" s="3683"/>
      <c r="R11" s="906"/>
      <c r="S11" s="1044"/>
      <c r="T11" s="1045"/>
      <c r="U11" s="1065"/>
      <c r="V11" s="3737" t="s">
        <v>1374</v>
      </c>
      <c r="W11" s="3738"/>
      <c r="X11" s="3739"/>
      <c r="Y11" s="3743" t="s">
        <v>1971</v>
      </c>
      <c r="Z11" s="3743"/>
      <c r="AA11" s="3743"/>
      <c r="AB11" s="3744"/>
      <c r="AC11" s="2395"/>
      <c r="AD11" s="3521" t="s">
        <v>9293</v>
      </c>
      <c r="AE11" s="3522"/>
      <c r="AF11" s="3522"/>
      <c r="AG11" s="3522" t="s">
        <v>7325</v>
      </c>
      <c r="AH11" s="3510"/>
      <c r="AI11" s="1569" t="s">
        <v>1376</v>
      </c>
      <c r="AJ11" s="2801" t="s">
        <v>1377</v>
      </c>
      <c r="AK11" s="1417"/>
      <c r="AL11" s="633"/>
      <c r="AM11" s="3084" t="s">
        <v>8286</v>
      </c>
      <c r="AN11" s="3096" t="s">
        <v>1373</v>
      </c>
      <c r="AO11" s="3116">
        <f t="shared" ref="AO11:AO18" si="0">E11+HLOOKUP(D11,Bonos_Raza_Base,2,FALSE)</f>
        <v>0</v>
      </c>
      <c r="AP11" s="3096">
        <f>Tablas!G242</f>
        <v>0</v>
      </c>
      <c r="AQ11" s="3116">
        <f>AO11+Tablas!F242+AP11+Tablas!J1266</f>
        <v>0</v>
      </c>
      <c r="AR11" s="3116">
        <f>Bono_IncremTotal+IF(ISNUMBER(FIND(D11,PodPsi_IncremHab)),'Tablas psiquica'!$AH$57,FALSE)</f>
        <v>0</v>
      </c>
      <c r="AS11" s="3116">
        <f>IF(AQ11&lt;10,MIN(10,AR11+AQ11)+TRUNC(MAX(0,(AR11+AQ11-10)/2,0)),AQ11+TRUNC(AR11/2,0))</f>
        <v>0</v>
      </c>
      <c r="AT11" s="3116">
        <f>IF(AQ11&lt;10,MIN(10,(AR11-IF(ISNUMBER(FIND(D11,PodPsi_IncremHab)),'Tablas psiquica'!$AH$57,FALSE))+AQ11)+TRUNC(MAX(0,((AR11-IF(ISNUMBER(FIND(D11,PodPsi_IncremHab)),'Tablas psiquica'!$AH$57,FALSE))+AQ11-10)/2,0)),AQ11+TRUNC((AR11-IF(ISNUMBER(FIND(D11,PodPsi_IncremHab)),'Tablas psiquica'!$AH$57,FALSE))/2,0))</f>
        <v>0</v>
      </c>
      <c r="AU11" s="3085" t="b">
        <f>E11+AP11&gt;IF(Raza="Criatura",Tablas!$J$1260,11)</f>
        <v>0</v>
      </c>
    </row>
    <row r="12" spans="1:47" ht="12" customHeight="1" thickBot="1" x14ac:dyDescent="0.25">
      <c r="A12" s="9"/>
      <c r="B12" s="904"/>
      <c r="C12" s="3763"/>
      <c r="D12" s="1560" t="str">
        <f>IF(OR($Y$11="Ánima",$Y$11="Ánima, Elemental",$Y$11="No muerto, Espectro"),"-","CON")</f>
        <v>CON</v>
      </c>
      <c r="E12" s="2766"/>
      <c r="F12" s="1712"/>
      <c r="G12" s="2822">
        <f>MIN(20,MAX(0,IF(OR(TipoDeCriatura="Ánima",TipoDeCriatura="Ánima, Elemental",TipoDeCriatura="No muerto, Espectro"),POD,AS12+F12)))</f>
        <v>0</v>
      </c>
      <c r="H12" s="542">
        <f>IF(G12&lt;1,0,VLOOKUP(G12,Tablas!$C$14:$D$33,2))</f>
        <v>0</v>
      </c>
      <c r="I12" s="2823"/>
      <c r="J12" s="3754"/>
      <c r="K12" s="3724" t="str">
        <f>IF(Tablas!$S$1460=0,INDEX(Tabla_Regen,MATCH(J11,INDEX(Tabla_Regen,,2),0),5),Tablas!$S$1460&amp;" PV al día")</f>
        <v>Ninguna</v>
      </c>
      <c r="L12" s="3725"/>
      <c r="M12" s="2395"/>
      <c r="N12" s="3728"/>
      <c r="O12" s="3728"/>
      <c r="P12" s="3683"/>
      <c r="Q12" s="3683"/>
      <c r="R12" s="906"/>
      <c r="S12" s="1044"/>
      <c r="T12" s="1045"/>
      <c r="U12" s="1065"/>
      <c r="V12" s="3737"/>
      <c r="W12" s="3738"/>
      <c r="X12" s="3739"/>
      <c r="Y12" s="3743"/>
      <c r="Z12" s="3743"/>
      <c r="AA12" s="3743"/>
      <c r="AB12" s="3744"/>
      <c r="AC12" s="2395"/>
      <c r="AD12" s="3523"/>
      <c r="AE12" s="3524"/>
      <c r="AF12" s="3524"/>
      <c r="AG12" s="3525"/>
      <c r="AH12" s="3526"/>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4" t="str">
        <f t="shared" ref="AM12:AM23" si="4">AD12&amp;IF(AG12="",""," "&amp;AG12)</f>
        <v/>
      </c>
      <c r="AN12" s="3096" t="str">
        <f>IF(OR($Y$11="Ánima",$Y$11="Ánima, Elemental",$Y$11="No muerto, Espectro"),"-","CON")</f>
        <v>CON</v>
      </c>
      <c r="AO12" s="3116">
        <f>IF(OR(TipoDeCriatura="Ánima",TipoDeCriatura="Ánima, Elemental",TipoDeCriatura="No muerto, Espectro"),E17+HLOOKUP(D17,Bonos_Raza_Base,2,FALSE),E12+HLOOKUP(D12,Bonos_Raza_Base,2,FALSE))</f>
        <v>0</v>
      </c>
      <c r="AP12" s="3096">
        <f>Tablas!G243</f>
        <v>0</v>
      </c>
      <c r="AQ12" s="3116">
        <f>AO12+Tablas!F243+AP12+Tablas!J1267</f>
        <v>0</v>
      </c>
      <c r="AR12" s="3116">
        <f>Bono_IncremTotal</f>
        <v>0</v>
      </c>
      <c r="AS12" s="3116">
        <f>IF(AQ12&lt;10,MIN(10,AR12+AQ12)+TRUNC(MAX(0,(AR12+AQ12-10)/2,0)),AQ12+TRUNC(AR12/2,0))</f>
        <v>0</v>
      </c>
      <c r="AT12" s="3116"/>
      <c r="AU12" s="3085" t="b">
        <f>E12+AP12&gt;IF(Raza="Criatura",Tablas!$J$1260,11)</f>
        <v>0</v>
      </c>
    </row>
    <row r="13" spans="1:47" ht="12" customHeight="1" thickBot="1" x14ac:dyDescent="0.25">
      <c r="A13" s="9"/>
      <c r="B13" s="904"/>
      <c r="C13" s="3763"/>
      <c r="D13" s="1560" t="s">
        <v>1378</v>
      </c>
      <c r="E13" s="2766"/>
      <c r="F13" s="1712"/>
      <c r="G13" s="2822">
        <f t="shared" ref="G13:G18" si="5">MIN(20,MAX(0,AS13+F13))</f>
        <v>0</v>
      </c>
      <c r="H13" s="542">
        <f>IF(G13&lt;1,0,VLOOKUP(G13,Tablas!$C$14:$D$33,2))</f>
        <v>0</v>
      </c>
      <c r="I13" s="2823"/>
      <c r="J13" s="3729" t="s">
        <v>1379</v>
      </c>
      <c r="K13" s="3535"/>
      <c r="L13" s="2268"/>
      <c r="M13" s="2395"/>
      <c r="N13" s="3728"/>
      <c r="O13" s="3728"/>
      <c r="P13" s="3683"/>
      <c r="Q13" s="3683"/>
      <c r="R13" s="906"/>
      <c r="S13" s="1044"/>
      <c r="T13" s="1045"/>
      <c r="U13" s="1065"/>
      <c r="V13" s="3730" t="s">
        <v>1380</v>
      </c>
      <c r="W13" s="3731"/>
      <c r="X13" s="3731"/>
      <c r="Y13" s="1565" t="s">
        <v>1381</v>
      </c>
      <c r="Z13" s="1566"/>
      <c r="AA13" s="1567" t="s">
        <v>1382</v>
      </c>
      <c r="AB13" s="1586">
        <v>10</v>
      </c>
      <c r="AC13" s="2395"/>
      <c r="AD13" s="3527"/>
      <c r="AE13" s="3528"/>
      <c r="AF13" s="3528"/>
      <c r="AG13" s="3529"/>
      <c r="AH13" s="3530"/>
      <c r="AI13" s="1021" t="str">
        <f t="shared" si="1"/>
        <v/>
      </c>
      <c r="AJ13" s="514" t="str">
        <f t="shared" si="2"/>
        <v/>
      </c>
      <c r="AK13" s="1416" t="str">
        <f t="shared" si="3"/>
        <v/>
      </c>
      <c r="AL13" s="633"/>
      <c r="AM13" s="3084" t="str">
        <f t="shared" si="4"/>
        <v/>
      </c>
      <c r="AN13" s="3096" t="s">
        <v>1378</v>
      </c>
      <c r="AO13" s="3116">
        <f t="shared" si="0"/>
        <v>0</v>
      </c>
      <c r="AP13" s="3096">
        <f>Tablas!G244</f>
        <v>0</v>
      </c>
      <c r="AQ13" s="3116">
        <f>AO13+Tablas!F244+AP13+Tablas!J1268+Tablas!K1800+Tablas!$K$1880</f>
        <v>0</v>
      </c>
      <c r="AR13" s="3116">
        <f>Bono_IncremTotal+IF(ISNUMBER(FIND(D13,PodPsi_IncremHab)),'Tablas psiquica'!$AH$57,FALSE)</f>
        <v>0</v>
      </c>
      <c r="AS13" s="3116">
        <f>IF(AQ13&lt;10,MIN(10,AR13+AQ13)+TRUNC(MAX(0,(AR13+AQ13-10)/2,0)),AQ13+TRUNC(AR13/2,0))</f>
        <v>0</v>
      </c>
      <c r="AT13" s="3116"/>
      <c r="AU13" s="3085" t="b">
        <f>E13+AP13&gt;IF(Raza="Criatura",Tablas!$J$1260,11)</f>
        <v>0</v>
      </c>
    </row>
    <row r="14" spans="1:47" ht="12" customHeight="1" thickBot="1" x14ac:dyDescent="0.25">
      <c r="A14" s="9"/>
      <c r="B14" s="904"/>
      <c r="C14" s="3763"/>
      <c r="D14" s="1560" t="s">
        <v>1383</v>
      </c>
      <c r="E14" s="2766"/>
      <c r="F14" s="1712"/>
      <c r="G14" s="2822">
        <f t="shared" si="5"/>
        <v>0</v>
      </c>
      <c r="H14" s="542">
        <f>IF(G14&lt;1,0,VLOOKUP(G14,Tablas!$C$14:$D$33,2))</f>
        <v>0</v>
      </c>
      <c r="I14" s="2823"/>
      <c r="J14" s="2823"/>
      <c r="K14" s="2809"/>
      <c r="L14" s="2395"/>
      <c r="M14" s="2395"/>
      <c r="N14" s="3745" t="str">
        <f>IF(Tablas!$G$535&gt;0," Endeble con: "&amp;TRUNC(N11/3)&amp;" PVs ","")&amp;IF(Tablas!$G$359&gt;0," Al límite con: "&amp;TRUNC(N11/4)&amp;" PVs ","")</f>
        <v/>
      </c>
      <c r="O14" s="3745"/>
      <c r="P14" s="3745"/>
      <c r="Q14" s="3745"/>
      <c r="R14" s="907"/>
      <c r="S14" s="1044"/>
      <c r="T14" s="1045"/>
      <c r="U14" s="1065"/>
      <c r="V14" s="3732" t="s">
        <v>1384</v>
      </c>
      <c r="W14" s="3733"/>
      <c r="X14" s="3733"/>
      <c r="Y14" s="1568" t="s">
        <v>1381</v>
      </c>
      <c r="Z14" s="2802"/>
      <c r="AA14" s="2803" t="s">
        <v>10491</v>
      </c>
      <c r="AB14" s="2804">
        <f>IF(TipoDeCriatura="Natural",MAX(Principal!AB13-HLOOKUP("Natura",Bonos_Raza_Base,2,FALSE),0),"-")</f>
        <v>10</v>
      </c>
      <c r="AC14" s="2395"/>
      <c r="AD14" s="3527"/>
      <c r="AE14" s="3528"/>
      <c r="AF14" s="3528"/>
      <c r="AG14" s="3529"/>
      <c r="AH14" s="3530"/>
      <c r="AI14" s="1021" t="str">
        <f t="shared" si="1"/>
        <v/>
      </c>
      <c r="AJ14" s="514" t="str">
        <f t="shared" si="2"/>
        <v/>
      </c>
      <c r="AK14" s="1416" t="str">
        <f t="shared" si="3"/>
        <v/>
      </c>
      <c r="AL14" s="633"/>
      <c r="AM14" s="3084" t="str">
        <f t="shared" si="4"/>
        <v/>
      </c>
      <c r="AN14" s="3096" t="s">
        <v>1383</v>
      </c>
      <c r="AO14" s="3116">
        <f>E14+HLOOKUP(D14,Bonos_Raza_Base,2,FALSE)</f>
        <v>0</v>
      </c>
      <c r="AP14" s="3096">
        <f>Tablas!G245</f>
        <v>0</v>
      </c>
      <c r="AQ14" s="3116">
        <f>AO14+Tablas!F245+AP14+Tablas!J1269+Tablas!$K$1880</f>
        <v>0</v>
      </c>
      <c r="AR14" s="3102">
        <f>Bono_IncremTotal+'Tablas psiquica'!$AH$54</f>
        <v>0</v>
      </c>
      <c r="AS14" s="3116">
        <f>IF(AQ14&lt;10,MIN(10,AR14+AQ14)+TRUNC(MAX(0,(AR14+AQ14-10)/2,0)),AQ14+TRUNC(AR14/2,0))</f>
        <v>0</v>
      </c>
      <c r="AT14" s="3116"/>
      <c r="AU14" s="3085" t="b">
        <f>E14+AP14&gt;IF(Raza="Criatura",Tablas!$J$1260,11)</f>
        <v>0</v>
      </c>
    </row>
    <row r="15" spans="1:47" ht="12" customHeight="1" thickBot="1" x14ac:dyDescent="0.25">
      <c r="A15" s="9"/>
      <c r="B15" s="904"/>
      <c r="C15" s="3763"/>
      <c r="D15" s="1560" t="s">
        <v>1385</v>
      </c>
      <c r="E15" s="2766"/>
      <c r="F15" s="1712"/>
      <c r="G15" s="2822">
        <f t="shared" si="5"/>
        <v>0</v>
      </c>
      <c r="H15" s="542">
        <f>IF(G15&lt;1,0,VLOOKUP(G15,Tablas!$C$14:$D$33,2))</f>
        <v>0</v>
      </c>
      <c r="I15" s="2405"/>
      <c r="J15" s="3734" t="s">
        <v>1386</v>
      </c>
      <c r="K15" s="3735"/>
      <c r="L15" s="3736"/>
      <c r="M15" s="2395"/>
      <c r="N15" s="3676" t="s">
        <v>1387</v>
      </c>
      <c r="O15" s="3676"/>
      <c r="P15" s="3676"/>
      <c r="Q15" s="3676"/>
      <c r="R15" s="906"/>
      <c r="S15" s="1044"/>
      <c r="T15" s="1045"/>
      <c r="U15" s="1065"/>
      <c r="V15" s="3740" t="str">
        <f>IF(TipoDeCriatura="Natural",IF(AB14=0,"Sin tirada abierta",IF(AB14&gt;14,"Tirada abierta adicional","")),"")&amp;IF(TipoDeCriatura="Natural",IF(AB14&gt;19,", Núcleo trascendental",""),"")</f>
        <v/>
      </c>
      <c r="W15" s="3741"/>
      <c r="X15" s="3741"/>
      <c r="Y15" s="3741"/>
      <c r="Z15" s="3741"/>
      <c r="AA15" s="3741"/>
      <c r="AB15" s="3742"/>
      <c r="AC15" s="2398"/>
      <c r="AD15" s="3527"/>
      <c r="AE15" s="3528"/>
      <c r="AF15" s="3528"/>
      <c r="AG15" s="3529"/>
      <c r="AH15" s="3530"/>
      <c r="AI15" s="1021" t="str">
        <f t="shared" si="1"/>
        <v/>
      </c>
      <c r="AJ15" s="514" t="str">
        <f t="shared" si="2"/>
        <v/>
      </c>
      <c r="AK15" s="1416" t="str">
        <f t="shared" si="3"/>
        <v/>
      </c>
      <c r="AL15" s="633"/>
      <c r="AM15" s="3084" t="str">
        <f t="shared" si="4"/>
        <v/>
      </c>
      <c r="AN15" s="3096" t="s">
        <v>1385</v>
      </c>
      <c r="AO15" s="3116">
        <f t="shared" si="0"/>
        <v>0</v>
      </c>
      <c r="AP15" s="3096">
        <f>Tablas!G246</f>
        <v>0</v>
      </c>
      <c r="AQ15" s="3116">
        <f>AO15+Tablas!F246+AP15+Tablas!J1270</f>
        <v>0</v>
      </c>
      <c r="AR15" s="3116"/>
      <c r="AS15" s="3116">
        <f>AQ15+Tablas!$K$1813+Personalización!$N$91</f>
        <v>0</v>
      </c>
      <c r="AT15" s="3116"/>
      <c r="AU15" s="3085" t="b">
        <f>E15+AP15&gt;IF(Raza="Criatura",Tablas!$J$1261,12)</f>
        <v>0</v>
      </c>
    </row>
    <row r="16" spans="1:47" ht="12" customHeight="1" thickBot="1" x14ac:dyDescent="0.25">
      <c r="A16" s="9"/>
      <c r="B16" s="904"/>
      <c r="C16" s="3763"/>
      <c r="D16" s="1560" t="s">
        <v>1388</v>
      </c>
      <c r="E16" s="2766"/>
      <c r="F16" s="1712"/>
      <c r="G16" s="2822">
        <f t="shared" si="5"/>
        <v>0</v>
      </c>
      <c r="H16" s="542">
        <f>IF(G16&lt;1,0,VLOOKUP(G16,Tablas!$C$14:$D$33,2))</f>
        <v>0</v>
      </c>
      <c r="I16" s="2405"/>
      <c r="J16" s="3754">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780">
        <f>IF(Incansable,0,AS22)+O18</f>
        <v>0</v>
      </c>
      <c r="O16" s="3780"/>
      <c r="P16" s="3683"/>
      <c r="Q16" s="3683"/>
      <c r="R16" s="906"/>
      <c r="S16" s="1044"/>
      <c r="T16" s="1045"/>
      <c r="U16" s="1065"/>
      <c r="V16" s="369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2"/>
      <c r="X16" s="3692"/>
      <c r="Y16" s="3692"/>
      <c r="Z16" s="3692"/>
      <c r="AA16" s="3692"/>
      <c r="AB16" s="3693"/>
      <c r="AC16" s="2395"/>
      <c r="AD16" s="3527"/>
      <c r="AE16" s="3528"/>
      <c r="AF16" s="3528"/>
      <c r="AG16" s="3529"/>
      <c r="AH16" s="3530"/>
      <c r="AI16" s="1021" t="str">
        <f t="shared" si="1"/>
        <v/>
      </c>
      <c r="AJ16" s="514" t="str">
        <f t="shared" si="2"/>
        <v/>
      </c>
      <c r="AK16" s="1416" t="str">
        <f t="shared" si="3"/>
        <v/>
      </c>
      <c r="AL16" s="633"/>
      <c r="AM16" s="3084" t="str">
        <f t="shared" si="4"/>
        <v/>
      </c>
      <c r="AN16" s="3096" t="s">
        <v>1388</v>
      </c>
      <c r="AO16" s="3116">
        <f t="shared" si="0"/>
        <v>0</v>
      </c>
      <c r="AP16" s="3096">
        <f>Tablas!G247</f>
        <v>0</v>
      </c>
      <c r="AQ16" s="3116">
        <f>AO16+Tablas!F247+AP16+Tablas!J1271</f>
        <v>0</v>
      </c>
      <c r="AR16" s="3102">
        <f>Bono_IncremTotal+'Tablas psiquica'!$AH$59</f>
        <v>0</v>
      </c>
      <c r="AS16" s="3116">
        <f>IF(AQ16&lt;10,MIN(10,AR16+AQ16)+TRUNC(MAX(0,(AR16+AQ16-10)/2,0)),AQ16+TRUNC(AR16/2,0))</f>
        <v>0</v>
      </c>
      <c r="AT16" s="3116"/>
      <c r="AU16" s="3085" t="b">
        <f>E16+AP16&gt;IF(Raza="Criatura",Tablas!$J$1261,12)</f>
        <v>0</v>
      </c>
    </row>
    <row r="17" spans="1:47" ht="12" customHeight="1" thickBot="1" x14ac:dyDescent="0.25">
      <c r="A17" s="9"/>
      <c r="B17" s="850"/>
      <c r="C17" s="3763"/>
      <c r="D17" s="1560" t="s">
        <v>1390</v>
      </c>
      <c r="E17" s="2766"/>
      <c r="F17" s="1712"/>
      <c r="G17" s="2822">
        <f t="shared" si="5"/>
        <v>0</v>
      </c>
      <c r="H17" s="542">
        <f>IF(G17&lt;1,0,VLOOKUP(G17,Tablas!$C$14:$D$33,2))</f>
        <v>0</v>
      </c>
      <c r="I17" s="2405"/>
      <c r="J17" s="3754"/>
      <c r="K17" s="3767" t="str">
        <f>IF(J16&lt;1,"",VLOOKUP(J16,Tabla_TipoMovimiento,2))</f>
        <v>&lt; 1 m / asalto</v>
      </c>
      <c r="L17" s="3768"/>
      <c r="M17" s="2824"/>
      <c r="N17" s="3780"/>
      <c r="O17" s="3780"/>
      <c r="P17" s="3683"/>
      <c r="Q17" s="3683"/>
      <c r="R17" s="906"/>
      <c r="S17" s="1044"/>
      <c r="T17" s="1045"/>
      <c r="U17" s="1065"/>
      <c r="V17" s="3691"/>
      <c r="W17" s="3692"/>
      <c r="X17" s="3692"/>
      <c r="Y17" s="3692"/>
      <c r="Z17" s="3692"/>
      <c r="AA17" s="3692"/>
      <c r="AB17" s="3693"/>
      <c r="AC17" s="2395"/>
      <c r="AD17" s="3527"/>
      <c r="AE17" s="3528"/>
      <c r="AF17" s="3528"/>
      <c r="AG17" s="3529"/>
      <c r="AH17" s="3530"/>
      <c r="AI17" s="1021" t="str">
        <f t="shared" si="1"/>
        <v/>
      </c>
      <c r="AJ17" s="514" t="str">
        <f t="shared" si="2"/>
        <v/>
      </c>
      <c r="AK17" s="1416" t="str">
        <f t="shared" si="3"/>
        <v/>
      </c>
      <c r="AL17" s="633"/>
      <c r="AM17" s="3084" t="str">
        <f t="shared" si="4"/>
        <v/>
      </c>
      <c r="AN17" s="3096" t="s">
        <v>1390</v>
      </c>
      <c r="AO17" s="3116">
        <f t="shared" si="0"/>
        <v>0</v>
      </c>
      <c r="AP17" s="3096">
        <f>Tablas!G248</f>
        <v>0</v>
      </c>
      <c r="AQ17" s="3116">
        <f>AO17+Tablas!$F$248+AP17+IF(OR(Sheele!O5="",Sheele!O5="No"),0,-1)+Tablas!$J$1272+Tablas!$K$1800+Tablas!$K$1813+Personalización!$O$91+Personalización!$AO$59</f>
        <v>0</v>
      </c>
      <c r="AR17" s="3116"/>
      <c r="AS17" s="3116">
        <f>IF(AQ17&lt;10,MIN(10,AR17+AQ17)+TRUNC(MAX(0,(AR17+AQ17-10)/2,0)),AQ17+TRUNC(AR17/2,0))</f>
        <v>0</v>
      </c>
      <c r="AT17" s="3085"/>
      <c r="AU17" s="3085" t="b">
        <f>E17+AP17&gt;IF(Raza="Criatura",Tablas!$J$1261,12)</f>
        <v>0</v>
      </c>
    </row>
    <row r="18" spans="1:47" ht="12" customHeight="1" thickBot="1" x14ac:dyDescent="0.25">
      <c r="A18" s="9"/>
      <c r="B18" s="485"/>
      <c r="C18" s="3764"/>
      <c r="D18" s="2825" t="s">
        <v>1391</v>
      </c>
      <c r="E18" s="2767"/>
      <c r="F18" s="1713"/>
      <c r="G18" s="1573">
        <f t="shared" si="5"/>
        <v>0</v>
      </c>
      <c r="H18" s="2773">
        <f>IF(G18&lt;1,0,VLOOKUP(G18,Tablas!$C$14:$D$33,2))</f>
        <v>0</v>
      </c>
      <c r="I18" s="2395"/>
      <c r="J18" s="2380"/>
      <c r="K18" s="2770" t="s">
        <v>1379</v>
      </c>
      <c r="L18" s="2268"/>
      <c r="M18" s="2405"/>
      <c r="N18" s="1469" t="s">
        <v>1379</v>
      </c>
      <c r="O18" s="2269"/>
      <c r="P18" s="3683"/>
      <c r="Q18" s="3683"/>
      <c r="R18" s="906"/>
      <c r="S18" s="1044"/>
      <c r="T18" s="1045"/>
      <c r="U18" s="1065"/>
      <c r="V18" s="3694"/>
      <c r="W18" s="3695"/>
      <c r="X18" s="3695"/>
      <c r="Y18" s="3695"/>
      <c r="Z18" s="3695"/>
      <c r="AA18" s="3695"/>
      <c r="AB18" s="3696"/>
      <c r="AC18" s="2395"/>
      <c r="AD18" s="3527"/>
      <c r="AE18" s="3528"/>
      <c r="AF18" s="3528"/>
      <c r="AG18" s="3529"/>
      <c r="AH18" s="3530"/>
      <c r="AI18" s="1021" t="str">
        <f t="shared" si="1"/>
        <v/>
      </c>
      <c r="AJ18" s="514" t="str">
        <f t="shared" si="2"/>
        <v/>
      </c>
      <c r="AK18" s="1416" t="str">
        <f t="shared" si="3"/>
        <v/>
      </c>
      <c r="AL18" s="633"/>
      <c r="AM18" s="3084" t="str">
        <f t="shared" si="4"/>
        <v/>
      </c>
      <c r="AN18" s="3096" t="s">
        <v>1391</v>
      </c>
      <c r="AO18" s="3116">
        <f t="shared" si="0"/>
        <v>0</v>
      </c>
      <c r="AP18" s="3096">
        <f>Tablas!G249</f>
        <v>0</v>
      </c>
      <c r="AQ18" s="3116">
        <f>AO18+Tablas!F249+AP18+Tablas!J1273+Tablas!$K$1800+Tablas!$K$1813+Personalización!$P$91</f>
        <v>0</v>
      </c>
      <c r="AR18" s="3116"/>
      <c r="AS18" s="3116">
        <f>IF(AQ18&lt;10,MIN(10,AR18+AQ18)+TRUNC(MAX(0,(AR18+AQ18-10)/2,0)),AQ18+TRUNC(AR18/2,0))</f>
        <v>0</v>
      </c>
      <c r="AT18" s="3084"/>
      <c r="AU18" s="3085" t="b">
        <f>E18+AP18&gt;IF(Raza="Criatura",Tablas!$J$1261,12)</f>
        <v>0</v>
      </c>
    </row>
    <row r="19" spans="1:47" ht="12" customHeight="1" thickBot="1" x14ac:dyDescent="0.25">
      <c r="A19" s="9"/>
      <c r="B19" s="812"/>
      <c r="C19" s="3472" t="str">
        <f>IF(COUNTIF($AU$11:$AU$18,TRUE),"Exceso de "&amp;INDEX($AN$11:$AN$18,MATCH(TRUE,$AU$11:$AU$18,0))&amp;" inicial","")</f>
        <v/>
      </c>
      <c r="D19" s="3472"/>
      <c r="E19" s="3472"/>
      <c r="F19" s="3472"/>
      <c r="G19" s="3472"/>
      <c r="H19" s="3472"/>
      <c r="I19" s="2826" t="str">
        <f>IF(Combate!AD15=0,"",TRUNC(Combate!AD15/20,0))</f>
        <v/>
      </c>
      <c r="J19" s="2395"/>
      <c r="K19" s="2817"/>
      <c r="L19" s="2395"/>
      <c r="M19" s="2827"/>
      <c r="N19" s="512"/>
      <c r="O19" s="512"/>
      <c r="P19" s="512"/>
      <c r="Q19" s="512"/>
      <c r="R19" s="625"/>
      <c r="S19" s="1044"/>
      <c r="T19" s="1045"/>
      <c r="U19" s="1065"/>
      <c r="V19" s="2395"/>
      <c r="W19" s="2395"/>
      <c r="X19" s="2395"/>
      <c r="Y19" s="2395"/>
      <c r="Z19" s="2395"/>
      <c r="AA19" s="2395"/>
      <c r="AB19" s="2395"/>
      <c r="AC19" s="2395"/>
      <c r="AD19" s="3527"/>
      <c r="AE19" s="3528"/>
      <c r="AF19" s="3528"/>
      <c r="AG19" s="3529"/>
      <c r="AH19" s="3530"/>
      <c r="AI19" s="1021" t="str">
        <f t="shared" si="1"/>
        <v/>
      </c>
      <c r="AJ19" s="514" t="str">
        <f t="shared" si="2"/>
        <v/>
      </c>
      <c r="AK19" s="1416" t="str">
        <f t="shared" si="3"/>
        <v/>
      </c>
      <c r="AL19" s="633"/>
      <c r="AM19" s="3084" t="str">
        <f t="shared" si="4"/>
        <v/>
      </c>
      <c r="AN19" s="3096" t="s">
        <v>7200</v>
      </c>
      <c r="AO19" s="3116">
        <f>IF(OR(TipoDeCriatura="Entre mundos, Creación",TipoDeCriatura="No muerto",TipoDeCriatura="No muerto, Creación"),0,IF(G12=0,0,VLOOKUP(G12,Tabla_Regen,2))+HLOOKUP("Regeneración",Bonos_Raza_Base,2,FALSE))</f>
        <v>0</v>
      </c>
      <c r="AP19" s="3096"/>
      <c r="AQ19" s="3116">
        <f>AO19+Tablas!G276*2+Tablas!G277*4+Tablas!G278*6+Tablas!P241</f>
        <v>0</v>
      </c>
      <c r="AR19" s="3102">
        <f>'Tablas psiquica'!AH61</f>
        <v>0</v>
      </c>
      <c r="AS19" s="3116">
        <f>MAX(IF(AQ19+AR19&gt;18,MAX(18,AQ19),AQ19+AR19),Tablas!S1446)</f>
        <v>0</v>
      </c>
      <c r="AT19" s="3084" t="s">
        <v>8303</v>
      </c>
      <c r="AU19" s="3085"/>
    </row>
    <row r="20" spans="1:47" ht="12" customHeight="1" thickBot="1" x14ac:dyDescent="0.25">
      <c r="A20" s="9"/>
      <c r="B20" s="812"/>
      <c r="C20" s="3158" t="s">
        <v>8395</v>
      </c>
      <c r="D20" s="3160"/>
      <c r="E20" s="3774" t="str">
        <f>INDEX(Tabla_Regen,MATCH(Regeneración_final,INDEX(Tabla_Regen,,2),0),6)</f>
        <v/>
      </c>
      <c r="F20" s="3775"/>
      <c r="G20" s="3775"/>
      <c r="H20" s="3775"/>
      <c r="I20" s="3775"/>
      <c r="J20" s="3776"/>
      <c r="K20" s="2817"/>
      <c r="L20" s="3684" t="s">
        <v>1394</v>
      </c>
      <c r="M20" s="3685"/>
      <c r="N20" s="3685"/>
      <c r="O20" s="3685"/>
      <c r="P20" s="3685"/>
      <c r="Q20" s="3686"/>
      <c r="R20" s="625"/>
      <c r="S20" s="1044"/>
      <c r="T20" s="1045"/>
      <c r="U20" s="1065"/>
      <c r="V20" s="3684" t="s">
        <v>1395</v>
      </c>
      <c r="W20" s="3685"/>
      <c r="X20" s="3685"/>
      <c r="Y20" s="3685"/>
      <c r="Z20" s="3685"/>
      <c r="AA20" s="3685"/>
      <c r="AB20" s="3686"/>
      <c r="AC20" s="2395"/>
      <c r="AD20" s="3527"/>
      <c r="AE20" s="3528"/>
      <c r="AF20" s="3528"/>
      <c r="AG20" s="3529"/>
      <c r="AH20" s="3530"/>
      <c r="AI20" s="1021" t="str">
        <f t="shared" si="1"/>
        <v/>
      </c>
      <c r="AJ20" s="514" t="str">
        <f t="shared" si="2"/>
        <v/>
      </c>
      <c r="AK20" s="1416" t="str">
        <f t="shared" si="3"/>
        <v/>
      </c>
      <c r="AL20" s="633"/>
      <c r="AM20" s="3084" t="str">
        <f t="shared" si="4"/>
        <v/>
      </c>
      <c r="AN20" s="3084" t="s">
        <v>7201</v>
      </c>
      <c r="AO20" s="3116">
        <f>IF(MovimientodeVacío,MAX(AT11+IF(Raza="Criatura",VLOOKUP(Tamaño,Tabla_CreaciónSeres,4),0)),AT11+IF(Raza="Criatura",VLOOKUP(Tamaño,Tabla_CreaciónSeres,4),0))</f>
        <v>0</v>
      </c>
      <c r="AP20" s="3096"/>
      <c r="AQ20" s="3116">
        <f>AO20+Tablas!$S$1401+Tablas!$G$342*2-L16</f>
        <v>0</v>
      </c>
      <c r="AR20" s="3103">
        <f>'Tablas psiquica'!AH56</f>
        <v>0</v>
      </c>
      <c r="AS20" s="3116">
        <f>IF(AQ20&lt;10,MIN(10,AR20+AQ20)+TRUNC(MAX(0,(AR20+AQ20-10)/2,0)),AQ20+TRUNC(AR20/2,0))</f>
        <v>0</v>
      </c>
      <c r="AT20" s="3153"/>
      <c r="AU20" s="3085"/>
    </row>
    <row r="21" spans="1:47" ht="12" customHeight="1" thickBot="1" x14ac:dyDescent="0.25">
      <c r="A21" s="9"/>
      <c r="B21" s="812"/>
      <c r="C21" s="3252"/>
      <c r="D21" s="3773"/>
      <c r="E21" s="3777"/>
      <c r="F21" s="3778"/>
      <c r="G21" s="3778"/>
      <c r="H21" s="3778"/>
      <c r="I21" s="3778"/>
      <c r="J21" s="3779"/>
      <c r="K21" s="2817"/>
      <c r="L21" s="2774" t="s">
        <v>1398</v>
      </c>
      <c r="M21" s="3761" t="s">
        <v>1375</v>
      </c>
      <c r="N21" s="3761"/>
      <c r="O21" s="3687" t="s">
        <v>1399</v>
      </c>
      <c r="P21" s="3687"/>
      <c r="Q21" s="513" t="s">
        <v>1349</v>
      </c>
      <c r="R21" s="625"/>
      <c r="S21" s="1044"/>
      <c r="T21" s="1045"/>
      <c r="U21" s="1065"/>
      <c r="V21" s="3688" t="s">
        <v>1400</v>
      </c>
      <c r="W21" s="3689"/>
      <c r="X21" s="3689"/>
      <c r="Y21" s="3690" t="s">
        <v>1401</v>
      </c>
      <c r="Z21" s="3690"/>
      <c r="AA21" s="40" t="s">
        <v>1402</v>
      </c>
      <c r="AB21" s="661" t="s">
        <v>1377</v>
      </c>
      <c r="AC21" s="2395"/>
      <c r="AD21" s="3527"/>
      <c r="AE21" s="3528"/>
      <c r="AF21" s="3528"/>
      <c r="AG21" s="3529"/>
      <c r="AH21" s="3530"/>
      <c r="AI21" s="1021" t="str">
        <f t="shared" si="1"/>
        <v/>
      </c>
      <c r="AJ21" s="514" t="str">
        <f t="shared" si="2"/>
        <v/>
      </c>
      <c r="AK21" s="1416" t="str">
        <f t="shared" si="3"/>
        <v/>
      </c>
      <c r="AL21" s="633"/>
      <c r="AM21" s="3084" t="str">
        <f t="shared" si="4"/>
        <v/>
      </c>
      <c r="AN21" s="3096" t="s">
        <v>1900</v>
      </c>
      <c r="AO21" s="3116">
        <f>MAX(1,IF(OR(TipoDeCriatura="Ánima", TipoDeCriatura="Ánima, Elemental", TipoDeCriatura="No muerto, Espectro"),E17+AP17,E12+AP12)+E14+AP14-IF(Sexo="Mujer",1,0))+HLOOKUP(AN21,Bonos_Raza_Base,2,FALSE)</f>
        <v>1</v>
      </c>
      <c r="AP21" s="3096"/>
      <c r="AQ21" s="3116">
        <f>IF(Bono_Tamaño_Criatura+Bono_Tamaño_PCs&gt;0,MIN(Bono_Tamaño_Criatura+Bono_Tamaño_PCs,5),MAX(Bono_Tamaño_Criatura+Bono_Tamaño_PCs,-5))</f>
        <v>0</v>
      </c>
      <c r="AR21" s="3085"/>
      <c r="AS21" s="3116">
        <f>AO21+AQ21</f>
        <v>1</v>
      </c>
      <c r="AT21" s="3085"/>
      <c r="AU21" s="3085"/>
    </row>
    <row r="22" spans="1:47" ht="12" customHeight="1" thickBot="1" x14ac:dyDescent="0.25">
      <c r="A22" s="9"/>
      <c r="B22" s="812"/>
      <c r="C22" s="2395"/>
      <c r="D22" s="2395"/>
      <c r="E22" s="2395"/>
      <c r="F22" s="2395"/>
      <c r="G22" s="2395"/>
      <c r="H22" s="2395"/>
      <c r="I22" s="2395"/>
      <c r="J22" s="2395"/>
      <c r="K22" s="2817"/>
      <c r="L22" s="3489" t="s">
        <v>1403</v>
      </c>
      <c r="M22" s="3493" t="s">
        <v>1404</v>
      </c>
      <c r="N22" s="3493"/>
      <c r="O22" s="3495">
        <f>PenNatural</f>
        <v>0</v>
      </c>
      <c r="P22" s="3495"/>
      <c r="Q22" s="2828">
        <f>IF(Acrobacias_final="-","-",Acrobacias_final+O22)</f>
        <v>-30</v>
      </c>
      <c r="R22" s="625"/>
      <c r="S22" s="1044"/>
      <c r="T22" s="1045"/>
      <c r="U22" s="1065"/>
      <c r="V22" s="3697" t="s">
        <v>8664</v>
      </c>
      <c r="W22" s="3698"/>
      <c r="X22" s="3699"/>
      <c r="Y22" s="3707" t="str">
        <f>IF(AA22=0,"",Raza)</f>
        <v/>
      </c>
      <c r="Z22" s="3708"/>
      <c r="AA22" s="2772">
        <f>IF(Personalización!$L$6="Sin ajuste por Raza",0,IF(Raza=0,0,VLOOKUP(Raza,Tabla_Razas,7,FALSE)))</f>
        <v>0</v>
      </c>
      <c r="AB22" s="662">
        <v>0</v>
      </c>
      <c r="AC22" s="2395"/>
      <c r="AD22" s="3527"/>
      <c r="AE22" s="3528"/>
      <c r="AF22" s="3528"/>
      <c r="AG22" s="3529"/>
      <c r="AH22" s="3530"/>
      <c r="AI22" s="1021" t="str">
        <f t="shared" si="1"/>
        <v/>
      </c>
      <c r="AJ22" s="514" t="str">
        <f t="shared" si="2"/>
        <v/>
      </c>
      <c r="AK22" s="1416" t="str">
        <f t="shared" si="3"/>
        <v/>
      </c>
      <c r="AL22" s="633"/>
      <c r="AM22" s="3084" t="str">
        <f t="shared" si="4"/>
        <v/>
      </c>
      <c r="AN22" s="3096" t="s">
        <v>1387</v>
      </c>
      <c r="AO22" s="3116">
        <f>CON+HLOOKUP(AN22,Bonos_Raza_Base,2,FALSE)</f>
        <v>0</v>
      </c>
      <c r="AP22" s="3096"/>
      <c r="AQ22" s="3116">
        <f>AO22+3*Tablas!G339+6*Tablas!G340+9*Tablas!G341-Tablas!G533</f>
        <v>0</v>
      </c>
      <c r="AR22" s="3116"/>
      <c r="AS22" s="3116">
        <f>AQ22+2*Tablas!H1250</f>
        <v>0</v>
      </c>
      <c r="AT22" s="3085"/>
      <c r="AU22" s="3085"/>
    </row>
    <row r="23" spans="1:47" ht="12" customHeight="1" thickBot="1" x14ac:dyDescent="0.25">
      <c r="A23" s="9"/>
      <c r="B23" s="812"/>
      <c r="C23" s="3684" t="s">
        <v>1392</v>
      </c>
      <c r="D23" s="3686"/>
      <c r="E23" s="2395"/>
      <c r="F23" s="3684" t="s">
        <v>1393</v>
      </c>
      <c r="G23" s="3685"/>
      <c r="H23" s="3685"/>
      <c r="I23" s="3685"/>
      <c r="J23" s="3686"/>
      <c r="K23" s="2817"/>
      <c r="L23" s="3490"/>
      <c r="M23" s="3496" t="s">
        <v>1405</v>
      </c>
      <c r="N23" s="3496"/>
      <c r="O23" s="3494">
        <f>PenNatural</f>
        <v>0</v>
      </c>
      <c r="P23" s="3494"/>
      <c r="Q23" s="514">
        <f>IF(Atletismo_final="-","-",Atletismo_final+O23)</f>
        <v>-30</v>
      </c>
      <c r="R23" s="625"/>
      <c r="S23" s="1044"/>
      <c r="T23" s="1045"/>
      <c r="U23" s="1065"/>
      <c r="V23" s="3697" t="s">
        <v>1406</v>
      </c>
      <c r="W23" s="3698"/>
      <c r="X23" s="3699"/>
      <c r="Y23" s="3709"/>
      <c r="Z23" s="3710"/>
      <c r="AA23" s="2772">
        <v>0</v>
      </c>
      <c r="AB23" s="662">
        <f>IF(Y23="PDs",VLOOKUP(Principal!$AB$13,Tablas!W27:X37,2),0)</f>
        <v>0</v>
      </c>
      <c r="AC23" s="2395"/>
      <c r="AD23" s="3720"/>
      <c r="AE23" s="3721"/>
      <c r="AF23" s="3721"/>
      <c r="AG23" s="3722"/>
      <c r="AH23" s="3723"/>
      <c r="AI23" s="1587" t="str">
        <f t="shared" si="1"/>
        <v/>
      </c>
      <c r="AJ23" s="1588" t="str">
        <f t="shared" si="2"/>
        <v/>
      </c>
      <c r="AK23" s="1416" t="str">
        <f t="shared" si="3"/>
        <v/>
      </c>
      <c r="AL23" s="633"/>
      <c r="AM23" s="3084" t="str">
        <f t="shared" si="4"/>
        <v/>
      </c>
      <c r="AN23" s="3096"/>
      <c r="AO23" s="3116"/>
      <c r="AP23" s="3096"/>
      <c r="AQ23" s="3096"/>
      <c r="AR23" s="3085"/>
      <c r="AS23" s="3085"/>
      <c r="AT23" s="3085"/>
      <c r="AU23" s="3085"/>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755" t="s">
        <v>1396</v>
      </c>
      <c r="G24" s="3756"/>
      <c r="H24" s="3757">
        <f>MAX(HA_final,HA_SinArmas_final)</f>
        <v>0</v>
      </c>
      <c r="I24" s="3765" t="s">
        <v>1397</v>
      </c>
      <c r="J24" s="3766"/>
      <c r="K24" s="2817"/>
      <c r="L24" s="3490"/>
      <c r="M24" s="3496" t="s">
        <v>1408</v>
      </c>
      <c r="N24" s="3496"/>
      <c r="O24" s="3494"/>
      <c r="P24" s="3494"/>
      <c r="Q24" s="514">
        <f>IF(Montar_final="-","-",Montar_final+O24)</f>
        <v>-30</v>
      </c>
      <c r="R24" s="625"/>
      <c r="S24" s="1044"/>
      <c r="T24" s="1045"/>
      <c r="U24" s="1064"/>
      <c r="V24" s="3697" t="s">
        <v>1409</v>
      </c>
      <c r="W24" s="3698"/>
      <c r="X24" s="3699"/>
      <c r="Y24" s="3705"/>
      <c r="Z24" s="3706"/>
      <c r="AA24" s="2772">
        <f>IF(Personalización!$L$7="Sin ajuste por Legados",0,IF(Principal!Y24="No",0,IF(SUM(Tablas!$P$236:$P$266)&gt;0,1,0)))</f>
        <v>0</v>
      </c>
      <c r="AB24" s="1427">
        <f>40*Tablas!P248+80*Tablas!P249+120*Tablas!P250</f>
        <v>0</v>
      </c>
      <c r="AC24" s="2395"/>
      <c r="AD24" s="371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12"/>
      <c r="AF24" s="3712"/>
      <c r="AG24" s="3712"/>
      <c r="AH24" s="3712"/>
      <c r="AI24" s="3712"/>
      <c r="AJ24" s="3713"/>
      <c r="AK24" s="1416"/>
      <c r="AL24" s="633"/>
      <c r="AM24" s="3084" t="s">
        <v>8468</v>
      </c>
      <c r="AN24" s="3096"/>
      <c r="AO24" s="3096"/>
      <c r="AP24" s="3096"/>
      <c r="AQ24" s="3096"/>
      <c r="AR24" s="3085"/>
      <c r="AS24" s="3085"/>
      <c r="AT24" s="3085"/>
      <c r="AU24" s="3085"/>
    </row>
    <row r="25" spans="1:47" ht="12" customHeight="1" x14ac:dyDescent="0.2">
      <c r="A25" s="9"/>
      <c r="B25" s="812"/>
      <c r="C25" s="2645" t="s">
        <v>10094</v>
      </c>
      <c r="D25" s="542">
        <f>Bono_Agi+Bono_Des</f>
        <v>0</v>
      </c>
      <c r="E25" s="2809">
        <f>SUM(D24:D28)</f>
        <v>40</v>
      </c>
      <c r="F25" s="3755"/>
      <c r="G25" s="3756"/>
      <c r="H25" s="3757"/>
      <c r="I25" s="3769">
        <f>Combate!AD15+Combate!AF15</f>
        <v>0</v>
      </c>
      <c r="J25" s="3770"/>
      <c r="K25" s="2817"/>
      <c r="L25" s="3490"/>
      <c r="M25" s="3496" t="s">
        <v>1412</v>
      </c>
      <c r="N25" s="3496"/>
      <c r="O25" s="3494">
        <f>PenNatural-MIN(MAX(LlevarArmadura_final-Combate!H16,0)+Combate!H17,0)+Combate!H17</f>
        <v>0</v>
      </c>
      <c r="P25" s="3494"/>
      <c r="Q25" s="514">
        <f>IF(Nadar_final="-","-",Nadar_final+O25)</f>
        <v>-30</v>
      </c>
      <c r="R25" s="625"/>
      <c r="S25" s="1044"/>
      <c r="T25" s="1045"/>
      <c r="U25" s="1064"/>
      <c r="V25" s="3717" t="s">
        <v>1413</v>
      </c>
      <c r="W25" s="3718"/>
      <c r="X25" s="3719"/>
      <c r="Y25" s="3705"/>
      <c r="Z25" s="3706"/>
      <c r="AA25" s="2772">
        <f>IF(Personalización!$O$6="Sin ajuste por Artefactos",0,IF(Y25="Sí",1,0))</f>
        <v>0</v>
      </c>
      <c r="AB25" s="765">
        <v>0</v>
      </c>
      <c r="AC25" s="2395"/>
      <c r="AD25" s="3714"/>
      <c r="AE25" s="3715"/>
      <c r="AF25" s="3715"/>
      <c r="AG25" s="3715"/>
      <c r="AH25" s="3715"/>
      <c r="AI25" s="3715"/>
      <c r="AJ25" s="3716"/>
      <c r="AK25" s="1416"/>
      <c r="AL25" s="633"/>
      <c r="AM25" s="3084" t="s">
        <v>1835</v>
      </c>
      <c r="AN25" s="3104" t="b">
        <f>AND(Personalización!AN15,TipoDeCriatura="Natural")</f>
        <v>0</v>
      </c>
      <c r="AO25" s="3096"/>
      <c r="AP25" s="3096"/>
      <c r="AQ25" s="3096"/>
      <c r="AR25" s="3085"/>
      <c r="AS25" s="3085"/>
      <c r="AT25" s="3085"/>
      <c r="AU25" s="3085"/>
    </row>
    <row r="26" spans="1:47" ht="12" customHeight="1" x14ac:dyDescent="0.2">
      <c r="A26" s="9"/>
      <c r="B26" s="812"/>
      <c r="C26" s="1577" t="s">
        <v>1407</v>
      </c>
      <c r="D26" s="542">
        <f>HLOOKUP("Turno",Bonos_Cat_Base,2,FALSE)</f>
        <v>0</v>
      </c>
      <c r="E26" s="2829">
        <f>$D$29+$D$30</f>
        <v>0</v>
      </c>
      <c r="F26" s="3758" t="str">
        <f>IF(HP_final&gt;HE_final,"H. Parada:","H. Esquiva:")</f>
        <v>H. Esquiva:</v>
      </c>
      <c r="G26" s="3759"/>
      <c r="H26" s="3760">
        <f>MAX(HP_final,HE_final,HD_SinArmas_final)</f>
        <v>0</v>
      </c>
      <c r="I26" s="3769"/>
      <c r="J26" s="3770"/>
      <c r="K26" s="2817"/>
      <c r="L26" s="3490"/>
      <c r="M26" s="3496" t="s">
        <v>1415</v>
      </c>
      <c r="N26" s="3496"/>
      <c r="O26" s="3494">
        <f>PenNatural</f>
        <v>0</v>
      </c>
      <c r="P26" s="3494"/>
      <c r="Q26" s="514">
        <f>IF(Trepar_final="-","-",Trepar_final+O26)</f>
        <v>-30</v>
      </c>
      <c r="R26" s="625"/>
      <c r="S26" s="1044"/>
      <c r="T26" s="1045"/>
      <c r="U26" s="1064"/>
      <c r="V26" s="3700" t="s">
        <v>1416</v>
      </c>
      <c r="W26" s="3701"/>
      <c r="X26" s="3702"/>
      <c r="Y26" s="3703"/>
      <c r="Z26" s="3704"/>
      <c r="AA26" s="41">
        <f>IF(Personalización!$O$7="Sin ajuste por PDs",0,ROUNDUP((AB27-AB22-AB23-AB24-AB25)/100,0))</f>
        <v>0</v>
      </c>
      <c r="AB26" s="1589"/>
      <c r="AC26" s="2395"/>
      <c r="AD26" s="3714"/>
      <c r="AE26" s="3715"/>
      <c r="AF26" s="3715"/>
      <c r="AG26" s="3715"/>
      <c r="AH26" s="3715"/>
      <c r="AI26" s="3715"/>
      <c r="AJ26" s="3716"/>
      <c r="AK26" s="1416"/>
      <c r="AL26" s="633"/>
      <c r="AM26" s="3084" t="s">
        <v>1382</v>
      </c>
      <c r="AN26" s="3104" t="b">
        <f>AB13&lt;AP26</f>
        <v>0</v>
      </c>
      <c r="AO26" s="3096" t="s">
        <v>8469</v>
      </c>
      <c r="AP26" s="3096">
        <f>IF(OR(Tablas!J1801&gt;0,Tablas!J1815&gt;0,(AND(Raza="Ebudan",SueAman="Cumplido",Personalización!E52="Sí"))),30,0)</f>
        <v>0</v>
      </c>
      <c r="AQ26" s="3096" t="s">
        <v>8470</v>
      </c>
      <c r="AR26" s="3085"/>
      <c r="AS26" s="3085"/>
      <c r="AT26" s="3085"/>
      <c r="AU26" s="3085"/>
    </row>
    <row r="27" spans="1:47" ht="12" customHeight="1" thickBot="1" x14ac:dyDescent="0.25">
      <c r="A27" s="9"/>
      <c r="B27" s="812"/>
      <c r="C27" s="1577" t="s">
        <v>1410</v>
      </c>
      <c r="D27" s="542">
        <f>PenNatural</f>
        <v>0</v>
      </c>
      <c r="E27" s="2809"/>
      <c r="F27" s="3758"/>
      <c r="G27" s="3759"/>
      <c r="H27" s="3760"/>
      <c r="I27" s="3769"/>
      <c r="J27" s="3770"/>
      <c r="K27" s="2817"/>
      <c r="L27" s="3490"/>
      <c r="M27" s="3496" t="s">
        <v>1418</v>
      </c>
      <c r="N27" s="3496"/>
      <c r="O27" s="3494">
        <f>PenNatural</f>
        <v>0</v>
      </c>
      <c r="P27" s="3494"/>
      <c r="Q27" s="514">
        <f>IF(Saltar_final="-","-",Saltar_final+O27)</f>
        <v>-30</v>
      </c>
      <c r="R27" s="625"/>
      <c r="S27" s="1044"/>
      <c r="T27" s="1045"/>
      <c r="U27" s="1064"/>
      <c r="V27" s="3679" t="str">
        <f>IF(COUNTA(Personalización!$L$6:$Q$7)&gt;0,"Sin ajuste(s)","")</f>
        <v/>
      </c>
      <c r="W27" s="3680"/>
      <c r="X27" s="3680"/>
      <c r="Y27" s="3677" t="s">
        <v>1419</v>
      </c>
      <c r="Z27" s="3678"/>
      <c r="AA27" s="2805">
        <f>SUM(AA22:AA26)</f>
        <v>0</v>
      </c>
      <c r="AB27" s="1590">
        <f>SUM(AB22:AB26)+50*Tablas!G352+100*Tablas!G353+150*Tablas!G354+Tablas!K1889</f>
        <v>0</v>
      </c>
      <c r="AC27" s="2395"/>
      <c r="AD27" s="1011"/>
      <c r="AE27" s="3681" t="s">
        <v>1420</v>
      </c>
      <c r="AF27" s="3681"/>
      <c r="AG27" s="3681"/>
      <c r="AH27" s="3681"/>
      <c r="AI27" s="3681"/>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4"/>
      <c r="AN27" s="3096"/>
      <c r="AO27" s="3096"/>
      <c r="AP27" s="3096"/>
      <c r="AQ27" s="3096"/>
      <c r="AR27" s="3085"/>
      <c r="AS27" s="3085"/>
      <c r="AT27" s="3085"/>
      <c r="AU27" s="3085"/>
    </row>
    <row r="28" spans="1:47" ht="12" customHeight="1" thickBot="1" x14ac:dyDescent="0.25">
      <c r="A28" s="9"/>
      <c r="B28" s="812"/>
      <c r="C28" s="1577" t="s">
        <v>7221</v>
      </c>
      <c r="D28" s="542">
        <f>20+Tablas!$S$1268</f>
        <v>20</v>
      </c>
      <c r="E28" s="2395"/>
      <c r="F28" s="3652" t="s">
        <v>1411</v>
      </c>
      <c r="G28" s="3653"/>
      <c r="H28" s="3656">
        <f>LlevarArmadura_final</f>
        <v>0</v>
      </c>
      <c r="I28" s="3769"/>
      <c r="J28" s="3770"/>
      <c r="K28" s="2826"/>
      <c r="L28" s="3491"/>
      <c r="M28" s="3492" t="s">
        <v>6273</v>
      </c>
      <c r="N28" s="3492"/>
      <c r="O28" s="3488"/>
      <c r="P28" s="3488"/>
      <c r="Q28" s="1588">
        <f>IF(Pilotar_final="-","-",Pilotar_final+O28)</f>
        <v>-30</v>
      </c>
      <c r="R28" s="625"/>
      <c r="S28" s="1044"/>
      <c r="T28" s="1045"/>
      <c r="U28" s="1064"/>
      <c r="V28" s="2395"/>
      <c r="W28" s="2806"/>
      <c r="X28" s="2806"/>
      <c r="Y28" s="2806"/>
      <c r="Z28" s="2806"/>
      <c r="AA28" s="2806"/>
      <c r="AB28" s="2806"/>
      <c r="AC28" s="2806"/>
      <c r="AD28" s="2806"/>
      <c r="AE28" s="2806"/>
      <c r="AF28" s="2395"/>
      <c r="AG28" s="2395"/>
      <c r="AH28" s="2395"/>
      <c r="AI28" s="2395"/>
      <c r="AJ28" s="2395"/>
      <c r="AK28" s="1416"/>
      <c r="AL28" s="633"/>
      <c r="AM28" s="3084"/>
      <c r="AN28" s="3096"/>
      <c r="AO28" s="3096"/>
      <c r="AP28" s="3096"/>
      <c r="AQ28" s="3096"/>
      <c r="AR28" s="3085"/>
      <c r="AS28" s="3085"/>
      <c r="AT28" s="3085"/>
      <c r="AU28" s="3085"/>
    </row>
    <row r="29" spans="1:47" ht="12" customHeight="1" thickBot="1" x14ac:dyDescent="0.25">
      <c r="A29" s="9"/>
      <c r="B29" s="812"/>
      <c r="C29" s="2646" t="s">
        <v>10095</v>
      </c>
      <c r="D29" s="2647">
        <f>IF(Ki!P40="-",10,0)+'Tablas psiquica'!$AH$58</f>
        <v>0</v>
      </c>
      <c r="E29" s="2395"/>
      <c r="F29" s="3654"/>
      <c r="G29" s="3655"/>
      <c r="H29" s="3657"/>
      <c r="I29" s="3771"/>
      <c r="J29" s="3772"/>
      <c r="K29" s="2817"/>
      <c r="L29" s="3490" t="s">
        <v>1421</v>
      </c>
      <c r="M29" s="3496" t="s">
        <v>1422</v>
      </c>
      <c r="N29" s="3496"/>
      <c r="O29" s="3494"/>
      <c r="P29" s="3494"/>
      <c r="Q29" s="514">
        <f>IF(Estilo_final="-","-",Estilo_final+O29)</f>
        <v>-30</v>
      </c>
      <c r="R29" s="625"/>
      <c r="S29" s="1044"/>
      <c r="T29" s="1045"/>
      <c r="U29" s="1064"/>
      <c r="V29" s="3676" t="s">
        <v>1425</v>
      </c>
      <c r="W29" s="3676"/>
      <c r="X29" s="3676"/>
      <c r="Y29" s="3676"/>
      <c r="Z29" s="3676"/>
      <c r="AA29" s="3676"/>
      <c r="AB29" s="3676"/>
      <c r="AC29" s="3676"/>
      <c r="AD29" s="3676"/>
      <c r="AE29" s="3676"/>
      <c r="AF29" s="3675" t="s">
        <v>1426</v>
      </c>
      <c r="AG29" s="3675"/>
      <c r="AH29" s="3675"/>
      <c r="AI29" s="3675"/>
      <c r="AJ29" s="3675"/>
      <c r="AK29" s="1416"/>
      <c r="AL29" s="633"/>
      <c r="AM29" s="3098"/>
      <c r="AN29" s="3096"/>
      <c r="AO29" s="3096"/>
      <c r="AP29" s="3096"/>
      <c r="AQ29" s="3096"/>
      <c r="AR29" s="3085"/>
      <c r="AS29" s="3085"/>
      <c r="AT29" s="3085"/>
      <c r="AU29" s="3085"/>
    </row>
    <row r="30" spans="1:47" ht="12" customHeight="1" x14ac:dyDescent="0.2">
      <c r="A30" s="9"/>
      <c r="B30" s="812"/>
      <c r="C30" s="1578" t="s">
        <v>1417</v>
      </c>
      <c r="D30" s="2267"/>
      <c r="E30" s="2395"/>
      <c r="F30" s="3781" t="str">
        <f>IF(Tablas!G526&gt;0,"Arma exclusiva:","Arma desarrollada:")</f>
        <v>Arma desarrollada:</v>
      </c>
      <c r="G30" s="3782"/>
      <c r="H30" s="3783"/>
      <c r="I30" s="3784"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785"/>
      <c r="K30" s="2817"/>
      <c r="L30" s="3490"/>
      <c r="M30" s="3496" t="s">
        <v>1424</v>
      </c>
      <c r="N30" s="3496"/>
      <c r="O30" s="3494"/>
      <c r="P30" s="3494"/>
      <c r="Q30" s="514">
        <f>IF(Intimidar_final="-","-",Intimidar_final+O30)</f>
        <v>-30</v>
      </c>
      <c r="R30" s="625"/>
      <c r="S30" s="1044"/>
      <c r="T30" s="1045"/>
      <c r="U30" s="1064"/>
      <c r="V30" s="3667" t="str">
        <f>IF(Raza="","",VLOOKUP(Raza,Tabla_Razas,20,FALSE))</f>
        <v/>
      </c>
      <c r="W30" s="3644"/>
      <c r="X30" s="3644"/>
      <c r="Y30" s="3644"/>
      <c r="Z30" s="3644"/>
      <c r="AA30" s="3644"/>
      <c r="AB30" s="3644"/>
      <c r="AC30" s="3644"/>
      <c r="AD30" s="3644"/>
      <c r="AE30" s="3668"/>
      <c r="AF30" s="3643" t="str">
        <f>Tablas!R267</f>
        <v/>
      </c>
      <c r="AG30" s="3644"/>
      <c r="AH30" s="3644"/>
      <c r="AI30" s="3644"/>
      <c r="AJ30" s="3645"/>
      <c r="AK30" s="1418"/>
      <c r="AL30" s="633"/>
      <c r="AM30" s="3105"/>
      <c r="AN30" s="3096"/>
      <c r="AO30" s="3096"/>
      <c r="AP30" s="3096"/>
      <c r="AQ30" s="3096"/>
      <c r="AR30" s="3085"/>
      <c r="AS30" s="3085"/>
      <c r="AT30" s="3085"/>
      <c r="AU30" s="3085"/>
    </row>
    <row r="31" spans="1:47" ht="12" customHeight="1" thickBot="1" x14ac:dyDescent="0.25">
      <c r="A31" s="9"/>
      <c r="B31" s="812"/>
      <c r="C31" s="3789" t="s">
        <v>1349</v>
      </c>
      <c r="D31" s="3791">
        <f>$E$25+IF(AND(FALSE,$E$25+$E$26&gt;200),(200+$E$26-$E$25)/2,$E$26)+IF(Mod_ATA&lt;0,TRUNC(Mod_ATA/2,0),0)</f>
        <v>40</v>
      </c>
      <c r="E31" s="2395"/>
      <c r="F31" s="3638" t="s">
        <v>2108</v>
      </c>
      <c r="G31" s="3639"/>
      <c r="H31" s="3640"/>
      <c r="I31" s="3784"/>
      <c r="J31" s="3785"/>
      <c r="K31" s="2817"/>
      <c r="L31" s="3490"/>
      <c r="M31" s="3496" t="s">
        <v>1427</v>
      </c>
      <c r="N31" s="3496"/>
      <c r="O31" s="3494"/>
      <c r="P31" s="3494"/>
      <c r="Q31" s="514">
        <f>IF(Liderazgo_final="-","-",Liderazgo_final+O31)</f>
        <v>-30</v>
      </c>
      <c r="R31" s="625"/>
      <c r="S31" s="1044"/>
      <c r="T31" s="1045"/>
      <c r="U31" s="1064"/>
      <c r="V31" s="3669"/>
      <c r="W31" s="3647"/>
      <c r="X31" s="3647"/>
      <c r="Y31" s="3647"/>
      <c r="Z31" s="3647"/>
      <c r="AA31" s="3647"/>
      <c r="AB31" s="3647"/>
      <c r="AC31" s="3647"/>
      <c r="AD31" s="3647"/>
      <c r="AE31" s="3670"/>
      <c r="AF31" s="3646"/>
      <c r="AG31" s="3647"/>
      <c r="AH31" s="3647"/>
      <c r="AI31" s="3647"/>
      <c r="AJ31" s="3648"/>
      <c r="AK31" s="1418"/>
      <c r="AL31" s="633"/>
      <c r="AM31" s="3084" t="s">
        <v>7192</v>
      </c>
      <c r="AN31" s="3096"/>
      <c r="AO31" s="3096"/>
      <c r="AP31" s="3096"/>
      <c r="AQ31" s="3096"/>
      <c r="AR31" s="3085"/>
      <c r="AS31" s="3085"/>
      <c r="AT31" s="3084" t="s">
        <v>10450</v>
      </c>
      <c r="AU31" s="3085"/>
    </row>
    <row r="32" spans="1:47" ht="12" customHeight="1" thickBot="1" x14ac:dyDescent="0.25">
      <c r="A32" s="9"/>
      <c r="B32" s="812"/>
      <c r="C32" s="3790"/>
      <c r="D32" s="3792"/>
      <c r="E32" s="2395"/>
      <c r="F32" s="3641" t="s">
        <v>1423</v>
      </c>
      <c r="G32" s="3642"/>
      <c r="H32" s="3642"/>
      <c r="I32" s="3642"/>
      <c r="J32" s="1313">
        <f>VLOOKUP(G13+G11,Tabla_NumAcciones,2)</f>
        <v>1</v>
      </c>
      <c r="K32" s="2817"/>
      <c r="L32" s="3490"/>
      <c r="M32" s="3496" t="s">
        <v>1429</v>
      </c>
      <c r="N32" s="3496"/>
      <c r="O32" s="3494"/>
      <c r="P32" s="3494"/>
      <c r="Q32" s="514">
        <f>IF(Persuasión_final="-","-",Persuasión_final+O32)</f>
        <v>-30</v>
      </c>
      <c r="R32" s="625"/>
      <c r="S32" s="1044"/>
      <c r="T32" s="1045"/>
      <c r="U32" s="1064"/>
      <c r="V32" s="3669"/>
      <c r="W32" s="3647"/>
      <c r="X32" s="3647"/>
      <c r="Y32" s="3647"/>
      <c r="Z32" s="3647"/>
      <c r="AA32" s="3647"/>
      <c r="AB32" s="3647"/>
      <c r="AC32" s="3647"/>
      <c r="AD32" s="3647"/>
      <c r="AE32" s="3670"/>
      <c r="AF32" s="3646"/>
      <c r="AG32" s="3647"/>
      <c r="AH32" s="3647"/>
      <c r="AI32" s="3647"/>
      <c r="AJ32" s="3648"/>
      <c r="AK32" s="1418"/>
      <c r="AL32" s="633"/>
      <c r="AM32" s="3084" t="s">
        <v>6582</v>
      </c>
      <c r="AN32" s="3096" t="str">
        <f>IF(AND(Raza="Criatura",AN39,AB13&lt;30),"$AO$36",Lista_VentajasComun)</f>
        <v>Tablas!$C$257:$C$397</v>
      </c>
      <c r="AO32" s="3096"/>
      <c r="AP32" s="3096"/>
      <c r="AQ32" s="3096"/>
      <c r="AR32" s="3085"/>
      <c r="AS32" s="3085"/>
      <c r="AT32" s="3084" t="str">
        <f>IF(SUM(Tablas!$I$1104:$I$1115)&gt;0,"+20 RM afín y -20 RM opuesta: Des. elemental","")</f>
        <v/>
      </c>
      <c r="AU32" s="3085"/>
    </row>
    <row r="33" spans="1:47" ht="12" customHeight="1" thickBot="1" x14ac:dyDescent="0.25">
      <c r="A33" s="9"/>
      <c r="B33" s="812"/>
      <c r="C33" s="2395"/>
      <c r="D33" s="2395"/>
      <c r="E33" s="2395"/>
      <c r="F33" s="2395"/>
      <c r="G33" s="2395"/>
      <c r="H33" s="2395"/>
      <c r="I33" s="2395"/>
      <c r="J33" s="2395"/>
      <c r="K33" s="2817"/>
      <c r="L33" s="3490"/>
      <c r="M33" s="3496" t="s">
        <v>816</v>
      </c>
      <c r="N33" s="3496"/>
      <c r="O33" s="3494"/>
      <c r="P33" s="3494"/>
      <c r="Q33" s="514">
        <f>IF(Comercio_final="-","-",Comercio_final+O33)</f>
        <v>-30</v>
      </c>
      <c r="R33" s="625"/>
      <c r="S33" s="1044"/>
      <c r="T33" s="1045"/>
      <c r="U33" s="1064"/>
      <c r="V33" s="3669"/>
      <c r="W33" s="3647"/>
      <c r="X33" s="3647"/>
      <c r="Y33" s="3647"/>
      <c r="Z33" s="3647"/>
      <c r="AA33" s="3647"/>
      <c r="AB33" s="3647"/>
      <c r="AC33" s="3647"/>
      <c r="AD33" s="3647"/>
      <c r="AE33" s="3670"/>
      <c r="AF33" s="3646"/>
      <c r="AG33" s="3647"/>
      <c r="AH33" s="3647"/>
      <c r="AI33" s="3647"/>
      <c r="AJ33" s="3648"/>
      <c r="AK33" s="1418"/>
      <c r="AL33" s="633"/>
      <c r="AM33" s="3084" t="s">
        <v>6583</v>
      </c>
      <c r="AN33" s="3096" t="str">
        <f>IF(AND(Raza="Criatura",AN39,AB13&lt;30),"$AO$36",IF(AND(Don,Psíquico),"Lista_VentajasDonYPsi",IF(Don,"Lista_VentajasDon",IF(Psíquico,"Lista_VentajasPsi","$AO$37"))))</f>
        <v>$AO$37</v>
      </c>
      <c r="AO33" s="3096"/>
      <c r="AP33" s="3096"/>
      <c r="AQ33" s="3096"/>
      <c r="AR33" s="3085"/>
      <c r="AS33" s="3085"/>
      <c r="AT33" s="3084" t="str">
        <f>IF(OR(TipoDeCriatura="Entre mundos, Elemental",TipoDeCriatura="Ánima, Elemental"),"+20 Resistencias afines y -20 opuestas: Elemental","")</f>
        <v/>
      </c>
      <c r="AU33" s="3085"/>
    </row>
    <row r="34" spans="1:47" ht="12" customHeight="1" x14ac:dyDescent="0.2">
      <c r="A34" s="9"/>
      <c r="B34" s="812"/>
      <c r="C34" s="3787" t="s">
        <v>1428</v>
      </c>
      <c r="D34" s="3788"/>
      <c r="E34" s="3788"/>
      <c r="F34" s="3788"/>
      <c r="G34" s="3159"/>
      <c r="H34" s="3159"/>
      <c r="I34" s="3160"/>
      <c r="J34" s="1529">
        <f>IF(AND(Raza="Criatura",AN39),0,3)+J49-Tablas!C234+IF(Y23="PDs",0,IF($AB$13=0,0,VLOOKUP($AB$13,Tabla_Gnosis,3,FALSE)))</f>
        <v>3</v>
      </c>
      <c r="K34" s="2808"/>
      <c r="L34" s="3490"/>
      <c r="M34" s="3496" t="s">
        <v>817</v>
      </c>
      <c r="N34" s="3496"/>
      <c r="O34" s="3682"/>
      <c r="P34" s="3682"/>
      <c r="Q34" s="514">
        <f>IF(Callejeo_final="-","-",Callejeo_final+O34)</f>
        <v>-30</v>
      </c>
      <c r="R34" s="625"/>
      <c r="S34" s="1044"/>
      <c r="T34" s="1045"/>
      <c r="U34" s="1064"/>
      <c r="V34" s="3669"/>
      <c r="W34" s="3647"/>
      <c r="X34" s="3647"/>
      <c r="Y34" s="3647"/>
      <c r="Z34" s="3647"/>
      <c r="AA34" s="3647"/>
      <c r="AB34" s="3647"/>
      <c r="AC34" s="3647"/>
      <c r="AD34" s="3647"/>
      <c r="AE34" s="3670"/>
      <c r="AF34" s="3649"/>
      <c r="AG34" s="3650"/>
      <c r="AH34" s="3650"/>
      <c r="AI34" s="3650"/>
      <c r="AJ34" s="3651"/>
      <c r="AK34" s="1418"/>
      <c r="AL34" s="633"/>
      <c r="AM34" s="3084" t="s">
        <v>6584</v>
      </c>
      <c r="AN34" s="3106" t="str">
        <f>IF(AND(Raza="Criatura",AN39,AB13&lt;30),"$AO$36","Lista_VentajasTrasfondo")</f>
        <v>Lista_VentajasTrasfondo</v>
      </c>
      <c r="AO34" s="3096"/>
      <c r="AP34" s="3096"/>
      <c r="AQ34" s="3096"/>
      <c r="AR34" s="3085"/>
      <c r="AS34" s="3085"/>
      <c r="AT34" s="3084" t="str">
        <f>IF(ISNUMBER(SEARCH("Afinidad Elemental",AF30)),"+20 Resistencias afines: Legado","")</f>
        <v/>
      </c>
      <c r="AU34" s="3085"/>
    </row>
    <row r="35" spans="1:47" ht="12" customHeight="1" thickBot="1" x14ac:dyDescent="0.25">
      <c r="A35" s="9"/>
      <c r="B35" s="812"/>
      <c r="C35" s="3786"/>
      <c r="D35" s="3483"/>
      <c r="E35" s="3483"/>
      <c r="F35" s="3484"/>
      <c r="G35" s="3633"/>
      <c r="H35" s="3525"/>
      <c r="I35" s="3525"/>
      <c r="J35" s="3634"/>
      <c r="K35" s="2808"/>
      <c r="L35" s="3490"/>
      <c r="M35" s="3496" t="s">
        <v>818</v>
      </c>
      <c r="N35" s="3496"/>
      <c r="O35" s="3682"/>
      <c r="P35" s="3682"/>
      <c r="Q35" s="514">
        <f>IF(Etiqueta_final="-","-",Etiqueta_final+O35)</f>
        <v>-30</v>
      </c>
      <c r="R35" s="625"/>
      <c r="S35" s="1044"/>
      <c r="T35" s="1045"/>
      <c r="U35" s="1064"/>
      <c r="V35" s="3671"/>
      <c r="W35" s="3672"/>
      <c r="X35" s="3672"/>
      <c r="Y35" s="3672"/>
      <c r="Z35" s="3672"/>
      <c r="AA35" s="3672"/>
      <c r="AB35" s="3672"/>
      <c r="AC35" s="3672"/>
      <c r="AD35" s="3672"/>
      <c r="AE35" s="3673"/>
      <c r="AF35" s="3674" t="str">
        <f>IF(ISNUMBER(SEARCH("Afinidad Elemental",AF30)),"+10 Daño base ataques elemento afín","")</f>
        <v/>
      </c>
      <c r="AG35" s="3674"/>
      <c r="AH35" s="3674"/>
      <c r="AI35" s="3674"/>
      <c r="AJ35" s="3674"/>
      <c r="AK35" s="1418"/>
      <c r="AL35" s="633"/>
      <c r="AM35" s="3084" t="s">
        <v>6585</v>
      </c>
      <c r="AN35" s="3096" t="str">
        <f>IF(AND(Raza="Criatura",AN39,AB13&lt;30),"$AO$36","Lista_LegadosSangre")</f>
        <v>Lista_LegadosSangre</v>
      </c>
      <c r="AO35" s="3096"/>
      <c r="AP35" s="3096"/>
      <c r="AQ35" s="3096"/>
      <c r="AR35" s="3085"/>
      <c r="AS35" s="3085"/>
      <c r="AT35" s="3084" t="str">
        <f>IF(Tablas!$P$241&gt;0,"+10 RF ante críticos: Toa","")</f>
        <v/>
      </c>
      <c r="AU35" s="3085"/>
    </row>
    <row r="36" spans="1:47" ht="12" customHeight="1" thickBot="1" x14ac:dyDescent="0.25">
      <c r="A36" s="9"/>
      <c r="B36" s="812"/>
      <c r="C36" s="3586"/>
      <c r="D36" s="3587"/>
      <c r="E36" s="3587"/>
      <c r="F36" s="3604"/>
      <c r="G36" s="3473"/>
      <c r="H36" s="3474"/>
      <c r="I36" s="3474"/>
      <c r="J36" s="3475"/>
      <c r="K36" s="2808"/>
      <c r="L36" s="3489" t="s">
        <v>1430</v>
      </c>
      <c r="M36" s="3493" t="s">
        <v>1431</v>
      </c>
      <c r="N36" s="3493"/>
      <c r="O36" s="3495">
        <f>IF(Combate!$C$15=0,0,VLOOKUP(Combate!$C$15,Tabla_Yelmos,3,FALSE))</f>
        <v>0</v>
      </c>
      <c r="P36" s="3495"/>
      <c r="Q36" s="2828">
        <f>IF(Advertir_final="-","-",Advertir_final+O36)</f>
        <v>-30</v>
      </c>
      <c r="R36" s="625"/>
      <c r="S36" s="1044"/>
      <c r="T36" s="1045"/>
      <c r="U36" s="1064"/>
      <c r="V36" s="3350" t="s">
        <v>7068</v>
      </c>
      <c r="W36" s="3351"/>
      <c r="X36" s="3351"/>
      <c r="Y36" s="3351"/>
      <c r="Z36" s="3351"/>
      <c r="AA36" s="3351"/>
      <c r="AB36" s="3351"/>
      <c r="AC36" s="3351"/>
      <c r="AD36" s="3351"/>
      <c r="AE36" s="3351"/>
      <c r="AF36" s="3351"/>
      <c r="AG36" s="3351"/>
      <c r="AH36" s="3351"/>
      <c r="AI36" s="3351"/>
      <c r="AJ36" s="3352"/>
      <c r="AK36" s="1418"/>
      <c r="AL36" s="633"/>
      <c r="AM36" s="3084" t="s">
        <v>6586</v>
      </c>
      <c r="AN36" s="3096" t="b">
        <f>OR(ISNUMBER(SEARCH("Don",$C35&amp;$C36&amp;$C37&amp;$C38&amp;$C39&amp;$C40&amp;$C41&amp;$C42)),Tablas!H1251&gt;0)</f>
        <v>0</v>
      </c>
      <c r="AO36" s="3096" t="s">
        <v>8309</v>
      </c>
      <c r="AP36" s="3096"/>
      <c r="AQ36" s="3096"/>
      <c r="AR36" s="3085"/>
      <c r="AS36" s="3085"/>
      <c r="AT36" s="3084" t="str">
        <f>IF(AT32&lt;&gt;"",AT32&amp;", ","")&amp;IF(AT33&lt;&gt;"",AT33&amp;", ","")&amp;IF(AT34&lt;&gt;"",AT34&amp;", ","")&amp;IF(AT35&lt;&gt;"",AT35&amp;", ","")</f>
        <v/>
      </c>
      <c r="AU36" s="3085"/>
    </row>
    <row r="37" spans="1:47" ht="12" customHeight="1" x14ac:dyDescent="0.2">
      <c r="A37" s="9"/>
      <c r="B37" s="812"/>
      <c r="C37" s="3586"/>
      <c r="D37" s="3587"/>
      <c r="E37" s="3587"/>
      <c r="F37" s="3604"/>
      <c r="G37" s="3473"/>
      <c r="H37" s="3474"/>
      <c r="I37" s="3474"/>
      <c r="J37" s="3475"/>
      <c r="K37" s="2808"/>
      <c r="L37" s="3490"/>
      <c r="M37" s="3496" t="s">
        <v>1432</v>
      </c>
      <c r="N37" s="3496"/>
      <c r="O37" s="3494">
        <f>IF(Combate!$C$15=0,0,VLOOKUP(Combate!$C$15,Tabla_Yelmos,3,FALSE))</f>
        <v>0</v>
      </c>
      <c r="P37" s="3494"/>
      <c r="Q37" s="514">
        <f>IF(Buscar_final="-","-",Buscar_final+O37)</f>
        <v>-30</v>
      </c>
      <c r="R37" s="625"/>
      <c r="S37" s="1044"/>
      <c r="T37" s="1045"/>
      <c r="U37" s="1064"/>
      <c r="V37" s="3497" t="str">
        <f>IF(Nephilim="","",VLOOKUP(Nephilim,Tabla_Razas,20,FALSE))</f>
        <v/>
      </c>
      <c r="W37" s="3498"/>
      <c r="X37" s="3498"/>
      <c r="Y37" s="3498"/>
      <c r="Z37" s="3498"/>
      <c r="AA37" s="3498"/>
      <c r="AB37" s="3498"/>
      <c r="AC37" s="3498"/>
      <c r="AD37" s="3498"/>
      <c r="AE37" s="3498"/>
      <c r="AF37" s="3498"/>
      <c r="AG37" s="3498"/>
      <c r="AH37" s="3498"/>
      <c r="AI37" s="3498"/>
      <c r="AJ37" s="3499"/>
      <c r="AK37" s="1418"/>
      <c r="AL37" s="633"/>
      <c r="AM37" s="3084" t="s">
        <v>6587</v>
      </c>
      <c r="AN37" s="3096" t="b">
        <f>OR(ISNUMBER(SEARCH("psiquica",$C35&amp;$C36&amp;$C37&amp;$C38&amp;$C39&amp;$C40&amp;$C41&amp;$C42)),Tablas!H1252&gt;0,Tablas!H1253&gt;0)</f>
        <v>0</v>
      </c>
      <c r="AO37" s="3096" t="s">
        <v>7191</v>
      </c>
      <c r="AP37" s="3096"/>
      <c r="AQ37" s="3096"/>
      <c r="AR37" s="3085"/>
      <c r="AS37" s="3085"/>
      <c r="AT37" s="3084"/>
      <c r="AU37" s="3085"/>
    </row>
    <row r="38" spans="1:47" ht="12" customHeight="1" thickBot="1" x14ac:dyDescent="0.25">
      <c r="A38" s="9"/>
      <c r="B38" s="485"/>
      <c r="C38" s="3586"/>
      <c r="D38" s="3587"/>
      <c r="E38" s="3587"/>
      <c r="F38" s="3604"/>
      <c r="G38" s="3473"/>
      <c r="H38" s="3474"/>
      <c r="I38" s="3474"/>
      <c r="J38" s="3475"/>
      <c r="K38" s="2808"/>
      <c r="L38" s="3491"/>
      <c r="M38" s="3492" t="s">
        <v>1433</v>
      </c>
      <c r="N38" s="3492"/>
      <c r="O38" s="3488"/>
      <c r="P38" s="3488"/>
      <c r="Q38" s="1588">
        <f>IF(Rastrear_final="-","-",Rastrear_final+O38)</f>
        <v>-30</v>
      </c>
      <c r="R38" s="625"/>
      <c r="S38" s="1044"/>
      <c r="T38" s="1045"/>
      <c r="U38" s="1064"/>
      <c r="V38" s="3500"/>
      <c r="W38" s="3501"/>
      <c r="X38" s="3501"/>
      <c r="Y38" s="3501"/>
      <c r="Z38" s="3501"/>
      <c r="AA38" s="3501"/>
      <c r="AB38" s="3501"/>
      <c r="AC38" s="3501"/>
      <c r="AD38" s="3501"/>
      <c r="AE38" s="3501"/>
      <c r="AF38" s="3501"/>
      <c r="AG38" s="3501"/>
      <c r="AH38" s="3501"/>
      <c r="AI38" s="3501"/>
      <c r="AJ38" s="3502"/>
      <c r="AK38" s="1417"/>
      <c r="AL38" s="633"/>
      <c r="AM38" s="3084" t="s">
        <v>8791</v>
      </c>
      <c r="AN38" s="3096" t="str">
        <f>IF(AND(Raza="Criatura",AN39,AB13&lt;30),"$AO$36",Lista_Desventajas)</f>
        <v>Tablas!$C$499:$C$555</v>
      </c>
      <c r="AO38" s="3096"/>
      <c r="AP38" s="3096"/>
      <c r="AQ38" s="3096"/>
      <c r="AR38" s="3085"/>
      <c r="AS38" s="3085"/>
      <c r="AT38" s="3085"/>
      <c r="AU38" s="3085"/>
    </row>
    <row r="39" spans="1:47" ht="12" customHeight="1" thickBot="1" x14ac:dyDescent="0.25">
      <c r="A39" s="9"/>
      <c r="B39" s="485"/>
      <c r="C39" s="3586"/>
      <c r="D39" s="3587"/>
      <c r="E39" s="3587"/>
      <c r="F39" s="3604"/>
      <c r="G39" s="3473"/>
      <c r="H39" s="3474"/>
      <c r="I39" s="3474"/>
      <c r="J39" s="3475"/>
      <c r="K39" s="2808"/>
      <c r="L39" s="3490" t="s">
        <v>1434</v>
      </c>
      <c r="M39" s="3496" t="s">
        <v>1435</v>
      </c>
      <c r="N39" s="3496"/>
      <c r="O39" s="3494"/>
      <c r="P39" s="3494"/>
      <c r="Q39" s="514">
        <f>IF(Animales_final="-","-",Animales_final+O39)</f>
        <v>-30</v>
      </c>
      <c r="R39" s="625"/>
      <c r="S39" s="1044"/>
      <c r="T39" s="1045"/>
      <c r="U39" s="1064"/>
      <c r="V39" s="2807">
        <f>IF(Raza=0,0,VLOOKUP(Raza,Tabla_Razas,22,FALSE))</f>
        <v>0</v>
      </c>
      <c r="W39" s="2807">
        <f>IF(Raza=0,0,VLOOKUP(Raza,Tabla_Razas,25,FALSE))</f>
        <v>0</v>
      </c>
      <c r="X39" s="2808">
        <f>IF(Raza=0,0,VLOOKUP(Raza,Tabla_Razas,28,FALSE))</f>
        <v>0</v>
      </c>
      <c r="Y39" s="2808">
        <f>IF(Raza=0,0,VLOOKUP(Raza,Tabla_Razas,31,FALSE))</f>
        <v>0</v>
      </c>
      <c r="Z39" s="2808">
        <f>IF(Raza=0,0,VLOOKUP(Raza,Tabla_Razas,34,FALSE))</f>
        <v>0</v>
      </c>
      <c r="AA39" s="2808">
        <f>IF(Raza=0,0,VLOOKUP(Raza,Tabla_Razas,37,FALSE))</f>
        <v>0</v>
      </c>
      <c r="AB39" s="2808">
        <f>IF(Raza=0,0,VLOOKUP(Raza,Tabla_Razas,40,FALSE))</f>
        <v>0</v>
      </c>
      <c r="AC39" s="2808">
        <f>IF(Raza=0,0,VLOOKUP(Raza,Tabla_Razas,43,FALSE))</f>
        <v>0</v>
      </c>
      <c r="AD39" s="2808">
        <f>IF(Raza=0,0,VLOOKUP(Raza,Tabla_Razas,46,FALSE))</f>
        <v>0</v>
      </c>
      <c r="AE39" s="2808">
        <f>IF(Raza=0,0,VLOOKUP(Raza,Tabla_Razas,49,FALSE))</f>
        <v>0</v>
      </c>
      <c r="AF39" s="2808">
        <f>IF(Raza=0,0,VLOOKUP(Raza,Tabla_Razas,52,FALSE))</f>
        <v>0</v>
      </c>
      <c r="AG39" s="2808">
        <f>IF(Raza=0,0,VLOOKUP(Raza,Tabla_Razas,55,FALSE))</f>
        <v>0</v>
      </c>
      <c r="AH39" s="2809"/>
      <c r="AI39" s="2809"/>
      <c r="AJ39" s="2810"/>
      <c r="AK39" s="1417"/>
      <c r="AL39" s="633"/>
      <c r="AM39" s="3084" t="s">
        <v>9325</v>
      </c>
      <c r="AN39" s="3096" t="b">
        <f>Personalización!F9&lt;&gt;"Sí (No oficial)"</f>
        <v>1</v>
      </c>
      <c r="AO39" s="3096"/>
      <c r="AP39" s="3096"/>
      <c r="AQ39" s="3096"/>
      <c r="AR39" s="3085"/>
      <c r="AS39" s="3085"/>
      <c r="AT39" s="3085"/>
      <c r="AU39" s="3085"/>
    </row>
    <row r="40" spans="1:47" ht="12" customHeight="1" thickBot="1" x14ac:dyDescent="0.25">
      <c r="A40" s="9"/>
      <c r="B40" s="485"/>
      <c r="C40" s="3586"/>
      <c r="D40" s="3587"/>
      <c r="E40" s="3587"/>
      <c r="F40" s="3604"/>
      <c r="G40" s="3476"/>
      <c r="H40" s="3477"/>
      <c r="I40" s="3477"/>
      <c r="J40" s="3478"/>
      <c r="K40" s="2808"/>
      <c r="L40" s="3490"/>
      <c r="M40" s="3496" t="s">
        <v>1436</v>
      </c>
      <c r="N40" s="3496"/>
      <c r="O40" s="3494"/>
      <c r="P40" s="3494"/>
      <c r="Q40" s="514" t="str">
        <f>IF(Ciencia_final="-","-",Ciencia_final+O40)</f>
        <v>-</v>
      </c>
      <c r="R40" s="625"/>
      <c r="S40" s="1044"/>
      <c r="T40" s="1045"/>
      <c r="U40" s="1064"/>
      <c r="V40" s="3418" t="s">
        <v>1438</v>
      </c>
      <c r="W40" s="3419"/>
      <c r="X40" s="3419"/>
      <c r="Y40" s="3419"/>
      <c r="Z40" s="3419"/>
      <c r="AA40" s="3419"/>
      <c r="AB40" s="3503"/>
      <c r="AC40" s="3503"/>
      <c r="AD40" s="3503"/>
      <c r="AE40" s="3503"/>
      <c r="AF40" s="3419"/>
      <c r="AG40" s="3420"/>
      <c r="AH40" s="3504" t="s">
        <v>1372</v>
      </c>
      <c r="AI40" s="3505"/>
      <c r="AJ40" s="2800">
        <f>IF(ISNUMBER(SUM(AJ42:AJ69)+AJ70),SUM(AJ42:AJ69)+AJ70,0)</f>
        <v>0</v>
      </c>
      <c r="AK40" s="1416"/>
      <c r="AL40" s="633"/>
      <c r="AM40" s="3084"/>
      <c r="AN40" s="3096"/>
      <c r="AO40" s="3096"/>
      <c r="AP40" s="3107"/>
      <c r="AQ40" s="3096"/>
      <c r="AR40" s="3085"/>
      <c r="AS40" s="3085"/>
      <c r="AT40" s="3085"/>
      <c r="AU40" s="3085"/>
    </row>
    <row r="41" spans="1:47" ht="12" customHeight="1" x14ac:dyDescent="0.2">
      <c r="A41" s="9"/>
      <c r="B41" s="485"/>
      <c r="C41" s="3586"/>
      <c r="D41" s="3587"/>
      <c r="E41" s="3587"/>
      <c r="F41" s="3604"/>
      <c r="G41" s="3661"/>
      <c r="H41" s="3662"/>
      <c r="I41" s="3662"/>
      <c r="J41" s="3663"/>
      <c r="K41" s="2808"/>
      <c r="L41" s="3490"/>
      <c r="M41" s="3496" t="s">
        <v>2566</v>
      </c>
      <c r="N41" s="3496"/>
      <c r="O41" s="3494"/>
      <c r="P41" s="3494"/>
      <c r="Q41" s="514">
        <f>IF(Ley_final="-","-",Ley_final+O41)</f>
        <v>-30</v>
      </c>
      <c r="R41" s="625"/>
      <c r="S41" s="1044"/>
      <c r="T41" s="1045"/>
      <c r="U41" s="1064"/>
      <c r="V41" s="3509" t="s">
        <v>8301</v>
      </c>
      <c r="W41" s="3306"/>
      <c r="X41" s="3306"/>
      <c r="Y41" s="3306"/>
      <c r="Z41" s="3306"/>
      <c r="AA41" s="3307"/>
      <c r="AB41" s="3510" t="s">
        <v>9294</v>
      </c>
      <c r="AC41" s="3511"/>
      <c r="AD41" s="3511"/>
      <c r="AE41" s="3512"/>
      <c r="AF41" s="3513" t="s">
        <v>7325</v>
      </c>
      <c r="AG41" s="3513"/>
      <c r="AH41" s="3514"/>
      <c r="AI41" s="1591" t="s">
        <v>1376</v>
      </c>
      <c r="AJ41" s="2811" t="s">
        <v>1377</v>
      </c>
      <c r="AK41" s="1416"/>
      <c r="AL41" s="633"/>
      <c r="AM41" s="3084" t="s">
        <v>10293</v>
      </c>
      <c r="AN41" s="3096" t="s">
        <v>10300</v>
      </c>
      <c r="AO41" s="3084" t="s">
        <v>8300</v>
      </c>
      <c r="AP41" s="3096" t="s">
        <v>10301</v>
      </c>
      <c r="AQ41" s="3096"/>
      <c r="AR41" s="3085"/>
      <c r="AS41" s="3085" t="str">
        <f>AK44</f>
        <v/>
      </c>
      <c r="AT41" s="3084" t="s">
        <v>1371</v>
      </c>
      <c r="AU41" s="3085"/>
    </row>
    <row r="42" spans="1:47" ht="12" customHeight="1" x14ac:dyDescent="0.2">
      <c r="A42" s="9"/>
      <c r="B42" s="485"/>
      <c r="C42" s="3595"/>
      <c r="D42" s="3596"/>
      <c r="E42" s="3596"/>
      <c r="F42" s="3597"/>
      <c r="G42" s="3531"/>
      <c r="H42" s="3532"/>
      <c r="I42" s="3532"/>
      <c r="J42" s="3533"/>
      <c r="K42" s="2808"/>
      <c r="L42" s="3490"/>
      <c r="M42" s="3496" t="s">
        <v>1437</v>
      </c>
      <c r="N42" s="3496"/>
      <c r="O42" s="3494"/>
      <c r="P42" s="3494"/>
      <c r="Q42" s="514">
        <f>IF(Herbolaria_final="-","-",Herbolaria_final+O42)</f>
        <v>-30</v>
      </c>
      <c r="R42" s="625"/>
      <c r="S42" s="1044">
        <f>IF(V42="",MAX($S$41:S41)+1,0)</f>
        <v>1</v>
      </c>
      <c r="T42" s="1045">
        <f>IF(V42="",0,MAX($T$41:T41)+1)</f>
        <v>0</v>
      </c>
      <c r="U42" s="1065">
        <f>IF(V42="",Tablas!A1,V42&amp;1)</f>
        <v>1</v>
      </c>
      <c r="V42" s="3506"/>
      <c r="W42" s="3507"/>
      <c r="X42" s="3507"/>
      <c r="Y42" s="3507"/>
      <c r="Z42" s="3507"/>
      <c r="AA42" s="3508"/>
      <c r="AB42" s="3479"/>
      <c r="AC42" s="3480"/>
      <c r="AD42" s="3480"/>
      <c r="AE42" s="3481"/>
      <c r="AF42" s="3482"/>
      <c r="AG42" s="3483"/>
      <c r="AH42" s="3484"/>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4" t="str">
        <f>IF(AB42="","",AB42)</f>
        <v/>
      </c>
      <c r="AN42" s="3096" t="str">
        <f>V42&amp;AM42</f>
        <v/>
      </c>
      <c r="AO42" s="3084" t="str">
        <f t="shared" ref="AO42:AO69" si="9">AB42&amp;IF(AF42="",""," "&amp;AF42)</f>
        <v/>
      </c>
      <c r="AP42" s="3085">
        <f>COUNTIF($AN$41:AN41,V42&amp;AB42&amp;"*")</f>
        <v>1</v>
      </c>
      <c r="AQ42" s="3084" t="s">
        <v>6581</v>
      </c>
      <c r="AR42" s="3085"/>
      <c r="AS42" s="3084" t="s">
        <v>6581</v>
      </c>
      <c r="AT42" s="3084" t="str">
        <f>IF(AD12="","",AD12&amp;IF(AG12="",""," ("&amp;AG12&amp;")"))</f>
        <v/>
      </c>
      <c r="AU42" s="3085"/>
    </row>
    <row r="43" spans="1:47" ht="12" customHeight="1" x14ac:dyDescent="0.2">
      <c r="A43" s="9"/>
      <c r="B43" s="485"/>
      <c r="C43" s="3598"/>
      <c r="D43" s="3599"/>
      <c r="E43" s="3599"/>
      <c r="F43" s="3600"/>
      <c r="G43" s="3531"/>
      <c r="H43" s="3532"/>
      <c r="I43" s="3532"/>
      <c r="J43" s="3533"/>
      <c r="K43" s="2808"/>
      <c r="L43" s="3490"/>
      <c r="M43" s="3496" t="s">
        <v>1439</v>
      </c>
      <c r="N43" s="3496"/>
      <c r="O43" s="3494"/>
      <c r="P43" s="3494"/>
      <c r="Q43" s="514" t="str">
        <f>IF(Historia_final="-","-",Historia_final+O43)</f>
        <v>-</v>
      </c>
      <c r="R43" s="625"/>
      <c r="S43" s="1044">
        <f>IF(V43="",MAX($S$41:S42)+1,0)</f>
        <v>2</v>
      </c>
      <c r="T43" s="1045">
        <f>IF(V43="",0,MAX($T$41:T42)+1)</f>
        <v>0</v>
      </c>
      <c r="U43" s="1065">
        <f>IF(V43="",Tablas!A2,IF(COUNTIF(V$42:V42,V43)&gt;0,V43&amp;COUNTIF(V$42:V42,V43)+1,V43&amp;1))</f>
        <v>2</v>
      </c>
      <c r="V43" s="3518"/>
      <c r="W43" s="3519"/>
      <c r="X43" s="3519"/>
      <c r="Y43" s="3519"/>
      <c r="Z43" s="3519"/>
      <c r="AA43" s="3520"/>
      <c r="AB43" s="3479"/>
      <c r="AC43" s="3480"/>
      <c r="AD43" s="3480"/>
      <c r="AE43" s="3481"/>
      <c r="AF43" s="3485"/>
      <c r="AG43" s="3486"/>
      <c r="AH43" s="3487"/>
      <c r="AI43" s="1139" t="str">
        <f t="shared" si="6"/>
        <v/>
      </c>
      <c r="AJ43" s="1427" t="str">
        <f t="shared" si="7"/>
        <v/>
      </c>
      <c r="AK43" s="1416" t="str">
        <f t="shared" si="8"/>
        <v/>
      </c>
      <c r="AL43" s="633"/>
      <c r="AM43" s="3084" t="str">
        <f t="shared" ref="AM43:AM69" si="10">IF(AB43="","",AB43)</f>
        <v/>
      </c>
      <c r="AN43" s="3096" t="str">
        <f t="shared" ref="AN43:AN69" si="11">V43&amp;AM43</f>
        <v/>
      </c>
      <c r="AO43" s="3084" t="str">
        <f t="shared" si="9"/>
        <v/>
      </c>
      <c r="AP43" s="3085">
        <f>COUNTIF($AN$41:AN42,V43&amp;AB43&amp;"*")</f>
        <v>2</v>
      </c>
      <c r="AQ43" s="3098" t="str">
        <f>IF(A48="","",VLOOKUP(A48,Tablas!$E$498:$J$564,6,FALSE))</f>
        <v/>
      </c>
      <c r="AR43" s="3085"/>
      <c r="AS43" s="3098" t="str">
        <f>IF(C51="","",VLOOKUP(C51,Tablas!$E$498:$J$564,6,FALSE))</f>
        <v/>
      </c>
      <c r="AT43" s="3084" t="str">
        <f t="shared" ref="AT43:AT53" si="12">IF(AD13="","",AD13&amp;IF(AG13="",""," ("&amp;AG13&amp;")"))</f>
        <v/>
      </c>
      <c r="AU43" s="3085"/>
    </row>
    <row r="44" spans="1:47" ht="12" customHeight="1" x14ac:dyDescent="0.2">
      <c r="A44" s="9"/>
      <c r="B44" s="485"/>
      <c r="C44" s="3586"/>
      <c r="D44" s="3587"/>
      <c r="E44" s="3587"/>
      <c r="F44" s="3588"/>
      <c r="G44" s="3531"/>
      <c r="H44" s="3532"/>
      <c r="I44" s="3532"/>
      <c r="J44" s="3533"/>
      <c r="K44" s="2830"/>
      <c r="L44" s="3490"/>
      <c r="M44" s="3496" t="s">
        <v>819</v>
      </c>
      <c r="N44" s="3496"/>
      <c r="O44" s="3494"/>
      <c r="P44" s="3494"/>
      <c r="Q44" s="514">
        <f>IF(Tactica_final="-","-",Tactica_final+O44)</f>
        <v>-30</v>
      </c>
      <c r="R44" s="625"/>
      <c r="S44" s="1044">
        <f>IF(V44="",MAX($S$41:S43)+1,0)</f>
        <v>3</v>
      </c>
      <c r="T44" s="1045">
        <f>IF(V44="",0,MAX($T$41:T43)+1)</f>
        <v>0</v>
      </c>
      <c r="U44" s="1065">
        <f>IF(V44="",Tablas!A3,IF(COUNTIF(V$42:V43,V44)&gt;0,V44&amp;COUNTIF(V$42:V43,V44)+1,V44&amp;1))</f>
        <v>3</v>
      </c>
      <c r="V44" s="3518"/>
      <c r="W44" s="3519"/>
      <c r="X44" s="3519"/>
      <c r="Y44" s="3519"/>
      <c r="Z44" s="3519"/>
      <c r="AA44" s="3520"/>
      <c r="AB44" s="3515"/>
      <c r="AC44" s="3516"/>
      <c r="AD44" s="3516"/>
      <c r="AE44" s="3517"/>
      <c r="AF44" s="3485"/>
      <c r="AG44" s="3486"/>
      <c r="AH44" s="3487"/>
      <c r="AI44" s="1139" t="str">
        <f t="shared" si="6"/>
        <v/>
      </c>
      <c r="AJ44" s="1427" t="str">
        <f t="shared" si="7"/>
        <v/>
      </c>
      <c r="AK44" s="1416" t="str">
        <f t="shared" si="8"/>
        <v/>
      </c>
      <c r="AL44" s="633"/>
      <c r="AM44" s="3084" t="str">
        <f t="shared" si="10"/>
        <v/>
      </c>
      <c r="AN44" s="3096" t="str">
        <f t="shared" si="11"/>
        <v/>
      </c>
      <c r="AO44" s="3084" t="str">
        <f t="shared" si="9"/>
        <v/>
      </c>
      <c r="AP44" s="3085">
        <f>COUNTIF($AN$41:AN43,V44&amp;AB44&amp;"*")</f>
        <v>3</v>
      </c>
      <c r="AQ44" s="3098" t="str">
        <f>IF(A49="","",VLOOKUP(A49,Tablas!$E$498:$J$564,6,FALSE))</f>
        <v/>
      </c>
      <c r="AR44" s="3085"/>
      <c r="AS44" s="3098" t="str">
        <f>IF(C52="","",VLOOKUP(C52,Tablas!$E$498:$J$564,6,FALSE))</f>
        <v/>
      </c>
      <c r="AT44" s="3084" t="str">
        <f t="shared" si="12"/>
        <v/>
      </c>
      <c r="AU44" s="3085"/>
    </row>
    <row r="45" spans="1:47" ht="12" customHeight="1" x14ac:dyDescent="0.2">
      <c r="A45" s="9"/>
      <c r="B45" s="812"/>
      <c r="C45" s="3586"/>
      <c r="D45" s="3587"/>
      <c r="E45" s="3587"/>
      <c r="F45" s="3588"/>
      <c r="G45" s="3531"/>
      <c r="H45" s="3532"/>
      <c r="I45" s="3532"/>
      <c r="J45" s="3533"/>
      <c r="K45" s="2830"/>
      <c r="L45" s="3490"/>
      <c r="M45" s="3496" t="s">
        <v>1442</v>
      </c>
      <c r="N45" s="3496"/>
      <c r="O45" s="3494"/>
      <c r="P45" s="3494"/>
      <c r="Q45" s="514" t="str">
        <f>IF(Medicina_final="-","-",Medicina_final+O45)</f>
        <v>-</v>
      </c>
      <c r="R45" s="625"/>
      <c r="S45" s="1044">
        <f>IF(V45="",MAX($S$41:S44)+1,0)</f>
        <v>4</v>
      </c>
      <c r="T45" s="1045">
        <f>IF(V45="",0,MAX($T$41:T44)+1)</f>
        <v>0</v>
      </c>
      <c r="U45" s="1065">
        <f>IF(V45="",Tablas!A4,IF(COUNTIF(V$42:V44,V45)&gt;0,V45&amp;COUNTIF(V$42:V44,V45)+1,V45&amp;1))</f>
        <v>4</v>
      </c>
      <c r="V45" s="3518"/>
      <c r="W45" s="3519"/>
      <c r="X45" s="3519"/>
      <c r="Y45" s="3519"/>
      <c r="Z45" s="3519"/>
      <c r="AA45" s="3520"/>
      <c r="AB45" s="3515"/>
      <c r="AC45" s="3516"/>
      <c r="AD45" s="3516"/>
      <c r="AE45" s="3517"/>
      <c r="AF45" s="3485"/>
      <c r="AG45" s="3486"/>
      <c r="AH45" s="3487"/>
      <c r="AI45" s="1139" t="str">
        <f t="shared" si="6"/>
        <v/>
      </c>
      <c r="AJ45" s="1427" t="str">
        <f t="shared" si="7"/>
        <v/>
      </c>
      <c r="AK45" s="1416" t="str">
        <f t="shared" si="8"/>
        <v/>
      </c>
      <c r="AL45" s="633"/>
      <c r="AM45" s="3084" t="str">
        <f t="shared" si="10"/>
        <v/>
      </c>
      <c r="AN45" s="3096" t="str">
        <f t="shared" si="11"/>
        <v/>
      </c>
      <c r="AO45" s="3084" t="str">
        <f t="shared" si="9"/>
        <v/>
      </c>
      <c r="AP45" s="3085">
        <f>COUNTIF($AN$41:AN44,V45&amp;AB45&amp;"*")</f>
        <v>4</v>
      </c>
      <c r="AQ45" s="3096"/>
      <c r="AR45" s="3085"/>
      <c r="AS45" s="3098" t="str">
        <f>IF(C53="","",VLOOKUP(C53,Tablas!$E$498:$J$564,6,FALSE))</f>
        <v/>
      </c>
      <c r="AT45" s="3084" t="str">
        <f t="shared" si="12"/>
        <v/>
      </c>
      <c r="AU45" s="3085"/>
    </row>
    <row r="46" spans="1:47" ht="12" customHeight="1" x14ac:dyDescent="0.2">
      <c r="A46" s="9"/>
      <c r="B46" s="812"/>
      <c r="C46" s="3586"/>
      <c r="D46" s="3587"/>
      <c r="E46" s="3587"/>
      <c r="F46" s="3588"/>
      <c r="G46" s="3531"/>
      <c r="H46" s="3532"/>
      <c r="I46" s="3532"/>
      <c r="J46" s="3533"/>
      <c r="K46" s="2830"/>
      <c r="L46" s="3490"/>
      <c r="M46" s="3496" t="s">
        <v>1443</v>
      </c>
      <c r="N46" s="3496"/>
      <c r="O46" s="3494"/>
      <c r="P46" s="3494"/>
      <c r="Q46" s="514">
        <f>IF(Memorizar_final="-","-",Memorizar_final+O46)</f>
        <v>-30</v>
      </c>
      <c r="R46" s="625"/>
      <c r="S46" s="1044">
        <f>IF(V46="",MAX($S$41:S45)+1,0)</f>
        <v>5</v>
      </c>
      <c r="T46" s="1045">
        <f>IF(V46="",0,MAX($T$41:T45)+1)</f>
        <v>0</v>
      </c>
      <c r="U46" s="1065">
        <f>IF(V46="",Tablas!A5,IF(COUNTIF(V$42:V45,V46)&gt;0,V46&amp;COUNTIF(V$42:V45,V46)+1,V46&amp;1))</f>
        <v>5</v>
      </c>
      <c r="V46" s="3518"/>
      <c r="W46" s="3519"/>
      <c r="X46" s="3519"/>
      <c r="Y46" s="3519"/>
      <c r="Z46" s="3519"/>
      <c r="AA46" s="3520"/>
      <c r="AB46" s="3515"/>
      <c r="AC46" s="3516"/>
      <c r="AD46" s="3516"/>
      <c r="AE46" s="3517"/>
      <c r="AF46" s="3485"/>
      <c r="AG46" s="3486"/>
      <c r="AH46" s="3487"/>
      <c r="AI46" s="1139" t="str">
        <f t="shared" si="6"/>
        <v/>
      </c>
      <c r="AJ46" s="1427" t="str">
        <f t="shared" si="7"/>
        <v/>
      </c>
      <c r="AK46" s="1416" t="str">
        <f t="shared" si="8"/>
        <v/>
      </c>
      <c r="AL46" s="633"/>
      <c r="AM46" s="3084" t="str">
        <f t="shared" si="10"/>
        <v/>
      </c>
      <c r="AN46" s="3096" t="str">
        <f t="shared" si="11"/>
        <v/>
      </c>
      <c r="AO46" s="3084" t="str">
        <f t="shared" si="9"/>
        <v/>
      </c>
      <c r="AP46" s="3085">
        <f>COUNTIF($AN$41:AN45,V46&amp;AB46&amp;"*")</f>
        <v>5</v>
      </c>
      <c r="AQ46" s="3096"/>
      <c r="AR46" s="3085"/>
      <c r="AS46" s="3085"/>
      <c r="AT46" s="3084" t="str">
        <f t="shared" si="12"/>
        <v/>
      </c>
      <c r="AU46" s="3085"/>
    </row>
    <row r="47" spans="1:47" ht="12" customHeight="1" x14ac:dyDescent="0.2">
      <c r="A47" s="9"/>
      <c r="B47" s="812"/>
      <c r="C47" s="3586"/>
      <c r="D47" s="3587"/>
      <c r="E47" s="3587"/>
      <c r="F47" s="3588"/>
      <c r="G47" s="3583"/>
      <c r="H47" s="3584"/>
      <c r="I47" s="3584"/>
      <c r="J47" s="3585"/>
      <c r="K47" s="2809"/>
      <c r="L47" s="3490"/>
      <c r="M47" s="3496" t="s">
        <v>1444</v>
      </c>
      <c r="N47" s="3496"/>
      <c r="O47" s="3494"/>
      <c r="P47" s="3494"/>
      <c r="Q47" s="514">
        <f>IF(Navegación_final="-","-",Navegación_final+O47)</f>
        <v>-30</v>
      </c>
      <c r="R47" s="625"/>
      <c r="S47" s="1044">
        <f>IF(V47="",MAX($S$41:S46)+1,0)</f>
        <v>6</v>
      </c>
      <c r="T47" s="1045">
        <f>IF(V47="",0,MAX($T$41:T46)+1)</f>
        <v>0</v>
      </c>
      <c r="U47" s="1065">
        <f>IF(V47="",Tablas!A6,IF(COUNTIF(V$42:V46,V47)&gt;0,V47&amp;COUNTIF(V$42:V46,V47)+1,V47&amp;1))</f>
        <v>6</v>
      </c>
      <c r="V47" s="3518"/>
      <c r="W47" s="3519"/>
      <c r="X47" s="3519"/>
      <c r="Y47" s="3519"/>
      <c r="Z47" s="3519"/>
      <c r="AA47" s="3520"/>
      <c r="AB47" s="3515"/>
      <c r="AC47" s="3516"/>
      <c r="AD47" s="3516"/>
      <c r="AE47" s="3517"/>
      <c r="AF47" s="3485"/>
      <c r="AG47" s="3486"/>
      <c r="AH47" s="3487"/>
      <c r="AI47" s="1139" t="str">
        <f t="shared" si="6"/>
        <v/>
      </c>
      <c r="AJ47" s="1427" t="str">
        <f t="shared" si="7"/>
        <v/>
      </c>
      <c r="AK47" s="1416" t="str">
        <f t="shared" si="8"/>
        <v/>
      </c>
      <c r="AL47" s="633"/>
      <c r="AM47" s="3084" t="str">
        <f t="shared" si="10"/>
        <v/>
      </c>
      <c r="AN47" s="3096" t="str">
        <f t="shared" si="11"/>
        <v/>
      </c>
      <c r="AO47" s="3084" t="str">
        <f t="shared" si="9"/>
        <v/>
      </c>
      <c r="AP47" s="3085">
        <f>COUNTIF($AN$41:AN46,V47&amp;AB47&amp;"*")</f>
        <v>6</v>
      </c>
      <c r="AQ47" s="3096"/>
      <c r="AR47" s="3085"/>
      <c r="AS47" s="3085"/>
      <c r="AT47" s="3084" t="str">
        <f t="shared" si="12"/>
        <v/>
      </c>
      <c r="AU47" s="3085"/>
    </row>
    <row r="48" spans="1:47" ht="12" customHeight="1" x14ac:dyDescent="0.2">
      <c r="A48" s="9"/>
      <c r="B48" s="812"/>
      <c r="C48" s="3586"/>
      <c r="D48" s="3587"/>
      <c r="E48" s="3587"/>
      <c r="F48" s="3588"/>
      <c r="G48" s="3590" t="s">
        <v>10035</v>
      </c>
      <c r="H48" s="3591"/>
      <c r="I48" s="3591"/>
      <c r="J48" s="2478">
        <f>TRUNC(Nivel_Total/2)+IF(Nivel_Total&gt;=16,(TRUNC((Nivel_Total-14)/2)^2+TRUNC((Nivel_Total-14)/2))/2)-SUM($H$50:$H$53,$J$50:$J$53)-$J$49</f>
        <v>0</v>
      </c>
      <c r="K48" s="2830"/>
      <c r="L48" s="3490"/>
      <c r="M48" s="3496" t="s">
        <v>1445</v>
      </c>
      <c r="N48" s="3496"/>
      <c r="O48" s="3494"/>
      <c r="P48" s="3494"/>
      <c r="Q48" s="514">
        <f>IF(Ocultismo_final="-","-",Ocultismo_final+O48)</f>
        <v>-30</v>
      </c>
      <c r="R48" s="625"/>
      <c r="S48" s="1044">
        <f>IF(V48="",MAX($S$41:S47)+1,0)</f>
        <v>7</v>
      </c>
      <c r="T48" s="1045">
        <f>IF(V48="",0,MAX($T$41:T47)+1)</f>
        <v>0</v>
      </c>
      <c r="U48" s="1065">
        <f>IF(V48="",Tablas!A7,IF(COUNTIF(V$42:V47,V48)&gt;0,V48&amp;COUNTIF(V$42:V47,V48)+1,V48&amp;1))</f>
        <v>7</v>
      </c>
      <c r="V48" s="3518"/>
      <c r="W48" s="3519"/>
      <c r="X48" s="3519"/>
      <c r="Y48" s="3519"/>
      <c r="Z48" s="3519"/>
      <c r="AA48" s="3520"/>
      <c r="AB48" s="3515"/>
      <c r="AC48" s="3516"/>
      <c r="AD48" s="3516"/>
      <c r="AE48" s="3517"/>
      <c r="AF48" s="3485"/>
      <c r="AG48" s="3486"/>
      <c r="AH48" s="3487"/>
      <c r="AI48" s="1139" t="str">
        <f t="shared" si="6"/>
        <v/>
      </c>
      <c r="AJ48" s="1427" t="str">
        <f t="shared" si="7"/>
        <v/>
      </c>
      <c r="AK48" s="1416" t="str">
        <f t="shared" si="8"/>
        <v/>
      </c>
      <c r="AL48" s="633"/>
      <c r="AM48" s="3084" t="str">
        <f t="shared" si="10"/>
        <v/>
      </c>
      <c r="AN48" s="3096" t="str">
        <f t="shared" si="11"/>
        <v/>
      </c>
      <c r="AO48" s="3084" t="str">
        <f t="shared" si="9"/>
        <v/>
      </c>
      <c r="AP48" s="3085">
        <f>COUNTIF($AN$41:AN47,V48&amp;AB48&amp;"*")</f>
        <v>7</v>
      </c>
      <c r="AQ48" s="3096"/>
      <c r="AR48" s="3085"/>
      <c r="AS48" s="3085"/>
      <c r="AT48" s="3084" t="str">
        <f t="shared" si="12"/>
        <v/>
      </c>
      <c r="AU48" s="3085"/>
    </row>
    <row r="49" spans="1:47" ht="12" customHeight="1" x14ac:dyDescent="0.2">
      <c r="A49" s="9"/>
      <c r="B49" s="812"/>
      <c r="C49" s="3664"/>
      <c r="D49" s="3665"/>
      <c r="E49" s="3665"/>
      <c r="F49" s="3666"/>
      <c r="G49" s="3590" t="s">
        <v>10044</v>
      </c>
      <c r="H49" s="3591"/>
      <c r="I49" s="3591"/>
      <c r="J49" s="2602"/>
      <c r="K49" s="2817"/>
      <c r="L49" s="3490"/>
      <c r="M49" s="3496" t="s">
        <v>1446</v>
      </c>
      <c r="N49" s="3496"/>
      <c r="O49" s="3494"/>
      <c r="P49" s="3494"/>
      <c r="Q49" s="514" t="str">
        <f>IF(Tasación_final="-","-",Tasación_final+O49)</f>
        <v>-</v>
      </c>
      <c r="R49" s="625"/>
      <c r="S49" s="1044">
        <f>IF(V49="",MAX($S$41:S48)+1,0)</f>
        <v>8</v>
      </c>
      <c r="T49" s="1045">
        <f>IF(V49="",0,MAX($T$41:T48)+1)</f>
        <v>0</v>
      </c>
      <c r="U49" s="1065">
        <f>IF(V49="",Tablas!A8,IF(COUNTIF(V$42:V48,V49)&gt;0,V49&amp;COUNTIF(V$42:V48,V49)+1,V49&amp;1))</f>
        <v>8</v>
      </c>
      <c r="V49" s="3518"/>
      <c r="W49" s="3519"/>
      <c r="X49" s="3519"/>
      <c r="Y49" s="3519"/>
      <c r="Z49" s="3519"/>
      <c r="AA49" s="3520"/>
      <c r="AB49" s="3515"/>
      <c r="AC49" s="3516"/>
      <c r="AD49" s="3516"/>
      <c r="AE49" s="3517"/>
      <c r="AF49" s="3485"/>
      <c r="AG49" s="3486"/>
      <c r="AH49" s="3487"/>
      <c r="AI49" s="1139" t="str">
        <f t="shared" si="6"/>
        <v/>
      </c>
      <c r="AJ49" s="1427" t="str">
        <f t="shared" si="7"/>
        <v/>
      </c>
      <c r="AK49" s="1416" t="str">
        <f t="shared" si="8"/>
        <v/>
      </c>
      <c r="AL49" s="633"/>
      <c r="AM49" s="3084" t="str">
        <f t="shared" si="10"/>
        <v/>
      </c>
      <c r="AN49" s="3096" t="str">
        <f t="shared" si="11"/>
        <v/>
      </c>
      <c r="AO49" s="3084" t="str">
        <f t="shared" si="9"/>
        <v/>
      </c>
      <c r="AP49" s="3085">
        <f>COUNTIF($AN$41:AN48,V49&amp;AB49&amp;"*")</f>
        <v>8</v>
      </c>
      <c r="AQ49" s="3096"/>
      <c r="AR49" s="3085"/>
      <c r="AS49" s="3085"/>
      <c r="AT49" s="3084" t="str">
        <f t="shared" si="12"/>
        <v/>
      </c>
      <c r="AU49" s="3085"/>
    </row>
    <row r="50" spans="1:47" ht="12" customHeight="1" x14ac:dyDescent="0.2">
      <c r="A50" s="9"/>
      <c r="B50" s="812"/>
      <c r="C50" s="3601" t="s">
        <v>2818</v>
      </c>
      <c r="D50" s="3602"/>
      <c r="E50" s="3602"/>
      <c r="F50" s="3603"/>
      <c r="G50" s="1560" t="s">
        <v>1373</v>
      </c>
      <c r="H50" s="2463"/>
      <c r="I50" s="1560" t="s">
        <v>1385</v>
      </c>
      <c r="J50" s="2464"/>
      <c r="K50" s="2817"/>
      <c r="L50" s="3490"/>
      <c r="M50" s="3496" t="s">
        <v>1447</v>
      </c>
      <c r="N50" s="3496"/>
      <c r="O50" s="3494"/>
      <c r="P50" s="3494"/>
      <c r="Q50" s="514" t="str">
        <f>IF(V.Mágica_final="-","-",V.Mágica_final+O50)</f>
        <v>-</v>
      </c>
      <c r="R50" s="625"/>
      <c r="S50" s="1044">
        <f>IF(V50="",MAX($S$41:S49)+1,0)</f>
        <v>9</v>
      </c>
      <c r="T50" s="1045">
        <f>IF(V50="",0,MAX($T$41:T49)+1)</f>
        <v>0</v>
      </c>
      <c r="U50" s="1065">
        <f>IF(V50="",Tablas!A9,IF(COUNTIF(V$42:V49,V50)&gt;0,V50&amp;COUNTIF(V$42:V49,V50)+1,V50&amp;1))</f>
        <v>9</v>
      </c>
      <c r="V50" s="3518"/>
      <c r="W50" s="3519"/>
      <c r="X50" s="3519"/>
      <c r="Y50" s="3519"/>
      <c r="Z50" s="3519"/>
      <c r="AA50" s="3520"/>
      <c r="AB50" s="3515"/>
      <c r="AC50" s="3516"/>
      <c r="AD50" s="3516"/>
      <c r="AE50" s="3517"/>
      <c r="AF50" s="3485"/>
      <c r="AG50" s="3486"/>
      <c r="AH50" s="3487"/>
      <c r="AI50" s="1139" t="str">
        <f t="shared" si="6"/>
        <v/>
      </c>
      <c r="AJ50" s="1427" t="str">
        <f t="shared" si="7"/>
        <v/>
      </c>
      <c r="AK50" s="1416" t="str">
        <f t="shared" si="8"/>
        <v/>
      </c>
      <c r="AL50" s="633"/>
      <c r="AM50" s="3084" t="str">
        <f t="shared" si="10"/>
        <v/>
      </c>
      <c r="AN50" s="3096" t="str">
        <f t="shared" si="11"/>
        <v/>
      </c>
      <c r="AO50" s="3084" t="str">
        <f t="shared" si="9"/>
        <v/>
      </c>
      <c r="AP50" s="3085">
        <f>COUNTIF($AN$41:AN49,V50&amp;AB50&amp;"*")</f>
        <v>9</v>
      </c>
      <c r="AQ50" s="3096"/>
      <c r="AR50" s="3085"/>
      <c r="AS50" s="3085"/>
      <c r="AT50" s="3084" t="str">
        <f t="shared" si="12"/>
        <v/>
      </c>
      <c r="AU50" s="3085"/>
    </row>
    <row r="51" spans="1:47" ht="12" customHeight="1" x14ac:dyDescent="0.2">
      <c r="A51" s="9"/>
      <c r="B51" s="812"/>
      <c r="C51" s="3658"/>
      <c r="D51" s="3659"/>
      <c r="E51" s="3659"/>
      <c r="F51" s="3660"/>
      <c r="G51" s="1560" t="s">
        <v>1497</v>
      </c>
      <c r="H51" s="2768"/>
      <c r="I51" s="1560" t="s">
        <v>1388</v>
      </c>
      <c r="J51" s="2775"/>
      <c r="K51" s="2817"/>
      <c r="L51" s="3489" t="s">
        <v>1448</v>
      </c>
      <c r="M51" s="3493" t="s">
        <v>1449</v>
      </c>
      <c r="N51" s="3493"/>
      <c r="O51" s="3495"/>
      <c r="P51" s="3495"/>
      <c r="Q51" s="2828">
        <f>IF(Frialdad_final="-","-",Frialdad_final+O51)</f>
        <v>-30</v>
      </c>
      <c r="R51" s="625"/>
      <c r="S51" s="1044">
        <f>IF(V51="",MAX($S$41:S50)+1,0)</f>
        <v>10</v>
      </c>
      <c r="T51" s="1045">
        <f>IF(V51="",0,MAX($T$41:T50)+1)</f>
        <v>0</v>
      </c>
      <c r="U51" s="1065">
        <f>IF(V51="",Tablas!A10,IF(COUNTIF(V$42:V50,V51)&gt;0,V51&amp;COUNTIF(V$42:V50,V51)+1,V51&amp;1))</f>
        <v>10</v>
      </c>
      <c r="V51" s="3518"/>
      <c r="W51" s="3519"/>
      <c r="X51" s="3519"/>
      <c r="Y51" s="3519"/>
      <c r="Z51" s="3519"/>
      <c r="AA51" s="3520"/>
      <c r="AB51" s="3515"/>
      <c r="AC51" s="3516"/>
      <c r="AD51" s="3516"/>
      <c r="AE51" s="3517"/>
      <c r="AF51" s="3485"/>
      <c r="AG51" s="3486"/>
      <c r="AH51" s="3487"/>
      <c r="AI51" s="1139" t="str">
        <f t="shared" si="6"/>
        <v/>
      </c>
      <c r="AJ51" s="1427" t="str">
        <f t="shared" si="7"/>
        <v/>
      </c>
      <c r="AK51" s="1416" t="str">
        <f t="shared" si="8"/>
        <v/>
      </c>
      <c r="AL51" s="633"/>
      <c r="AM51" s="3084" t="str">
        <f t="shared" si="10"/>
        <v/>
      </c>
      <c r="AN51" s="3096" t="str">
        <f t="shared" si="11"/>
        <v/>
      </c>
      <c r="AO51" s="3084" t="str">
        <f t="shared" si="9"/>
        <v/>
      </c>
      <c r="AP51" s="3085">
        <f>COUNTIF($AN$41:AN50,V51&amp;AB51&amp;"*")</f>
        <v>10</v>
      </c>
      <c r="AQ51" s="3096"/>
      <c r="AR51" s="3085"/>
      <c r="AS51" s="3085"/>
      <c r="AT51" s="3084" t="str">
        <f t="shared" si="12"/>
        <v/>
      </c>
      <c r="AU51" s="3085"/>
    </row>
    <row r="52" spans="1:47" ht="12" customHeight="1" x14ac:dyDescent="0.2">
      <c r="A52" s="9"/>
      <c r="B52" s="812"/>
      <c r="C52" s="3592"/>
      <c r="D52" s="3593"/>
      <c r="E52" s="3593"/>
      <c r="F52" s="3594"/>
      <c r="G52" s="1560" t="s">
        <v>1378</v>
      </c>
      <c r="H52" s="2768"/>
      <c r="I52" s="1560" t="s">
        <v>1390</v>
      </c>
      <c r="J52" s="2775"/>
      <c r="K52" s="2831"/>
      <c r="L52" s="3490"/>
      <c r="M52" s="3496" t="s">
        <v>1450</v>
      </c>
      <c r="N52" s="3496"/>
      <c r="O52" s="3494">
        <f>PenNatural</f>
        <v>0</v>
      </c>
      <c r="P52" s="3494"/>
      <c r="Q52" s="514">
        <f>IF(P.Fuerza_final="-","-",P.Fuerza_final+O52)</f>
        <v>-30</v>
      </c>
      <c r="R52" s="625"/>
      <c r="S52" s="1044">
        <f>IF(V52="",MAX($S$41:S51)+1,0)</f>
        <v>11</v>
      </c>
      <c r="T52" s="1045">
        <f>IF(V52="",0,MAX($T$41:T51)+1)</f>
        <v>0</v>
      </c>
      <c r="U52" s="1065">
        <f>IF(V52="",Tablas!A11,IF(COUNTIF(V$42:V51,V52)&gt;0,V52&amp;COUNTIF(V$42:V51,V52)+1,V52&amp;1))</f>
        <v>11</v>
      </c>
      <c r="V52" s="3518"/>
      <c r="W52" s="3519"/>
      <c r="X52" s="3519"/>
      <c r="Y52" s="3519"/>
      <c r="Z52" s="3519"/>
      <c r="AA52" s="3520"/>
      <c r="AB52" s="3515"/>
      <c r="AC52" s="3516"/>
      <c r="AD52" s="3516"/>
      <c r="AE52" s="3517"/>
      <c r="AF52" s="3485"/>
      <c r="AG52" s="3486"/>
      <c r="AH52" s="3487"/>
      <c r="AI52" s="1139" t="str">
        <f t="shared" si="6"/>
        <v/>
      </c>
      <c r="AJ52" s="1427" t="str">
        <f t="shared" si="7"/>
        <v/>
      </c>
      <c r="AK52" s="1416" t="str">
        <f t="shared" si="8"/>
        <v/>
      </c>
      <c r="AL52" s="633"/>
      <c r="AM52" s="3084" t="str">
        <f t="shared" si="10"/>
        <v/>
      </c>
      <c r="AN52" s="3096" t="str">
        <f t="shared" si="11"/>
        <v/>
      </c>
      <c r="AO52" s="3084" t="str">
        <f t="shared" si="9"/>
        <v/>
      </c>
      <c r="AP52" s="3085">
        <f>COUNTIF($AN$41:AN51,V52&amp;AB52&amp;"*")</f>
        <v>11</v>
      </c>
      <c r="AQ52" s="3096"/>
      <c r="AR52" s="3085"/>
      <c r="AS52" s="3085"/>
      <c r="AT52" s="3084" t="str">
        <f t="shared" si="12"/>
        <v/>
      </c>
      <c r="AU52" s="3085"/>
    </row>
    <row r="53" spans="1:47" ht="12" customHeight="1" thickBot="1" x14ac:dyDescent="0.25">
      <c r="A53" s="9"/>
      <c r="B53" s="812"/>
      <c r="C53" s="3635"/>
      <c r="D53" s="3636"/>
      <c r="E53" s="3636"/>
      <c r="F53" s="3637"/>
      <c r="G53" s="2825" t="s">
        <v>1383</v>
      </c>
      <c r="H53" s="2771"/>
      <c r="I53" s="2825" t="s">
        <v>1391</v>
      </c>
      <c r="J53" s="2479"/>
      <c r="K53" s="2831"/>
      <c r="L53" s="3491"/>
      <c r="M53" s="3492" t="s">
        <v>1453</v>
      </c>
      <c r="N53" s="3492"/>
      <c r="O53" s="3488"/>
      <c r="P53" s="3488"/>
      <c r="Q53" s="1588">
        <f>IF(Res.Dolor_final="-","-",Res.Dolor_final+O53)</f>
        <v>-30</v>
      </c>
      <c r="R53" s="625"/>
      <c r="S53" s="1044">
        <f>IF(V53="",MAX($S$41:S52)+1,0)</f>
        <v>12</v>
      </c>
      <c r="T53" s="1045">
        <f>IF(V53="",0,MAX($T$41:T52)+1)</f>
        <v>0</v>
      </c>
      <c r="U53" s="1065">
        <f>IF(V53="",Tablas!A12,IF(COUNTIF(V$42:V52,V53)&gt;0,V53&amp;COUNTIF(V$42:V52,V53)+1,V53&amp;1))</f>
        <v>12</v>
      </c>
      <c r="V53" s="3518"/>
      <c r="W53" s="3519"/>
      <c r="X53" s="3519"/>
      <c r="Y53" s="3519"/>
      <c r="Z53" s="3519"/>
      <c r="AA53" s="3520"/>
      <c r="AB53" s="3515"/>
      <c r="AC53" s="3516"/>
      <c r="AD53" s="3516"/>
      <c r="AE53" s="3517"/>
      <c r="AF53" s="3485"/>
      <c r="AG53" s="3486"/>
      <c r="AH53" s="3487"/>
      <c r="AI53" s="1139" t="str">
        <f t="shared" si="6"/>
        <v/>
      </c>
      <c r="AJ53" s="1427" t="str">
        <f t="shared" si="7"/>
        <v/>
      </c>
      <c r="AK53" s="1416" t="str">
        <f t="shared" si="8"/>
        <v/>
      </c>
      <c r="AL53" s="633"/>
      <c r="AM53" s="3084" t="str">
        <f t="shared" si="10"/>
        <v/>
      </c>
      <c r="AN53" s="3096" t="str">
        <f t="shared" si="11"/>
        <v/>
      </c>
      <c r="AO53" s="3084" t="str">
        <f t="shared" si="9"/>
        <v/>
      </c>
      <c r="AP53" s="3085">
        <f>COUNTIF($AN$41:AN52,V53&amp;AB53&amp;"*")</f>
        <v>12</v>
      </c>
      <c r="AQ53" s="3096"/>
      <c r="AR53" s="3085"/>
      <c r="AS53" s="3085"/>
      <c r="AT53" s="3084" t="str">
        <f t="shared" si="12"/>
        <v/>
      </c>
      <c r="AU53" s="3085"/>
    </row>
    <row r="54" spans="1:47" ht="12" customHeight="1" x14ac:dyDescent="0.2">
      <c r="A54" s="9"/>
      <c r="B54" s="812"/>
      <c r="C54" s="3546" t="str">
        <f>IF(F54&lt;=0,"",IF(COUNTIF(Principal!$AS$43:$AS$45,"Trasfondo")&gt;0,"PC exclusivos trasfondo",""))</f>
        <v/>
      </c>
      <c r="D54" s="3546"/>
      <c r="E54" s="3546"/>
      <c r="F54" s="2832">
        <f>-Tablas!$F$234</f>
        <v>0</v>
      </c>
      <c r="G54" s="3546" t="str">
        <f>IF(J54&lt;=0,"",IF(AND(COUNTIF(Principal!$AS$43:$AS$45,"Don")&gt;0,COUNTIF(Principal!$AS$43:$AS$45,"Psiquicos")&gt;0),"PC exclusivos Don/Psíquicos",IF(COUNTIF(Principal!$AS$43:$AS$45,"Don")&gt;0,"PC exclusivos Don",IF(COUNTIF(Principal!$AS$43:$AS$45,"Psiquicos")&gt;0,"PC exclusivos Psíquica",""))))</f>
        <v/>
      </c>
      <c r="H54" s="3546"/>
      <c r="I54" s="3546"/>
      <c r="J54" s="2832">
        <f>-Tablas!E234</f>
        <v>0</v>
      </c>
      <c r="K54" s="2817"/>
      <c r="L54" s="3490" t="s">
        <v>1456</v>
      </c>
      <c r="M54" s="3496" t="s">
        <v>1457</v>
      </c>
      <c r="N54" s="3496"/>
      <c r="O54" s="3494"/>
      <c r="P54" s="3494"/>
      <c r="Q54" s="514">
        <f>IF(Cerrajería_final="-","-",Cerrajería_final+O54)</f>
        <v>-30</v>
      </c>
      <c r="R54" s="625"/>
      <c r="S54" s="1044">
        <f>IF(V54="",MAX($S$41:S53)+1,0)</f>
        <v>13</v>
      </c>
      <c r="T54" s="1045">
        <f>IF(V54="",0,MAX($T$41:T53)+1)</f>
        <v>0</v>
      </c>
      <c r="U54" s="1065">
        <f>IF(V54="",Tablas!A13,IF(COUNTIF(V$42:V53,V54)&gt;0,V54&amp;COUNTIF(V$42:V53,V54)+1,V54&amp;1))</f>
        <v>13</v>
      </c>
      <c r="V54" s="3518"/>
      <c r="W54" s="3519"/>
      <c r="X54" s="3519"/>
      <c r="Y54" s="3519"/>
      <c r="Z54" s="3519"/>
      <c r="AA54" s="3520"/>
      <c r="AB54" s="3515"/>
      <c r="AC54" s="3516"/>
      <c r="AD54" s="3516"/>
      <c r="AE54" s="3517"/>
      <c r="AF54" s="3485"/>
      <c r="AG54" s="3486"/>
      <c r="AH54" s="3487"/>
      <c r="AI54" s="1139" t="str">
        <f t="shared" si="6"/>
        <v/>
      </c>
      <c r="AJ54" s="1427" t="str">
        <f t="shared" si="7"/>
        <v/>
      </c>
      <c r="AK54" s="1416" t="str">
        <f t="shared" si="8"/>
        <v/>
      </c>
      <c r="AL54" s="633"/>
      <c r="AM54" s="3084" t="str">
        <f t="shared" si="10"/>
        <v/>
      </c>
      <c r="AN54" s="3096" t="str">
        <f t="shared" si="11"/>
        <v/>
      </c>
      <c r="AO54" s="3084" t="str">
        <f t="shared" si="9"/>
        <v/>
      </c>
      <c r="AP54" s="3085">
        <f>COUNTIF($AN$41:AN53,V54&amp;AB54&amp;"*")</f>
        <v>13</v>
      </c>
      <c r="AQ54" s="3096"/>
      <c r="AR54" s="3085"/>
      <c r="AS54" s="3085"/>
      <c r="AT54" s="3084"/>
      <c r="AU54" s="3085"/>
    </row>
    <row r="55" spans="1:47" ht="12" customHeight="1" thickBot="1" x14ac:dyDescent="0.25">
      <c r="A55" s="9"/>
      <c r="B55" s="812"/>
      <c r="C55" s="2395"/>
      <c r="D55" s="2395"/>
      <c r="E55" s="2395"/>
      <c r="F55" s="2395"/>
      <c r="G55" s="2395"/>
      <c r="H55" s="2395"/>
      <c r="I55" s="2395"/>
      <c r="J55" s="2395"/>
      <c r="K55" s="2817"/>
      <c r="L55" s="3490"/>
      <c r="M55" s="3496" t="s">
        <v>1459</v>
      </c>
      <c r="N55" s="3496"/>
      <c r="O55" s="3494"/>
      <c r="P55" s="3494"/>
      <c r="Q55" s="514">
        <f>IF(Disfraz_final="-","-",Disfraz_final+O55)</f>
        <v>-30</v>
      </c>
      <c r="R55" s="625"/>
      <c r="S55" s="1044">
        <f>IF(V55="",MAX($S$41:S54)+1,0)</f>
        <v>14</v>
      </c>
      <c r="T55" s="1045">
        <f>IF(V55="",0,MAX($T$41:T54)+1)</f>
        <v>0</v>
      </c>
      <c r="U55" s="1065">
        <f>IF(V55="",Tablas!A14,IF(COUNTIF(V$42:V54,V55)&gt;0,V55&amp;COUNTIF(V$42:V54,V55)+1,V55&amp;1))</f>
        <v>14</v>
      </c>
      <c r="V55" s="3518"/>
      <c r="W55" s="3519"/>
      <c r="X55" s="3519"/>
      <c r="Y55" s="3519"/>
      <c r="Z55" s="3519"/>
      <c r="AA55" s="3520"/>
      <c r="AB55" s="3515"/>
      <c r="AC55" s="3516"/>
      <c r="AD55" s="3516"/>
      <c r="AE55" s="3517"/>
      <c r="AF55" s="3485"/>
      <c r="AG55" s="3486"/>
      <c r="AH55" s="3487"/>
      <c r="AI55" s="1139" t="str">
        <f t="shared" si="6"/>
        <v/>
      </c>
      <c r="AJ55" s="1427" t="str">
        <f t="shared" si="7"/>
        <v/>
      </c>
      <c r="AK55" s="1416" t="str">
        <f t="shared" si="8"/>
        <v/>
      </c>
      <c r="AL55" s="633"/>
      <c r="AM55" s="3084" t="str">
        <f t="shared" si="10"/>
        <v/>
      </c>
      <c r="AN55" s="3096" t="str">
        <f t="shared" si="11"/>
        <v/>
      </c>
      <c r="AO55" s="3084" t="str">
        <f t="shared" si="9"/>
        <v/>
      </c>
      <c r="AP55" s="3085">
        <f>COUNTIF($AN$41:AN54,V55&amp;AB55&amp;"*")</f>
        <v>14</v>
      </c>
      <c r="AQ55" s="3096"/>
      <c r="AR55" s="3085"/>
      <c r="AS55" s="3085"/>
      <c r="AT55" s="3084" t="s">
        <v>10292</v>
      </c>
      <c r="AU55" s="3085"/>
    </row>
    <row r="56" spans="1:47" ht="12" customHeight="1" x14ac:dyDescent="0.2">
      <c r="A56" s="9"/>
      <c r="B56" s="812"/>
      <c r="C56" s="3625" t="s">
        <v>1451</v>
      </c>
      <c r="D56" s="3547"/>
      <c r="E56" s="3548"/>
      <c r="F56" s="2833" t="s">
        <v>1365</v>
      </c>
      <c r="G56" s="2776" t="s">
        <v>1367</v>
      </c>
      <c r="H56" s="2776" t="s">
        <v>1452</v>
      </c>
      <c r="I56" s="2834" t="s">
        <v>1417</v>
      </c>
      <c r="J56" s="1579" t="s">
        <v>1349</v>
      </c>
      <c r="K56" s="2817"/>
      <c r="L56" s="3490"/>
      <c r="M56" s="3496" t="s">
        <v>1461</v>
      </c>
      <c r="N56" s="3496"/>
      <c r="O56" s="3494">
        <f>PenNatural</f>
        <v>0</v>
      </c>
      <c r="P56" s="3494"/>
      <c r="Q56" s="514">
        <f>IF(Ocultarse_final="-","-",Ocultarse_final+O56)</f>
        <v>-30</v>
      </c>
      <c r="R56" s="625"/>
      <c r="S56" s="1044">
        <f>IF(V56="",MAX($S$41:S55)+1,0)</f>
        <v>15</v>
      </c>
      <c r="T56" s="1045">
        <f>IF(V56="",0,MAX($T$41:T55)+1)</f>
        <v>0</v>
      </c>
      <c r="U56" s="1065">
        <f>IF(V56="",Tablas!A15,IF(COUNTIF(V$42:V55,V56)&gt;0,V56&amp;COUNTIF(V$42:V55,V56)+1,V56&amp;1))</f>
        <v>15</v>
      </c>
      <c r="V56" s="3518"/>
      <c r="W56" s="3519"/>
      <c r="X56" s="3519"/>
      <c r="Y56" s="3519"/>
      <c r="Z56" s="3519"/>
      <c r="AA56" s="3520"/>
      <c r="AB56" s="3515"/>
      <c r="AC56" s="3516"/>
      <c r="AD56" s="3516"/>
      <c r="AE56" s="3517"/>
      <c r="AF56" s="3485"/>
      <c r="AG56" s="3486"/>
      <c r="AH56" s="3487"/>
      <c r="AI56" s="1139" t="str">
        <f t="shared" si="6"/>
        <v/>
      </c>
      <c r="AJ56" s="1427" t="str">
        <f t="shared" si="7"/>
        <v/>
      </c>
      <c r="AK56" s="1416" t="str">
        <f t="shared" si="8"/>
        <v/>
      </c>
      <c r="AL56" s="633"/>
      <c r="AM56" s="3084" t="str">
        <f t="shared" si="10"/>
        <v/>
      </c>
      <c r="AN56" s="3096" t="str">
        <f t="shared" si="11"/>
        <v/>
      </c>
      <c r="AO56" s="3084" t="str">
        <f t="shared" si="9"/>
        <v/>
      </c>
      <c r="AP56" s="3085">
        <f>COUNTIF($AN$41:AN55,V56&amp;AB56&amp;"*")</f>
        <v>15</v>
      </c>
      <c r="AQ56" s="3096"/>
      <c r="AR56" s="3085"/>
      <c r="AS56" s="3085"/>
      <c r="AT56" s="3084" t="str">
        <f>Tablas!$L$2067</f>
        <v/>
      </c>
      <c r="AU56" s="3085"/>
    </row>
    <row r="57" spans="1:47" ht="12" customHeight="1" x14ac:dyDescent="0.2">
      <c r="A57" s="9"/>
      <c r="B57" s="812"/>
      <c r="C57" s="3626"/>
      <c r="D57" s="3549" t="s">
        <v>1454</v>
      </c>
      <c r="E57" s="3550"/>
      <c r="F57" s="1561">
        <f>IF(SUM(PDs!$S$7:$S$16)=0,20,25+(SUM(PDs!$S$7:$S$16)*5))</f>
        <v>20</v>
      </c>
      <c r="G57" s="1562" t="s">
        <v>1455</v>
      </c>
      <c r="H57" s="1562" t="s">
        <v>1455</v>
      </c>
      <c r="I57" s="2234"/>
      <c r="J57" s="1580">
        <f>F57+I57</f>
        <v>20</v>
      </c>
      <c r="K57" s="2831"/>
      <c r="L57" s="3490"/>
      <c r="M57" s="3496" t="s">
        <v>1463</v>
      </c>
      <c r="N57" s="3496"/>
      <c r="O57" s="3494"/>
      <c r="P57" s="3494"/>
      <c r="Q57" s="514">
        <f>IF(Robo_final="-","-",Robo_final+O57)</f>
        <v>-30</v>
      </c>
      <c r="R57" s="625"/>
      <c r="S57" s="1044">
        <f>IF(V57="",MAX($S$41:S56)+1,0)</f>
        <v>16</v>
      </c>
      <c r="T57" s="1045">
        <f>IF(V57="",0,MAX($T$41:T56)+1)</f>
        <v>0</v>
      </c>
      <c r="U57" s="1065">
        <f>IF(V57="",Tablas!A16,IF(COUNTIF(V$42:V56,V57)&gt;0,V57&amp;COUNTIF(V$42:V56,V57)+1,V57&amp;1))</f>
        <v>16</v>
      </c>
      <c r="V57" s="3518"/>
      <c r="W57" s="3519"/>
      <c r="X57" s="3519"/>
      <c r="Y57" s="3519"/>
      <c r="Z57" s="3519"/>
      <c r="AA57" s="3520"/>
      <c r="AB57" s="3515"/>
      <c r="AC57" s="3516"/>
      <c r="AD57" s="3516"/>
      <c r="AE57" s="3517"/>
      <c r="AF57" s="3485"/>
      <c r="AG57" s="3486"/>
      <c r="AH57" s="3487"/>
      <c r="AI57" s="1139" t="str">
        <f t="shared" si="6"/>
        <v/>
      </c>
      <c r="AJ57" s="1427" t="str">
        <f t="shared" si="7"/>
        <v/>
      </c>
      <c r="AK57" s="1416" t="str">
        <f t="shared" si="8"/>
        <v/>
      </c>
      <c r="AL57" s="633"/>
      <c r="AM57" s="3084" t="str">
        <f t="shared" si="10"/>
        <v/>
      </c>
      <c r="AN57" s="3096" t="str">
        <f t="shared" si="11"/>
        <v/>
      </c>
      <c r="AO57" s="3084" t="str">
        <f t="shared" si="9"/>
        <v/>
      </c>
      <c r="AP57" s="3085">
        <f>COUNTIF($AN$41:AN56,V57&amp;AB57&amp;"*")</f>
        <v>16</v>
      </c>
      <c r="AQ57" s="3096"/>
      <c r="AR57" s="3085"/>
      <c r="AS57" s="3085"/>
      <c r="AT57" s="3084" t="str">
        <f>Tablas!$O$2067</f>
        <v/>
      </c>
      <c r="AU57" s="3085"/>
    </row>
    <row r="58" spans="1:47" ht="12" customHeight="1" x14ac:dyDescent="0.2">
      <c r="A58" s="9"/>
      <c r="B58" s="812"/>
      <c r="C58" s="3626"/>
      <c r="D58" s="3551" t="s">
        <v>1458</v>
      </c>
      <c r="E58" s="3552"/>
      <c r="F58" s="1563">
        <f>$F$57</f>
        <v>20</v>
      </c>
      <c r="G58" s="2718">
        <f>$H$12</f>
        <v>0</v>
      </c>
      <c r="H58" s="271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7"/>
      <c r="L58" s="3490"/>
      <c r="M58" s="3496" t="s">
        <v>1465</v>
      </c>
      <c r="N58" s="3496"/>
      <c r="O58" s="3494">
        <f>PenNatural-MIN(MAX(LlevarArmadura_final-Combate!H16,0)+Combate!H17,0)+MIN(Combate!H17+MAX(LlevarArmadura_final-Combate!H16,0),ROUNDDOWN(Combate!H17/2,0))</f>
        <v>0</v>
      </c>
      <c r="P58" s="3494"/>
      <c r="Q58" s="514">
        <f>IF(Sigilo_final="-","-",Sigilo_final+O58)</f>
        <v>-30</v>
      </c>
      <c r="R58" s="625"/>
      <c r="S58" s="1044">
        <f>IF(V58="",MAX($S$41:S57)+1,0)</f>
        <v>17</v>
      </c>
      <c r="T58" s="1045">
        <f>IF(V58="",0,MAX($T$41:T57)+1)</f>
        <v>0</v>
      </c>
      <c r="U58" s="1065">
        <f>IF(V58="",Tablas!A17,IF(COUNTIF(V$42:V57,V58)&gt;0,V58&amp;COUNTIF(V$42:V57,V58)+1,V58&amp;1))</f>
        <v>17</v>
      </c>
      <c r="V58" s="3518"/>
      <c r="W58" s="3519"/>
      <c r="X58" s="3519"/>
      <c r="Y58" s="3519"/>
      <c r="Z58" s="3519"/>
      <c r="AA58" s="3520"/>
      <c r="AB58" s="3515"/>
      <c r="AC58" s="3516"/>
      <c r="AD58" s="3516"/>
      <c r="AE58" s="3517"/>
      <c r="AF58" s="3485"/>
      <c r="AG58" s="3486"/>
      <c r="AH58" s="3487"/>
      <c r="AI58" s="1139" t="str">
        <f t="shared" si="6"/>
        <v/>
      </c>
      <c r="AJ58" s="1427" t="str">
        <f t="shared" si="7"/>
        <v/>
      </c>
      <c r="AK58" s="1416" t="str">
        <f t="shared" si="8"/>
        <v/>
      </c>
      <c r="AL58" s="633"/>
      <c r="AM58" s="3084" t="str">
        <f t="shared" si="10"/>
        <v/>
      </c>
      <c r="AN58" s="3096" t="str">
        <f t="shared" si="11"/>
        <v/>
      </c>
      <c r="AO58" s="3084" t="str">
        <f t="shared" si="9"/>
        <v/>
      </c>
      <c r="AP58" s="3085">
        <f>COUNTIF($AN$41:AN57,V58&amp;AB58&amp;"*")</f>
        <v>17</v>
      </c>
      <c r="AQ58" s="3096"/>
      <c r="AR58" s="3085"/>
      <c r="AS58" s="3085"/>
      <c r="AT58" s="3084" t="str">
        <f>Tablas!$R$2067</f>
        <v/>
      </c>
      <c r="AU58" s="3085"/>
    </row>
    <row r="59" spans="1:47" ht="12" customHeight="1" x14ac:dyDescent="0.2">
      <c r="A59" s="9"/>
      <c r="B59" s="812"/>
      <c r="C59" s="3626"/>
      <c r="D59" s="3551" t="s">
        <v>1460</v>
      </c>
      <c r="E59" s="3552"/>
      <c r="F59" s="1563">
        <f>$F$57</f>
        <v>20</v>
      </c>
      <c r="G59" s="2718">
        <f>$H$12</f>
        <v>0</v>
      </c>
      <c r="H59" s="271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7"/>
      <c r="L59" s="3490"/>
      <c r="M59" s="3496" t="s">
        <v>1467</v>
      </c>
      <c r="N59" s="3496"/>
      <c r="O59" s="3494"/>
      <c r="P59" s="3494"/>
      <c r="Q59" s="514">
        <f>IF(Trampería_final="-","-",Trampería_final+O59)</f>
        <v>-30</v>
      </c>
      <c r="R59" s="625"/>
      <c r="S59" s="1044">
        <f>IF(V59="",MAX($S$41:S58)+1,0)</f>
        <v>18</v>
      </c>
      <c r="T59" s="1045">
        <f>IF(V59="",0,MAX($T$41:T58)+1)</f>
        <v>0</v>
      </c>
      <c r="U59" s="1065">
        <f>IF(V59="",Tablas!A18,IF(COUNTIF(V$42:V58,V59)&gt;0,V59&amp;COUNTIF(V$42:V58,V59)+1,V59&amp;1))</f>
        <v>18</v>
      </c>
      <c r="V59" s="3518"/>
      <c r="W59" s="3519"/>
      <c r="X59" s="3519"/>
      <c r="Y59" s="3519"/>
      <c r="Z59" s="3519"/>
      <c r="AA59" s="3520"/>
      <c r="AB59" s="3515"/>
      <c r="AC59" s="3516"/>
      <c r="AD59" s="3516"/>
      <c r="AE59" s="3517"/>
      <c r="AF59" s="3485"/>
      <c r="AG59" s="3486"/>
      <c r="AH59" s="3487"/>
      <c r="AI59" s="1139" t="str">
        <f t="shared" si="6"/>
        <v/>
      </c>
      <c r="AJ59" s="1427" t="str">
        <f t="shared" si="7"/>
        <v/>
      </c>
      <c r="AK59" s="1416" t="str">
        <f t="shared" si="8"/>
        <v/>
      </c>
      <c r="AL59" s="633"/>
      <c r="AM59" s="3084" t="str">
        <f t="shared" si="10"/>
        <v/>
      </c>
      <c r="AN59" s="3096" t="str">
        <f t="shared" si="11"/>
        <v/>
      </c>
      <c r="AO59" s="3084" t="str">
        <f t="shared" si="9"/>
        <v/>
      </c>
      <c r="AP59" s="3085">
        <f>COUNTIF($AN$41:AN58,V59&amp;AB59&amp;"*")</f>
        <v>18</v>
      </c>
      <c r="AQ59" s="3096"/>
      <c r="AR59" s="3085"/>
      <c r="AS59" s="3085"/>
      <c r="AT59" s="3084" t="str">
        <f>Tablas!$U$2067</f>
        <v/>
      </c>
      <c r="AU59" s="3085"/>
    </row>
    <row r="60" spans="1:47" ht="12" customHeight="1" x14ac:dyDescent="0.2">
      <c r="A60" s="9"/>
      <c r="B60" s="812"/>
      <c r="C60" s="3626"/>
      <c r="D60" s="3551" t="s">
        <v>1462</v>
      </c>
      <c r="E60" s="3552"/>
      <c r="F60" s="1563">
        <f>$F$57</f>
        <v>20</v>
      </c>
      <c r="G60" s="2718">
        <f>$H$12</f>
        <v>0</v>
      </c>
      <c r="H60" s="271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7"/>
      <c r="L60" s="3490"/>
      <c r="M60" s="3496" t="s">
        <v>1468</v>
      </c>
      <c r="N60" s="3496"/>
      <c r="O60" s="3494"/>
      <c r="P60" s="3494"/>
      <c r="Q60" s="514" t="str">
        <f>IF(Venenos_final="-","-",Venenos_final+O60)</f>
        <v>-</v>
      </c>
      <c r="R60" s="625"/>
      <c r="S60" s="1044">
        <f>IF(V60="",MAX($S$41:S59)+1,0)</f>
        <v>19</v>
      </c>
      <c r="T60" s="1045">
        <f>IF(V60="",0,MAX($T$41:T59)+1)</f>
        <v>0</v>
      </c>
      <c r="U60" s="1065">
        <f>IF(V60="",Tablas!A19,IF(COUNTIF(V$42:V59,V60)&gt;0,V60&amp;COUNTIF(V$42:V59,V60)+1,V60&amp;1))</f>
        <v>19</v>
      </c>
      <c r="V60" s="3518"/>
      <c r="W60" s="3519"/>
      <c r="X60" s="3519"/>
      <c r="Y60" s="3519"/>
      <c r="Z60" s="3519"/>
      <c r="AA60" s="3520"/>
      <c r="AB60" s="3515"/>
      <c r="AC60" s="3516"/>
      <c r="AD60" s="3516"/>
      <c r="AE60" s="3517"/>
      <c r="AF60" s="3485"/>
      <c r="AG60" s="3486"/>
      <c r="AH60" s="3487"/>
      <c r="AI60" s="1139" t="str">
        <f t="shared" si="6"/>
        <v/>
      </c>
      <c r="AJ60" s="1427" t="str">
        <f t="shared" si="7"/>
        <v/>
      </c>
      <c r="AK60" s="1416" t="str">
        <f t="shared" si="8"/>
        <v/>
      </c>
      <c r="AL60" s="633"/>
      <c r="AM60" s="3084" t="str">
        <f t="shared" si="10"/>
        <v/>
      </c>
      <c r="AN60" s="3096" t="str">
        <f t="shared" si="11"/>
        <v/>
      </c>
      <c r="AO60" s="3084" t="str">
        <f t="shared" si="9"/>
        <v/>
      </c>
      <c r="AP60" s="3085">
        <f>COUNTIF($AN$41:AN59,V60&amp;AB60&amp;"*")</f>
        <v>19</v>
      </c>
      <c r="AQ60" s="3096"/>
      <c r="AR60" s="3085"/>
      <c r="AS60" s="3085"/>
      <c r="AT60" s="3084" t="str">
        <f>Tablas!$X$2067</f>
        <v/>
      </c>
      <c r="AU60" s="3085"/>
    </row>
    <row r="61" spans="1:47" ht="12" customHeight="1" x14ac:dyDescent="0.2">
      <c r="A61" s="9"/>
      <c r="B61" s="812"/>
      <c r="C61" s="3626"/>
      <c r="D61" s="3551" t="s">
        <v>1464</v>
      </c>
      <c r="E61" s="3552"/>
      <c r="F61" s="1563">
        <f>$F$57</f>
        <v>20</v>
      </c>
      <c r="G61" s="2718">
        <f>H17</f>
        <v>0</v>
      </c>
      <c r="H61" s="271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7"/>
      <c r="L61" s="3489" t="s">
        <v>1469</v>
      </c>
      <c r="M61" s="3493" t="s">
        <v>1470</v>
      </c>
      <c r="N61" s="3493"/>
      <c r="O61" s="3495"/>
      <c r="P61" s="3495"/>
      <c r="Q61" s="2828">
        <f>IF(Arte_final="-","-",Arte_final+O61)</f>
        <v>-30</v>
      </c>
      <c r="R61" s="625"/>
      <c r="S61" s="1044">
        <f>IF(V61="",MAX($S$41:S60)+1,0)</f>
        <v>20</v>
      </c>
      <c r="T61" s="1045">
        <f>IF(V61="",0,MAX($T$41:T60)+1)</f>
        <v>0</v>
      </c>
      <c r="U61" s="1065">
        <f>IF(V61="",Tablas!A20,IF(COUNTIF(V$42:V60,V61)&gt;0,V61&amp;COUNTIF(V$42:V60,V61)+1,V61&amp;1))</f>
        <v>20</v>
      </c>
      <c r="V61" s="3518"/>
      <c r="W61" s="3519"/>
      <c r="X61" s="3519"/>
      <c r="Y61" s="3519"/>
      <c r="Z61" s="3519"/>
      <c r="AA61" s="3520"/>
      <c r="AB61" s="3515"/>
      <c r="AC61" s="3516"/>
      <c r="AD61" s="3516"/>
      <c r="AE61" s="3517"/>
      <c r="AF61" s="3485"/>
      <c r="AG61" s="3486"/>
      <c r="AH61" s="3487"/>
      <c r="AI61" s="1139" t="str">
        <f t="shared" si="6"/>
        <v/>
      </c>
      <c r="AJ61" s="1427" t="str">
        <f t="shared" si="7"/>
        <v/>
      </c>
      <c r="AK61" s="1416" t="str">
        <f t="shared" si="8"/>
        <v/>
      </c>
      <c r="AL61" s="633"/>
      <c r="AM61" s="3084" t="str">
        <f t="shared" si="10"/>
        <v/>
      </c>
      <c r="AN61" s="3096" t="str">
        <f t="shared" si="11"/>
        <v/>
      </c>
      <c r="AO61" s="3084" t="str">
        <f t="shared" si="9"/>
        <v/>
      </c>
      <c r="AP61" s="3085">
        <f>COUNTIF($AN$41:AN60,V61&amp;AB61&amp;"*")</f>
        <v>20</v>
      </c>
      <c r="AQ61" s="3096"/>
      <c r="AR61" s="3085"/>
      <c r="AS61" s="3085"/>
      <c r="AT61" s="3084" t="str">
        <f>Tablas!$AA$2067</f>
        <v/>
      </c>
      <c r="AU61" s="3085"/>
    </row>
    <row r="62" spans="1:47" ht="12" customHeight="1" x14ac:dyDescent="0.2">
      <c r="A62" s="9"/>
      <c r="B62" s="812"/>
      <c r="C62" s="3626"/>
      <c r="D62" s="3589" t="s">
        <v>1466</v>
      </c>
      <c r="E62" s="3343"/>
      <c r="F62" s="1564">
        <f>$F$57</f>
        <v>20</v>
      </c>
      <c r="G62" s="2835">
        <f>H18</f>
        <v>0</v>
      </c>
      <c r="H62" s="283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6">
        <f>SUM(F62:I62)+IF(CuerpodeVacío,20,0)+Tablas!$G$271*25+Tablas!$G$272*50+Tablas!$K$1768+Tablas!$S$1426+'Tablas psiquica'!$AH$8</f>
        <v>20</v>
      </c>
      <c r="K62" s="2817"/>
      <c r="L62" s="3490"/>
      <c r="M62" s="3496" t="s">
        <v>1471</v>
      </c>
      <c r="N62" s="3496"/>
      <c r="O62" s="3494">
        <f>PenNatural</f>
        <v>0</v>
      </c>
      <c r="P62" s="3494"/>
      <c r="Q62" s="514" t="str">
        <f>IF(Baile_final="-","-",Baile_final+O62)</f>
        <v>-</v>
      </c>
      <c r="R62" s="625"/>
      <c r="S62" s="1044">
        <f>IF(V62="",MAX($S$41:S61)+1,0)</f>
        <v>21</v>
      </c>
      <c r="T62" s="1045">
        <f>IF(V62="",0,MAX($T$41:T61)+1)</f>
        <v>0</v>
      </c>
      <c r="U62" s="1065">
        <f>IF(V62="",Tablas!A21,IF(COUNTIF(V$42:V61,V62)&gt;0,V62&amp;COUNTIF(V$42:V61,V62)+1,V62&amp;1))</f>
        <v>21</v>
      </c>
      <c r="V62" s="3518"/>
      <c r="W62" s="3519"/>
      <c r="X62" s="3519"/>
      <c r="Y62" s="3519"/>
      <c r="Z62" s="3519"/>
      <c r="AA62" s="3520"/>
      <c r="AB62" s="3515"/>
      <c r="AC62" s="3516"/>
      <c r="AD62" s="3516"/>
      <c r="AE62" s="3517"/>
      <c r="AF62" s="3485"/>
      <c r="AG62" s="3486"/>
      <c r="AH62" s="3487"/>
      <c r="AI62" s="1139" t="str">
        <f t="shared" si="6"/>
        <v/>
      </c>
      <c r="AJ62" s="1427" t="str">
        <f t="shared" si="7"/>
        <v/>
      </c>
      <c r="AK62" s="1416" t="str">
        <f t="shared" si="8"/>
        <v/>
      </c>
      <c r="AL62" s="633"/>
      <c r="AM62" s="3084" t="str">
        <f t="shared" si="10"/>
        <v/>
      </c>
      <c r="AN62" s="3096" t="str">
        <f t="shared" si="11"/>
        <v/>
      </c>
      <c r="AO62" s="3084" t="str">
        <f t="shared" si="9"/>
        <v/>
      </c>
      <c r="AP62" s="3085">
        <f>COUNTIF($AN$41:AN61,V62&amp;AB62&amp;"*")</f>
        <v>21</v>
      </c>
      <c r="AQ62" s="3096"/>
      <c r="AR62" s="3085"/>
      <c r="AS62" s="3085"/>
      <c r="AT62" s="3084" t="str">
        <f>Tablas!$AD$2067</f>
        <v/>
      </c>
      <c r="AU62" s="3085"/>
    </row>
    <row r="63" spans="1:47" ht="12" customHeight="1" x14ac:dyDescent="0.2">
      <c r="A63" s="9"/>
      <c r="B63" s="812"/>
      <c r="C63" s="3627"/>
      <c r="D63" s="3605" t="s">
        <v>1379</v>
      </c>
      <c r="E63" s="3629"/>
      <c r="F63" s="3629"/>
      <c r="G63" s="3629"/>
      <c r="H63" s="3629"/>
      <c r="I63" s="3629"/>
      <c r="J63" s="3630"/>
      <c r="K63" s="2817"/>
      <c r="L63" s="3490"/>
      <c r="M63" s="3496" t="s">
        <v>1472</v>
      </c>
      <c r="N63" s="3496"/>
      <c r="O63" s="3494"/>
      <c r="P63" s="3494"/>
      <c r="Q63" s="514" t="str">
        <f>IF(Forja_final="-","-",Forja_final+O63)</f>
        <v>-</v>
      </c>
      <c r="R63" s="625"/>
      <c r="S63" s="1044">
        <f>IF(V63="",MAX($S$41:S62)+1,0)</f>
        <v>22</v>
      </c>
      <c r="T63" s="1045">
        <f>IF(V63="",0,MAX($T$41:T62)+1)</f>
        <v>0</v>
      </c>
      <c r="U63" s="1065">
        <f>IF(V63="",Tablas!A22,IF(COUNTIF(V$42:V62,V63)&gt;0,V63&amp;COUNTIF(V$42:V62,V63)+1,V63&amp;1))</f>
        <v>22</v>
      </c>
      <c r="V63" s="3518"/>
      <c r="W63" s="3519"/>
      <c r="X63" s="3519"/>
      <c r="Y63" s="3519"/>
      <c r="Z63" s="3519"/>
      <c r="AA63" s="3520"/>
      <c r="AB63" s="3515"/>
      <c r="AC63" s="3516"/>
      <c r="AD63" s="3516"/>
      <c r="AE63" s="3517"/>
      <c r="AF63" s="3485"/>
      <c r="AG63" s="3486"/>
      <c r="AH63" s="3487"/>
      <c r="AI63" s="1139" t="str">
        <f t="shared" si="6"/>
        <v/>
      </c>
      <c r="AJ63" s="1427" t="str">
        <f t="shared" si="7"/>
        <v/>
      </c>
      <c r="AK63" s="1416" t="str">
        <f t="shared" si="8"/>
        <v/>
      </c>
      <c r="AL63" s="633"/>
      <c r="AM63" s="3084" t="str">
        <f t="shared" si="10"/>
        <v/>
      </c>
      <c r="AN63" s="3096" t="str">
        <f t="shared" si="11"/>
        <v/>
      </c>
      <c r="AO63" s="3084" t="str">
        <f t="shared" si="9"/>
        <v/>
      </c>
      <c r="AP63" s="3085">
        <f>COUNTIF($AN$41:AN62,V63&amp;AB63&amp;"*")</f>
        <v>22</v>
      </c>
      <c r="AQ63" s="3096"/>
      <c r="AR63" s="3085"/>
      <c r="AS63" s="3085"/>
      <c r="AT63" s="3084" t="str">
        <f>Tablas!$AG$2067</f>
        <v/>
      </c>
      <c r="AU63" s="3085"/>
    </row>
    <row r="64" spans="1:47" ht="12" customHeight="1" x14ac:dyDescent="0.2">
      <c r="A64" s="9"/>
      <c r="B64" s="812"/>
      <c r="C64" s="3627"/>
      <c r="D64" s="3605"/>
      <c r="E64" s="3631"/>
      <c r="F64" s="3631"/>
      <c r="G64" s="3631"/>
      <c r="H64" s="3631"/>
      <c r="I64" s="3631"/>
      <c r="J64" s="3632"/>
      <c r="K64" s="2817"/>
      <c r="L64" s="3490"/>
      <c r="M64" s="3496" t="s">
        <v>813</v>
      </c>
      <c r="N64" s="3496"/>
      <c r="O64" s="3494"/>
      <c r="P64" s="3494"/>
      <c r="Q64" s="514">
        <f>IF(Runas_final="-","-",Runas_final+O64)</f>
        <v>-30</v>
      </c>
      <c r="R64" s="625"/>
      <c r="S64" s="1044">
        <f>IF(V64="",MAX($S$41:S63)+1,0)</f>
        <v>23</v>
      </c>
      <c r="T64" s="1045">
        <f>IF(V64="",0,MAX($T$41:T63)+1)</f>
        <v>0</v>
      </c>
      <c r="U64" s="1065">
        <f>IF(V64="",Tablas!A23,IF(COUNTIF(V$42:V63,V64)&gt;0,V64&amp;COUNTIF(V$42:V63,V64)+1,V64&amp;1))</f>
        <v>23</v>
      </c>
      <c r="V64" s="3518"/>
      <c r="W64" s="3519"/>
      <c r="X64" s="3519"/>
      <c r="Y64" s="3519"/>
      <c r="Z64" s="3519"/>
      <c r="AA64" s="3520"/>
      <c r="AB64" s="3515"/>
      <c r="AC64" s="3516"/>
      <c r="AD64" s="3516"/>
      <c r="AE64" s="3517"/>
      <c r="AF64" s="3485"/>
      <c r="AG64" s="3486"/>
      <c r="AH64" s="3487"/>
      <c r="AI64" s="1139" t="str">
        <f t="shared" si="6"/>
        <v/>
      </c>
      <c r="AJ64" s="1427" t="str">
        <f t="shared" si="7"/>
        <v/>
      </c>
      <c r="AK64" s="1416" t="str">
        <f t="shared" si="8"/>
        <v/>
      </c>
      <c r="AL64" s="633"/>
      <c r="AM64" s="3084" t="str">
        <f t="shared" si="10"/>
        <v/>
      </c>
      <c r="AN64" s="3096" t="str">
        <f t="shared" si="11"/>
        <v/>
      </c>
      <c r="AO64" s="3084" t="str">
        <f t="shared" si="9"/>
        <v/>
      </c>
      <c r="AP64" s="3085">
        <f>COUNTIF($AN$41:AN63,V64&amp;AB64&amp;"*")</f>
        <v>23</v>
      </c>
      <c r="AQ64" s="3096"/>
      <c r="AR64" s="3085"/>
      <c r="AS64" s="3085"/>
      <c r="AT64" s="3084" t="str">
        <f>Tablas!$AJ$2067</f>
        <v/>
      </c>
      <c r="AU64" s="3085"/>
    </row>
    <row r="65" spans="1:47" ht="12" customHeight="1" thickBot="1" x14ac:dyDescent="0.25">
      <c r="A65" s="9"/>
      <c r="B65" s="812"/>
      <c r="C65" s="3628"/>
      <c r="D65" s="3544" t="str">
        <f>IFERROR(LEFT(AT36,LEN(AT36)-2),"")</f>
        <v/>
      </c>
      <c r="E65" s="3544"/>
      <c r="F65" s="3544"/>
      <c r="G65" s="3544"/>
      <c r="H65" s="3544"/>
      <c r="I65" s="3544"/>
      <c r="J65" s="3545"/>
      <c r="K65" s="2817"/>
      <c r="L65" s="3490"/>
      <c r="M65" s="3496" t="s">
        <v>814</v>
      </c>
      <c r="N65" s="3496"/>
      <c r="O65" s="3494"/>
      <c r="P65" s="3494"/>
      <c r="Q65" s="514">
        <f>IF(Alquimia_final="-","-",Alquimia_final+O65)</f>
        <v>-30</v>
      </c>
      <c r="R65" s="625"/>
      <c r="S65" s="1044">
        <f>IF(V65="",MAX($S$41:S64)+1,0)</f>
        <v>24</v>
      </c>
      <c r="T65" s="1045">
        <f>IF(V65="",0,MAX($T$41:T64)+1)</f>
        <v>0</v>
      </c>
      <c r="U65" s="1065">
        <f>IF(V65="",Tablas!A24,IF(COUNTIF(V$42:V64,V65)&gt;0,V65&amp;COUNTIF(V$42:V64,V65)+1,V65&amp;1))</f>
        <v>24</v>
      </c>
      <c r="V65" s="3518"/>
      <c r="W65" s="3519"/>
      <c r="X65" s="3519"/>
      <c r="Y65" s="3519"/>
      <c r="Z65" s="3519"/>
      <c r="AA65" s="3520"/>
      <c r="AB65" s="3515"/>
      <c r="AC65" s="3516"/>
      <c r="AD65" s="3516"/>
      <c r="AE65" s="3517"/>
      <c r="AF65" s="3485"/>
      <c r="AG65" s="3486"/>
      <c r="AH65" s="3487"/>
      <c r="AI65" s="1139" t="str">
        <f t="shared" si="6"/>
        <v/>
      </c>
      <c r="AJ65" s="1427" t="str">
        <f t="shared" si="7"/>
        <v/>
      </c>
      <c r="AK65" s="1416" t="str">
        <f t="shared" si="8"/>
        <v/>
      </c>
      <c r="AL65" s="633"/>
      <c r="AM65" s="3084" t="str">
        <f t="shared" si="10"/>
        <v/>
      </c>
      <c r="AN65" s="3096" t="str">
        <f t="shared" si="11"/>
        <v/>
      </c>
      <c r="AO65" s="3084" t="str">
        <f t="shared" si="9"/>
        <v/>
      </c>
      <c r="AP65" s="3085">
        <f>COUNTIF($AN$41:AN64,V65&amp;AB65&amp;"*")</f>
        <v>24</v>
      </c>
      <c r="AQ65" s="3096"/>
      <c r="AR65" s="3085"/>
      <c r="AS65" s="3085"/>
      <c r="AT65" s="3084" t="str">
        <f>Tablas!$AM$2067</f>
        <v/>
      </c>
      <c r="AU65" s="3085"/>
    </row>
    <row r="66" spans="1:47" ht="12" customHeight="1" thickBot="1" x14ac:dyDescent="0.25">
      <c r="A66" s="9"/>
      <c r="B66" s="812"/>
      <c r="C66" s="2395"/>
      <c r="D66" s="2395"/>
      <c r="E66" s="2395"/>
      <c r="F66" s="2395"/>
      <c r="G66" s="2395"/>
      <c r="H66" s="2395"/>
      <c r="I66" s="2395"/>
      <c r="J66" s="2395"/>
      <c r="K66" s="2817"/>
      <c r="L66" s="3490"/>
      <c r="M66" s="3496" t="s">
        <v>815</v>
      </c>
      <c r="N66" s="3496"/>
      <c r="O66" s="3494"/>
      <c r="P66" s="3494"/>
      <c r="Q66" s="514">
        <f>IF(Animismo_final="-","-",Animismo_final+O66)</f>
        <v>-30</v>
      </c>
      <c r="R66" s="625"/>
      <c r="S66" s="1044">
        <f>IF(V66="",MAX($S$41:S65)+1,0)</f>
        <v>25</v>
      </c>
      <c r="T66" s="1045">
        <f>IF(V66="",0,MAX($T$41:T65)+1)</f>
        <v>0</v>
      </c>
      <c r="U66" s="1065">
        <f>IF(V66="",Tablas!A25,IF(COUNTIF(V$42:V65,V66)&gt;0,V66&amp;COUNTIF(V$42:V65,V66)+1,V66&amp;1))</f>
        <v>25</v>
      </c>
      <c r="V66" s="3518"/>
      <c r="W66" s="3519"/>
      <c r="X66" s="3519"/>
      <c r="Y66" s="3519"/>
      <c r="Z66" s="3519"/>
      <c r="AA66" s="3520"/>
      <c r="AB66" s="3515"/>
      <c r="AC66" s="3516"/>
      <c r="AD66" s="3516"/>
      <c r="AE66" s="3517"/>
      <c r="AF66" s="3485"/>
      <c r="AG66" s="3486"/>
      <c r="AH66" s="3487"/>
      <c r="AI66" s="1139" t="str">
        <f t="shared" si="6"/>
        <v/>
      </c>
      <c r="AJ66" s="1427" t="str">
        <f t="shared" si="7"/>
        <v/>
      </c>
      <c r="AK66" s="1416" t="str">
        <f t="shared" si="8"/>
        <v/>
      </c>
      <c r="AL66" s="633"/>
      <c r="AM66" s="3084" t="str">
        <f t="shared" si="10"/>
        <v/>
      </c>
      <c r="AN66" s="3096" t="str">
        <f t="shared" si="11"/>
        <v/>
      </c>
      <c r="AO66" s="3084" t="str">
        <f t="shared" si="9"/>
        <v/>
      </c>
      <c r="AP66" s="3085">
        <f>COUNTIF($AN$41:AN65,V66&amp;AB66&amp;"*")</f>
        <v>25</v>
      </c>
      <c r="AQ66" s="3096"/>
      <c r="AR66" s="3085"/>
      <c r="AS66" s="3085"/>
      <c r="AT66" s="3084"/>
      <c r="AU66" s="3085"/>
    </row>
    <row r="67" spans="1:47" ht="12" customHeight="1" thickBot="1" x14ac:dyDescent="0.25">
      <c r="A67" s="9"/>
      <c r="B67" s="812"/>
      <c r="C67" s="3158" t="s">
        <v>10209</v>
      </c>
      <c r="D67" s="3606"/>
      <c r="E67" s="1581">
        <f>IF(INT=0,0,VLOOKUP(INT,Tabla_Idiomas,2))</f>
        <v>0</v>
      </c>
      <c r="F67" s="2395"/>
      <c r="G67" s="3607" t="s">
        <v>9598</v>
      </c>
      <c r="H67" s="3608"/>
      <c r="I67" s="3608"/>
      <c r="J67" s="3609"/>
      <c r="K67" s="2817"/>
      <c r="L67" s="3490"/>
      <c r="M67" s="3496" t="s">
        <v>1473</v>
      </c>
      <c r="N67" s="3496"/>
      <c r="O67" s="3494"/>
      <c r="P67" s="3494"/>
      <c r="Q67" s="514" t="str">
        <f>IF(Música_final="-","-",Música_final+O67)</f>
        <v>-</v>
      </c>
      <c r="R67" s="625"/>
      <c r="S67" s="1044">
        <f>IF(V67="",MAX($S$41:S66)+1,0)</f>
        <v>26</v>
      </c>
      <c r="T67" s="1045">
        <f>IF(V67="",0,MAX($T$41:T66)+1)</f>
        <v>0</v>
      </c>
      <c r="U67" s="1065">
        <f>IF(V67="",Tablas!A26,IF(COUNTIF(V$42:V66,V67)&gt;0,V67&amp;COUNTIF(V$42:V66,V67)+1,V67&amp;1))</f>
        <v>26</v>
      </c>
      <c r="V67" s="3518"/>
      <c r="W67" s="3519"/>
      <c r="X67" s="3519"/>
      <c r="Y67" s="3519"/>
      <c r="Z67" s="3519"/>
      <c r="AA67" s="3520"/>
      <c r="AB67" s="3515"/>
      <c r="AC67" s="3516"/>
      <c r="AD67" s="3516"/>
      <c r="AE67" s="3517"/>
      <c r="AF67" s="3485"/>
      <c r="AG67" s="3486"/>
      <c r="AH67" s="3487"/>
      <c r="AI67" s="1139" t="str">
        <f t="shared" si="6"/>
        <v/>
      </c>
      <c r="AJ67" s="1427" t="str">
        <f t="shared" si="7"/>
        <v/>
      </c>
      <c r="AK67" s="1416" t="str">
        <f t="shared" si="8"/>
        <v/>
      </c>
      <c r="AL67" s="633"/>
      <c r="AM67" s="3084" t="str">
        <f t="shared" si="10"/>
        <v/>
      </c>
      <c r="AN67" s="3096" t="str">
        <f t="shared" si="11"/>
        <v/>
      </c>
      <c r="AO67" s="3084" t="str">
        <f t="shared" si="9"/>
        <v/>
      </c>
      <c r="AP67" s="3085">
        <f>COUNTIF($AN$41:AN66,V67&amp;AB67&amp;"*")</f>
        <v>26</v>
      </c>
      <c r="AQ67" s="3096"/>
      <c r="AR67" s="3085"/>
      <c r="AS67" s="3085"/>
      <c r="AT67" s="3084"/>
      <c r="AU67" s="3085"/>
    </row>
    <row r="68" spans="1:47" ht="12" customHeight="1" x14ac:dyDescent="0.2">
      <c r="A68" s="9"/>
      <c r="B68" s="812"/>
      <c r="C68" s="1582" t="s">
        <v>1365</v>
      </c>
      <c r="D68" s="3621"/>
      <c r="E68" s="3622"/>
      <c r="F68" s="2395"/>
      <c r="G68" s="3612"/>
      <c r="H68" s="3613"/>
      <c r="I68" s="3613"/>
      <c r="J68" s="3614"/>
      <c r="K68" s="2817"/>
      <c r="L68" s="3490"/>
      <c r="M68" s="3496" t="s">
        <v>1475</v>
      </c>
      <c r="N68" s="3496"/>
      <c r="O68" s="3494"/>
      <c r="P68" s="3494"/>
      <c r="Q68" s="514">
        <f>IF(T.Manos_final="-","-",T.Manos_final+O68)</f>
        <v>-30</v>
      </c>
      <c r="R68" s="625"/>
      <c r="S68" s="1044">
        <f>IF(V68="",MAX($S$41:S67)+1,0)</f>
        <v>27</v>
      </c>
      <c r="T68" s="1045">
        <f>IF(V68="",0,MAX($T$41:T67)+1)</f>
        <v>0</v>
      </c>
      <c r="U68" s="1065">
        <f>IF(V68="",Tablas!A27,IF(COUNTIF(V$42:V67,V68)&gt;0,V68&amp;COUNTIF(V$42:V67,V68)+1,V68&amp;1))</f>
        <v>27</v>
      </c>
      <c r="V68" s="3518"/>
      <c r="W68" s="3519"/>
      <c r="X68" s="3519"/>
      <c r="Y68" s="3519"/>
      <c r="Z68" s="3519"/>
      <c r="AA68" s="3520"/>
      <c r="AB68" s="3515"/>
      <c r="AC68" s="3516"/>
      <c r="AD68" s="3516"/>
      <c r="AE68" s="3517"/>
      <c r="AF68" s="3485"/>
      <c r="AG68" s="3486"/>
      <c r="AH68" s="3487"/>
      <c r="AI68" s="1139" t="str">
        <f t="shared" si="6"/>
        <v/>
      </c>
      <c r="AJ68" s="1427" t="str">
        <f t="shared" si="7"/>
        <v/>
      </c>
      <c r="AK68" s="1416" t="str">
        <f t="shared" si="8"/>
        <v/>
      </c>
      <c r="AL68" s="633"/>
      <c r="AM68" s="3084" t="str">
        <f t="shared" si="10"/>
        <v/>
      </c>
      <c r="AN68" s="3096" t="str">
        <f t="shared" si="11"/>
        <v/>
      </c>
      <c r="AO68" s="3084" t="str">
        <f t="shared" si="9"/>
        <v/>
      </c>
      <c r="AP68" s="3085">
        <f>COUNTIF($AN$41:AN67,V68&amp;AB68&amp;"*")</f>
        <v>27</v>
      </c>
      <c r="AQ68" s="3096"/>
      <c r="AR68" s="3085"/>
      <c r="AS68" s="3085"/>
      <c r="AT68" s="3084"/>
      <c r="AU68" s="3085"/>
    </row>
    <row r="69" spans="1:47" ht="12" customHeight="1" x14ac:dyDescent="0.2">
      <c r="A69" s="9"/>
      <c r="B69" s="812"/>
      <c r="C69" s="1583" t="s">
        <v>1477</v>
      </c>
      <c r="D69" s="3610"/>
      <c r="E69" s="3611"/>
      <c r="F69" s="2395"/>
      <c r="G69" s="3615"/>
      <c r="H69" s="3616"/>
      <c r="I69" s="3616"/>
      <c r="J69" s="3617"/>
      <c r="K69" s="2817"/>
      <c r="L69" s="3490"/>
      <c r="M69" s="3496" t="s">
        <v>6274</v>
      </c>
      <c r="N69" s="3496"/>
      <c r="O69" s="3494"/>
      <c r="P69" s="3494"/>
      <c r="Q69" s="514">
        <f>IF(Caligrafíaritual_final="-","-",Caligrafíaritual_final+O69)</f>
        <v>-30</v>
      </c>
      <c r="R69" s="625"/>
      <c r="S69" s="1044">
        <f>IF(V69="",MAX($S$41:S68)+1,0)</f>
        <v>28</v>
      </c>
      <c r="T69" s="1045">
        <f>IF(V69="",0,MAX($T$41:T68)+1)</f>
        <v>0</v>
      </c>
      <c r="U69" s="1065">
        <f>IF(V69="",Tablas!A28,IF(COUNTIF(V$42:V68,V69)&gt;0,V69&amp;COUNTIF(V$42:V68,V69)+1,V69&amp;1))</f>
        <v>28</v>
      </c>
      <c r="V69" s="3556"/>
      <c r="W69" s="3557"/>
      <c r="X69" s="3557"/>
      <c r="Y69" s="3557"/>
      <c r="Z69" s="3557"/>
      <c r="AA69" s="3558"/>
      <c r="AB69" s="3559"/>
      <c r="AC69" s="3560"/>
      <c r="AD69" s="3560"/>
      <c r="AE69" s="3561"/>
      <c r="AF69" s="3562"/>
      <c r="AG69" s="3563"/>
      <c r="AH69" s="3564"/>
      <c r="AI69" s="1139" t="str">
        <f t="shared" si="6"/>
        <v/>
      </c>
      <c r="AJ69" s="1427" t="str">
        <f t="shared" si="7"/>
        <v/>
      </c>
      <c r="AK69" s="1416" t="str">
        <f t="shared" si="8"/>
        <v/>
      </c>
      <c r="AL69" s="633"/>
      <c r="AM69" s="3084" t="str">
        <f t="shared" si="10"/>
        <v/>
      </c>
      <c r="AN69" s="3096" t="str">
        <f t="shared" si="11"/>
        <v/>
      </c>
      <c r="AO69" s="3084" t="str">
        <f t="shared" si="9"/>
        <v/>
      </c>
      <c r="AP69" s="3085">
        <f>COUNTIF($AN$41:AN68,V69&amp;AB69&amp;"*")</f>
        <v>28</v>
      </c>
      <c r="AQ69" s="3096"/>
      <c r="AR69" s="3085"/>
      <c r="AS69" s="3085"/>
      <c r="AT69" s="3085"/>
      <c r="AU69" s="3085"/>
    </row>
    <row r="70" spans="1:47" ht="12" customHeight="1" x14ac:dyDescent="0.2">
      <c r="A70" s="9"/>
      <c r="B70" s="812"/>
      <c r="C70" s="1577" t="s">
        <v>1478</v>
      </c>
      <c r="D70" s="3538"/>
      <c r="E70" s="3539"/>
      <c r="F70" s="2395"/>
      <c r="G70" s="3615"/>
      <c r="H70" s="3616"/>
      <c r="I70" s="3616"/>
      <c r="J70" s="3617"/>
      <c r="K70" s="2837"/>
      <c r="L70" s="3490"/>
      <c r="M70" s="3496" t="s">
        <v>6275</v>
      </c>
      <c r="N70" s="3496"/>
      <c r="O70" s="3494"/>
      <c r="P70" s="3494"/>
      <c r="Q70" s="514">
        <f>IF(Orfebrería_final="-","-",Orfebrería_final+O70)</f>
        <v>-30</v>
      </c>
      <c r="R70" s="905"/>
      <c r="S70" s="1044"/>
      <c r="T70" s="1045"/>
      <c r="U70" s="1064"/>
      <c r="V70" s="3565"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66"/>
      <c r="X70" s="3566"/>
      <c r="Y70" s="3566"/>
      <c r="Z70" s="3566"/>
      <c r="AA70" s="3566"/>
      <c r="AB70" s="3566"/>
      <c r="AC70" s="3566"/>
      <c r="AD70" s="3566"/>
      <c r="AE70" s="3566"/>
      <c r="AF70" s="3566"/>
      <c r="AG70" s="3566"/>
      <c r="AH70" s="3566"/>
      <c r="AI70" s="3566"/>
      <c r="AJ70" s="3567"/>
      <c r="AK70" s="1416"/>
      <c r="AL70" s="633"/>
      <c r="AM70" s="3084"/>
      <c r="AN70" s="3096"/>
      <c r="AO70" s="3096"/>
      <c r="AP70" s="3096"/>
      <c r="AQ70" s="3096"/>
      <c r="AR70" s="3085"/>
      <c r="AS70" s="3085"/>
      <c r="AT70" s="3085"/>
      <c r="AU70" s="3085"/>
    </row>
    <row r="71" spans="1:47" ht="12" customHeight="1" x14ac:dyDescent="0.2">
      <c r="A71" s="9"/>
      <c r="B71" s="812"/>
      <c r="C71" s="1577" t="s">
        <v>1479</v>
      </c>
      <c r="D71" s="3538"/>
      <c r="E71" s="3539"/>
      <c r="F71" s="2395"/>
      <c r="G71" s="3615"/>
      <c r="H71" s="3616"/>
      <c r="I71" s="3616"/>
      <c r="J71" s="3617"/>
      <c r="K71" s="2837"/>
      <c r="L71" s="3490"/>
      <c r="M71" s="3496" t="s">
        <v>6276</v>
      </c>
      <c r="N71" s="3496"/>
      <c r="O71" s="3494"/>
      <c r="P71" s="3494"/>
      <c r="Q71" s="514">
        <f>IF(Confección_final="-","-",Confección_final+O71)</f>
        <v>-30</v>
      </c>
      <c r="R71" s="905"/>
      <c r="S71" s="1044"/>
      <c r="T71" s="1045"/>
      <c r="U71" s="1064"/>
      <c r="V71" s="3568"/>
      <c r="W71" s="3569"/>
      <c r="X71" s="3569"/>
      <c r="Y71" s="3569"/>
      <c r="Z71" s="3569"/>
      <c r="AA71" s="3569"/>
      <c r="AB71" s="3569"/>
      <c r="AC71" s="3569"/>
      <c r="AD71" s="3569"/>
      <c r="AE71" s="3569"/>
      <c r="AF71" s="3569"/>
      <c r="AG71" s="3569"/>
      <c r="AH71" s="3569"/>
      <c r="AI71" s="3569"/>
      <c r="AJ71" s="3570"/>
      <c r="AK71" s="1416"/>
      <c r="AL71" s="633"/>
      <c r="AM71" s="3084"/>
      <c r="AN71" s="3096"/>
      <c r="AO71" s="3096"/>
      <c r="AP71" s="3096"/>
      <c r="AQ71" s="3096"/>
      <c r="AR71" s="3085"/>
      <c r="AS71" s="3085"/>
      <c r="AT71" s="3085"/>
      <c r="AU71" s="3085"/>
    </row>
    <row r="72" spans="1:47" ht="12" customHeight="1" thickBot="1" x14ac:dyDescent="0.25">
      <c r="A72" s="9"/>
      <c r="B72" s="812"/>
      <c r="C72" s="1577" t="s">
        <v>1480</v>
      </c>
      <c r="D72" s="3538"/>
      <c r="E72" s="3539"/>
      <c r="F72" s="2816"/>
      <c r="G72" s="3615"/>
      <c r="H72" s="3616"/>
      <c r="I72" s="3616"/>
      <c r="J72" s="3617"/>
      <c r="K72" s="2817"/>
      <c r="L72" s="3491"/>
      <c r="M72" s="3542" t="s">
        <v>6277</v>
      </c>
      <c r="N72" s="3542"/>
      <c r="O72" s="3488"/>
      <c r="P72" s="3488"/>
      <c r="Q72" s="1588">
        <f>IF(Conf.marionetas_final="-","-",Conf.marionetas_final+O72)</f>
        <v>-30</v>
      </c>
      <c r="R72" s="625"/>
      <c r="S72" s="1044"/>
      <c r="T72" s="1045"/>
      <c r="U72" s="1064"/>
      <c r="V72" s="3571"/>
      <c r="W72" s="3572"/>
      <c r="X72" s="3572"/>
      <c r="Y72" s="3572"/>
      <c r="Z72" s="3572"/>
      <c r="AA72" s="3572"/>
      <c r="AB72" s="3572"/>
      <c r="AC72" s="3572"/>
      <c r="AD72" s="3572"/>
      <c r="AE72" s="3572"/>
      <c r="AF72" s="3572"/>
      <c r="AG72" s="3572"/>
      <c r="AH72" s="3572"/>
      <c r="AI72" s="3572"/>
      <c r="AJ72" s="3573"/>
      <c r="AK72" s="1416"/>
      <c r="AL72" s="633"/>
      <c r="AM72" s="3084"/>
      <c r="AN72" s="3096"/>
      <c r="AO72" s="3096"/>
      <c r="AP72" s="3096"/>
      <c r="AQ72" s="3096"/>
      <c r="AR72" s="3085"/>
      <c r="AS72" s="3085"/>
      <c r="AT72" s="3085"/>
      <c r="AU72" s="3085"/>
    </row>
    <row r="73" spans="1:47" ht="12" customHeight="1" thickBot="1" x14ac:dyDescent="0.25">
      <c r="A73" s="9"/>
      <c r="B73" s="812"/>
      <c r="C73" s="1577" t="s">
        <v>1481</v>
      </c>
      <c r="D73" s="3538"/>
      <c r="E73" s="3539"/>
      <c r="F73" s="2816"/>
      <c r="G73" s="3615"/>
      <c r="H73" s="3616"/>
      <c r="I73" s="3616"/>
      <c r="J73" s="3617"/>
      <c r="K73" s="2817"/>
      <c r="L73" s="3490" t="s">
        <v>1476</v>
      </c>
      <c r="M73" s="3496" t="str">
        <f>IF(PDs!E180="","-",PDs!E180)</f>
        <v>-</v>
      </c>
      <c r="N73" s="3496"/>
      <c r="O73" s="3494"/>
      <c r="P73" s="3494"/>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4"/>
      <c r="AN73" s="3096"/>
      <c r="AO73" s="3096"/>
      <c r="AP73" s="3096"/>
      <c r="AQ73" s="3096"/>
      <c r="AR73" s="3085"/>
      <c r="AS73" s="3085"/>
      <c r="AT73" s="3085"/>
      <c r="AU73" s="3085"/>
    </row>
    <row r="74" spans="1:47" ht="12" customHeight="1" x14ac:dyDescent="0.2">
      <c r="A74" s="9"/>
      <c r="B74" s="812"/>
      <c r="C74" s="1577" t="s">
        <v>1482</v>
      </c>
      <c r="D74" s="3538"/>
      <c r="E74" s="3539"/>
      <c r="F74" s="2816"/>
      <c r="G74" s="3615"/>
      <c r="H74" s="3616"/>
      <c r="I74" s="3616"/>
      <c r="J74" s="3617"/>
      <c r="K74" s="2817"/>
      <c r="L74" s="3490"/>
      <c r="M74" s="3496" t="str">
        <f>IF(PDs!E181="","-",PDs!E181)</f>
        <v>-</v>
      </c>
      <c r="N74" s="3496"/>
      <c r="O74" s="3494"/>
      <c r="P74" s="3494"/>
      <c r="Q74" s="514" t="str">
        <f>IF(PDs!AA181="-","-",PDs!AA181+O74)</f>
        <v>-</v>
      </c>
      <c r="R74" s="625"/>
      <c r="S74" s="1044"/>
      <c r="T74" s="1045"/>
      <c r="U74" s="1064"/>
      <c r="V74" s="3553" t="s">
        <v>9599</v>
      </c>
      <c r="W74" s="3574"/>
      <c r="X74" s="3575"/>
      <c r="Y74" s="3575"/>
      <c r="Z74" s="3575"/>
      <c r="AA74" s="3575"/>
      <c r="AB74" s="3575"/>
      <c r="AC74" s="3575"/>
      <c r="AD74" s="3575"/>
      <c r="AE74" s="3575"/>
      <c r="AF74" s="3575"/>
      <c r="AG74" s="3575"/>
      <c r="AH74" s="3575"/>
      <c r="AI74" s="3575"/>
      <c r="AJ74" s="3576"/>
      <c r="AK74" s="1416"/>
      <c r="AL74" s="633"/>
      <c r="AM74" s="3084"/>
      <c r="AN74" s="3096"/>
      <c r="AO74" s="3096"/>
      <c r="AP74" s="3096"/>
      <c r="AQ74" s="3096"/>
      <c r="AR74" s="3085"/>
      <c r="AS74" s="3085"/>
      <c r="AT74" s="3085"/>
      <c r="AU74" s="3085"/>
    </row>
    <row r="75" spans="1:47" ht="12" customHeight="1" thickBot="1" x14ac:dyDescent="0.25">
      <c r="A75" s="9"/>
      <c r="B75" s="812"/>
      <c r="C75" s="1577" t="s">
        <v>1484</v>
      </c>
      <c r="D75" s="3538"/>
      <c r="E75" s="3539"/>
      <c r="F75" s="2816"/>
      <c r="G75" s="3618"/>
      <c r="H75" s="3619"/>
      <c r="I75" s="3619"/>
      <c r="J75" s="3620"/>
      <c r="K75" s="2817"/>
      <c r="L75" s="3490"/>
      <c r="M75" s="3496" t="str">
        <f>IF(PDs!E182="","-",PDs!E182)</f>
        <v>-</v>
      </c>
      <c r="N75" s="3496"/>
      <c r="O75" s="3494"/>
      <c r="P75" s="3494"/>
      <c r="Q75" s="514" t="str">
        <f>IF(PDs!AA182="-","-",PDs!AA182+O75)</f>
        <v>-</v>
      </c>
      <c r="R75" s="625"/>
      <c r="S75" s="1044"/>
      <c r="T75" s="1045"/>
      <c r="U75" s="1064"/>
      <c r="V75" s="3554"/>
      <c r="W75" s="3577"/>
      <c r="X75" s="3578"/>
      <c r="Y75" s="3578"/>
      <c r="Z75" s="3578"/>
      <c r="AA75" s="3578"/>
      <c r="AB75" s="3578"/>
      <c r="AC75" s="3578"/>
      <c r="AD75" s="3578"/>
      <c r="AE75" s="3578"/>
      <c r="AF75" s="3578"/>
      <c r="AG75" s="3578"/>
      <c r="AH75" s="3578"/>
      <c r="AI75" s="3578"/>
      <c r="AJ75" s="3579"/>
      <c r="AK75" s="1416"/>
      <c r="AL75" s="633"/>
      <c r="AM75" s="3084"/>
      <c r="AN75" s="3096"/>
      <c r="AO75" s="3096"/>
      <c r="AP75" s="3096"/>
      <c r="AQ75" s="3096"/>
      <c r="AR75" s="3085"/>
      <c r="AS75" s="3085"/>
      <c r="AT75" s="3085"/>
      <c r="AU75" s="3085"/>
    </row>
    <row r="76" spans="1:47" ht="12" customHeight="1" x14ac:dyDescent="0.2">
      <c r="A76" s="9"/>
      <c r="B76" s="812"/>
      <c r="C76" s="1577" t="s">
        <v>1485</v>
      </c>
      <c r="D76" s="3538"/>
      <c r="E76" s="3539"/>
      <c r="F76" s="2816"/>
      <c r="G76" s="3540" t="s">
        <v>1483</v>
      </c>
      <c r="H76" s="3541"/>
      <c r="I76" s="3541"/>
      <c r="J76" s="2836">
        <f>IF(TipoDeCriatura="Natural",IF(AB14&gt;19,9,IF(AB14&gt;14,6,IF(AB14&gt;9,3,0))),"")</f>
        <v>3</v>
      </c>
      <c r="K76" s="2817"/>
      <c r="L76" s="3490"/>
      <c r="M76" s="3496" t="str">
        <f>IF(PDs!E183="","-",PDs!E183)</f>
        <v>-</v>
      </c>
      <c r="N76" s="3496"/>
      <c r="O76" s="3494"/>
      <c r="P76" s="3494"/>
      <c r="Q76" s="514" t="str">
        <f>IF(PDs!AA183="-","-",PDs!AA183+O76)</f>
        <v>-</v>
      </c>
      <c r="R76" s="625"/>
      <c r="S76" s="1044"/>
      <c r="T76" s="1045"/>
      <c r="U76" s="1064"/>
      <c r="V76" s="3554"/>
      <c r="W76" s="3577"/>
      <c r="X76" s="3578"/>
      <c r="Y76" s="3578"/>
      <c r="Z76" s="3578"/>
      <c r="AA76" s="3578"/>
      <c r="AB76" s="3578"/>
      <c r="AC76" s="3578"/>
      <c r="AD76" s="3578"/>
      <c r="AE76" s="3578"/>
      <c r="AF76" s="3578"/>
      <c r="AG76" s="3578"/>
      <c r="AH76" s="3578"/>
      <c r="AI76" s="3578"/>
      <c r="AJ76" s="3579"/>
      <c r="AK76" s="1416"/>
      <c r="AL76" s="633"/>
      <c r="AM76" s="3084"/>
      <c r="AN76" s="3096"/>
      <c r="AO76" s="3096"/>
      <c r="AP76" s="3096"/>
      <c r="AQ76" s="3096"/>
      <c r="AR76" s="3085"/>
      <c r="AS76" s="3085"/>
      <c r="AT76" s="3085"/>
      <c r="AU76" s="3085"/>
    </row>
    <row r="77" spans="1:47" ht="12" customHeight="1" thickBot="1" x14ac:dyDescent="0.25">
      <c r="A77" s="9"/>
      <c r="B77" s="812"/>
      <c r="C77" s="1584" t="s">
        <v>1486</v>
      </c>
      <c r="D77" s="3536"/>
      <c r="E77" s="3537"/>
      <c r="F77" s="2816"/>
      <c r="G77" s="3534" t="s">
        <v>7065</v>
      </c>
      <c r="H77" s="3535"/>
      <c r="I77" s="3535"/>
      <c r="J77" s="1585"/>
      <c r="K77" s="2817"/>
      <c r="L77" s="3623"/>
      <c r="M77" s="3624" t="str">
        <f>IF(PDs!E184="","-",PDs!E184)</f>
        <v>-</v>
      </c>
      <c r="N77" s="3624"/>
      <c r="O77" s="3543"/>
      <c r="P77" s="3543"/>
      <c r="Q77" s="2838" t="str">
        <f>IF(PDs!AA184="-","-",PDs!AA184+O77)</f>
        <v>-</v>
      </c>
      <c r="R77" s="625"/>
      <c r="S77" s="1044"/>
      <c r="T77" s="1045"/>
      <c r="U77" s="1064"/>
      <c r="V77" s="3555"/>
      <c r="W77" s="3580"/>
      <c r="X77" s="3581"/>
      <c r="Y77" s="3581"/>
      <c r="Z77" s="3581"/>
      <c r="AA77" s="3581"/>
      <c r="AB77" s="3581"/>
      <c r="AC77" s="3581"/>
      <c r="AD77" s="3581"/>
      <c r="AE77" s="3581"/>
      <c r="AF77" s="3581"/>
      <c r="AG77" s="3581"/>
      <c r="AH77" s="3581"/>
      <c r="AI77" s="3581"/>
      <c r="AJ77" s="3582"/>
      <c r="AK77" s="1416"/>
      <c r="AL77" s="633"/>
      <c r="AM77" s="3084"/>
      <c r="AN77" s="3096"/>
      <c r="AO77" s="3096"/>
      <c r="AP77" s="3096"/>
      <c r="AQ77" s="3096"/>
      <c r="AR77" s="3085"/>
      <c r="AS77" s="3085"/>
      <c r="AT77" s="3085"/>
      <c r="AU77" s="3085"/>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4"/>
      <c r="AN78" s="3096"/>
      <c r="AO78" s="3096"/>
      <c r="AP78" s="3096"/>
      <c r="AQ78" s="3096"/>
      <c r="AR78" s="3085"/>
      <c r="AS78" s="3085"/>
      <c r="AT78" s="3085"/>
      <c r="AU78" s="3085"/>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5" t="s">
        <v>8737</v>
      </c>
      <c r="AN79" s="3096"/>
      <c r="AO79" s="3096"/>
      <c r="AP79" s="3096"/>
      <c r="AQ79" s="3096"/>
      <c r="AR79" s="3085"/>
      <c r="AS79" s="3085"/>
      <c r="AT79" s="3085"/>
      <c r="AU79" s="3085"/>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topLeftCell="A2"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4" t="s">
        <v>8736</v>
      </c>
      <c r="AE1" s="3116"/>
      <c r="AF1" s="3108"/>
      <c r="AG1" s="3116"/>
      <c r="AH1" s="3116"/>
      <c r="AI1" s="3116"/>
      <c r="AJ1" s="3116"/>
      <c r="AK1" s="3116"/>
      <c r="AL1" s="3096"/>
      <c r="AM1" s="3096"/>
      <c r="AN1" s="3096"/>
      <c r="AO1" s="3096"/>
      <c r="AP1" s="3096"/>
      <c r="AQ1" s="3085"/>
      <c r="AR1" s="3085"/>
      <c r="AS1" s="3085"/>
      <c r="AT1" s="3085"/>
      <c r="AU1" s="3085"/>
      <c r="AV1" s="3085"/>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4"/>
      <c r="AE2" s="3116"/>
      <c r="AF2" s="3108"/>
      <c r="AG2" s="3116"/>
      <c r="AH2" s="3116"/>
      <c r="AI2" s="3109"/>
      <c r="AJ2" s="3116"/>
      <c r="AK2" s="3116"/>
      <c r="AL2" s="3096"/>
      <c r="AM2" s="3096"/>
      <c r="AN2" s="3096"/>
      <c r="AO2" s="3096"/>
      <c r="AP2" s="3096"/>
      <c r="AQ2" s="3085"/>
      <c r="AR2" s="3085"/>
      <c r="AS2" s="3085"/>
      <c r="AT2" s="3085"/>
      <c r="AU2" s="3085"/>
      <c r="AV2" s="3085"/>
    </row>
    <row r="3" spans="1:48" ht="12" customHeight="1" thickBot="1" x14ac:dyDescent="0.25">
      <c r="A3" s="9"/>
      <c r="B3" s="818"/>
      <c r="AB3" s="1727"/>
      <c r="AC3" s="1402"/>
      <c r="AD3" s="3084"/>
      <c r="AE3" s="3116"/>
      <c r="AF3" s="3108"/>
      <c r="AG3" s="3116"/>
      <c r="AH3" s="3116"/>
      <c r="AI3" s="3116"/>
      <c r="AJ3" s="3116"/>
      <c r="AK3" s="3116"/>
      <c r="AL3" s="3096"/>
      <c r="AM3" s="3096"/>
      <c r="AN3" s="3096"/>
      <c r="AO3" s="3096"/>
      <c r="AP3" s="3096"/>
      <c r="AQ3" s="3085"/>
      <c r="AR3" s="3085"/>
      <c r="AS3" s="3085"/>
      <c r="AT3" s="3085"/>
      <c r="AU3" s="3085"/>
      <c r="AV3" s="3085"/>
    </row>
    <row r="4" spans="1:48" ht="12" customHeight="1" x14ac:dyDescent="0.2">
      <c r="A4" s="9"/>
      <c r="B4" s="818"/>
      <c r="C4" s="2790"/>
      <c r="D4" s="2785"/>
      <c r="E4" s="2785"/>
      <c r="F4" s="2785"/>
      <c r="G4" s="2785"/>
      <c r="H4" s="2093"/>
      <c r="I4" s="944"/>
      <c r="J4" s="944"/>
      <c r="K4" s="944"/>
      <c r="L4" s="2787"/>
      <c r="M4" s="941"/>
      <c r="O4" s="4145" t="s">
        <v>1487</v>
      </c>
      <c r="P4" s="4146"/>
      <c r="Q4" s="4146"/>
      <c r="R4" s="4146"/>
      <c r="S4" s="4146"/>
      <c r="T4" s="4147"/>
      <c r="V4" s="4145" t="s">
        <v>8337</v>
      </c>
      <c r="W4" s="4146"/>
      <c r="X4" s="4146"/>
      <c r="Y4" s="4146"/>
      <c r="Z4" s="4146"/>
      <c r="AA4" s="4147"/>
      <c r="AB4" s="1728"/>
      <c r="AC4" s="1402"/>
      <c r="AD4" s="3084"/>
      <c r="AE4" s="3116"/>
      <c r="AF4" s="3108"/>
      <c r="AG4" s="3116"/>
      <c r="AH4" s="3116"/>
      <c r="AI4" s="3116"/>
      <c r="AJ4" s="3116"/>
      <c r="AK4" s="3116"/>
      <c r="AL4" s="3096"/>
      <c r="AM4" s="3096"/>
      <c r="AN4" s="3096"/>
      <c r="AO4" s="3096"/>
      <c r="AP4" s="3096"/>
      <c r="AQ4" s="3085"/>
      <c r="AR4" s="3085"/>
      <c r="AS4" s="3085"/>
      <c r="AT4" s="3085"/>
      <c r="AU4" s="3085"/>
      <c r="AV4" s="3085"/>
    </row>
    <row r="5" spans="1:48" ht="12" customHeight="1" thickBot="1" x14ac:dyDescent="0.25">
      <c r="A5" s="9"/>
      <c r="B5" s="818"/>
      <c r="C5" s="2786"/>
      <c r="D5" s="3795" t="s">
        <v>10159</v>
      </c>
      <c r="E5" s="3795"/>
      <c r="F5" s="3795"/>
      <c r="G5" s="3795"/>
      <c r="H5" s="2794"/>
      <c r="I5" s="3794" t="str">
        <f>IF(OR(General!$F$22="",General!$F$22=0),"",General!$F$22)</f>
        <v/>
      </c>
      <c r="J5" s="3794"/>
      <c r="K5" s="3794"/>
      <c r="L5" s="3794"/>
      <c r="M5" s="2788"/>
      <c r="O5" s="4148"/>
      <c r="P5" s="4149"/>
      <c r="Q5" s="4149"/>
      <c r="R5" s="4149"/>
      <c r="S5" s="4149"/>
      <c r="T5" s="4150"/>
      <c r="V5" s="4148"/>
      <c r="W5" s="4149"/>
      <c r="X5" s="4149"/>
      <c r="Y5" s="4149"/>
      <c r="Z5" s="4149"/>
      <c r="AA5" s="4150"/>
      <c r="AB5" s="1729"/>
      <c r="AC5" s="1402"/>
      <c r="AD5" s="3084" t="s">
        <v>9617</v>
      </c>
      <c r="AE5" s="3116" t="s">
        <v>1402</v>
      </c>
      <c r="AF5" s="3084" t="s">
        <v>9635</v>
      </c>
      <c r="AG5" s="3116"/>
      <c r="AH5" s="3084" t="s">
        <v>10222</v>
      </c>
      <c r="AI5" s="3116" t="b">
        <f>COUNTIF($O$9:$O$16,"*")&gt;0</f>
        <v>0</v>
      </c>
      <c r="AJ5" s="3116"/>
      <c r="AK5" s="3116"/>
      <c r="AL5" s="3096"/>
      <c r="AM5" s="3096"/>
      <c r="AN5" s="3096"/>
      <c r="AO5" s="3096"/>
      <c r="AP5" s="3096"/>
      <c r="AQ5" s="3085"/>
      <c r="AR5" s="3085"/>
      <c r="AS5" s="3085"/>
      <c r="AT5" s="3085"/>
      <c r="AU5" s="3085"/>
      <c r="AV5" s="3085"/>
    </row>
    <row r="6" spans="1:48" ht="12" customHeight="1" x14ac:dyDescent="0.2">
      <c r="A6" s="9"/>
      <c r="B6" s="818"/>
      <c r="C6" s="2786"/>
      <c r="D6" s="3795"/>
      <c r="E6" s="3795"/>
      <c r="F6" s="3795"/>
      <c r="G6" s="3795"/>
      <c r="H6" s="2794"/>
      <c r="I6" s="3794"/>
      <c r="J6" s="3794"/>
      <c r="K6" s="3794"/>
      <c r="L6" s="3794"/>
      <c r="M6" s="2788"/>
      <c r="O6" s="4084" t="s">
        <v>1488</v>
      </c>
      <c r="P6" s="4165"/>
      <c r="Q6" s="4165"/>
      <c r="R6" s="3356"/>
      <c r="S6" s="2779" t="s">
        <v>1402</v>
      </c>
      <c r="T6" s="2780" t="s">
        <v>1365</v>
      </c>
      <c r="V6" s="4192" t="s">
        <v>8334</v>
      </c>
      <c r="W6" s="4193"/>
      <c r="X6" s="4193"/>
      <c r="Y6" s="2777" t="s">
        <v>1489</v>
      </c>
      <c r="Z6" s="1152" t="s">
        <v>8335</v>
      </c>
      <c r="AA6" s="2778" t="s">
        <v>8336</v>
      </c>
      <c r="AB6" s="1727"/>
      <c r="AC6" s="1402"/>
      <c r="AD6" s="3084">
        <f>Categoría_1</f>
        <v>0</v>
      </c>
      <c r="AE6" s="3116">
        <f>S7</f>
        <v>0</v>
      </c>
      <c r="AF6" s="3116">
        <f>IF(Categoría_1="Novel",S7*5,0)</f>
        <v>0</v>
      </c>
      <c r="AG6" s="3084"/>
      <c r="AH6" s="3084" t="s">
        <v>10225</v>
      </c>
      <c r="AI6" s="3084" t="b">
        <f>AND(OR(Z15="",$Z$15=AH6),MúltiplesCategorías)</f>
        <v>0</v>
      </c>
      <c r="AJ6" s="3116"/>
      <c r="AK6" s="3116"/>
      <c r="AL6" s="3096"/>
      <c r="AM6" s="3096"/>
      <c r="AN6" s="3096"/>
      <c r="AO6" s="3096"/>
      <c r="AP6" s="3096"/>
      <c r="AQ6" s="3085"/>
      <c r="AR6" s="3085"/>
      <c r="AS6" s="3085"/>
      <c r="AT6" s="3085"/>
      <c r="AU6" s="3085"/>
      <c r="AV6" s="3085"/>
    </row>
    <row r="7" spans="1:48" ht="12" customHeight="1" x14ac:dyDescent="0.2">
      <c r="A7" s="9"/>
      <c r="B7" s="818"/>
      <c r="C7" s="2786"/>
      <c r="D7" s="3795"/>
      <c r="E7" s="3795"/>
      <c r="F7" s="3795"/>
      <c r="G7" s="3795"/>
      <c r="H7" s="2794"/>
      <c r="I7" s="3794"/>
      <c r="J7" s="3794"/>
      <c r="K7" s="3794"/>
      <c r="L7" s="3794"/>
      <c r="M7" s="2788"/>
      <c r="O7" s="4166"/>
      <c r="P7" s="4167"/>
      <c r="Q7" s="4167"/>
      <c r="R7" s="4168"/>
      <c r="S7" s="3970"/>
      <c r="T7" s="3968">
        <f>IF($S$7&gt;0,(500+100*$S$7),400)</f>
        <v>400</v>
      </c>
      <c r="V7" s="3941" t="str">
        <f>IF(AND(Categoría_1&lt;&gt;"",Categoría_2&lt;&gt;""),Categoría_1&amp;" a "&amp;Categoría_2,"-")</f>
        <v>-</v>
      </c>
      <c r="W7" s="3942"/>
      <c r="X7" s="3942"/>
      <c r="Y7" s="39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35"/>
      <c r="AA7" s="3936"/>
      <c r="AB7" s="1727"/>
      <c r="AC7" s="1402"/>
      <c r="AD7" s="3084">
        <f>Categoría_2</f>
        <v>0</v>
      </c>
      <c r="AE7" s="3116">
        <f>S9</f>
        <v>0</v>
      </c>
      <c r="AF7" s="3116">
        <f>IF(Categoría_2="Novel",S9*5,0)</f>
        <v>0</v>
      </c>
      <c r="AG7" s="3084"/>
      <c r="AH7" s="3116" t="s">
        <v>10239</v>
      </c>
      <c r="AI7" s="3084" t="b">
        <f>AND($Z$15=AH7,MúltiplesCategorías)</f>
        <v>0</v>
      </c>
      <c r="AJ7" s="3116"/>
      <c r="AK7" s="3116"/>
      <c r="AL7" s="3096"/>
      <c r="AM7" s="3096"/>
      <c r="AN7" s="3096"/>
      <c r="AO7" s="3096"/>
      <c r="AP7" s="3096"/>
      <c r="AQ7" s="3085"/>
      <c r="AR7" s="3085"/>
      <c r="AS7" s="3085"/>
      <c r="AT7" s="3085"/>
      <c r="AU7" s="3085"/>
      <c r="AV7" s="3085"/>
    </row>
    <row r="8" spans="1:48" ht="12" customHeight="1" x14ac:dyDescent="0.2">
      <c r="A8" s="9"/>
      <c r="B8" s="818"/>
      <c r="C8" s="2786"/>
      <c r="D8" s="3795"/>
      <c r="E8" s="3795"/>
      <c r="F8" s="3795"/>
      <c r="G8" s="3795"/>
      <c r="H8" s="2794"/>
      <c r="I8" s="3794"/>
      <c r="J8" s="3794"/>
      <c r="K8" s="3794"/>
      <c r="L8" s="3794"/>
      <c r="M8" s="2788"/>
      <c r="O8" s="4166"/>
      <c r="P8" s="4167"/>
      <c r="Q8" s="4167"/>
      <c r="R8" s="4168"/>
      <c r="S8" s="3971"/>
      <c r="T8" s="3969"/>
      <c r="V8" s="3941"/>
      <c r="W8" s="3942"/>
      <c r="X8" s="3942"/>
      <c r="Y8" s="3958"/>
      <c r="Z8" s="3935"/>
      <c r="AA8" s="3936"/>
      <c r="AB8" s="1727"/>
      <c r="AC8" s="1402"/>
      <c r="AD8" s="3084">
        <f>Categoría_3</f>
        <v>0</v>
      </c>
      <c r="AE8" s="3116">
        <f>S11</f>
        <v>0</v>
      </c>
      <c r="AF8" s="3116">
        <f>IF(Categoría_3="Novel",S11*5,0)</f>
        <v>0</v>
      </c>
      <c r="AG8" s="3116"/>
      <c r="AH8" s="3116" t="s">
        <v>10453</v>
      </c>
      <c r="AI8" s="3084" t="b">
        <f>AND($Z$15=AH8,MúltiplesCategorías)</f>
        <v>0</v>
      </c>
      <c r="AJ8" s="3116"/>
      <c r="AK8" s="3116"/>
      <c r="AL8" s="3096"/>
      <c r="AM8" s="3096"/>
      <c r="AN8" s="3096"/>
      <c r="AO8" s="3096"/>
      <c r="AP8" s="3096"/>
      <c r="AQ8" s="3085"/>
      <c r="AR8" s="3085"/>
      <c r="AS8" s="3085"/>
      <c r="AT8" s="3085"/>
      <c r="AU8" s="3085"/>
      <c r="AV8" s="3085"/>
    </row>
    <row r="9" spans="1:48" ht="12" customHeight="1" x14ac:dyDescent="0.2">
      <c r="A9" s="9"/>
      <c r="B9" s="818"/>
      <c r="C9" s="2786"/>
      <c r="D9" s="2794"/>
      <c r="E9" s="2794"/>
      <c r="F9" s="2794"/>
      <c r="G9" s="2794"/>
      <c r="H9" s="2794"/>
      <c r="I9" s="3794"/>
      <c r="J9" s="3794"/>
      <c r="K9" s="3794"/>
      <c r="L9" s="3794"/>
      <c r="M9" s="2789"/>
      <c r="O9" s="4169"/>
      <c r="P9" s="4170"/>
      <c r="Q9" s="4170"/>
      <c r="R9" s="4171"/>
      <c r="S9" s="4179"/>
      <c r="T9" s="4180">
        <f>IF($S$9&gt;0,(100*$S$9)+IF(S7=0,100,0),0)</f>
        <v>0</v>
      </c>
      <c r="V9" s="3943" t="str">
        <f>IF(AND(Categoría_2&lt;&gt;"",Categoría_3&lt;&gt;""),Categoría_2&amp;" a "&amp;Categoría_3,"-")</f>
        <v>-</v>
      </c>
      <c r="W9" s="3944"/>
      <c r="X9" s="3944"/>
      <c r="Y9" s="39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37"/>
      <c r="AA9" s="3938"/>
      <c r="AB9" s="1727"/>
      <c r="AC9" s="1402"/>
      <c r="AD9" s="3084">
        <f>Categoría_4</f>
        <v>0</v>
      </c>
      <c r="AE9" s="3116">
        <f>S13</f>
        <v>0</v>
      </c>
      <c r="AF9" s="3116">
        <f>IF(Categoría_4="Novel",S13*5,0)</f>
        <v>0</v>
      </c>
      <c r="AG9" s="3116"/>
      <c r="AH9" s="3084" t="s">
        <v>10226</v>
      </c>
      <c r="AI9" s="3116"/>
      <c r="AJ9" s="3116"/>
      <c r="AK9" s="3116"/>
      <c r="AL9" s="3096"/>
      <c r="AM9" s="3096"/>
      <c r="AN9" s="3096"/>
      <c r="AO9" s="3096"/>
      <c r="AP9" s="3096"/>
      <c r="AQ9" s="3085"/>
      <c r="AR9" s="3085"/>
      <c r="AS9" s="3085"/>
      <c r="AT9" s="3085"/>
      <c r="AU9" s="3085"/>
      <c r="AV9" s="3085"/>
    </row>
    <row r="10" spans="1:48" ht="12" customHeight="1" x14ac:dyDescent="0.2">
      <c r="A10" s="9"/>
      <c r="B10" s="818"/>
      <c r="C10" s="2786"/>
      <c r="D10" s="2794"/>
      <c r="E10" s="2794"/>
      <c r="F10" s="2794"/>
      <c r="G10" s="2794"/>
      <c r="H10" s="2794"/>
      <c r="I10" s="2797"/>
      <c r="J10" s="2797"/>
      <c r="K10" s="2797"/>
      <c r="L10" s="2797"/>
      <c r="M10" s="2789"/>
      <c r="O10" s="4169"/>
      <c r="P10" s="4170"/>
      <c r="Q10" s="4170"/>
      <c r="R10" s="4171"/>
      <c r="S10" s="4179"/>
      <c r="T10" s="4180"/>
      <c r="V10" s="3943"/>
      <c r="W10" s="3944"/>
      <c r="X10" s="3944"/>
      <c r="Y10" s="3959"/>
      <c r="Z10" s="3937"/>
      <c r="AA10" s="3938"/>
      <c r="AB10" s="1727"/>
      <c r="AC10" s="1402"/>
      <c r="AD10" s="3084">
        <f>Categoría_5</f>
        <v>0</v>
      </c>
      <c r="AE10" s="3116">
        <f>S15</f>
        <v>0</v>
      </c>
      <c r="AF10" s="3116">
        <f>IF(Categoría_5="Novel",S15*5,0)</f>
        <v>0</v>
      </c>
      <c r="AG10" s="3116"/>
      <c r="AH10" s="3084" t="s">
        <v>10224</v>
      </c>
      <c r="AI10" s="3084" t="b">
        <f>AND($Z$15=AH10,MúltiplesCategorías)</f>
        <v>0</v>
      </c>
      <c r="AJ10" s="3116"/>
      <c r="AK10" s="3116"/>
      <c r="AL10" s="3096"/>
      <c r="AM10" s="3096"/>
      <c r="AN10" s="3096"/>
      <c r="AO10" s="3096"/>
      <c r="AP10" s="3096"/>
      <c r="AQ10" s="3085"/>
      <c r="AR10" s="3085"/>
      <c r="AS10" s="3085"/>
      <c r="AT10" s="3085"/>
      <c r="AU10" s="3085"/>
      <c r="AV10" s="3085"/>
    </row>
    <row r="11" spans="1:48" ht="12" customHeight="1" x14ac:dyDescent="0.2">
      <c r="A11" s="9"/>
      <c r="B11" s="818"/>
      <c r="C11" s="2786"/>
      <c r="D11" s="2796" t="s">
        <v>1324</v>
      </c>
      <c r="E11" s="3175" t="str">
        <f>O7&amp;IF(O9="",""," "&amp;S7&amp;" / "&amp;O9&amp;" "&amp;S9&amp;IF(O11="",""," / "&amp;O11&amp;" "&amp;S11&amp;IF(O13="",""," / "&amp;O13&amp;" "&amp;S13&amp;IF(O15="",""," / "&amp;O15&amp;" "&amp;S15))))</f>
        <v/>
      </c>
      <c r="F11" s="3175"/>
      <c r="G11" s="3175"/>
      <c r="H11" s="3175"/>
      <c r="I11" s="3175"/>
      <c r="J11" s="3175"/>
      <c r="K11" s="3175"/>
      <c r="L11" s="3175"/>
      <c r="M11" s="3793"/>
      <c r="N11" s="575">
        <f>LEN(E11)</f>
        <v>0</v>
      </c>
      <c r="O11" s="4166"/>
      <c r="P11" s="4167"/>
      <c r="Q11" s="4167"/>
      <c r="R11" s="4168"/>
      <c r="S11" s="4177"/>
      <c r="T11" s="3966">
        <f>IF($S$11&gt;0,(100*$S$11),0)</f>
        <v>0</v>
      </c>
      <c r="V11" s="3941" t="str">
        <f>IF(AND(Categoría_3&lt;&gt;"",Categoría_4&lt;&gt;""),Categoría_3&amp;" a "&amp;Categoría_4,"-")</f>
        <v>-</v>
      </c>
      <c r="W11" s="3942"/>
      <c r="X11" s="3942"/>
      <c r="Y11" s="39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35"/>
      <c r="AA11" s="3936"/>
      <c r="AB11" s="1727"/>
      <c r="AC11" s="1402"/>
      <c r="AD11" s="3084"/>
      <c r="AE11" s="3116"/>
      <c r="AF11" s="3108"/>
      <c r="AG11" s="3116"/>
      <c r="AH11" s="3116"/>
      <c r="AI11" s="3116"/>
      <c r="AJ11" s="3116"/>
      <c r="AK11" s="3116"/>
      <c r="AL11" s="3096"/>
      <c r="AM11" s="3096"/>
      <c r="AN11" s="3096"/>
      <c r="AO11" s="3096"/>
      <c r="AP11" s="3096"/>
      <c r="AQ11" s="3085"/>
      <c r="AR11" s="3085"/>
      <c r="AS11" s="3085"/>
      <c r="AT11" s="3085"/>
      <c r="AU11" s="3085"/>
      <c r="AV11" s="3085"/>
    </row>
    <row r="12" spans="1:48" ht="12" customHeight="1" x14ac:dyDescent="0.2">
      <c r="A12" s="9"/>
      <c r="B12" s="818"/>
      <c r="C12" s="2786"/>
      <c r="D12" s="2563"/>
      <c r="E12" s="3175"/>
      <c r="F12" s="3175"/>
      <c r="G12" s="3175"/>
      <c r="H12" s="3175"/>
      <c r="I12" s="3175"/>
      <c r="J12" s="3175"/>
      <c r="K12" s="3175"/>
      <c r="L12" s="3175"/>
      <c r="M12" s="3793"/>
      <c r="O12" s="4166"/>
      <c r="P12" s="4167"/>
      <c r="Q12" s="4167"/>
      <c r="R12" s="4168"/>
      <c r="S12" s="4177"/>
      <c r="T12" s="3966"/>
      <c r="V12" s="3941"/>
      <c r="W12" s="3942"/>
      <c r="X12" s="3942"/>
      <c r="Y12" s="3958"/>
      <c r="Z12" s="3935"/>
      <c r="AA12" s="3936"/>
      <c r="AB12" s="1727"/>
      <c r="AC12" s="1402"/>
      <c r="AD12" s="3084"/>
      <c r="AE12" s="3116"/>
      <c r="AF12" s="3108"/>
      <c r="AG12" s="3116"/>
      <c r="AH12" s="3116" t="s">
        <v>10228</v>
      </c>
      <c r="AI12" s="3116" t="b">
        <f>Principal!$AJ$40&gt;0</f>
        <v>0</v>
      </c>
      <c r="AJ12" s="3116"/>
      <c r="AK12" s="3116"/>
      <c r="AL12" s="3096"/>
      <c r="AM12" s="3096"/>
      <c r="AN12" s="3096"/>
      <c r="AO12" s="3096"/>
      <c r="AP12" s="3096"/>
      <c r="AQ12" s="3085"/>
      <c r="AR12" s="3085"/>
      <c r="AS12" s="3085"/>
      <c r="AT12" s="3085"/>
      <c r="AU12" s="3085"/>
      <c r="AV12" s="3085"/>
    </row>
    <row r="13" spans="1:48" ht="12" customHeight="1" x14ac:dyDescent="0.2">
      <c r="A13" s="9"/>
      <c r="B13" s="818"/>
      <c r="C13" s="2786"/>
      <c r="D13" s="2796" t="s">
        <v>1363</v>
      </c>
      <c r="E13" s="3175" t="str">
        <f>Principal!K7</f>
        <v>Natural 10</v>
      </c>
      <c r="F13" s="3175"/>
      <c r="G13" s="3175"/>
      <c r="H13" s="3175"/>
      <c r="I13" s="3175"/>
      <c r="J13" s="3175"/>
      <c r="K13" s="3175"/>
      <c r="L13" s="3175"/>
      <c r="M13" s="3793"/>
      <c r="O13" s="4169"/>
      <c r="P13" s="4170"/>
      <c r="Q13" s="4170"/>
      <c r="R13" s="4171"/>
      <c r="S13" s="4191"/>
      <c r="T13" s="3965">
        <f>IF($S$13&gt;0,(100*$S$13),0)</f>
        <v>0</v>
      </c>
      <c r="V13" s="3943" t="str">
        <f>IF(AND(Categoría_4&lt;&gt;"",Categoría_5&lt;&gt;""),Categoría_4&amp;" a "&amp;Categoría_5,"-")</f>
        <v>-</v>
      </c>
      <c r="W13" s="3944"/>
      <c r="X13" s="3944"/>
      <c r="Y13" s="39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37"/>
      <c r="AA13" s="3938"/>
      <c r="AB13" s="1730" t="str">
        <f>IF(Principal!AD18=0,"",VLOOKUP(Principal!AD18,Tabla_HabEsenciales,5,FALSE))</f>
        <v/>
      </c>
      <c r="AC13" s="1402"/>
      <c r="AD13" s="3084"/>
      <c r="AE13" s="3116"/>
      <c r="AF13" s="3108"/>
      <c r="AG13" s="3116"/>
      <c r="AH13" s="3108" t="s">
        <v>10230</v>
      </c>
      <c r="AI13" s="3116" t="b">
        <f>IF(Tablas!$G$371,TRUE,AND(IF(Categoría_2=0,TRUE,S7&lt;&gt;1),IF(Categoría_3=0,TRUE,S9&lt;&gt;1),IF(Categoría_4=0,TRUE,S11&lt;&gt;1),IF(Categoría_5=0,TRUE,S13&lt;&gt;1)))</f>
        <v>1</v>
      </c>
      <c r="AJ13" s="3116"/>
      <c r="AK13" s="3116"/>
      <c r="AL13" s="3096"/>
      <c r="AM13" s="3096"/>
      <c r="AN13" s="3096"/>
      <c r="AO13" s="3096"/>
      <c r="AP13" s="3096"/>
      <c r="AQ13" s="3085"/>
      <c r="AR13" s="3085"/>
      <c r="AS13" s="3085"/>
      <c r="AT13" s="3085"/>
      <c r="AU13" s="3085"/>
      <c r="AV13" s="3085"/>
    </row>
    <row r="14" spans="1:48" ht="12" customHeight="1" thickBot="1" x14ac:dyDescent="0.25">
      <c r="A14" s="9"/>
      <c r="B14" s="818"/>
      <c r="C14" s="2791"/>
      <c r="D14" s="949"/>
      <c r="E14" s="3175"/>
      <c r="F14" s="3175"/>
      <c r="G14" s="3175"/>
      <c r="H14" s="3175"/>
      <c r="I14" s="3175"/>
      <c r="J14" s="3175"/>
      <c r="K14" s="3175"/>
      <c r="L14" s="3175"/>
      <c r="M14" s="3793"/>
      <c r="O14" s="4169"/>
      <c r="P14" s="4170"/>
      <c r="Q14" s="4170"/>
      <c r="R14" s="4171"/>
      <c r="S14" s="4191"/>
      <c r="T14" s="3965"/>
      <c r="V14" s="3945"/>
      <c r="W14" s="3946"/>
      <c r="X14" s="3946"/>
      <c r="Y14" s="3962"/>
      <c r="Z14" s="3939"/>
      <c r="AA14" s="3940"/>
      <c r="AB14" s="1730" t="str">
        <f>IF(Principal!AD19=0,"",VLOOKUP(Principal!AD19,Tabla_HabEsenciales,5,FALSE))</f>
        <v/>
      </c>
      <c r="AC14" s="841"/>
      <c r="AD14" s="3110"/>
      <c r="AE14" s="3111"/>
      <c r="AF14" s="3112"/>
      <c r="AG14" s="3111"/>
      <c r="AH14" s="3111"/>
      <c r="AI14" s="3111"/>
      <c r="AJ14" s="3111"/>
      <c r="AK14" s="3111"/>
      <c r="AL14" s="3113"/>
      <c r="AM14" s="3113"/>
      <c r="AN14" s="3113"/>
      <c r="AO14" s="3113"/>
      <c r="AP14" s="3113"/>
      <c r="AQ14" s="3086"/>
      <c r="AR14" s="3086"/>
      <c r="AS14" s="3086"/>
      <c r="AT14" s="3085"/>
      <c r="AU14" s="3085"/>
      <c r="AV14" s="3085"/>
    </row>
    <row r="15" spans="1:48" ht="12" customHeight="1" x14ac:dyDescent="0.2">
      <c r="A15" s="9"/>
      <c r="B15" s="818"/>
      <c r="C15" s="2791"/>
      <c r="D15" s="2796" t="s">
        <v>1325</v>
      </c>
      <c r="E15" s="3175" t="str">
        <f>Principal!$O$6</f>
        <v>0</v>
      </c>
      <c r="F15" s="3175"/>
      <c r="G15" s="949"/>
      <c r="H15" s="949"/>
      <c r="I15" s="949"/>
      <c r="J15" s="949"/>
      <c r="K15" s="949"/>
      <c r="L15" s="2563"/>
      <c r="M15" s="2792"/>
      <c r="O15" s="4166"/>
      <c r="P15" s="4167"/>
      <c r="Q15" s="4167"/>
      <c r="R15" s="4168"/>
      <c r="S15" s="4177"/>
      <c r="T15" s="3966">
        <f>IF($S$15&gt;0,(100*$S$15),0)</f>
        <v>0</v>
      </c>
      <c r="U15" s="2395"/>
      <c r="V15" s="4155" t="s">
        <v>10223</v>
      </c>
      <c r="W15" s="4156"/>
      <c r="X15" s="4156"/>
      <c r="Y15" s="4156"/>
      <c r="Z15" s="4157" t="s">
        <v>10225</v>
      </c>
      <c r="AA15" s="4158"/>
      <c r="AB15" s="1730" t="str">
        <f>IF(Principal!AD20=0,"",VLOOKUP(Principal!AD20,Tabla_HabEsenciales,5,FALSE))</f>
        <v/>
      </c>
      <c r="AC15" s="841"/>
      <c r="AD15" s="3110"/>
      <c r="AE15" s="3111"/>
      <c r="AF15" s="3112"/>
      <c r="AG15" s="3111"/>
      <c r="AH15" s="3111"/>
      <c r="AI15" s="3111"/>
      <c r="AJ15" s="3111"/>
      <c r="AK15" s="3111"/>
      <c r="AL15" s="3113"/>
      <c r="AM15" s="3113"/>
      <c r="AN15" s="3113"/>
      <c r="AO15" s="3113"/>
      <c r="AP15" s="3113"/>
      <c r="AQ15" s="3086"/>
      <c r="AR15" s="3086"/>
      <c r="AS15" s="3086"/>
      <c r="AT15" s="3085"/>
      <c r="AU15" s="3085"/>
      <c r="AV15" s="3085"/>
    </row>
    <row r="16" spans="1:48" ht="12" customHeight="1" thickBot="1" x14ac:dyDescent="0.25">
      <c r="A16" s="9"/>
      <c r="B16" s="818"/>
      <c r="C16" s="2791"/>
      <c r="D16" s="2563"/>
      <c r="E16" s="2563"/>
      <c r="F16" s="2563"/>
      <c r="G16" s="2563"/>
      <c r="H16" s="2795"/>
      <c r="I16" s="2795"/>
      <c r="J16" s="2795"/>
      <c r="K16" s="2795"/>
      <c r="L16" s="2795"/>
      <c r="M16" s="2793"/>
      <c r="O16" s="4172"/>
      <c r="P16" s="4173"/>
      <c r="Q16" s="4173"/>
      <c r="R16" s="4174"/>
      <c r="S16" s="4178"/>
      <c r="T16" s="3967"/>
      <c r="U16" s="2395"/>
      <c r="V16" s="4159"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160"/>
      <c r="X16" s="4160"/>
      <c r="Y16" s="4160"/>
      <c r="Z16" s="4160"/>
      <c r="AA16" s="4161"/>
      <c r="AB16" s="1730" t="str">
        <f>IF(Principal!AD21=0,"",VLOOKUP(Principal!AD21,Tabla_HabEsenciales,5,FALSE))</f>
        <v/>
      </c>
      <c r="AC16" s="841"/>
      <c r="AD16" s="3110"/>
      <c r="AE16" s="3111"/>
      <c r="AF16" s="3112"/>
      <c r="AG16" s="3111"/>
      <c r="AH16" s="3111"/>
      <c r="AI16" s="3111"/>
      <c r="AJ16" s="3111"/>
      <c r="AK16" s="3111"/>
      <c r="AL16" s="3113"/>
      <c r="AM16" s="3113"/>
      <c r="AN16" s="3113"/>
      <c r="AO16" s="3113"/>
      <c r="AP16" s="3113"/>
      <c r="AQ16" s="3086"/>
      <c r="AR16" s="3086"/>
      <c r="AS16" s="3086"/>
      <c r="AT16" s="3085"/>
      <c r="AU16" s="3085"/>
      <c r="AV16" s="3085"/>
    </row>
    <row r="17" spans="1:48" ht="12" customHeight="1" thickBot="1" x14ac:dyDescent="0.25">
      <c r="A17" s="9"/>
      <c r="B17" s="818"/>
      <c r="C17" s="3811" t="s">
        <v>1490</v>
      </c>
      <c r="D17" s="3812"/>
      <c r="E17" s="3812"/>
      <c r="F17" s="3812"/>
      <c r="G17" s="3812"/>
      <c r="H17" s="3812"/>
      <c r="I17" s="3812"/>
      <c r="J17" s="3812"/>
      <c r="K17" s="3812"/>
      <c r="L17" s="3812"/>
      <c r="M17" s="3813"/>
      <c r="O17" s="3737" t="s">
        <v>1491</v>
      </c>
      <c r="P17" s="3738"/>
      <c r="Q17" s="4175"/>
      <c r="R17" s="3960">
        <f>SUM(S7:S16)</f>
        <v>0</v>
      </c>
      <c r="S17" s="3963" t="s">
        <v>1377</v>
      </c>
      <c r="T17" s="4189">
        <f>SUM(T7:T16)</f>
        <v>400</v>
      </c>
      <c r="U17" s="2395"/>
      <c r="V17" s="4162"/>
      <c r="W17" s="4163"/>
      <c r="X17" s="4163"/>
      <c r="Y17" s="4163"/>
      <c r="Z17" s="4163"/>
      <c r="AA17" s="4164"/>
      <c r="AB17" s="1730" t="str">
        <f>IF(Principal!AD22=0,"",VLOOKUP(Principal!AD22,Tabla_HabEsenciales,5,FALSE))</f>
        <v/>
      </c>
      <c r="AC17" s="841"/>
      <c r="AD17" s="3110"/>
      <c r="AE17" s="3086"/>
      <c r="AF17" s="3086"/>
      <c r="AG17" s="3086"/>
      <c r="AH17" s="3086"/>
      <c r="AI17" s="3086"/>
      <c r="AJ17" s="3111"/>
      <c r="AK17" s="3111"/>
      <c r="AL17" s="3113"/>
      <c r="AM17" s="3113"/>
      <c r="AN17" s="3113"/>
      <c r="AO17" s="3113"/>
      <c r="AP17" s="3113"/>
      <c r="AQ17" s="3086"/>
      <c r="AR17" s="3086"/>
      <c r="AS17" s="3086"/>
      <c r="AT17" s="3085"/>
      <c r="AU17" s="3085"/>
      <c r="AV17" s="3085"/>
    </row>
    <row r="18" spans="1:48" ht="12" customHeight="1" thickBot="1" x14ac:dyDescent="0.25">
      <c r="A18" s="9"/>
      <c r="B18" s="818"/>
      <c r="C18" s="3814"/>
      <c r="D18" s="3199"/>
      <c r="E18" s="3199"/>
      <c r="F18" s="3199"/>
      <c r="G18" s="3199"/>
      <c r="H18" s="3199"/>
      <c r="I18" s="3199"/>
      <c r="J18" s="3199"/>
      <c r="K18" s="3199"/>
      <c r="L18" s="3199"/>
      <c r="M18" s="3815"/>
      <c r="O18" s="4176"/>
      <c r="P18" s="3677"/>
      <c r="Q18" s="3678"/>
      <c r="R18" s="3961"/>
      <c r="S18" s="3964"/>
      <c r="T18" s="4190"/>
      <c r="U18" s="2395"/>
      <c r="V18" s="4151" t="s">
        <v>8343</v>
      </c>
      <c r="W18" s="4152"/>
      <c r="X18" s="4152"/>
      <c r="Y18" s="4152"/>
      <c r="Z18" s="4152"/>
      <c r="AA18" s="4153"/>
      <c r="AB18" s="1730"/>
      <c r="AC18" s="841"/>
      <c r="AD18" s="3110"/>
      <c r="AE18" s="3114"/>
      <c r="AF18" s="3114"/>
      <c r="AG18" s="3114"/>
      <c r="AH18" s="3114"/>
      <c r="AI18" s="3114"/>
      <c r="AJ18" s="3111"/>
      <c r="AK18" s="3111"/>
      <c r="AL18" s="3113"/>
      <c r="AM18" s="3113"/>
      <c r="AN18" s="3113"/>
      <c r="AO18" s="3113"/>
      <c r="AP18" s="3113"/>
      <c r="AQ18" s="3086"/>
      <c r="AR18" s="3086"/>
      <c r="AS18" s="3086"/>
      <c r="AT18" s="3085"/>
      <c r="AU18" s="3085"/>
      <c r="AV18" s="3085"/>
    </row>
    <row r="19" spans="1:48" ht="12" customHeight="1" thickBot="1" x14ac:dyDescent="0.25">
      <c r="A19" s="9"/>
      <c r="B19" s="818"/>
      <c r="C19" s="3816"/>
      <c r="D19" s="3817"/>
      <c r="E19" s="3817"/>
      <c r="F19" s="3817"/>
      <c r="G19" s="3817"/>
      <c r="H19" s="3817"/>
      <c r="I19" s="3817"/>
      <c r="J19" s="3817"/>
      <c r="K19" s="3817"/>
      <c r="L19" s="3817"/>
      <c r="M19" s="3818"/>
      <c r="O19" s="3847" t="s">
        <v>10229</v>
      </c>
      <c r="P19" s="3848"/>
      <c r="Q19" s="3848"/>
      <c r="R19" s="3848"/>
      <c r="S19" s="3848"/>
      <c r="T19" s="3849"/>
      <c r="U19" s="2395"/>
      <c r="V19" s="2763" t="s">
        <v>1349</v>
      </c>
      <c r="W19" s="1152" t="s">
        <v>8338</v>
      </c>
      <c r="X19" s="2781" t="s">
        <v>8339</v>
      </c>
      <c r="Y19" s="2781" t="s">
        <v>8340</v>
      </c>
      <c r="Z19" s="2781" t="s">
        <v>8341</v>
      </c>
      <c r="AA19" s="2778" t="s">
        <v>8342</v>
      </c>
      <c r="AB19" s="1730"/>
      <c r="AC19" s="841"/>
      <c r="AD19" s="3110"/>
      <c r="AE19" s="3114"/>
      <c r="AF19" s="3114"/>
      <c r="AG19" s="3114"/>
      <c r="AH19" s="3114"/>
      <c r="AI19" s="3114"/>
      <c r="AJ19" s="3111"/>
      <c r="AK19" s="3111"/>
      <c r="AL19" s="3113"/>
      <c r="AM19" s="3113"/>
      <c r="AN19" s="3113"/>
      <c r="AO19" s="3113"/>
      <c r="AP19" s="3113"/>
      <c r="AQ19" s="3086"/>
      <c r="AR19" s="3086"/>
      <c r="AS19" s="3086"/>
      <c r="AT19" s="3085"/>
      <c r="AU19" s="3085"/>
      <c r="AV19" s="3085"/>
    </row>
    <row r="20" spans="1:48" ht="12" customHeight="1" thickBot="1" x14ac:dyDescent="0.25">
      <c r="A20" s="9"/>
      <c r="B20" s="818"/>
      <c r="H20" s="2397"/>
      <c r="I20" s="2397"/>
      <c r="J20" s="2397"/>
      <c r="U20" s="2395"/>
      <c r="V20" s="2782">
        <f>MAX(Principal!AJ10+Principal!AJ40-Principal!$AB$27,0)</f>
        <v>0</v>
      </c>
      <c r="W20" s="2783">
        <f>IF(Principal!AB13&lt;25,PDs!V20,MAX(0,PDs!V20-PDs!X20-PDs!Y20-PDs!Z20-PDs!AA20))</f>
        <v>0</v>
      </c>
      <c r="X20" s="1592"/>
      <c r="Y20" s="2764"/>
      <c r="Z20" s="3076"/>
      <c r="AA20" s="2784"/>
      <c r="AB20" s="1730"/>
      <c r="AC20" s="841"/>
      <c r="AD20" s="3110"/>
      <c r="AE20" s="3114"/>
      <c r="AF20" s="3114"/>
      <c r="AG20" s="3114"/>
      <c r="AH20" s="3114"/>
      <c r="AI20" s="3114"/>
      <c r="AJ20" s="3111"/>
      <c r="AK20" s="3111"/>
      <c r="AL20" s="3113"/>
      <c r="AM20" s="3113"/>
      <c r="AN20" s="3113"/>
      <c r="AO20" s="3113"/>
      <c r="AP20" s="3113"/>
      <c r="AQ20" s="3086"/>
      <c r="AR20" s="3086"/>
      <c r="AS20" s="3086"/>
      <c r="AT20" s="3085"/>
      <c r="AU20" s="3085"/>
      <c r="AV20" s="3085"/>
    </row>
    <row r="21" spans="1:48" ht="12" customHeight="1" thickBot="1" x14ac:dyDescent="0.25">
      <c r="A21" s="9"/>
      <c r="B21" s="818"/>
      <c r="D21" s="323"/>
      <c r="E21" s="323"/>
      <c r="F21" s="323"/>
      <c r="G21" s="323"/>
      <c r="H21" s="2335"/>
      <c r="I21" s="2335"/>
      <c r="J21" s="2335"/>
      <c r="W21" s="3847" t="s">
        <v>10227</v>
      </c>
      <c r="X21" s="4154"/>
      <c r="Y21" s="4154"/>
      <c r="Z21" s="4154"/>
      <c r="AA21" s="3849"/>
      <c r="AB21" s="1730" t="str">
        <f>IF(Principal!AD23=0,"",VLOOKUP(Principal!AD23,Tabla_HabEsenciales,5,FALSE))</f>
        <v/>
      </c>
      <c r="AC21" s="1403"/>
      <c r="AD21" s="3110"/>
      <c r="AE21" s="3111"/>
      <c r="AF21" s="3110"/>
      <c r="AG21" s="3110"/>
      <c r="AH21" s="3110"/>
      <c r="AI21" s="3110"/>
      <c r="AJ21" s="3111"/>
      <c r="AK21" s="3111"/>
      <c r="AL21" s="3113"/>
      <c r="AM21" s="3113"/>
      <c r="AN21" s="3113"/>
      <c r="AO21" s="3113"/>
      <c r="AP21" s="3113"/>
      <c r="AQ21" s="3086"/>
      <c r="AR21" s="3086"/>
      <c r="AS21" s="3086"/>
      <c r="AT21" s="3085"/>
      <c r="AU21" s="3085"/>
      <c r="AV21" s="3085"/>
    </row>
    <row r="22" spans="1:48" ht="12" customHeight="1" x14ac:dyDescent="0.2">
      <c r="A22" s="9"/>
      <c r="B22" s="818"/>
      <c r="D22" s="323"/>
      <c r="E22" s="323"/>
      <c r="F22" s="323"/>
      <c r="G22" s="323"/>
      <c r="H22" s="323"/>
      <c r="I22" s="323"/>
      <c r="J22" s="323"/>
      <c r="L22" s="3882" t="str">
        <f>IF(Categoría_1=0,"",Categoría_1)</f>
        <v/>
      </c>
      <c r="M22" s="3883"/>
      <c r="N22" s="3886" t="str">
        <f>IF(Categoría_2=0,"",Categoría_2)</f>
        <v/>
      </c>
      <c r="O22" s="3883"/>
      <c r="P22" s="3886" t="str">
        <f>IF(Categoría_3=0,"",Categoría_3)</f>
        <v/>
      </c>
      <c r="Q22" s="3883"/>
      <c r="R22" s="3886" t="str">
        <f>IF(Categoría_4=0,"",Categoría_4)</f>
        <v/>
      </c>
      <c r="S22" s="3883"/>
      <c r="T22" s="3886" t="str">
        <f>IF(Categoría_5=0,"",Categoría_5)</f>
        <v/>
      </c>
      <c r="U22" s="3898"/>
      <c r="W22" s="2395"/>
      <c r="X22" s="2395"/>
      <c r="Y22" s="2395"/>
      <c r="Z22" s="2395"/>
      <c r="AA22" s="2395"/>
      <c r="AB22" s="1727"/>
      <c r="AC22" s="1404"/>
      <c r="AD22" s="3110"/>
      <c r="AE22" s="3111"/>
      <c r="AF22" s="3112"/>
      <c r="AG22" s="3111"/>
      <c r="AH22" s="3111"/>
      <c r="AI22" s="3111"/>
      <c r="AJ22" s="3111"/>
      <c r="AK22" s="3111"/>
      <c r="AL22" s="3113"/>
      <c r="AM22" s="3113"/>
      <c r="AN22" s="3113"/>
      <c r="AO22" s="3113"/>
      <c r="AP22" s="3113"/>
      <c r="AQ22" s="3086"/>
      <c r="AR22" s="3086"/>
      <c r="AS22" s="3086"/>
      <c r="AT22" s="3085"/>
      <c r="AU22" s="3085"/>
      <c r="AV22" s="3085"/>
    </row>
    <row r="23" spans="1:48" ht="12" customHeight="1" thickBot="1" x14ac:dyDescent="0.25">
      <c r="A23" s="9"/>
      <c r="B23" s="818"/>
      <c r="L23" s="3884"/>
      <c r="M23" s="3885"/>
      <c r="N23" s="3887"/>
      <c r="O23" s="3885"/>
      <c r="P23" s="3887"/>
      <c r="Q23" s="3885"/>
      <c r="R23" s="3887"/>
      <c r="S23" s="3885"/>
      <c r="T23" s="3887"/>
      <c r="U23" s="3908"/>
      <c r="AB23" s="1727"/>
      <c r="AC23" s="841"/>
      <c r="AD23" s="3110"/>
      <c r="AE23" s="3111"/>
      <c r="AF23" s="3112"/>
      <c r="AG23" s="3111"/>
      <c r="AH23" s="3111"/>
      <c r="AI23" s="3111"/>
      <c r="AJ23" s="3111"/>
      <c r="AK23" s="3111"/>
      <c r="AL23" s="3113"/>
      <c r="AM23" s="3113"/>
      <c r="AN23" s="3113"/>
      <c r="AO23" s="3113"/>
      <c r="AP23" s="3113"/>
      <c r="AQ23" s="3086"/>
      <c r="AR23" s="3086"/>
      <c r="AS23" s="3086"/>
      <c r="AT23" s="3085"/>
      <c r="AU23" s="3085"/>
      <c r="AV23" s="3085"/>
    </row>
    <row r="24" spans="1:48" ht="12" customHeight="1" thickBot="1" x14ac:dyDescent="0.25">
      <c r="A24" s="9"/>
      <c r="B24" s="818"/>
      <c r="C24" s="3973" t="s">
        <v>1393</v>
      </c>
      <c r="D24" s="521" t="s">
        <v>1398</v>
      </c>
      <c r="E24" s="3819" t="s">
        <v>1375</v>
      </c>
      <c r="F24" s="3820"/>
      <c r="G24" s="3820"/>
      <c r="H24" s="3820"/>
      <c r="I24" s="3820"/>
      <c r="J24" s="3820"/>
      <c r="K24" s="3821"/>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3909" t="s">
        <v>1488</v>
      </c>
      <c r="Y24" s="3909"/>
      <c r="Z24" s="522" t="s">
        <v>1417</v>
      </c>
      <c r="AA24" s="524" t="s">
        <v>1349</v>
      </c>
      <c r="AB24" s="1727"/>
      <c r="AC24" s="841"/>
      <c r="AD24" s="3084"/>
      <c r="AE24" s="3116"/>
      <c r="AF24" s="3108"/>
      <c r="AG24" s="3116"/>
      <c r="AH24" s="3116"/>
      <c r="AI24" s="3116"/>
      <c r="AJ24" s="3116"/>
      <c r="AK24" s="3116"/>
      <c r="AL24" s="3096"/>
      <c r="AM24" s="3096"/>
      <c r="AN24" s="3096"/>
      <c r="AO24" s="3096"/>
      <c r="AP24" s="3096"/>
      <c r="AQ24" s="3085"/>
      <c r="AR24" s="3085"/>
      <c r="AS24" s="3085"/>
      <c r="AT24" s="3085"/>
      <c r="AU24" s="3085"/>
      <c r="AV24" s="3085"/>
    </row>
    <row r="25" spans="1:48" ht="12" customHeight="1" x14ac:dyDescent="0.2">
      <c r="A25" s="9"/>
      <c r="B25" s="818"/>
      <c r="C25" s="3975"/>
      <c r="D25" s="4020" t="s">
        <v>1365</v>
      </c>
      <c r="E25" s="3822" t="s">
        <v>1492</v>
      </c>
      <c r="F25" s="3823"/>
      <c r="G25" s="3823"/>
      <c r="H25" s="3823"/>
      <c r="I25" s="3823"/>
      <c r="J25" s="3823"/>
      <c r="K25" s="3824"/>
      <c r="L25" s="1968">
        <f>IFERROR(VLOOKUP(L$22,Tabla_Categorías,MATCH("Coste"&amp;$E25,Name_Tabla_Cat,FALSE),FALSE),0)</f>
        <v>0</v>
      </c>
      <c r="M25" s="2713"/>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548">
        <f>MIN(50,HLOOKUP($E25,Bonos_Cat_Base,2,FALSE)+5*Nivel_Total*Tablas!$G$364)</f>
        <v>0</v>
      </c>
      <c r="Y25" s="3548"/>
      <c r="Z25" s="2194"/>
      <c r="AA25" s="529">
        <f>Z25+X25+V25+W25+Mod_ATA+Mod_Fisico</f>
        <v>0</v>
      </c>
      <c r="AB25" s="1727"/>
      <c r="AC25" s="841"/>
      <c r="AD25" s="3084" t="s">
        <v>7210</v>
      </c>
      <c r="AE25" s="3116"/>
      <c r="AF25" s="3108"/>
      <c r="AG25" s="3116"/>
      <c r="AH25" s="3116"/>
      <c r="AI25" s="3116"/>
      <c r="AJ25" s="3116"/>
      <c r="AK25" s="3116"/>
      <c r="AL25" s="3096"/>
      <c r="AM25" s="3096"/>
      <c r="AN25" s="3096"/>
      <c r="AO25" s="3096"/>
      <c r="AP25" s="3096"/>
      <c r="AQ25" s="3085"/>
      <c r="AR25" s="3085"/>
      <c r="AS25" s="3085"/>
      <c r="AT25" s="3085"/>
      <c r="AU25" s="3085"/>
      <c r="AV25" s="3085"/>
    </row>
    <row r="26" spans="1:48" ht="12" customHeight="1" x14ac:dyDescent="0.2">
      <c r="A26" s="9"/>
      <c r="B26" s="818"/>
      <c r="C26" s="3975"/>
      <c r="D26" s="4019"/>
      <c r="E26" s="3825" t="s">
        <v>1493</v>
      </c>
      <c r="F26" s="3826"/>
      <c r="G26" s="3826"/>
      <c r="H26" s="3826"/>
      <c r="I26" s="3826"/>
      <c r="J26" s="3826"/>
      <c r="K26" s="3827"/>
      <c r="L26" s="1975">
        <f>IFERROR(VLOOKUP(L$22,Tabla_Categorías,MATCH("Coste"&amp;$E26,Name_Tabla_Cat,FALSE),FALSE),0)</f>
        <v>0</v>
      </c>
      <c r="M26" s="2714"/>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3840">
        <f>MIN(50,HLOOKUP($E26,Bonos_Cat_Base,2,FALSE)+5*Nivel_Total*Tablas!$G$365)</f>
        <v>0</v>
      </c>
      <c r="Y26" s="3840"/>
      <c r="Z26" s="2195"/>
      <c r="AA26" s="530">
        <f>W26+X26+V26+Z26+Mod_ATA+Mod_Fisico</f>
        <v>0</v>
      </c>
      <c r="AB26" s="1727"/>
      <c r="AC26" s="841"/>
      <c r="AD26" s="3084">
        <f>MAX(HP_final,HE_final)</f>
        <v>0</v>
      </c>
      <c r="AE26" s="3116"/>
      <c r="AF26" s="3108"/>
      <c r="AG26" s="3116"/>
      <c r="AH26" s="3116"/>
      <c r="AI26" s="3116"/>
      <c r="AJ26" s="3116"/>
      <c r="AK26" s="3116"/>
      <c r="AL26" s="3096"/>
      <c r="AM26" s="3096"/>
      <c r="AN26" s="3096"/>
      <c r="AO26" s="3096"/>
      <c r="AP26" s="3096"/>
      <c r="AQ26" s="3085"/>
      <c r="AR26" s="3085"/>
      <c r="AS26" s="3085"/>
      <c r="AT26" s="3085"/>
      <c r="AU26" s="3085"/>
      <c r="AV26" s="3085"/>
    </row>
    <row r="27" spans="1:48" ht="12" customHeight="1" x14ac:dyDescent="0.2">
      <c r="A27" s="9"/>
      <c r="B27" s="818"/>
      <c r="C27" s="3975"/>
      <c r="D27" s="4019"/>
      <c r="E27" s="3828" t="s">
        <v>1494</v>
      </c>
      <c r="F27" s="3829"/>
      <c r="G27" s="3829"/>
      <c r="H27" s="3829"/>
      <c r="I27" s="3829"/>
      <c r="J27" s="3829"/>
      <c r="K27" s="3830"/>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841">
        <f>MIN(50,HLOOKUP($E27,Bonos_Cat_Base,2,FALSE)+5*Nivel_Total*Tablas!$G$366)</f>
        <v>0</v>
      </c>
      <c r="Y27" s="3841"/>
      <c r="Z27" s="2196"/>
      <c r="AA27" s="531">
        <f>V27+W27+X27+Z27+Mod_ATA+Mod_Fisico</f>
        <v>0</v>
      </c>
      <c r="AB27" s="1727"/>
      <c r="AC27" s="841"/>
      <c r="AD27" s="3084"/>
      <c r="AE27" s="3116"/>
      <c r="AF27" s="3108"/>
      <c r="AG27" s="3116"/>
      <c r="AH27" s="3116"/>
      <c r="AI27" s="3116"/>
      <c r="AJ27" s="3116"/>
      <c r="AK27" s="3116"/>
      <c r="AL27" s="3096"/>
      <c r="AM27" s="3096"/>
      <c r="AN27" s="3096"/>
      <c r="AO27" s="3096"/>
      <c r="AP27" s="3096"/>
      <c r="AQ27" s="3085"/>
      <c r="AR27" s="3085"/>
      <c r="AS27" s="3085"/>
      <c r="AT27" s="3085"/>
      <c r="AU27" s="3085"/>
      <c r="AV27" s="3085"/>
    </row>
    <row r="28" spans="1:48" ht="12" customHeight="1" x14ac:dyDescent="0.2">
      <c r="A28" s="9"/>
      <c r="B28" s="818"/>
      <c r="C28" s="3975"/>
      <c r="D28" s="4019"/>
      <c r="E28" s="3831" t="s">
        <v>1495</v>
      </c>
      <c r="F28" s="3832"/>
      <c r="G28" s="3832"/>
      <c r="H28" s="3832"/>
      <c r="I28" s="3832"/>
      <c r="J28" s="3832"/>
      <c r="K28" s="3833"/>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3913">
        <f>HLOOKUP($E28,Bonos_Cat_Base,2,FALSE)</f>
        <v>0</v>
      </c>
      <c r="Y28" s="3913">
        <f>HLOOKUP($E28,Bonos_Cat_Base,2,FALSE)</f>
        <v>0</v>
      </c>
      <c r="Z28" s="2195"/>
      <c r="AA28" s="532">
        <f>V28+W28+X28+Z28</f>
        <v>0</v>
      </c>
      <c r="AB28" s="1727"/>
      <c r="AC28" s="841"/>
      <c r="AD28" s="3084"/>
      <c r="AE28" s="3116"/>
      <c r="AF28" s="3108"/>
      <c r="AG28" s="3116"/>
      <c r="AH28" s="3116"/>
      <c r="AI28" s="3116"/>
      <c r="AJ28" s="3116"/>
      <c r="AK28" s="3116"/>
      <c r="AL28" s="3096"/>
      <c r="AM28" s="3096"/>
      <c r="AN28" s="3096"/>
      <c r="AO28" s="3096"/>
      <c r="AP28" s="3096"/>
      <c r="AQ28" s="3085"/>
      <c r="AR28" s="3085"/>
      <c r="AS28" s="3085"/>
      <c r="AT28" s="3085"/>
      <c r="AU28" s="3085"/>
      <c r="AV28" s="3085"/>
    </row>
    <row r="29" spans="1:48" ht="12" customHeight="1" x14ac:dyDescent="0.2">
      <c r="A29" s="9"/>
      <c r="B29" s="818"/>
      <c r="C29" s="3975"/>
      <c r="D29" s="4021"/>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4"/>
      <c r="AE29" s="3116"/>
      <c r="AF29" s="3108"/>
      <c r="AG29" s="3116"/>
      <c r="AH29" s="3116"/>
      <c r="AI29" s="3116"/>
      <c r="AJ29" s="3116"/>
      <c r="AK29" s="3116"/>
      <c r="AL29" s="3096"/>
      <c r="AM29" s="3096"/>
      <c r="AN29" s="3096"/>
      <c r="AO29" s="3096"/>
      <c r="AP29" s="3096"/>
      <c r="AQ29" s="3085"/>
      <c r="AR29" s="3085"/>
      <c r="AS29" s="3085"/>
      <c r="AT29" s="3085"/>
      <c r="AU29" s="3085"/>
      <c r="AV29" s="3085"/>
    </row>
    <row r="30" spans="1:48" ht="12" customHeight="1" x14ac:dyDescent="0.2">
      <c r="A30" s="9"/>
      <c r="B30" s="818"/>
      <c r="C30" s="3975"/>
      <c r="D30" s="4018" t="s">
        <v>1496</v>
      </c>
      <c r="E30" s="4036" t="s">
        <v>1373</v>
      </c>
      <c r="F30" s="4037"/>
      <c r="G30" s="4037"/>
      <c r="H30" s="4037"/>
      <c r="I30" s="4037"/>
      <c r="J30" s="4037"/>
      <c r="K30" s="4038"/>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3972" t="s">
        <v>1455</v>
      </c>
      <c r="Y30" s="3972"/>
      <c r="Z30" s="2197"/>
      <c r="AA30" s="534">
        <f t="shared" ref="AA30:AA35" si="6">W30+V30+Z30</f>
        <v>0</v>
      </c>
      <c r="AB30" s="1727"/>
      <c r="AC30" s="841"/>
      <c r="AD30" s="3084"/>
      <c r="AE30" s="3116"/>
      <c r="AF30" s="3108"/>
      <c r="AG30" s="3116"/>
      <c r="AH30" s="3116"/>
      <c r="AI30" s="3116"/>
      <c r="AJ30" s="3116"/>
      <c r="AK30" s="3116"/>
      <c r="AL30" s="3096"/>
      <c r="AM30" s="3096"/>
      <c r="AN30" s="3096"/>
      <c r="AO30" s="3096"/>
      <c r="AP30" s="3096"/>
      <c r="AQ30" s="3085"/>
      <c r="AR30" s="3085"/>
      <c r="AS30" s="3085"/>
      <c r="AT30" s="3085"/>
      <c r="AU30" s="3085"/>
      <c r="AV30" s="3085"/>
    </row>
    <row r="31" spans="1:48" ht="12" customHeight="1" x14ac:dyDescent="0.2">
      <c r="A31" s="9"/>
      <c r="B31" s="818"/>
      <c r="C31" s="3975"/>
      <c r="D31" s="4019"/>
      <c r="E31" s="3831" t="s">
        <v>1497</v>
      </c>
      <c r="F31" s="3832"/>
      <c r="G31" s="3832"/>
      <c r="H31" s="3832"/>
      <c r="I31" s="3832"/>
      <c r="J31" s="3832"/>
      <c r="K31" s="3833"/>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3840" t="s">
        <v>1455</v>
      </c>
      <c r="Y31" s="3840"/>
      <c r="Z31" s="2195"/>
      <c r="AA31" s="535">
        <f t="shared" si="6"/>
        <v>0</v>
      </c>
      <c r="AB31" s="1727"/>
      <c r="AC31" s="841"/>
      <c r="AD31" s="3084"/>
      <c r="AE31" s="3116"/>
      <c r="AF31" s="3108"/>
      <c r="AG31" s="3116"/>
      <c r="AH31" s="3116"/>
      <c r="AI31" s="3116"/>
      <c r="AJ31" s="3116"/>
      <c r="AK31" s="3116"/>
      <c r="AL31" s="3096"/>
      <c r="AM31" s="3096"/>
      <c r="AN31" s="3096"/>
      <c r="AO31" s="3096"/>
      <c r="AP31" s="3096"/>
      <c r="AQ31" s="3085"/>
      <c r="AR31" s="3085"/>
      <c r="AS31" s="3085"/>
      <c r="AT31" s="3085"/>
      <c r="AU31" s="3085"/>
      <c r="AV31" s="3085"/>
    </row>
    <row r="32" spans="1:48" ht="12" customHeight="1" x14ac:dyDescent="0.2">
      <c r="A32" s="9"/>
      <c r="B32" s="818"/>
      <c r="C32" s="3975"/>
      <c r="D32" s="4019"/>
      <c r="E32" s="3828" t="s">
        <v>1378</v>
      </c>
      <c r="F32" s="3829"/>
      <c r="G32" s="3829"/>
      <c r="H32" s="3829"/>
      <c r="I32" s="3829"/>
      <c r="J32" s="3829"/>
      <c r="K32" s="3830"/>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841" t="s">
        <v>1455</v>
      </c>
      <c r="Y32" s="3841"/>
      <c r="Z32" s="2196"/>
      <c r="AA32" s="536">
        <f t="shared" si="6"/>
        <v>0</v>
      </c>
      <c r="AB32" s="1727"/>
      <c r="AC32" s="841"/>
      <c r="AD32" s="3084"/>
      <c r="AE32" s="3116"/>
      <c r="AF32" s="3108"/>
      <c r="AG32" s="3116"/>
      <c r="AH32" s="3116"/>
      <c r="AI32" s="3116"/>
      <c r="AJ32" s="3116"/>
      <c r="AK32" s="3116"/>
      <c r="AL32" s="3096"/>
      <c r="AM32" s="3096"/>
      <c r="AN32" s="3096"/>
      <c r="AO32" s="3096"/>
      <c r="AP32" s="3096"/>
      <c r="AQ32" s="3085"/>
      <c r="AR32" s="3085"/>
      <c r="AS32" s="3085"/>
      <c r="AT32" s="3085"/>
      <c r="AU32" s="3085"/>
      <c r="AV32" s="3085"/>
    </row>
    <row r="33" spans="1:48" ht="12" customHeight="1" x14ac:dyDescent="0.2">
      <c r="A33" s="9"/>
      <c r="B33" s="818"/>
      <c r="C33" s="3975"/>
      <c r="D33" s="4019"/>
      <c r="E33" s="3831" t="s">
        <v>1383</v>
      </c>
      <c r="F33" s="3832"/>
      <c r="G33" s="3832"/>
      <c r="H33" s="3832"/>
      <c r="I33" s="3832"/>
      <c r="J33" s="3832"/>
      <c r="K33" s="3833"/>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3840" t="s">
        <v>1455</v>
      </c>
      <c r="Y33" s="3840"/>
      <c r="Z33" s="2195"/>
      <c r="AA33" s="535">
        <f t="shared" si="6"/>
        <v>0</v>
      </c>
      <c r="AB33" s="1727"/>
      <c r="AC33" s="841"/>
      <c r="AD33" s="3084"/>
      <c r="AE33" s="3116"/>
      <c r="AF33" s="3108"/>
      <c r="AG33" s="3116"/>
      <c r="AH33" s="3116"/>
      <c r="AI33" s="3116"/>
      <c r="AJ33" s="3116"/>
      <c r="AK33" s="3116"/>
      <c r="AL33" s="3096"/>
      <c r="AM33" s="3096"/>
      <c r="AN33" s="3096"/>
      <c r="AO33" s="3096"/>
      <c r="AP33" s="3096"/>
      <c r="AQ33" s="3085"/>
      <c r="AR33" s="3085"/>
      <c r="AS33" s="3085"/>
      <c r="AT33" s="3085"/>
      <c r="AU33" s="3085"/>
      <c r="AV33" s="3085"/>
    </row>
    <row r="34" spans="1:48" ht="12" customHeight="1" x14ac:dyDescent="0.2">
      <c r="A34" s="9"/>
      <c r="B34" s="818"/>
      <c r="C34" s="3975"/>
      <c r="D34" s="4019"/>
      <c r="E34" s="3828" t="s">
        <v>1390</v>
      </c>
      <c r="F34" s="3829"/>
      <c r="G34" s="3829"/>
      <c r="H34" s="3829"/>
      <c r="I34" s="3829"/>
      <c r="J34" s="3829"/>
      <c r="K34" s="3830"/>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841" t="s">
        <v>1455</v>
      </c>
      <c r="Y34" s="3841"/>
      <c r="Z34" s="2196"/>
      <c r="AA34" s="536">
        <f t="shared" si="6"/>
        <v>0</v>
      </c>
      <c r="AB34" s="1727"/>
      <c r="AC34" s="841"/>
      <c r="AD34" s="3084"/>
      <c r="AE34" s="3116"/>
      <c r="AF34" s="3108"/>
      <c r="AG34" s="3116"/>
      <c r="AH34" s="3116"/>
      <c r="AI34" s="3116"/>
      <c r="AJ34" s="3116"/>
      <c r="AK34" s="3116"/>
      <c r="AL34" s="3096"/>
      <c r="AM34" s="3096"/>
      <c r="AN34" s="3096"/>
      <c r="AO34" s="3096"/>
      <c r="AP34" s="3096"/>
      <c r="AQ34" s="3085"/>
      <c r="AR34" s="3085"/>
      <c r="AS34" s="3085"/>
      <c r="AT34" s="3085"/>
      <c r="AU34" s="3085"/>
      <c r="AV34" s="3085"/>
    </row>
    <row r="35" spans="1:48" ht="12" customHeight="1" x14ac:dyDescent="0.2">
      <c r="A35" s="9"/>
      <c r="B35" s="818"/>
      <c r="C35" s="3975"/>
      <c r="D35" s="4019"/>
      <c r="E35" s="3831" t="s">
        <v>1391</v>
      </c>
      <c r="F35" s="3832"/>
      <c r="G35" s="3832"/>
      <c r="H35" s="3832"/>
      <c r="I35" s="3832"/>
      <c r="J35" s="3832"/>
      <c r="K35" s="3833"/>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3913" t="s">
        <v>1455</v>
      </c>
      <c r="Y35" s="3913"/>
      <c r="Z35" s="2198"/>
      <c r="AA35" s="537">
        <f t="shared" si="6"/>
        <v>0</v>
      </c>
      <c r="AB35" s="1727"/>
      <c r="AC35" s="841"/>
      <c r="AD35" s="3084" t="s">
        <v>9597</v>
      </c>
      <c r="AE35" s="3116"/>
      <c r="AF35" s="3108"/>
      <c r="AG35" s="3116"/>
      <c r="AH35" s="3116"/>
      <c r="AI35" s="3116"/>
      <c r="AJ35" s="3116"/>
      <c r="AK35" s="3116"/>
      <c r="AL35" s="3096"/>
      <c r="AM35" s="3096"/>
      <c r="AN35" s="3096"/>
      <c r="AO35" s="3096"/>
      <c r="AP35" s="3096"/>
      <c r="AQ35" s="3085"/>
      <c r="AR35" s="3085"/>
      <c r="AS35" s="3085"/>
      <c r="AT35" s="3085"/>
      <c r="AU35" s="3085"/>
      <c r="AV35" s="3085"/>
    </row>
    <row r="36" spans="1:48" ht="12" customHeight="1" x14ac:dyDescent="0.2">
      <c r="A36" s="9"/>
      <c r="B36" s="818"/>
      <c r="C36" s="3975"/>
      <c r="D36" s="4022" t="s">
        <v>1498</v>
      </c>
      <c r="E36" s="4036" t="s">
        <v>1373</v>
      </c>
      <c r="F36" s="4037"/>
      <c r="G36" s="4037"/>
      <c r="H36" s="4037"/>
      <c r="I36" s="4037"/>
      <c r="J36" s="4037"/>
      <c r="K36" s="4047"/>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3914" t="s">
        <v>1455</v>
      </c>
      <c r="Y36" s="3914"/>
      <c r="Z36" s="2199"/>
      <c r="AA36" s="538">
        <f t="shared" ref="AA36:AA41" si="12">MAX(0,W36+V36+Z36+IF(Mod_ATA&lt;0,MIN(0,TRUNC(Mod_ATA/20,0)),0))</f>
        <v>0</v>
      </c>
      <c r="AB36" s="1727"/>
      <c r="AC36" s="841"/>
      <c r="AD36" s="3084">
        <f>IF(AND(Tablas!$P$260,Personalización!$AB$88=E36),1,0)</f>
        <v>0</v>
      </c>
      <c r="AE36" s="3116"/>
      <c r="AF36" s="3108"/>
      <c r="AG36" s="3116"/>
      <c r="AH36" s="3116"/>
      <c r="AI36" s="3116"/>
      <c r="AJ36" s="3116"/>
      <c r="AK36" s="3116"/>
      <c r="AL36" s="3096"/>
      <c r="AM36" s="3096"/>
      <c r="AN36" s="3096"/>
      <c r="AO36" s="3096"/>
      <c r="AP36" s="3096"/>
      <c r="AQ36" s="3085"/>
      <c r="AR36" s="3085"/>
      <c r="AS36" s="3085"/>
      <c r="AT36" s="3085"/>
      <c r="AU36" s="3085"/>
      <c r="AV36" s="3085"/>
    </row>
    <row r="37" spans="1:48" ht="12" customHeight="1" x14ac:dyDescent="0.2">
      <c r="A37" s="9"/>
      <c r="B37" s="818"/>
      <c r="C37" s="3975"/>
      <c r="D37" s="4019"/>
      <c r="E37" s="3831" t="s">
        <v>1497</v>
      </c>
      <c r="F37" s="3832"/>
      <c r="G37" s="3832"/>
      <c r="H37" s="3832"/>
      <c r="I37" s="3832"/>
      <c r="J37" s="3832"/>
      <c r="K37" s="4039"/>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3840" t="s">
        <v>1455</v>
      </c>
      <c r="Y37" s="3840"/>
      <c r="Z37" s="2195"/>
      <c r="AA37" s="535">
        <f t="shared" si="12"/>
        <v>0</v>
      </c>
      <c r="AB37" s="1727"/>
      <c r="AC37" s="841"/>
      <c r="AD37" s="3084">
        <f>IF(AND(Tablas!$P$260,Personalización!$AB$88=E37),1,0)</f>
        <v>0</v>
      </c>
      <c r="AE37" s="3116"/>
      <c r="AF37" s="3108"/>
      <c r="AG37" s="3116"/>
      <c r="AH37" s="3116"/>
      <c r="AI37" s="3116"/>
      <c r="AJ37" s="3116"/>
      <c r="AK37" s="3116"/>
      <c r="AL37" s="3096"/>
      <c r="AM37" s="3096"/>
      <c r="AN37" s="3096"/>
      <c r="AO37" s="3096"/>
      <c r="AP37" s="3096"/>
      <c r="AQ37" s="3085"/>
      <c r="AR37" s="3085"/>
      <c r="AS37" s="3085"/>
      <c r="AT37" s="3085"/>
      <c r="AU37" s="3085"/>
      <c r="AV37" s="3085"/>
    </row>
    <row r="38" spans="1:48" ht="12" customHeight="1" x14ac:dyDescent="0.2">
      <c r="A38" s="9"/>
      <c r="B38" s="818"/>
      <c r="C38" s="3975"/>
      <c r="D38" s="4019"/>
      <c r="E38" s="3828" t="s">
        <v>1378</v>
      </c>
      <c r="F38" s="3829"/>
      <c r="G38" s="3829"/>
      <c r="H38" s="3829"/>
      <c r="I38" s="3829"/>
      <c r="J38" s="3829"/>
      <c r="K38" s="4040"/>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841" t="s">
        <v>1455</v>
      </c>
      <c r="Y38" s="3841"/>
      <c r="Z38" s="2196"/>
      <c r="AA38" s="536">
        <f t="shared" si="12"/>
        <v>0</v>
      </c>
      <c r="AB38" s="1727"/>
      <c r="AC38" s="841"/>
      <c r="AD38" s="3084">
        <f>IF(AND(Tablas!$P$260,Personalización!$AB$88=E38),1,0)</f>
        <v>0</v>
      </c>
      <c r="AE38" s="3116"/>
      <c r="AF38" s="3108"/>
      <c r="AG38" s="3116"/>
      <c r="AH38" s="3116"/>
      <c r="AI38" s="3116"/>
      <c r="AJ38" s="3116"/>
      <c r="AK38" s="3116"/>
      <c r="AL38" s="3096"/>
      <c r="AM38" s="3096"/>
      <c r="AN38" s="3096"/>
      <c r="AO38" s="3096"/>
      <c r="AP38" s="3096"/>
      <c r="AQ38" s="3085"/>
      <c r="AR38" s="3085"/>
      <c r="AS38" s="3085"/>
      <c r="AT38" s="3085"/>
      <c r="AU38" s="3085"/>
      <c r="AV38" s="3085"/>
    </row>
    <row r="39" spans="1:48" ht="12" customHeight="1" x14ac:dyDescent="0.2">
      <c r="A39" s="9"/>
      <c r="B39" s="818"/>
      <c r="C39" s="3975"/>
      <c r="D39" s="4019"/>
      <c r="E39" s="3831" t="s">
        <v>1383</v>
      </c>
      <c r="F39" s="3832"/>
      <c r="G39" s="3832"/>
      <c r="H39" s="3832"/>
      <c r="I39" s="3832"/>
      <c r="J39" s="3832"/>
      <c r="K39" s="4039"/>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3840" t="s">
        <v>1455</v>
      </c>
      <c r="Y39" s="3840"/>
      <c r="Z39" s="2195"/>
      <c r="AA39" s="535">
        <f t="shared" si="12"/>
        <v>0</v>
      </c>
      <c r="AB39" s="1727"/>
      <c r="AC39" s="841"/>
      <c r="AD39" s="3084">
        <f>IF(AND(Tablas!$P$260,Personalización!$AB$88=E39),1,0)</f>
        <v>0</v>
      </c>
      <c r="AE39" s="3116"/>
      <c r="AF39" s="3108"/>
      <c r="AG39" s="3116"/>
      <c r="AH39" s="3116"/>
      <c r="AI39" s="3116"/>
      <c r="AJ39" s="3116"/>
      <c r="AK39" s="3116"/>
      <c r="AL39" s="3096"/>
      <c r="AM39" s="3096"/>
      <c r="AN39" s="3096"/>
      <c r="AO39" s="3096"/>
      <c r="AP39" s="3096"/>
      <c r="AQ39" s="3085"/>
      <c r="AR39" s="3085"/>
      <c r="AS39" s="3085"/>
      <c r="AT39" s="3085"/>
      <c r="AU39" s="3085"/>
      <c r="AV39" s="3085"/>
    </row>
    <row r="40" spans="1:48" ht="12" customHeight="1" x14ac:dyDescent="0.2">
      <c r="A40" s="9"/>
      <c r="B40" s="818"/>
      <c r="C40" s="3975"/>
      <c r="D40" s="4019"/>
      <c r="E40" s="3828" t="s">
        <v>1390</v>
      </c>
      <c r="F40" s="3829"/>
      <c r="G40" s="3829"/>
      <c r="H40" s="3829"/>
      <c r="I40" s="3829"/>
      <c r="J40" s="3829"/>
      <c r="K40" s="4040"/>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841" t="s">
        <v>1455</v>
      </c>
      <c r="Y40" s="3841"/>
      <c r="Z40" s="2196"/>
      <c r="AA40" s="536">
        <f t="shared" si="12"/>
        <v>0</v>
      </c>
      <c r="AB40" s="1727"/>
      <c r="AC40" s="841"/>
      <c r="AD40" s="3084">
        <f>IF(AND(Tablas!$P$260,Personalización!$AB$88=E40),1,0)</f>
        <v>0</v>
      </c>
      <c r="AE40" s="3116"/>
      <c r="AF40" s="3108"/>
      <c r="AG40" s="3116"/>
      <c r="AH40" s="3116"/>
      <c r="AI40" s="3116"/>
      <c r="AJ40" s="3116"/>
      <c r="AK40" s="3116"/>
      <c r="AL40" s="3096"/>
      <c r="AM40" s="3096"/>
      <c r="AN40" s="3096"/>
      <c r="AO40" s="3096"/>
      <c r="AP40" s="3096"/>
      <c r="AQ40" s="3085"/>
      <c r="AR40" s="3085"/>
      <c r="AS40" s="3085"/>
      <c r="AT40" s="3085"/>
      <c r="AU40" s="3085"/>
      <c r="AV40" s="3085"/>
    </row>
    <row r="41" spans="1:48" ht="12" customHeight="1" x14ac:dyDescent="0.2">
      <c r="A41" s="9"/>
      <c r="B41" s="818"/>
      <c r="C41" s="3975"/>
      <c r="D41" s="4023"/>
      <c r="E41" s="4041" t="s">
        <v>1391</v>
      </c>
      <c r="F41" s="4042"/>
      <c r="G41" s="4042"/>
      <c r="H41" s="4042"/>
      <c r="I41" s="4042"/>
      <c r="J41" s="4042"/>
      <c r="K41" s="4043"/>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3842" t="s">
        <v>1455</v>
      </c>
      <c r="Y41" s="3842"/>
      <c r="Z41" s="2198"/>
      <c r="AA41" s="537">
        <f t="shared" si="12"/>
        <v>0</v>
      </c>
      <c r="AB41" s="1727"/>
      <c r="AC41" s="841"/>
      <c r="AD41" s="3084">
        <f>IF(AND(Tablas!$P$260,Personalización!$AB$88=E41),1,0)</f>
        <v>0</v>
      </c>
      <c r="AE41" s="3116"/>
      <c r="AF41" s="3108"/>
      <c r="AG41" s="3116"/>
      <c r="AH41" s="3116"/>
      <c r="AI41" s="3116"/>
      <c r="AJ41" s="3116"/>
      <c r="AK41" s="3116"/>
      <c r="AL41" s="3096"/>
      <c r="AM41" s="3096"/>
      <c r="AN41" s="3096"/>
      <c r="AO41" s="3096"/>
      <c r="AP41" s="3096"/>
      <c r="AQ41" s="3085"/>
      <c r="AR41" s="3085"/>
      <c r="AS41" s="3085"/>
      <c r="AT41" s="3085"/>
      <c r="AU41" s="3085"/>
      <c r="AV41" s="3085"/>
    </row>
    <row r="42" spans="1:48" ht="12" customHeight="1" x14ac:dyDescent="0.2">
      <c r="A42" s="9"/>
      <c r="B42" s="818"/>
      <c r="C42" s="3975"/>
      <c r="D42" s="539" t="s">
        <v>1499</v>
      </c>
      <c r="E42" s="4044" t="s">
        <v>1500</v>
      </c>
      <c r="F42" s="4045"/>
      <c r="G42" s="4045"/>
      <c r="H42" s="4045"/>
      <c r="I42" s="4045"/>
      <c r="J42" s="4045"/>
      <c r="K42" s="4046"/>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3843">
        <f>HLOOKUP($E42,Bonos_Cat_Base,2,FALSE)</f>
        <v>0</v>
      </c>
      <c r="Y42" s="3843">
        <f>HLOOKUP($E42,Bonos_Cat_Base,2,FALSE)</f>
        <v>0</v>
      </c>
      <c r="Z42" s="2213"/>
      <c r="AA42" s="540">
        <f>Z42+X42+W42+V42</f>
        <v>0</v>
      </c>
      <c r="AB42" s="1727"/>
      <c r="AC42" s="841"/>
      <c r="AD42" s="3084"/>
      <c r="AE42" s="3116"/>
      <c r="AF42" s="3108"/>
      <c r="AG42" s="3116"/>
      <c r="AH42" s="3116"/>
      <c r="AI42" s="3116"/>
      <c r="AJ42" s="3116"/>
      <c r="AK42" s="3116"/>
      <c r="AL42" s="3096"/>
      <c r="AM42" s="3096"/>
      <c r="AN42" s="3096"/>
      <c r="AO42" s="3096"/>
      <c r="AP42" s="3096"/>
      <c r="AQ42" s="3085"/>
      <c r="AR42" s="3085"/>
      <c r="AS42" s="3085"/>
      <c r="AT42" s="3085"/>
      <c r="AU42" s="3085"/>
      <c r="AV42" s="3085"/>
    </row>
    <row r="43" spans="1:48" ht="12" customHeight="1" x14ac:dyDescent="0.2">
      <c r="A43" s="9"/>
      <c r="B43" s="818"/>
      <c r="C43" s="3975"/>
      <c r="D43" s="4018" t="s">
        <v>1501</v>
      </c>
      <c r="E43" s="3990"/>
      <c r="F43" s="3991"/>
      <c r="G43" s="3991"/>
      <c r="H43" s="3991"/>
      <c r="I43" s="3991"/>
      <c r="J43" s="3991"/>
      <c r="K43" s="3992"/>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3917" t="str">
        <f t="shared" ref="V43:V48" si="13">IF(E43=0,"",VLOOKUP(E43,Tabla_TablasArmas,3,FALSE))</f>
        <v/>
      </c>
      <c r="W43" s="3918"/>
      <c r="X43" s="3918"/>
      <c r="Y43" s="3850"/>
      <c r="Z43" s="3850"/>
      <c r="AA43" s="3851"/>
      <c r="AB43" s="1727"/>
      <c r="AC43" s="841"/>
      <c r="AD43" s="3084" t="str">
        <f>IF($E43="Tabla de tipología","Lista_Tipologías",IF($E43="Tabla de armas arquetípicas","Lista_ArmasArquetipo",IF($E43="Arma Similar",Tablas!$AZ$639,IF($E43="Arma Mixta",Tablas!$BA$639,IF($E43="Arma Distinta / Desarmado",Tablas!$BB$639,"")))))</f>
        <v/>
      </c>
      <c r="AE43" s="3116"/>
      <c r="AF43" s="3116"/>
      <c r="AG43" s="3116"/>
      <c r="AH43" s="3116"/>
      <c r="AI43" s="3116"/>
      <c r="AJ43" s="3116"/>
      <c r="AK43" s="3116"/>
      <c r="AL43" s="3096"/>
      <c r="AM43" s="3096"/>
      <c r="AN43" s="3096"/>
      <c r="AO43" s="3096"/>
      <c r="AP43" s="3096"/>
      <c r="AQ43" s="3085"/>
      <c r="AR43" s="3085"/>
      <c r="AS43" s="3085"/>
      <c r="AT43" s="3085"/>
      <c r="AU43" s="3085"/>
      <c r="AV43" s="3085"/>
    </row>
    <row r="44" spans="1:48" ht="12" customHeight="1" x14ac:dyDescent="0.2">
      <c r="A44" s="9"/>
      <c r="B44" s="818"/>
      <c r="C44" s="3975"/>
      <c r="D44" s="4019"/>
      <c r="E44" s="3993"/>
      <c r="F44" s="3994"/>
      <c r="G44" s="3994"/>
      <c r="H44" s="3994"/>
      <c r="I44" s="3994"/>
      <c r="J44" s="3994"/>
      <c r="K44" s="3995"/>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3844" t="str">
        <f t="shared" si="13"/>
        <v/>
      </c>
      <c r="W44" s="3845"/>
      <c r="X44" s="3845"/>
      <c r="Y44" s="3865"/>
      <c r="Z44" s="3865"/>
      <c r="AA44" s="3866"/>
      <c r="AB44" s="1727"/>
      <c r="AC44" s="841"/>
      <c r="AD44" s="3084" t="str">
        <f>IF($E44="Tabla de tipología","Lista_Tipologías",IF($E44="Tabla de armas arquetípicas","Lista_ArmasArquetipo",IF($E44="Arma Similar",Tablas!$BG$639,IF($E44="Arma Mixta",Tablas!$BH$639,IF($E44="Arma Distinta / Desarmado",Tablas!$BI$639,"")))))</f>
        <v/>
      </c>
      <c r="AE44" s="3115"/>
      <c r="AF44" s="3115"/>
      <c r="AG44" s="3116"/>
      <c r="AH44" s="3116"/>
      <c r="AI44" s="3116"/>
      <c r="AJ44" s="3116"/>
      <c r="AK44" s="3116"/>
      <c r="AL44" s="3096"/>
      <c r="AM44" s="3096"/>
      <c r="AN44" s="3096"/>
      <c r="AO44" s="3096"/>
      <c r="AP44" s="3096"/>
      <c r="AQ44" s="3085"/>
      <c r="AR44" s="3085"/>
      <c r="AS44" s="3085"/>
      <c r="AT44" s="3085"/>
      <c r="AU44" s="3085"/>
      <c r="AV44" s="3085"/>
    </row>
    <row r="45" spans="1:48" ht="12" customHeight="1" x14ac:dyDescent="0.2">
      <c r="A45" s="9"/>
      <c r="B45" s="818"/>
      <c r="C45" s="3975"/>
      <c r="D45" s="4019"/>
      <c r="E45" s="3990"/>
      <c r="F45" s="3991"/>
      <c r="G45" s="3991"/>
      <c r="H45" s="3991"/>
      <c r="I45" s="3991"/>
      <c r="J45" s="3991"/>
      <c r="K45" s="3992"/>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3917" t="str">
        <f t="shared" si="13"/>
        <v/>
      </c>
      <c r="W45" s="3918"/>
      <c r="X45" s="3918"/>
      <c r="Y45" s="3850"/>
      <c r="Z45" s="3850"/>
      <c r="AA45" s="3851"/>
      <c r="AB45" s="1727"/>
      <c r="AC45" s="841"/>
      <c r="AD45" s="3084" t="str">
        <f>IF($E45="Tabla de tipología","Lista_Tipologías",IF($E45="Tabla de armas arquetípicas","Lista_ArmasArquetipo",IF($E45="Arma Similar",Tablas!$BN$639,IF($E45="Arma Mixta",Tablas!$BO$639,IF($E45="Arma Distinta / Desarmado",Tablas!$BP$639,"")))))</f>
        <v/>
      </c>
      <c r="AE45" s="3116"/>
      <c r="AF45" s="3108"/>
      <c r="AG45" s="3116"/>
      <c r="AH45" s="3116"/>
      <c r="AI45" s="3116"/>
      <c r="AJ45" s="3116"/>
      <c r="AK45" s="3116"/>
      <c r="AL45" s="3096"/>
      <c r="AM45" s="3096"/>
      <c r="AN45" s="3096"/>
      <c r="AO45" s="3096"/>
      <c r="AP45" s="3096"/>
      <c r="AQ45" s="3085"/>
      <c r="AR45" s="3085"/>
      <c r="AS45" s="3085"/>
      <c r="AT45" s="3085"/>
      <c r="AU45" s="3085"/>
      <c r="AV45" s="3085"/>
    </row>
    <row r="46" spans="1:48" ht="12" customHeight="1" x14ac:dyDescent="0.2">
      <c r="A46" s="9"/>
      <c r="B46" s="818"/>
      <c r="C46" s="3975"/>
      <c r="D46" s="4019"/>
      <c r="E46" s="3993"/>
      <c r="F46" s="3994"/>
      <c r="G46" s="3994"/>
      <c r="H46" s="3994"/>
      <c r="I46" s="3994"/>
      <c r="J46" s="3994"/>
      <c r="K46" s="3995"/>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3844" t="str">
        <f t="shared" si="13"/>
        <v/>
      </c>
      <c r="W46" s="3845"/>
      <c r="X46" s="3845"/>
      <c r="Y46" s="3865"/>
      <c r="Z46" s="3865"/>
      <c r="AA46" s="3866"/>
      <c r="AB46" s="1727"/>
      <c r="AC46" s="841"/>
      <c r="AD46" s="3084" t="str">
        <f>IF($E46="Tabla de tipología","Lista_Tipologías",IF($E46="Tabla de armas arquetípicas","Lista_ArmasArquetipo",IF($E46="Arma Similar",Tablas!$BU$639,IF($E46="Arma Mixta",Tablas!$BV$639,IF($E46="Arma Distinta / Desarmado",Tablas!$BW$639,"")))))</f>
        <v/>
      </c>
      <c r="AE46" s="3116" t="str">
        <f>INDEX(Tablas!$AG$860:$AG$861,AG59)</f>
        <v>Base</v>
      </c>
      <c r="AF46" s="3108"/>
      <c r="AG46" s="3116"/>
      <c r="AH46" s="3116"/>
      <c r="AI46" s="3116"/>
      <c r="AJ46" s="3116"/>
      <c r="AK46" s="3116"/>
      <c r="AL46" s="3096"/>
      <c r="AM46" s="3096"/>
      <c r="AN46" s="3096"/>
      <c r="AO46" s="3096"/>
      <c r="AP46" s="3096"/>
      <c r="AQ46" s="3085"/>
      <c r="AR46" s="3085"/>
      <c r="AS46" s="3085"/>
      <c r="AT46" s="3085"/>
      <c r="AU46" s="3085"/>
      <c r="AV46" s="3085"/>
    </row>
    <row r="47" spans="1:48" ht="12" customHeight="1" x14ac:dyDescent="0.2">
      <c r="A47" s="9"/>
      <c r="B47" s="818"/>
      <c r="C47" s="3975"/>
      <c r="D47" s="4019"/>
      <c r="E47" s="3990"/>
      <c r="F47" s="3991"/>
      <c r="G47" s="3991"/>
      <c r="H47" s="3991"/>
      <c r="I47" s="3991"/>
      <c r="J47" s="3991"/>
      <c r="K47" s="3992"/>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3917" t="str">
        <f t="shared" si="13"/>
        <v/>
      </c>
      <c r="W47" s="3918"/>
      <c r="X47" s="3918"/>
      <c r="Y47" s="3850"/>
      <c r="Z47" s="3850"/>
      <c r="AA47" s="3851"/>
      <c r="AB47" s="1727"/>
      <c r="AC47" s="841"/>
      <c r="AD47" s="3084" t="str">
        <f>IF($E47="Tabla de tipología","Lista_Tipologías",IF($E47="Tabla de armas arquetípicas","Lista_ArmasArquetipo",IF($E47="Arma Similar",Tablas!$CB$639,IF($E47="Arma Mixta",Tablas!$CC$639,IF($E47="Arma Distinta / Desarmado",Tablas!$CD$639,"")))))</f>
        <v/>
      </c>
      <c r="AE47" s="3116"/>
      <c r="AF47" s="3108"/>
      <c r="AG47" s="3116"/>
      <c r="AH47" s="3855" t="s">
        <v>8537</v>
      </c>
      <c r="AI47" s="3855"/>
      <c r="AJ47" s="3855"/>
      <c r="AK47" s="3855"/>
      <c r="AL47" s="3855"/>
      <c r="AM47" s="3855"/>
      <c r="AN47" s="3855"/>
      <c r="AO47" s="3855"/>
      <c r="AP47" s="3855" t="s">
        <v>8538</v>
      </c>
      <c r="AQ47" s="3855"/>
      <c r="AR47" s="3855"/>
      <c r="AS47" s="3855"/>
      <c r="AT47" s="3855"/>
      <c r="AU47" s="3855"/>
      <c r="AV47" s="3855"/>
    </row>
    <row r="48" spans="1:48" ht="12" customHeight="1" x14ac:dyDescent="0.2">
      <c r="A48" s="9"/>
      <c r="B48" s="818"/>
      <c r="C48" s="3975"/>
      <c r="D48" s="4021"/>
      <c r="E48" s="3993"/>
      <c r="F48" s="3994"/>
      <c r="G48" s="3994"/>
      <c r="H48" s="3994"/>
      <c r="I48" s="3994"/>
      <c r="J48" s="3994"/>
      <c r="K48" s="3995"/>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3933" t="str">
        <f t="shared" si="13"/>
        <v/>
      </c>
      <c r="W48" s="3934"/>
      <c r="X48" s="3934"/>
      <c r="Y48" s="3919"/>
      <c r="Z48" s="3919"/>
      <c r="AA48" s="3920"/>
      <c r="AB48" s="1727"/>
      <c r="AC48" s="841"/>
      <c r="AD48" s="3084" t="str">
        <f>IF($E48="Tabla de tipología","Lista_Tipologías",IF($E48="Tabla de armas arquetípicas","Lista_ArmasArquetipo",IF($E48="Arma Similar",Tablas!$CI$639,IF($E48="Arma Mixta",Tablas!$CJ$639,IF($E48="Arma Distinta / Desarmado",Tablas!$CK$639,"")))))</f>
        <v/>
      </c>
      <c r="AE48" s="3116" t="s">
        <v>8536</v>
      </c>
      <c r="AF48" s="3108" t="s">
        <v>8535</v>
      </c>
      <c r="AG48" s="3116" t="s">
        <v>8544</v>
      </c>
      <c r="AH48" s="3096">
        <v>1</v>
      </c>
      <c r="AI48" s="3096">
        <v>2</v>
      </c>
      <c r="AJ48" s="3096">
        <v>3</v>
      </c>
      <c r="AK48" s="3096">
        <v>4</v>
      </c>
      <c r="AL48" s="3096">
        <v>5</v>
      </c>
      <c r="AM48" s="3096">
        <v>6</v>
      </c>
      <c r="AN48" s="3096">
        <v>7</v>
      </c>
      <c r="AO48" s="3096">
        <v>8</v>
      </c>
      <c r="AP48" s="3096">
        <v>1</v>
      </c>
      <c r="AQ48" s="3096">
        <v>2</v>
      </c>
      <c r="AR48" s="3096">
        <v>3</v>
      </c>
      <c r="AS48" s="3096">
        <v>4</v>
      </c>
      <c r="AT48" s="3096">
        <v>5</v>
      </c>
      <c r="AU48" s="3096">
        <v>6</v>
      </c>
      <c r="AV48" s="3096">
        <v>7</v>
      </c>
    </row>
    <row r="49" spans="1:48" ht="12" customHeight="1" x14ac:dyDescent="0.2">
      <c r="A49" s="9"/>
      <c r="B49" s="818"/>
      <c r="C49" s="3975"/>
      <c r="D49" s="4033" t="s">
        <v>1502</v>
      </c>
      <c r="E49" s="4024"/>
      <c r="F49" s="4025"/>
      <c r="G49" s="4025"/>
      <c r="H49" s="4025"/>
      <c r="I49" s="4025"/>
      <c r="J49" s="4025"/>
      <c r="K49" s="4026"/>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3915" t="str">
        <f>IF($E49="","",IF(AND(AD49=1,M49/L49+O49/N49+Q49/P49+S49/R49+U49/T49&gt;1),SUBSTITUTE(VLOOKUP($E49,Tabla_Tabla_Estilos,8,FALSE),"XXX",M49/L49+O49/N49+Q49/P49+S49/R49+U49/T49),VLOOKUP($E49,Tabla_Tabla_Estilos,4,FALSE)))</f>
        <v/>
      </c>
      <c r="W49" s="3915"/>
      <c r="X49" s="3915"/>
      <c r="Y49" s="3915"/>
      <c r="Z49" s="3915"/>
      <c r="AA49" s="3916"/>
      <c r="AB49" s="1727"/>
      <c r="AC49" s="841"/>
      <c r="AD49" s="3084" t="e">
        <f>VLOOKUP(E49,Tablas!$R$947:$T$968,3,0)</f>
        <v>#N/A</v>
      </c>
      <c r="AE49" s="3116" t="e">
        <f>IF(AD49=1,ADDRESS(ROW($AH49),COLUMN($AH49))&amp;":"&amp;ADDRESS(ROW($AO49),COLUMN($AO49)),ADDRESS(ROW($AH49),COLUMN($AH49)))</f>
        <v>#N/A</v>
      </c>
      <c r="AF49" s="3108" t="e">
        <f>IF(AD49=1,ADDRESS(ROW($AP49),COLUMN($AP49))&amp;":"&amp;ADDRESS(ROW($AV49),COLUMN($AV49)),ADDRESS(ROW($AP49),COLUMN($AP49)))</f>
        <v>#N/A</v>
      </c>
      <c r="AG49" s="3116" t="e">
        <f>IF(AD49=1,NOT(OR(AND(INT(M49/L49)=M49/L49,M49&gt;0),AND(INT(O49/N49)=O49/N49,O49&gt;0),AND(INT(Q49/P49)=Q49/P49,Q49&gt;0),AND(INT(S49/R49)=S49/R49,S49&gt;0),AND(INT(U49/T49)=U49/T49,U49&gt;0))),NOT(OR(M49=L49,O49=N49,Q49=P49,S49=R49,U49=T49)))</f>
        <v>#N/A</v>
      </c>
      <c r="AH49" s="3108" t="e">
        <f>VLOOKUP($E49,Tablas!$R$947:$T$968,2,0)*AH$48/2</f>
        <v>#N/A</v>
      </c>
      <c r="AI49" s="3108" t="e">
        <f>VLOOKUP($E49,Tablas!$R$947:$T$968,2,0)*AI$48/2</f>
        <v>#N/A</v>
      </c>
      <c r="AJ49" s="3108" t="e">
        <f>VLOOKUP($E49,Tablas!$R$947:$T$968,2,0)*AJ$48/2</f>
        <v>#N/A</v>
      </c>
      <c r="AK49" s="3108" t="e">
        <f>VLOOKUP($E49,Tablas!$R$947:$T$968,2,0)*AK$48/2</f>
        <v>#N/A</v>
      </c>
      <c r="AL49" s="3108" t="e">
        <f>VLOOKUP($E49,Tablas!$R$947:$T$968,2,0)*AL$48/2</f>
        <v>#N/A</v>
      </c>
      <c r="AM49" s="3108" t="e">
        <f>VLOOKUP($E49,Tablas!$R$947:$T$968,2,0)*AM$48/2</f>
        <v>#N/A</v>
      </c>
      <c r="AN49" s="3108" t="e">
        <f>VLOOKUP($E49,Tablas!$R$947:$T$968,2,0)*AN$48/2</f>
        <v>#N/A</v>
      </c>
      <c r="AO49" s="3108" t="e">
        <f>VLOOKUP($E49,Tablas!$R$947:$T$968,2,0)*AO$48/2</f>
        <v>#N/A</v>
      </c>
      <c r="AP49" s="3108" t="e">
        <f>VLOOKUP($E49,Tablas!$R$947:$T$968,2,0)*AP$48</f>
        <v>#N/A</v>
      </c>
      <c r="AQ49" s="3108" t="e">
        <f>VLOOKUP($E49,Tablas!$R$947:$T$968,2,0)*AQ$48</f>
        <v>#N/A</v>
      </c>
      <c r="AR49" s="3108" t="e">
        <f>VLOOKUP($E49,Tablas!$R$947:$T$968,2,0)*AR$48</f>
        <v>#N/A</v>
      </c>
      <c r="AS49" s="3108" t="e">
        <f>VLOOKUP($E49,Tablas!$R$947:$T$968,2,0)*AS$48</f>
        <v>#N/A</v>
      </c>
      <c r="AT49" s="3108" t="e">
        <f>VLOOKUP($E49,Tablas!$R$947:$T$968,2,0)*AT$48</f>
        <v>#N/A</v>
      </c>
      <c r="AU49" s="3108" t="e">
        <f>VLOOKUP($E49,Tablas!$R$947:$T$968,2,0)*AU$48</f>
        <v>#N/A</v>
      </c>
      <c r="AV49" s="3108" t="e">
        <f>VLOOKUP($E49,Tablas!$R$947:$T$968,2,0)*AV$48</f>
        <v>#N/A</v>
      </c>
    </row>
    <row r="50" spans="1:48" ht="12" customHeight="1" x14ac:dyDescent="0.2">
      <c r="A50" s="9"/>
      <c r="B50" s="818"/>
      <c r="C50" s="3975"/>
      <c r="D50" s="4034"/>
      <c r="E50" s="4030"/>
      <c r="F50" s="4031"/>
      <c r="G50" s="4031"/>
      <c r="H50" s="4031"/>
      <c r="I50" s="4031"/>
      <c r="J50" s="4031"/>
      <c r="K50" s="4032"/>
      <c r="L50" s="1971" t="str">
        <f t="shared" si="14"/>
        <v/>
      </c>
      <c r="M50" s="1472"/>
      <c r="N50" s="1971" t="str">
        <f t="shared" si="15"/>
        <v/>
      </c>
      <c r="O50" s="1472"/>
      <c r="P50" s="1971" t="str">
        <f t="shared" si="16"/>
        <v/>
      </c>
      <c r="Q50" s="1472"/>
      <c r="R50" s="1971" t="str">
        <f t="shared" si="17"/>
        <v/>
      </c>
      <c r="S50" s="1472"/>
      <c r="T50" s="1971" t="str">
        <f t="shared" si="18"/>
        <v/>
      </c>
      <c r="U50" s="1472"/>
      <c r="V50" s="3856" t="str">
        <f t="shared" ref="V50:V58" si="19">IF($E50="","",IF(AND(AD50=1,M50/L50+O50/N50+Q50/P50+S50/R50+U50/T50&gt;1),SUBSTITUTE(VLOOKUP($E50,Tabla_Tabla_Estilos,8,FALSE),"XXX",M50/L50+O50/N50+Q50/P50+S50/R50+U50/T50),VLOOKUP($E50,Tabla_Tabla_Estilos,4,FALSE)))</f>
        <v/>
      </c>
      <c r="W50" s="3857"/>
      <c r="X50" s="3857"/>
      <c r="Y50" s="3857"/>
      <c r="Z50" s="3857"/>
      <c r="AA50" s="3858"/>
      <c r="AB50" s="1727"/>
      <c r="AC50" s="841"/>
      <c r="AD50" s="3084" t="e">
        <f>VLOOKUP(E50,Tablas!$R$947:$T$968,3,0)</f>
        <v>#N/A</v>
      </c>
      <c r="AE50" s="3116" t="e">
        <f t="shared" ref="AE50:AE58" si="20">IF(AD50=1,ADDRESS(ROW($AH50),COLUMN($AH50))&amp;":"&amp;ADDRESS(ROW($AO50),COLUMN($AO50)),ADDRESS(ROW($AH50),COLUMN($AH50)))</f>
        <v>#N/A</v>
      </c>
      <c r="AF50" s="3108" t="e">
        <f t="shared" ref="AF50:AF58" si="21">IF(AD50=1,ADDRESS(ROW($AP50),COLUMN($AP50))&amp;":"&amp;ADDRESS(ROW($AV50),COLUMN($AV50)),ADDRESS(ROW($AP50),COLUMN($AP50)))</f>
        <v>#N/A</v>
      </c>
      <c r="AG50" s="3116" t="e">
        <f t="shared" ref="AG50:AG58" si="22">IF(AD50=1,NOT(OR(AND(INT(M50/L50)=M50/L50,M50&gt;0),AND(INT(O50/N50)=O50/N50,O50&gt;0),AND(INT(Q50/P50)=Q50/P50,Q50&gt;0),AND(INT(S50/R50)=S50/R50,S50&gt;0),AND(INT(U50/T50)=U50/T50,U50&gt;0))),NOT(OR(M50=L50,O50=N50,Q50=P50,S50=R50,U50=T50)))</f>
        <v>#N/A</v>
      </c>
      <c r="AH50" s="3108" t="e">
        <f>VLOOKUP($E50,Tablas!$R$947:$T$968,2,0)*AH$48/2</f>
        <v>#N/A</v>
      </c>
      <c r="AI50" s="3108" t="e">
        <f>VLOOKUP($E50,Tablas!$R$947:$T$968,2,0)*AI$48/2</f>
        <v>#N/A</v>
      </c>
      <c r="AJ50" s="3108" t="e">
        <f>VLOOKUP($E50,Tablas!$R$947:$T$968,2,0)*AJ$48/2</f>
        <v>#N/A</v>
      </c>
      <c r="AK50" s="3108" t="e">
        <f>VLOOKUP($E50,Tablas!$R$947:$T$968,2,0)*AK$48/2</f>
        <v>#N/A</v>
      </c>
      <c r="AL50" s="3108" t="e">
        <f>VLOOKUP($E50,Tablas!$R$947:$T$968,2,0)*AL$48/2</f>
        <v>#N/A</v>
      </c>
      <c r="AM50" s="3108" t="e">
        <f>VLOOKUP($E50,Tablas!$R$947:$T$968,2,0)*AM$48/2</f>
        <v>#N/A</v>
      </c>
      <c r="AN50" s="3108" t="e">
        <f>VLOOKUP($E50,Tablas!$R$947:$T$968,2,0)*AN$48/2</f>
        <v>#N/A</v>
      </c>
      <c r="AO50" s="3108" t="e">
        <f>VLOOKUP($E50,Tablas!$R$947:$T$968,2,0)*AO$48/2</f>
        <v>#N/A</v>
      </c>
      <c r="AP50" s="3108" t="e">
        <f>VLOOKUP($E50,Tablas!$R$947:$T$968,2,0)*AP$48</f>
        <v>#N/A</v>
      </c>
      <c r="AQ50" s="3108" t="e">
        <f>VLOOKUP($E50,Tablas!$R$947:$T$968,2,0)*AQ$48</f>
        <v>#N/A</v>
      </c>
      <c r="AR50" s="3108" t="e">
        <f>VLOOKUP($E50,Tablas!$R$947:$T$968,2,0)*AR$48</f>
        <v>#N/A</v>
      </c>
      <c r="AS50" s="3108" t="e">
        <f>VLOOKUP($E50,Tablas!$R$947:$T$968,2,0)*AS$48</f>
        <v>#N/A</v>
      </c>
      <c r="AT50" s="3108" t="e">
        <f>VLOOKUP($E50,Tablas!$R$947:$T$968,2,0)*AT$48</f>
        <v>#N/A</v>
      </c>
      <c r="AU50" s="3108" t="e">
        <f>VLOOKUP($E50,Tablas!$R$947:$T$968,2,0)*AU$48</f>
        <v>#N/A</v>
      </c>
      <c r="AV50" s="3108" t="e">
        <f>VLOOKUP($E50,Tablas!$R$947:$T$968,2,0)*AV$48</f>
        <v>#N/A</v>
      </c>
    </row>
    <row r="51" spans="1:48" ht="12" customHeight="1" x14ac:dyDescent="0.2">
      <c r="A51" s="9"/>
      <c r="B51" s="818"/>
      <c r="C51" s="3975"/>
      <c r="D51" s="4034"/>
      <c r="E51" s="4013"/>
      <c r="F51" s="3991"/>
      <c r="G51" s="3991"/>
      <c r="H51" s="3991"/>
      <c r="I51" s="3991"/>
      <c r="J51" s="3991"/>
      <c r="K51" s="4014"/>
      <c r="L51" s="1976" t="str">
        <f t="shared" si="14"/>
        <v/>
      </c>
      <c r="M51" s="1490"/>
      <c r="N51" s="1976" t="str">
        <f t="shared" si="15"/>
        <v/>
      </c>
      <c r="O51" s="1490"/>
      <c r="P51" s="1976" t="str">
        <f t="shared" si="16"/>
        <v/>
      </c>
      <c r="Q51" s="1490"/>
      <c r="R51" s="1976" t="str">
        <f t="shared" si="17"/>
        <v/>
      </c>
      <c r="S51" s="1490"/>
      <c r="T51" s="1976" t="str">
        <f t="shared" si="18"/>
        <v/>
      </c>
      <c r="U51" s="1490"/>
      <c r="V51" s="3859" t="str">
        <f t="shared" si="19"/>
        <v/>
      </c>
      <c r="W51" s="3860"/>
      <c r="X51" s="3860"/>
      <c r="Y51" s="3860"/>
      <c r="Z51" s="3860"/>
      <c r="AA51" s="3861"/>
      <c r="AB51" s="1727"/>
      <c r="AC51" s="841"/>
      <c r="AD51" s="3084" t="e">
        <f>VLOOKUP(E51,Tablas!$R$947:$T$968,3,0)</f>
        <v>#N/A</v>
      </c>
      <c r="AE51" s="3116" t="e">
        <f t="shared" si="20"/>
        <v>#N/A</v>
      </c>
      <c r="AF51" s="3108" t="e">
        <f t="shared" si="21"/>
        <v>#N/A</v>
      </c>
      <c r="AG51" s="3116" t="e">
        <f t="shared" si="22"/>
        <v>#N/A</v>
      </c>
      <c r="AH51" s="3108" t="e">
        <f>VLOOKUP($E51,Tablas!$R$947:$T$968,2,0)*AH$48/2</f>
        <v>#N/A</v>
      </c>
      <c r="AI51" s="3108" t="e">
        <f>VLOOKUP($E51,Tablas!$R$947:$T$968,2,0)*AI$48/2</f>
        <v>#N/A</v>
      </c>
      <c r="AJ51" s="3108" t="e">
        <f>VLOOKUP($E51,Tablas!$R$947:$T$968,2,0)*AJ$48/2</f>
        <v>#N/A</v>
      </c>
      <c r="AK51" s="3108" t="e">
        <f>VLOOKUP($E51,Tablas!$R$947:$T$968,2,0)*AK$48/2</f>
        <v>#N/A</v>
      </c>
      <c r="AL51" s="3108" t="e">
        <f>VLOOKUP($E51,Tablas!$R$947:$T$968,2,0)*AL$48/2</f>
        <v>#N/A</v>
      </c>
      <c r="AM51" s="3108" t="e">
        <f>VLOOKUP($E51,Tablas!$R$947:$T$968,2,0)*AM$48/2</f>
        <v>#N/A</v>
      </c>
      <c r="AN51" s="3108" t="e">
        <f>VLOOKUP($E51,Tablas!$R$947:$T$968,2,0)*AN$48/2</f>
        <v>#N/A</v>
      </c>
      <c r="AO51" s="3108" t="e">
        <f>VLOOKUP($E51,Tablas!$R$947:$T$968,2,0)*AO$48/2</f>
        <v>#N/A</v>
      </c>
      <c r="AP51" s="3108" t="e">
        <f>VLOOKUP($E51,Tablas!$R$947:$T$968,2,0)*AP$48</f>
        <v>#N/A</v>
      </c>
      <c r="AQ51" s="3108" t="e">
        <f>VLOOKUP($E51,Tablas!$R$947:$T$968,2,0)*AQ$48</f>
        <v>#N/A</v>
      </c>
      <c r="AR51" s="3108" t="e">
        <f>VLOOKUP($E51,Tablas!$R$947:$T$968,2,0)*AR$48</f>
        <v>#N/A</v>
      </c>
      <c r="AS51" s="3108" t="e">
        <f>VLOOKUP($E51,Tablas!$R$947:$T$968,2,0)*AS$48</f>
        <v>#N/A</v>
      </c>
      <c r="AT51" s="3108" t="e">
        <f>VLOOKUP($E51,Tablas!$R$947:$T$968,2,0)*AT$48</f>
        <v>#N/A</v>
      </c>
      <c r="AU51" s="3108" t="e">
        <f>VLOOKUP($E51,Tablas!$R$947:$T$968,2,0)*AU$48</f>
        <v>#N/A</v>
      </c>
      <c r="AV51" s="3108" t="e">
        <f>VLOOKUP($E51,Tablas!$R$947:$T$968,2,0)*AV$48</f>
        <v>#N/A</v>
      </c>
    </row>
    <row r="52" spans="1:48" ht="12" customHeight="1" x14ac:dyDescent="0.2">
      <c r="A52" s="9"/>
      <c r="B52" s="818"/>
      <c r="C52" s="3975"/>
      <c r="D52" s="4034"/>
      <c r="E52" s="4030"/>
      <c r="F52" s="4031"/>
      <c r="G52" s="4031"/>
      <c r="H52" s="4031"/>
      <c r="I52" s="4031"/>
      <c r="J52" s="4031"/>
      <c r="K52" s="4032"/>
      <c r="L52" s="1971" t="str">
        <f t="shared" si="14"/>
        <v/>
      </c>
      <c r="M52" s="1472"/>
      <c r="N52" s="1971" t="str">
        <f t="shared" si="15"/>
        <v/>
      </c>
      <c r="O52" s="1472"/>
      <c r="P52" s="1971" t="str">
        <f t="shared" si="16"/>
        <v/>
      </c>
      <c r="Q52" s="1472"/>
      <c r="R52" s="1971" t="str">
        <f t="shared" si="17"/>
        <v/>
      </c>
      <c r="S52" s="1472"/>
      <c r="T52" s="1971" t="str">
        <f t="shared" si="18"/>
        <v/>
      </c>
      <c r="U52" s="1472"/>
      <c r="V52" s="3856" t="str">
        <f t="shared" si="19"/>
        <v/>
      </c>
      <c r="W52" s="3857"/>
      <c r="X52" s="3857"/>
      <c r="Y52" s="3857"/>
      <c r="Z52" s="3857"/>
      <c r="AA52" s="3858"/>
      <c r="AB52" s="1727"/>
      <c r="AC52" s="841"/>
      <c r="AD52" s="3084" t="e">
        <f>VLOOKUP(E52,Tablas!$R$947:$T$968,3,0)</f>
        <v>#N/A</v>
      </c>
      <c r="AE52" s="3116" t="e">
        <f t="shared" si="20"/>
        <v>#N/A</v>
      </c>
      <c r="AF52" s="3108" t="e">
        <f t="shared" si="21"/>
        <v>#N/A</v>
      </c>
      <c r="AG52" s="3116" t="e">
        <f t="shared" si="22"/>
        <v>#N/A</v>
      </c>
      <c r="AH52" s="3108" t="e">
        <f>VLOOKUP($E52,Tablas!$R$947:$T$968,2,0)*AH$48/2</f>
        <v>#N/A</v>
      </c>
      <c r="AI52" s="3108" t="e">
        <f>VLOOKUP($E52,Tablas!$R$947:$T$968,2,0)*AI$48/2</f>
        <v>#N/A</v>
      </c>
      <c r="AJ52" s="3108" t="e">
        <f>VLOOKUP($E52,Tablas!$R$947:$T$968,2,0)*AJ$48/2</f>
        <v>#N/A</v>
      </c>
      <c r="AK52" s="3108" t="e">
        <f>VLOOKUP($E52,Tablas!$R$947:$T$968,2,0)*AK$48/2</f>
        <v>#N/A</v>
      </c>
      <c r="AL52" s="3108" t="e">
        <f>VLOOKUP($E52,Tablas!$R$947:$T$968,2,0)*AL$48/2</f>
        <v>#N/A</v>
      </c>
      <c r="AM52" s="3108" t="e">
        <f>VLOOKUP($E52,Tablas!$R$947:$T$968,2,0)*AM$48/2</f>
        <v>#N/A</v>
      </c>
      <c r="AN52" s="3108" t="e">
        <f>VLOOKUP($E52,Tablas!$R$947:$T$968,2,0)*AN$48/2</f>
        <v>#N/A</v>
      </c>
      <c r="AO52" s="3108" t="e">
        <f>VLOOKUP($E52,Tablas!$R$947:$T$968,2,0)*AO$48/2</f>
        <v>#N/A</v>
      </c>
      <c r="AP52" s="3108" t="e">
        <f>VLOOKUP($E52,Tablas!$R$947:$T$968,2,0)*AP$48</f>
        <v>#N/A</v>
      </c>
      <c r="AQ52" s="3108" t="e">
        <f>VLOOKUP($E52,Tablas!$R$947:$T$968,2,0)*AQ$48</f>
        <v>#N/A</v>
      </c>
      <c r="AR52" s="3108" t="e">
        <f>VLOOKUP($E52,Tablas!$R$947:$T$968,2,0)*AR$48</f>
        <v>#N/A</v>
      </c>
      <c r="AS52" s="3108" t="e">
        <f>VLOOKUP($E52,Tablas!$R$947:$T$968,2,0)*AS$48</f>
        <v>#N/A</v>
      </c>
      <c r="AT52" s="3108" t="e">
        <f>VLOOKUP($E52,Tablas!$R$947:$T$968,2,0)*AT$48</f>
        <v>#N/A</v>
      </c>
      <c r="AU52" s="3108" t="e">
        <f>VLOOKUP($E52,Tablas!$R$947:$T$968,2,0)*AU$48</f>
        <v>#N/A</v>
      </c>
      <c r="AV52" s="3108" t="e">
        <f>VLOOKUP($E52,Tablas!$R$947:$T$968,2,0)*AV$48</f>
        <v>#N/A</v>
      </c>
    </row>
    <row r="53" spans="1:48" ht="12" customHeight="1" x14ac:dyDescent="0.2">
      <c r="A53" s="9"/>
      <c r="B53" s="818"/>
      <c r="C53" s="3975"/>
      <c r="D53" s="4034"/>
      <c r="E53" s="4013"/>
      <c r="F53" s="3991"/>
      <c r="G53" s="3991"/>
      <c r="H53" s="3991"/>
      <c r="I53" s="3991"/>
      <c r="J53" s="3991"/>
      <c r="K53" s="4014"/>
      <c r="L53" s="1976" t="str">
        <f t="shared" si="14"/>
        <v/>
      </c>
      <c r="M53" s="1490"/>
      <c r="N53" s="1976" t="str">
        <f t="shared" si="15"/>
        <v/>
      </c>
      <c r="O53" s="1490"/>
      <c r="P53" s="1976" t="str">
        <f t="shared" si="16"/>
        <v/>
      </c>
      <c r="Q53" s="1490"/>
      <c r="R53" s="1976" t="str">
        <f t="shared" si="17"/>
        <v/>
      </c>
      <c r="S53" s="1490"/>
      <c r="T53" s="1976" t="str">
        <f t="shared" si="18"/>
        <v/>
      </c>
      <c r="U53" s="1490"/>
      <c r="V53" s="3859" t="str">
        <f t="shared" si="19"/>
        <v/>
      </c>
      <c r="W53" s="3860"/>
      <c r="X53" s="3860"/>
      <c r="Y53" s="3860"/>
      <c r="Z53" s="3860"/>
      <c r="AA53" s="3861"/>
      <c r="AB53" s="1727"/>
      <c r="AC53" s="841"/>
      <c r="AD53" s="3084" t="e">
        <f>VLOOKUP(E53,Tablas!$R$947:$T$968,3,0)</f>
        <v>#N/A</v>
      </c>
      <c r="AE53" s="3116" t="e">
        <f t="shared" si="20"/>
        <v>#N/A</v>
      </c>
      <c r="AF53" s="3108" t="e">
        <f t="shared" si="21"/>
        <v>#N/A</v>
      </c>
      <c r="AG53" s="3116" t="e">
        <f t="shared" si="22"/>
        <v>#N/A</v>
      </c>
      <c r="AH53" s="3108" t="e">
        <f>VLOOKUP($E53,Tablas!$R$947:$T$968,2,0)*AH$48/2</f>
        <v>#N/A</v>
      </c>
      <c r="AI53" s="3108" t="e">
        <f>VLOOKUP($E53,Tablas!$R$947:$T$968,2,0)*AI$48/2</f>
        <v>#N/A</v>
      </c>
      <c r="AJ53" s="3108" t="e">
        <f>VLOOKUP($E53,Tablas!$R$947:$T$968,2,0)*AJ$48/2</f>
        <v>#N/A</v>
      </c>
      <c r="AK53" s="3108" t="e">
        <f>VLOOKUP($E53,Tablas!$R$947:$T$968,2,0)*AK$48/2</f>
        <v>#N/A</v>
      </c>
      <c r="AL53" s="3108" t="e">
        <f>VLOOKUP($E53,Tablas!$R$947:$T$968,2,0)*AL$48/2</f>
        <v>#N/A</v>
      </c>
      <c r="AM53" s="3108" t="e">
        <f>VLOOKUP($E53,Tablas!$R$947:$T$968,2,0)*AM$48/2</f>
        <v>#N/A</v>
      </c>
      <c r="AN53" s="3108" t="e">
        <f>VLOOKUP($E53,Tablas!$R$947:$T$968,2,0)*AN$48/2</f>
        <v>#N/A</v>
      </c>
      <c r="AO53" s="3108" t="e">
        <f>VLOOKUP($E53,Tablas!$R$947:$T$968,2,0)*AO$48/2</f>
        <v>#N/A</v>
      </c>
      <c r="AP53" s="3108" t="e">
        <f>VLOOKUP($E53,Tablas!$R$947:$T$968,2,0)*AP$48</f>
        <v>#N/A</v>
      </c>
      <c r="AQ53" s="3108" t="e">
        <f>VLOOKUP($E53,Tablas!$R$947:$T$968,2,0)*AQ$48</f>
        <v>#N/A</v>
      </c>
      <c r="AR53" s="3108" t="e">
        <f>VLOOKUP($E53,Tablas!$R$947:$T$968,2,0)*AR$48</f>
        <v>#N/A</v>
      </c>
      <c r="AS53" s="3108" t="e">
        <f>VLOOKUP($E53,Tablas!$R$947:$T$968,2,0)*AS$48</f>
        <v>#N/A</v>
      </c>
      <c r="AT53" s="3108" t="e">
        <f>VLOOKUP($E53,Tablas!$R$947:$T$968,2,0)*AT$48</f>
        <v>#N/A</v>
      </c>
      <c r="AU53" s="3108" t="e">
        <f>VLOOKUP($E53,Tablas!$R$947:$T$968,2,0)*AU$48</f>
        <v>#N/A</v>
      </c>
      <c r="AV53" s="3108" t="e">
        <f>VLOOKUP($E53,Tablas!$R$947:$T$968,2,0)*AV$48</f>
        <v>#N/A</v>
      </c>
    </row>
    <row r="54" spans="1:48" ht="12" customHeight="1" x14ac:dyDescent="0.2">
      <c r="A54" s="9"/>
      <c r="B54" s="818"/>
      <c r="C54" s="3975"/>
      <c r="D54" s="4034"/>
      <c r="E54" s="4030"/>
      <c r="F54" s="4031"/>
      <c r="G54" s="4031"/>
      <c r="H54" s="4031"/>
      <c r="I54" s="4031"/>
      <c r="J54" s="4031"/>
      <c r="K54" s="4032"/>
      <c r="L54" s="1971" t="str">
        <f t="shared" si="14"/>
        <v/>
      </c>
      <c r="M54" s="1472"/>
      <c r="N54" s="1971" t="str">
        <f t="shared" si="15"/>
        <v/>
      </c>
      <c r="O54" s="1472"/>
      <c r="P54" s="1971" t="str">
        <f t="shared" si="16"/>
        <v/>
      </c>
      <c r="Q54" s="1472"/>
      <c r="R54" s="1971" t="str">
        <f t="shared" si="17"/>
        <v/>
      </c>
      <c r="S54" s="1472"/>
      <c r="T54" s="1971" t="str">
        <f t="shared" si="18"/>
        <v/>
      </c>
      <c r="U54" s="1472"/>
      <c r="V54" s="3856" t="str">
        <f t="shared" si="19"/>
        <v/>
      </c>
      <c r="W54" s="3857"/>
      <c r="X54" s="3857"/>
      <c r="Y54" s="3857"/>
      <c r="Z54" s="3857"/>
      <c r="AA54" s="3858"/>
      <c r="AB54" s="1727"/>
      <c r="AC54" s="841"/>
      <c r="AD54" s="3084" t="e">
        <f>VLOOKUP(E54,Tablas!$R$947:$T$968,3,0)</f>
        <v>#N/A</v>
      </c>
      <c r="AE54" s="3116" t="e">
        <f t="shared" si="20"/>
        <v>#N/A</v>
      </c>
      <c r="AF54" s="3108" t="e">
        <f t="shared" si="21"/>
        <v>#N/A</v>
      </c>
      <c r="AG54" s="3116" t="e">
        <f t="shared" si="22"/>
        <v>#N/A</v>
      </c>
      <c r="AH54" s="3108" t="e">
        <f>VLOOKUP($E54,Tablas!$R$947:$T$968,2,0)*AH$48/2</f>
        <v>#N/A</v>
      </c>
      <c r="AI54" s="3108" t="e">
        <f>VLOOKUP($E54,Tablas!$R$947:$T$968,2,0)*AI$48/2</f>
        <v>#N/A</v>
      </c>
      <c r="AJ54" s="3108" t="e">
        <f>VLOOKUP($E54,Tablas!$R$947:$T$968,2,0)*AJ$48/2</f>
        <v>#N/A</v>
      </c>
      <c r="AK54" s="3108" t="e">
        <f>VLOOKUP($E54,Tablas!$R$947:$T$968,2,0)*AK$48/2</f>
        <v>#N/A</v>
      </c>
      <c r="AL54" s="3108" t="e">
        <f>VLOOKUP($E54,Tablas!$R$947:$T$968,2,0)*AL$48/2</f>
        <v>#N/A</v>
      </c>
      <c r="AM54" s="3108" t="e">
        <f>VLOOKUP($E54,Tablas!$R$947:$T$968,2,0)*AM$48/2</f>
        <v>#N/A</v>
      </c>
      <c r="AN54" s="3108" t="e">
        <f>VLOOKUP($E54,Tablas!$R$947:$T$968,2,0)*AN$48/2</f>
        <v>#N/A</v>
      </c>
      <c r="AO54" s="3108" t="e">
        <f>VLOOKUP($E54,Tablas!$R$947:$T$968,2,0)*AO$48/2</f>
        <v>#N/A</v>
      </c>
      <c r="AP54" s="3108" t="e">
        <f>VLOOKUP($E54,Tablas!$R$947:$T$968,2,0)*AP$48</f>
        <v>#N/A</v>
      </c>
      <c r="AQ54" s="3108" t="e">
        <f>VLOOKUP($E54,Tablas!$R$947:$T$968,2,0)*AQ$48</f>
        <v>#N/A</v>
      </c>
      <c r="AR54" s="3108" t="e">
        <f>VLOOKUP($E54,Tablas!$R$947:$T$968,2,0)*AR$48</f>
        <v>#N/A</v>
      </c>
      <c r="AS54" s="3108" t="e">
        <f>VLOOKUP($E54,Tablas!$R$947:$T$968,2,0)*AS$48</f>
        <v>#N/A</v>
      </c>
      <c r="AT54" s="3108" t="e">
        <f>VLOOKUP($E54,Tablas!$R$947:$T$968,2,0)*AT$48</f>
        <v>#N/A</v>
      </c>
      <c r="AU54" s="3108" t="e">
        <f>VLOOKUP($E54,Tablas!$R$947:$T$968,2,0)*AU$48</f>
        <v>#N/A</v>
      </c>
      <c r="AV54" s="3108" t="e">
        <f>VLOOKUP($E54,Tablas!$R$947:$T$968,2,0)*AV$48</f>
        <v>#N/A</v>
      </c>
    </row>
    <row r="55" spans="1:48" ht="12" customHeight="1" x14ac:dyDescent="0.2">
      <c r="A55" s="9"/>
      <c r="B55" s="818"/>
      <c r="C55" s="3975"/>
      <c r="D55" s="4034"/>
      <c r="E55" s="4013"/>
      <c r="F55" s="3991"/>
      <c r="G55" s="3991"/>
      <c r="H55" s="3991"/>
      <c r="I55" s="3991"/>
      <c r="J55" s="3991"/>
      <c r="K55" s="4014"/>
      <c r="L55" s="1976" t="str">
        <f t="shared" si="14"/>
        <v/>
      </c>
      <c r="M55" s="1494"/>
      <c r="N55" s="1976" t="str">
        <f t="shared" si="15"/>
        <v/>
      </c>
      <c r="O55" s="1494"/>
      <c r="P55" s="1976" t="str">
        <f t="shared" si="16"/>
        <v/>
      </c>
      <c r="Q55" s="1494"/>
      <c r="R55" s="1976" t="str">
        <f t="shared" si="17"/>
        <v/>
      </c>
      <c r="S55" s="1494"/>
      <c r="T55" s="1976" t="str">
        <f t="shared" si="18"/>
        <v/>
      </c>
      <c r="U55" s="1494"/>
      <c r="V55" s="3859" t="str">
        <f t="shared" si="19"/>
        <v/>
      </c>
      <c r="W55" s="3860"/>
      <c r="X55" s="3860"/>
      <c r="Y55" s="3860"/>
      <c r="Z55" s="3860"/>
      <c r="AA55" s="3861"/>
      <c r="AB55" s="1727"/>
      <c r="AC55" s="841"/>
      <c r="AD55" s="3084" t="e">
        <f>VLOOKUP(E55,Tablas!$R$947:$T$968,3,0)</f>
        <v>#N/A</v>
      </c>
      <c r="AE55" s="3116" t="e">
        <f t="shared" si="20"/>
        <v>#N/A</v>
      </c>
      <c r="AF55" s="3108" t="e">
        <f t="shared" si="21"/>
        <v>#N/A</v>
      </c>
      <c r="AG55" s="3116" t="e">
        <f t="shared" si="22"/>
        <v>#N/A</v>
      </c>
      <c r="AH55" s="3108" t="e">
        <f>VLOOKUP($E55,Tablas!$R$947:$T$968,2,0)*AH$48/2</f>
        <v>#N/A</v>
      </c>
      <c r="AI55" s="3108" t="e">
        <f>VLOOKUP($E55,Tablas!$R$947:$T$968,2,0)*AI$48/2</f>
        <v>#N/A</v>
      </c>
      <c r="AJ55" s="3108" t="e">
        <f>VLOOKUP($E55,Tablas!$R$947:$T$968,2,0)*AJ$48/2</f>
        <v>#N/A</v>
      </c>
      <c r="AK55" s="3108" t="e">
        <f>VLOOKUP($E55,Tablas!$R$947:$T$968,2,0)*AK$48/2</f>
        <v>#N/A</v>
      </c>
      <c r="AL55" s="3108" t="e">
        <f>VLOOKUP($E55,Tablas!$R$947:$T$968,2,0)*AL$48/2</f>
        <v>#N/A</v>
      </c>
      <c r="AM55" s="3108" t="e">
        <f>VLOOKUP($E55,Tablas!$R$947:$T$968,2,0)*AM$48/2</f>
        <v>#N/A</v>
      </c>
      <c r="AN55" s="3108" t="e">
        <f>VLOOKUP($E55,Tablas!$R$947:$T$968,2,0)*AN$48/2</f>
        <v>#N/A</v>
      </c>
      <c r="AO55" s="3108" t="e">
        <f>VLOOKUP($E55,Tablas!$R$947:$T$968,2,0)*AO$48/2</f>
        <v>#N/A</v>
      </c>
      <c r="AP55" s="3108" t="e">
        <f>VLOOKUP($E55,Tablas!$R$947:$T$968,2,0)*AP$48</f>
        <v>#N/A</v>
      </c>
      <c r="AQ55" s="3108" t="e">
        <f>VLOOKUP($E55,Tablas!$R$947:$T$968,2,0)*AQ$48</f>
        <v>#N/A</v>
      </c>
      <c r="AR55" s="3108" t="e">
        <f>VLOOKUP($E55,Tablas!$R$947:$T$968,2,0)*AR$48</f>
        <v>#N/A</v>
      </c>
      <c r="AS55" s="3108" t="e">
        <f>VLOOKUP($E55,Tablas!$R$947:$T$968,2,0)*AS$48</f>
        <v>#N/A</v>
      </c>
      <c r="AT55" s="3108" t="e">
        <f>VLOOKUP($E55,Tablas!$R$947:$T$968,2,0)*AT$48</f>
        <v>#N/A</v>
      </c>
      <c r="AU55" s="3108" t="e">
        <f>VLOOKUP($E55,Tablas!$R$947:$T$968,2,0)*AU$48</f>
        <v>#N/A</v>
      </c>
      <c r="AV55" s="3108" t="e">
        <f>VLOOKUP($E55,Tablas!$R$947:$T$968,2,0)*AV$48</f>
        <v>#N/A</v>
      </c>
    </row>
    <row r="56" spans="1:48" ht="12" customHeight="1" x14ac:dyDescent="0.2">
      <c r="A56" s="9"/>
      <c r="B56" s="818"/>
      <c r="C56" s="3975"/>
      <c r="D56" s="4034"/>
      <c r="E56" s="4030"/>
      <c r="F56" s="4031"/>
      <c r="G56" s="4031"/>
      <c r="H56" s="4031"/>
      <c r="I56" s="4031"/>
      <c r="J56" s="4031"/>
      <c r="K56" s="4032"/>
      <c r="L56" s="1971" t="str">
        <f t="shared" si="14"/>
        <v/>
      </c>
      <c r="M56" s="1476"/>
      <c r="N56" s="1971" t="str">
        <f t="shared" si="15"/>
        <v/>
      </c>
      <c r="O56" s="1476"/>
      <c r="P56" s="1971" t="str">
        <f t="shared" si="16"/>
        <v/>
      </c>
      <c r="Q56" s="1476"/>
      <c r="R56" s="1971" t="str">
        <f t="shared" si="17"/>
        <v/>
      </c>
      <c r="S56" s="1476"/>
      <c r="T56" s="1971" t="str">
        <f t="shared" si="18"/>
        <v/>
      </c>
      <c r="U56" s="1476"/>
      <c r="V56" s="3856" t="str">
        <f t="shared" si="19"/>
        <v/>
      </c>
      <c r="W56" s="3857"/>
      <c r="X56" s="3857"/>
      <c r="Y56" s="3857"/>
      <c r="Z56" s="3857"/>
      <c r="AA56" s="3858"/>
      <c r="AB56" s="1727"/>
      <c r="AC56" s="841"/>
      <c r="AD56" s="3084" t="e">
        <f>VLOOKUP(E56,Tablas!$R$947:$T$968,3,0)</f>
        <v>#N/A</v>
      </c>
      <c r="AE56" s="3116" t="e">
        <f t="shared" si="20"/>
        <v>#N/A</v>
      </c>
      <c r="AF56" s="3108" t="e">
        <f t="shared" si="21"/>
        <v>#N/A</v>
      </c>
      <c r="AG56" s="3116" t="e">
        <f t="shared" si="22"/>
        <v>#N/A</v>
      </c>
      <c r="AH56" s="3108" t="e">
        <f>VLOOKUP($E56,Tablas!$R$947:$T$968,2,0)*AH$48/2</f>
        <v>#N/A</v>
      </c>
      <c r="AI56" s="3108" t="e">
        <f>VLOOKUP($E56,Tablas!$R$947:$T$968,2,0)*AI$48/2</f>
        <v>#N/A</v>
      </c>
      <c r="AJ56" s="3108" t="e">
        <f>VLOOKUP($E56,Tablas!$R$947:$T$968,2,0)*AJ$48/2</f>
        <v>#N/A</v>
      </c>
      <c r="AK56" s="3108" t="e">
        <f>VLOOKUP($E56,Tablas!$R$947:$T$968,2,0)*AK$48/2</f>
        <v>#N/A</v>
      </c>
      <c r="AL56" s="3108" t="e">
        <f>VLOOKUP($E56,Tablas!$R$947:$T$968,2,0)*AL$48/2</f>
        <v>#N/A</v>
      </c>
      <c r="AM56" s="3108" t="e">
        <f>VLOOKUP($E56,Tablas!$R$947:$T$968,2,0)*AM$48/2</f>
        <v>#N/A</v>
      </c>
      <c r="AN56" s="3108" t="e">
        <f>VLOOKUP($E56,Tablas!$R$947:$T$968,2,0)*AN$48/2</f>
        <v>#N/A</v>
      </c>
      <c r="AO56" s="3108" t="e">
        <f>VLOOKUP($E56,Tablas!$R$947:$T$968,2,0)*AO$48/2</f>
        <v>#N/A</v>
      </c>
      <c r="AP56" s="3108" t="e">
        <f>VLOOKUP($E56,Tablas!$R$947:$T$968,2,0)*AP$48</f>
        <v>#N/A</v>
      </c>
      <c r="AQ56" s="3108" t="e">
        <f>VLOOKUP($E56,Tablas!$R$947:$T$968,2,0)*AQ$48</f>
        <v>#N/A</v>
      </c>
      <c r="AR56" s="3108" t="e">
        <f>VLOOKUP($E56,Tablas!$R$947:$T$968,2,0)*AR$48</f>
        <v>#N/A</v>
      </c>
      <c r="AS56" s="3108" t="e">
        <f>VLOOKUP($E56,Tablas!$R$947:$T$968,2,0)*AS$48</f>
        <v>#N/A</v>
      </c>
      <c r="AT56" s="3108" t="e">
        <f>VLOOKUP($E56,Tablas!$R$947:$T$968,2,0)*AT$48</f>
        <v>#N/A</v>
      </c>
      <c r="AU56" s="3108" t="e">
        <f>VLOOKUP($E56,Tablas!$R$947:$T$968,2,0)*AU$48</f>
        <v>#N/A</v>
      </c>
      <c r="AV56" s="3108" t="e">
        <f>VLOOKUP($E56,Tablas!$R$947:$T$968,2,0)*AV$48</f>
        <v>#N/A</v>
      </c>
    </row>
    <row r="57" spans="1:48" ht="12" customHeight="1" x14ac:dyDescent="0.2">
      <c r="A57" s="9"/>
      <c r="B57" s="818"/>
      <c r="C57" s="3975"/>
      <c r="D57" s="4034"/>
      <c r="E57" s="4013"/>
      <c r="F57" s="3991"/>
      <c r="G57" s="3991"/>
      <c r="H57" s="3991"/>
      <c r="I57" s="3991"/>
      <c r="J57" s="3991"/>
      <c r="K57" s="4014"/>
      <c r="L57" s="1976" t="str">
        <f t="shared" si="14"/>
        <v/>
      </c>
      <c r="M57" s="1494"/>
      <c r="N57" s="1976" t="str">
        <f t="shared" si="15"/>
        <v/>
      </c>
      <c r="O57" s="1494"/>
      <c r="P57" s="1976" t="str">
        <f t="shared" si="16"/>
        <v/>
      </c>
      <c r="Q57" s="1494"/>
      <c r="R57" s="1976" t="str">
        <f t="shared" si="17"/>
        <v/>
      </c>
      <c r="S57" s="1494"/>
      <c r="T57" s="1976" t="str">
        <f t="shared" si="18"/>
        <v/>
      </c>
      <c r="U57" s="1494"/>
      <c r="V57" s="3859" t="str">
        <f t="shared" si="19"/>
        <v/>
      </c>
      <c r="W57" s="3860"/>
      <c r="X57" s="3860"/>
      <c r="Y57" s="3860"/>
      <c r="Z57" s="3860"/>
      <c r="AA57" s="3861"/>
      <c r="AB57" s="1727"/>
      <c r="AC57" s="841"/>
      <c r="AD57" s="3084" t="e">
        <f>VLOOKUP(E57,Tablas!$R$947:$T$968,3,0)</f>
        <v>#N/A</v>
      </c>
      <c r="AE57" s="3116" t="e">
        <f t="shared" si="20"/>
        <v>#N/A</v>
      </c>
      <c r="AF57" s="3108" t="e">
        <f t="shared" si="21"/>
        <v>#N/A</v>
      </c>
      <c r="AG57" s="3116" t="e">
        <f t="shared" si="22"/>
        <v>#N/A</v>
      </c>
      <c r="AH57" s="3108" t="e">
        <f>VLOOKUP($E57,Tablas!$R$947:$T$968,2,0)*AH$48/2</f>
        <v>#N/A</v>
      </c>
      <c r="AI57" s="3108" t="e">
        <f>VLOOKUP($E57,Tablas!$R$947:$T$968,2,0)*AI$48/2</f>
        <v>#N/A</v>
      </c>
      <c r="AJ57" s="3108" t="e">
        <f>VLOOKUP($E57,Tablas!$R$947:$T$968,2,0)*AJ$48/2</f>
        <v>#N/A</v>
      </c>
      <c r="AK57" s="3108" t="e">
        <f>VLOOKUP($E57,Tablas!$R$947:$T$968,2,0)*AK$48/2</f>
        <v>#N/A</v>
      </c>
      <c r="AL57" s="3108" t="e">
        <f>VLOOKUP($E57,Tablas!$R$947:$T$968,2,0)*AL$48/2</f>
        <v>#N/A</v>
      </c>
      <c r="AM57" s="3108" t="e">
        <f>VLOOKUP($E57,Tablas!$R$947:$T$968,2,0)*AM$48/2</f>
        <v>#N/A</v>
      </c>
      <c r="AN57" s="3108" t="e">
        <f>VLOOKUP($E57,Tablas!$R$947:$T$968,2,0)*AN$48/2</f>
        <v>#N/A</v>
      </c>
      <c r="AO57" s="3108" t="e">
        <f>VLOOKUP($E57,Tablas!$R$947:$T$968,2,0)*AO$48/2</f>
        <v>#N/A</v>
      </c>
      <c r="AP57" s="3108" t="e">
        <f>VLOOKUP($E57,Tablas!$R$947:$T$968,2,0)*AP$48</f>
        <v>#N/A</v>
      </c>
      <c r="AQ57" s="3108" t="e">
        <f>VLOOKUP($E57,Tablas!$R$947:$T$968,2,0)*AQ$48</f>
        <v>#N/A</v>
      </c>
      <c r="AR57" s="3108" t="e">
        <f>VLOOKUP($E57,Tablas!$R$947:$T$968,2,0)*AR$48</f>
        <v>#N/A</v>
      </c>
      <c r="AS57" s="3108" t="e">
        <f>VLOOKUP($E57,Tablas!$R$947:$T$968,2,0)*AS$48</f>
        <v>#N/A</v>
      </c>
      <c r="AT57" s="3108" t="e">
        <f>VLOOKUP($E57,Tablas!$R$947:$T$968,2,0)*AT$48</f>
        <v>#N/A</v>
      </c>
      <c r="AU57" s="3108" t="e">
        <f>VLOOKUP($E57,Tablas!$R$947:$T$968,2,0)*AU$48</f>
        <v>#N/A</v>
      </c>
      <c r="AV57" s="3108" t="e">
        <f>VLOOKUP($E57,Tablas!$R$947:$T$968,2,0)*AV$48</f>
        <v>#N/A</v>
      </c>
    </row>
    <row r="58" spans="1:48" ht="12" customHeight="1" x14ac:dyDescent="0.2">
      <c r="A58" s="9"/>
      <c r="B58" s="818"/>
      <c r="C58" s="3975"/>
      <c r="D58" s="4035"/>
      <c r="E58" s="4015"/>
      <c r="F58" s="4016"/>
      <c r="G58" s="4016"/>
      <c r="H58" s="4016"/>
      <c r="I58" s="4016"/>
      <c r="J58" s="4016"/>
      <c r="K58" s="4017"/>
      <c r="L58" s="1974" t="str">
        <f t="shared" si="14"/>
        <v/>
      </c>
      <c r="M58" s="1477"/>
      <c r="N58" s="1974" t="str">
        <f t="shared" si="15"/>
        <v/>
      </c>
      <c r="O58" s="1477"/>
      <c r="P58" s="1974" t="str">
        <f t="shared" si="16"/>
        <v/>
      </c>
      <c r="Q58" s="1477"/>
      <c r="R58" s="1974" t="str">
        <f t="shared" si="17"/>
        <v/>
      </c>
      <c r="S58" s="1477"/>
      <c r="T58" s="1974" t="str">
        <f t="shared" si="18"/>
        <v/>
      </c>
      <c r="U58" s="1477"/>
      <c r="V58" s="3862" t="str">
        <f t="shared" si="19"/>
        <v/>
      </c>
      <c r="W58" s="3863"/>
      <c r="X58" s="3863"/>
      <c r="Y58" s="3863"/>
      <c r="Z58" s="3863"/>
      <c r="AA58" s="3864"/>
      <c r="AB58" s="1727"/>
      <c r="AC58" s="841"/>
      <c r="AD58" s="3084" t="e">
        <f>VLOOKUP(E58,Tablas!$R$947:$T$968,3,0)</f>
        <v>#N/A</v>
      </c>
      <c r="AE58" s="3116" t="e">
        <f t="shared" si="20"/>
        <v>#N/A</v>
      </c>
      <c r="AF58" s="3108" t="e">
        <f t="shared" si="21"/>
        <v>#N/A</v>
      </c>
      <c r="AG58" s="3116" t="e">
        <f t="shared" si="22"/>
        <v>#N/A</v>
      </c>
      <c r="AH58" s="3108" t="e">
        <f>VLOOKUP($E58,Tablas!$R$947:$T$968,2,0)*AH$48/2</f>
        <v>#N/A</v>
      </c>
      <c r="AI58" s="3108" t="e">
        <f>VLOOKUP($E58,Tablas!$R$947:$T$968,2,0)*AI$48/2</f>
        <v>#N/A</v>
      </c>
      <c r="AJ58" s="3108" t="e">
        <f>VLOOKUP($E58,Tablas!$R$947:$T$968,2,0)*AJ$48/2</f>
        <v>#N/A</v>
      </c>
      <c r="AK58" s="3108" t="e">
        <f>VLOOKUP($E58,Tablas!$R$947:$T$968,2,0)*AK$48/2</f>
        <v>#N/A</v>
      </c>
      <c r="AL58" s="3108" t="e">
        <f>VLOOKUP($E58,Tablas!$R$947:$T$968,2,0)*AL$48/2</f>
        <v>#N/A</v>
      </c>
      <c r="AM58" s="3108" t="e">
        <f>VLOOKUP($E58,Tablas!$R$947:$T$968,2,0)*AM$48/2</f>
        <v>#N/A</v>
      </c>
      <c r="AN58" s="3108" t="e">
        <f>VLOOKUP($E58,Tablas!$R$947:$T$968,2,0)*AN$48/2</f>
        <v>#N/A</v>
      </c>
      <c r="AO58" s="3108" t="e">
        <f>VLOOKUP($E58,Tablas!$R$947:$T$968,2,0)*AO$48/2</f>
        <v>#N/A</v>
      </c>
      <c r="AP58" s="3108" t="e">
        <f>VLOOKUP($E58,Tablas!$R$947:$T$968,2,0)*AP$48</f>
        <v>#N/A</v>
      </c>
      <c r="AQ58" s="3108" t="e">
        <f>VLOOKUP($E58,Tablas!$R$947:$T$968,2,0)*AQ$48</f>
        <v>#N/A</v>
      </c>
      <c r="AR58" s="3108" t="e">
        <f>VLOOKUP($E58,Tablas!$R$947:$T$968,2,0)*AR$48</f>
        <v>#N/A</v>
      </c>
      <c r="AS58" s="3108" t="e">
        <f>VLOOKUP($E58,Tablas!$R$947:$T$968,2,0)*AS$48</f>
        <v>#N/A</v>
      </c>
      <c r="AT58" s="3108" t="e">
        <f>VLOOKUP($E58,Tablas!$R$947:$T$968,2,0)*AT$48</f>
        <v>#N/A</v>
      </c>
      <c r="AU58" s="3108" t="e">
        <f>VLOOKUP($E58,Tablas!$R$947:$T$968,2,0)*AU$48</f>
        <v>#N/A</v>
      </c>
      <c r="AV58" s="3108" t="e">
        <f>VLOOKUP($E58,Tablas!$R$947:$T$968,2,0)*AV$48</f>
        <v>#N/A</v>
      </c>
    </row>
    <row r="59" spans="1:48" ht="12" customHeight="1" x14ac:dyDescent="0.2">
      <c r="A59" s="9"/>
      <c r="B59" s="818"/>
      <c r="C59" s="3975"/>
      <c r="D59" s="4033" t="s">
        <v>1503</v>
      </c>
      <c r="E59" s="3867"/>
      <c r="F59" s="3868"/>
      <c r="G59" s="3868"/>
      <c r="H59" s="3868"/>
      <c r="I59" s="3869"/>
      <c r="J59" s="3870"/>
      <c r="K59" s="3871"/>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3894" t="str">
        <f t="shared" ref="V59:V75" si="23">IF($AD59=0,"",IF(AF59&gt;1,"ARTE MARCIAL REPETIDA",IF(NOT(AL59),"ARTE MARCIAL SIN PAGAR",IF(VLOOKUP($AD59,Tabla_ArtesMarciales,23,FALSE)&lt;&gt;"-","FALTAN REQUISITOS",IF(VLOOKUP($AD59,Tabla_ArtesMarciales,16,FALSE)&gt;55,"Ver",VLOOKUP($AD59,Tabla_ArtesMarciales,11,FALSE))))))</f>
        <v/>
      </c>
      <c r="W59" s="3895"/>
      <c r="X59" s="3895"/>
      <c r="Y59" s="3895"/>
      <c r="Z59" s="3895"/>
      <c r="AA59" s="3896"/>
      <c r="AB59" s="1727"/>
      <c r="AC59" s="841"/>
      <c r="AD59" s="3084">
        <f>IF(OR(E59="",J59=""),,E59&amp;" ("&amp;J59&amp;")")</f>
        <v>0</v>
      </c>
      <c r="AE59" s="3116" t="str">
        <f>Tablas!$AK850</f>
        <v/>
      </c>
      <c r="AF59" s="3084">
        <f>COUNTIF($E$59:$E59,E59)</f>
        <v>0</v>
      </c>
      <c r="AG59" s="3108">
        <f>Tablas!$AQ850</f>
        <v>1</v>
      </c>
      <c r="AH59" s="3108">
        <f>Tablas!$AV850</f>
        <v>1</v>
      </c>
      <c r="AI59" s="3108">
        <f>Tablas!$BA850</f>
        <v>1</v>
      </c>
      <c r="AJ59" s="3108">
        <f>Tablas!$BF850</f>
        <v>1</v>
      </c>
      <c r="AK59" s="3108">
        <f>Tablas!$BK850</f>
        <v>1</v>
      </c>
      <c r="AL59" s="3085" t="b">
        <f>Tablas!BL850=1</f>
        <v>0</v>
      </c>
      <c r="AM59" s="3096"/>
      <c r="AN59" s="3096"/>
      <c r="AO59" s="3096"/>
      <c r="AP59" s="3096"/>
      <c r="AQ59" s="3085"/>
      <c r="AR59" s="3085"/>
      <c r="AS59" s="3085"/>
      <c r="AT59" s="3085"/>
      <c r="AU59" s="3085"/>
      <c r="AV59" s="3085"/>
    </row>
    <row r="60" spans="1:48" ht="12" customHeight="1" x14ac:dyDescent="0.2">
      <c r="A60" s="9"/>
      <c r="B60" s="818"/>
      <c r="C60" s="3975"/>
      <c r="D60" s="4034"/>
      <c r="E60" s="3796"/>
      <c r="F60" s="3797"/>
      <c r="G60" s="3797"/>
      <c r="H60" s="3797"/>
      <c r="I60" s="3798"/>
      <c r="J60" s="3947"/>
      <c r="K60" s="3948"/>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3834" t="str">
        <f t="shared" si="23"/>
        <v/>
      </c>
      <c r="W60" s="3835"/>
      <c r="X60" s="3835"/>
      <c r="Y60" s="3835"/>
      <c r="Z60" s="3835"/>
      <c r="AA60" s="3836"/>
      <c r="AB60" s="1727"/>
      <c r="AC60" s="841"/>
      <c r="AD60" s="3084">
        <f t="shared" ref="AD60:AD77" si="24">IF(OR(E60="",J60=""),,E60&amp;" ("&amp;J60&amp;")")</f>
        <v>0</v>
      </c>
      <c r="AE60" s="3116" t="str">
        <f>Tablas!$AK851</f>
        <v/>
      </c>
      <c r="AF60" s="3084">
        <f>COUNTIF($E$59:$E60,E60)</f>
        <v>0</v>
      </c>
      <c r="AG60" s="3108">
        <f>Tablas!$AQ851</f>
        <v>1</v>
      </c>
      <c r="AH60" s="3108">
        <f>Tablas!$AV851</f>
        <v>1</v>
      </c>
      <c r="AI60" s="3108">
        <f>Tablas!$BA851</f>
        <v>1</v>
      </c>
      <c r="AJ60" s="3108">
        <f>Tablas!$BF851</f>
        <v>1</v>
      </c>
      <c r="AK60" s="3108">
        <f>Tablas!$BK851</f>
        <v>1</v>
      </c>
      <c r="AL60" s="3085" t="b">
        <f>Tablas!BL851=1</f>
        <v>0</v>
      </c>
      <c r="AM60" s="3096"/>
      <c r="AN60" s="3096"/>
      <c r="AO60" s="3096"/>
      <c r="AP60" s="3096"/>
      <c r="AQ60" s="3085"/>
      <c r="AR60" s="3085"/>
      <c r="AS60" s="3085"/>
      <c r="AT60" s="3085"/>
      <c r="AU60" s="3085"/>
      <c r="AV60" s="3085"/>
    </row>
    <row r="61" spans="1:48" ht="12" customHeight="1" x14ac:dyDescent="0.2">
      <c r="A61" s="9"/>
      <c r="B61" s="818"/>
      <c r="C61" s="3975"/>
      <c r="D61" s="4034"/>
      <c r="E61" s="3867"/>
      <c r="F61" s="3868"/>
      <c r="G61" s="3868"/>
      <c r="H61" s="3868"/>
      <c r="I61" s="3869"/>
      <c r="J61" s="3870"/>
      <c r="K61" s="3871"/>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3837" t="str">
        <f t="shared" si="23"/>
        <v/>
      </c>
      <c r="W61" s="3838"/>
      <c r="X61" s="3838"/>
      <c r="Y61" s="3838"/>
      <c r="Z61" s="3838"/>
      <c r="AA61" s="3839"/>
      <c r="AB61" s="1727"/>
      <c r="AC61" s="841"/>
      <c r="AD61" s="3084">
        <f t="shared" si="24"/>
        <v>0</v>
      </c>
      <c r="AE61" s="3116" t="str">
        <f>Tablas!$AK852</f>
        <v/>
      </c>
      <c r="AF61" s="3084">
        <f>COUNTIF($E$59:$E61,E61)</f>
        <v>0</v>
      </c>
      <c r="AG61" s="3108">
        <f>Tablas!$AQ852</f>
        <v>1</v>
      </c>
      <c r="AH61" s="3108">
        <f>Tablas!$AV852</f>
        <v>1</v>
      </c>
      <c r="AI61" s="3108">
        <f>Tablas!$BA852</f>
        <v>1</v>
      </c>
      <c r="AJ61" s="3108">
        <f>Tablas!$BF852</f>
        <v>1</v>
      </c>
      <c r="AK61" s="3108">
        <f>Tablas!$BK852</f>
        <v>1</v>
      </c>
      <c r="AL61" s="3085" t="b">
        <f>Tablas!BL852=1</f>
        <v>0</v>
      </c>
      <c r="AM61" s="3096"/>
      <c r="AN61" s="3096"/>
      <c r="AO61" s="3096"/>
      <c r="AP61" s="3096"/>
      <c r="AQ61" s="3085"/>
      <c r="AR61" s="3085"/>
      <c r="AS61" s="3085"/>
      <c r="AT61" s="3085"/>
      <c r="AU61" s="3085"/>
      <c r="AV61" s="3085"/>
    </row>
    <row r="62" spans="1:48" ht="12" customHeight="1" x14ac:dyDescent="0.2">
      <c r="A62" s="9"/>
      <c r="B62" s="818"/>
      <c r="C62" s="3975"/>
      <c r="D62" s="4034"/>
      <c r="E62" s="3796"/>
      <c r="F62" s="3797"/>
      <c r="G62" s="3797"/>
      <c r="H62" s="3797"/>
      <c r="I62" s="3798"/>
      <c r="J62" s="3947"/>
      <c r="K62" s="3948"/>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3834" t="str">
        <f t="shared" si="23"/>
        <v/>
      </c>
      <c r="W62" s="3835"/>
      <c r="X62" s="3835"/>
      <c r="Y62" s="3835"/>
      <c r="Z62" s="3835"/>
      <c r="AA62" s="3836"/>
      <c r="AB62" s="1727"/>
      <c r="AC62" s="841"/>
      <c r="AD62" s="3084">
        <f t="shared" si="24"/>
        <v>0</v>
      </c>
      <c r="AE62" s="3116" t="str">
        <f>Tablas!$AK853</f>
        <v/>
      </c>
      <c r="AF62" s="3084">
        <f>COUNTIF($E$59:$E62,E62)</f>
        <v>0</v>
      </c>
      <c r="AG62" s="3108">
        <f>Tablas!$AQ853</f>
        <v>1</v>
      </c>
      <c r="AH62" s="3108">
        <f>Tablas!$AV853</f>
        <v>1</v>
      </c>
      <c r="AI62" s="3108">
        <f>Tablas!$BA853</f>
        <v>1</v>
      </c>
      <c r="AJ62" s="3108">
        <f>Tablas!$BF853</f>
        <v>1</v>
      </c>
      <c r="AK62" s="3108">
        <f>Tablas!$BK853</f>
        <v>1</v>
      </c>
      <c r="AL62" s="3085" t="b">
        <f>Tablas!BL853=1</f>
        <v>0</v>
      </c>
      <c r="AM62" s="3096"/>
      <c r="AN62" s="3096"/>
      <c r="AO62" s="3096"/>
      <c r="AP62" s="3096"/>
      <c r="AQ62" s="3085"/>
      <c r="AR62" s="3085"/>
      <c r="AS62" s="3085"/>
      <c r="AT62" s="3085"/>
      <c r="AU62" s="3085"/>
      <c r="AV62" s="3085"/>
    </row>
    <row r="63" spans="1:48" ht="12" customHeight="1" x14ac:dyDescent="0.2">
      <c r="A63" s="9"/>
      <c r="B63" s="818"/>
      <c r="C63" s="3975"/>
      <c r="D63" s="4034"/>
      <c r="E63" s="3867"/>
      <c r="F63" s="3868"/>
      <c r="G63" s="3868"/>
      <c r="H63" s="3868"/>
      <c r="I63" s="3869"/>
      <c r="J63" s="3870"/>
      <c r="K63" s="3871"/>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3837" t="str">
        <f t="shared" si="23"/>
        <v/>
      </c>
      <c r="W63" s="3838"/>
      <c r="X63" s="3838"/>
      <c r="Y63" s="3838"/>
      <c r="Z63" s="3838"/>
      <c r="AA63" s="3839"/>
      <c r="AB63" s="1727"/>
      <c r="AC63" s="841"/>
      <c r="AD63" s="3084">
        <f t="shared" si="24"/>
        <v>0</v>
      </c>
      <c r="AE63" s="3116" t="str">
        <f>Tablas!$AK854</f>
        <v/>
      </c>
      <c r="AF63" s="3084">
        <f>COUNTIF($E$59:$E63,E63)</f>
        <v>0</v>
      </c>
      <c r="AG63" s="3108">
        <f>Tablas!$AQ854</f>
        <v>1</v>
      </c>
      <c r="AH63" s="3108">
        <f>Tablas!$AV854</f>
        <v>1</v>
      </c>
      <c r="AI63" s="3108">
        <f>Tablas!$BA854</f>
        <v>1</v>
      </c>
      <c r="AJ63" s="3108">
        <f>Tablas!$BF854</f>
        <v>1</v>
      </c>
      <c r="AK63" s="3108">
        <f>Tablas!$BK854</f>
        <v>1</v>
      </c>
      <c r="AL63" s="3085" t="b">
        <f>Tablas!BL854=1</f>
        <v>0</v>
      </c>
      <c r="AM63" s="3096"/>
      <c r="AN63" s="3096"/>
      <c r="AO63" s="3096"/>
      <c r="AP63" s="3096"/>
      <c r="AQ63" s="3085"/>
      <c r="AR63" s="3085"/>
      <c r="AS63" s="3085"/>
      <c r="AT63" s="3085"/>
      <c r="AU63" s="3085"/>
      <c r="AV63" s="3085"/>
    </row>
    <row r="64" spans="1:48" ht="12" customHeight="1" x14ac:dyDescent="0.2">
      <c r="A64" s="9"/>
      <c r="B64" s="818"/>
      <c r="C64" s="3975"/>
      <c r="D64" s="4034"/>
      <c r="E64" s="3796"/>
      <c r="F64" s="3797"/>
      <c r="G64" s="3797"/>
      <c r="H64" s="3797"/>
      <c r="I64" s="3798"/>
      <c r="J64" s="3947"/>
      <c r="K64" s="3948"/>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3834" t="str">
        <f t="shared" si="23"/>
        <v/>
      </c>
      <c r="W64" s="3835"/>
      <c r="X64" s="3835"/>
      <c r="Y64" s="3835"/>
      <c r="Z64" s="3835"/>
      <c r="AA64" s="3836"/>
      <c r="AB64" s="1730"/>
      <c r="AC64" s="841"/>
      <c r="AD64" s="3084">
        <f t="shared" si="24"/>
        <v>0</v>
      </c>
      <c r="AE64" s="3116" t="str">
        <f>Tablas!$AK855</f>
        <v/>
      </c>
      <c r="AF64" s="3084">
        <f>COUNTIF($E$59:$E64,E64)</f>
        <v>0</v>
      </c>
      <c r="AG64" s="3108">
        <f>Tablas!$AQ855</f>
        <v>1</v>
      </c>
      <c r="AH64" s="3108">
        <f>Tablas!$AV855</f>
        <v>1</v>
      </c>
      <c r="AI64" s="3108">
        <f>Tablas!$BA855</f>
        <v>1</v>
      </c>
      <c r="AJ64" s="3108">
        <f>Tablas!$BF855</f>
        <v>1</v>
      </c>
      <c r="AK64" s="3108">
        <f>Tablas!$BK855</f>
        <v>1</v>
      </c>
      <c r="AL64" s="3085" t="b">
        <f>Tablas!BL855=1</f>
        <v>0</v>
      </c>
      <c r="AM64" s="3096"/>
      <c r="AN64" s="3096"/>
      <c r="AO64" s="3096"/>
      <c r="AP64" s="3096"/>
      <c r="AQ64" s="3085"/>
      <c r="AR64" s="3085"/>
      <c r="AS64" s="3085"/>
      <c r="AT64" s="3085"/>
      <c r="AU64" s="3085"/>
      <c r="AV64" s="3085"/>
    </row>
    <row r="65" spans="1:48" ht="12" customHeight="1" x14ac:dyDescent="0.2">
      <c r="A65" s="9"/>
      <c r="B65" s="818"/>
      <c r="C65" s="3975"/>
      <c r="D65" s="4034"/>
      <c r="E65" s="3867"/>
      <c r="F65" s="3868"/>
      <c r="G65" s="3868"/>
      <c r="H65" s="3868"/>
      <c r="I65" s="3869"/>
      <c r="J65" s="3870"/>
      <c r="K65" s="3871"/>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3837" t="str">
        <f t="shared" si="23"/>
        <v/>
      </c>
      <c r="W65" s="3838"/>
      <c r="X65" s="3838"/>
      <c r="Y65" s="3838"/>
      <c r="Z65" s="3838"/>
      <c r="AA65" s="3839"/>
      <c r="AB65" s="1727"/>
      <c r="AC65" s="841"/>
      <c r="AD65" s="3084">
        <f t="shared" si="24"/>
        <v>0</v>
      </c>
      <c r="AE65" s="3116" t="str">
        <f>Tablas!$AK856</f>
        <v/>
      </c>
      <c r="AF65" s="3084">
        <f>COUNTIF($E$59:$E65,E65)</f>
        <v>0</v>
      </c>
      <c r="AG65" s="3108">
        <f>Tablas!$AQ856</f>
        <v>1</v>
      </c>
      <c r="AH65" s="3108">
        <f>Tablas!$AV856</f>
        <v>1</v>
      </c>
      <c r="AI65" s="3108">
        <f>Tablas!$BA856</f>
        <v>1</v>
      </c>
      <c r="AJ65" s="3108">
        <f>Tablas!$BF856</f>
        <v>1</v>
      </c>
      <c r="AK65" s="3108">
        <f>Tablas!$BK856</f>
        <v>1</v>
      </c>
      <c r="AL65" s="3085" t="b">
        <f>Tablas!BL856=1</f>
        <v>0</v>
      </c>
      <c r="AM65" s="3096"/>
      <c r="AN65" s="3096"/>
      <c r="AO65" s="3096"/>
      <c r="AP65" s="3096"/>
      <c r="AQ65" s="3085"/>
      <c r="AR65" s="3085"/>
      <c r="AS65" s="3085"/>
      <c r="AT65" s="3085"/>
      <c r="AU65" s="3085"/>
      <c r="AV65" s="3085"/>
    </row>
    <row r="66" spans="1:48" ht="12" customHeight="1" x14ac:dyDescent="0.2">
      <c r="A66" s="9"/>
      <c r="B66" s="818"/>
      <c r="C66" s="3975"/>
      <c r="D66" s="4034"/>
      <c r="E66" s="3796"/>
      <c r="F66" s="3797"/>
      <c r="G66" s="3797"/>
      <c r="H66" s="3797"/>
      <c r="I66" s="3798"/>
      <c r="J66" s="3947"/>
      <c r="K66" s="3948"/>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3834" t="str">
        <f t="shared" si="23"/>
        <v/>
      </c>
      <c r="W66" s="3835"/>
      <c r="X66" s="3835"/>
      <c r="Y66" s="3835"/>
      <c r="Z66" s="3835"/>
      <c r="AA66" s="3836"/>
      <c r="AB66" s="1731"/>
      <c r="AC66" s="841"/>
      <c r="AD66" s="3084">
        <f t="shared" si="24"/>
        <v>0</v>
      </c>
      <c r="AE66" s="3116" t="str">
        <f>Tablas!$AK857</f>
        <v/>
      </c>
      <c r="AF66" s="3084">
        <f>COUNTIF($E$59:$E66,E66)</f>
        <v>0</v>
      </c>
      <c r="AG66" s="3108">
        <f>Tablas!$AQ857</f>
        <v>1</v>
      </c>
      <c r="AH66" s="3108">
        <f>Tablas!$AV857</f>
        <v>1</v>
      </c>
      <c r="AI66" s="3108">
        <f>Tablas!$BA857</f>
        <v>1</v>
      </c>
      <c r="AJ66" s="3108">
        <f>Tablas!$BF857</f>
        <v>1</v>
      </c>
      <c r="AK66" s="3108">
        <f>Tablas!$BK857</f>
        <v>1</v>
      </c>
      <c r="AL66" s="3085" t="b">
        <f>Tablas!BL857=1</f>
        <v>0</v>
      </c>
      <c r="AM66" s="3096"/>
      <c r="AN66" s="3096"/>
      <c r="AO66" s="3096"/>
      <c r="AP66" s="3096"/>
      <c r="AQ66" s="3085"/>
      <c r="AR66" s="3085"/>
      <c r="AS66" s="3085"/>
      <c r="AT66" s="3085"/>
      <c r="AU66" s="3085"/>
      <c r="AV66" s="3085"/>
    </row>
    <row r="67" spans="1:48" ht="12" customHeight="1" x14ac:dyDescent="0.2">
      <c r="A67" s="9"/>
      <c r="B67" s="818"/>
      <c r="C67" s="3975"/>
      <c r="D67" s="4034"/>
      <c r="E67" s="3867"/>
      <c r="F67" s="3868"/>
      <c r="G67" s="3868"/>
      <c r="H67" s="3868"/>
      <c r="I67" s="3869"/>
      <c r="J67" s="3870"/>
      <c r="K67" s="3871"/>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3837" t="str">
        <f t="shared" si="23"/>
        <v/>
      </c>
      <c r="W67" s="3838"/>
      <c r="X67" s="3838"/>
      <c r="Y67" s="3838"/>
      <c r="Z67" s="3838"/>
      <c r="AA67" s="3839"/>
      <c r="AB67" s="1731"/>
      <c r="AC67" s="841"/>
      <c r="AD67" s="3084">
        <f t="shared" si="24"/>
        <v>0</v>
      </c>
      <c r="AE67" s="3116" t="str">
        <f>Tablas!$AK858</f>
        <v/>
      </c>
      <c r="AF67" s="3084">
        <f>COUNTIF($E$59:$E67,E67)</f>
        <v>0</v>
      </c>
      <c r="AG67" s="3108">
        <f>Tablas!$AQ858</f>
        <v>1</v>
      </c>
      <c r="AH67" s="3108">
        <f>Tablas!$AV858</f>
        <v>1</v>
      </c>
      <c r="AI67" s="3108">
        <f>Tablas!$BA858</f>
        <v>1</v>
      </c>
      <c r="AJ67" s="3108">
        <f>Tablas!$BF858</f>
        <v>1</v>
      </c>
      <c r="AK67" s="3108">
        <f>Tablas!$BK858</f>
        <v>1</v>
      </c>
      <c r="AL67" s="3085" t="b">
        <f>Tablas!BL858=1</f>
        <v>0</v>
      </c>
      <c r="AM67" s="3096"/>
      <c r="AN67" s="3096"/>
      <c r="AO67" s="3096"/>
      <c r="AP67" s="3096"/>
      <c r="AQ67" s="3085"/>
      <c r="AR67" s="3085"/>
      <c r="AS67" s="3085"/>
      <c r="AT67" s="3085"/>
      <c r="AU67" s="3085"/>
      <c r="AV67" s="3085"/>
    </row>
    <row r="68" spans="1:48" ht="12" customHeight="1" x14ac:dyDescent="0.2">
      <c r="A68" s="9"/>
      <c r="B68" s="818"/>
      <c r="C68" s="3975"/>
      <c r="D68" s="4034"/>
      <c r="E68" s="3796"/>
      <c r="F68" s="3797"/>
      <c r="G68" s="3797"/>
      <c r="H68" s="3797"/>
      <c r="I68" s="3798"/>
      <c r="J68" s="3947"/>
      <c r="K68" s="3948"/>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3834" t="str">
        <f t="shared" si="23"/>
        <v/>
      </c>
      <c r="W68" s="3835"/>
      <c r="X68" s="3835"/>
      <c r="Y68" s="3835"/>
      <c r="Z68" s="3835"/>
      <c r="AA68" s="3836"/>
      <c r="AB68" s="1731"/>
      <c r="AC68" s="841"/>
      <c r="AD68" s="3084">
        <f t="shared" si="24"/>
        <v>0</v>
      </c>
      <c r="AE68" s="3116" t="str">
        <f>Tablas!$AK859</f>
        <v/>
      </c>
      <c r="AF68" s="3084">
        <f>COUNTIF($E$59:$E68,E68)</f>
        <v>0</v>
      </c>
      <c r="AG68" s="3108">
        <f>Tablas!$AQ859</f>
        <v>1</v>
      </c>
      <c r="AH68" s="3108">
        <f>Tablas!$AV859</f>
        <v>1</v>
      </c>
      <c r="AI68" s="3108">
        <f>Tablas!$BA859</f>
        <v>1</v>
      </c>
      <c r="AJ68" s="3108">
        <f>Tablas!$BF859</f>
        <v>1</v>
      </c>
      <c r="AK68" s="3108">
        <f>Tablas!$BK859</f>
        <v>1</v>
      </c>
      <c r="AL68" s="3085" t="b">
        <f>Tablas!BL859=1</f>
        <v>0</v>
      </c>
      <c r="AM68" s="3096"/>
      <c r="AN68" s="3096"/>
      <c r="AO68" s="3096"/>
      <c r="AP68" s="3096"/>
      <c r="AQ68" s="3085"/>
      <c r="AR68" s="3085"/>
      <c r="AS68" s="3085"/>
      <c r="AT68" s="3085"/>
      <c r="AU68" s="3085"/>
      <c r="AV68" s="3085"/>
    </row>
    <row r="69" spans="1:48" ht="12" customHeight="1" x14ac:dyDescent="0.2">
      <c r="A69" s="9"/>
      <c r="B69" s="818"/>
      <c r="C69" s="3975"/>
      <c r="D69" s="4034"/>
      <c r="E69" s="3867"/>
      <c r="F69" s="3868"/>
      <c r="G69" s="3868"/>
      <c r="H69" s="3868"/>
      <c r="I69" s="3869"/>
      <c r="J69" s="3870"/>
      <c r="K69" s="3871"/>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3837" t="str">
        <f t="shared" si="23"/>
        <v/>
      </c>
      <c r="W69" s="3838"/>
      <c r="X69" s="3838"/>
      <c r="Y69" s="3838"/>
      <c r="Z69" s="3838"/>
      <c r="AA69" s="3839"/>
      <c r="AB69" s="1731"/>
      <c r="AC69" s="841"/>
      <c r="AD69" s="3084">
        <f t="shared" si="24"/>
        <v>0</v>
      </c>
      <c r="AE69" s="3116" t="str">
        <f>Tablas!$AK860</f>
        <v/>
      </c>
      <c r="AF69" s="3084">
        <f>COUNTIF($E$59:$E69,E69)</f>
        <v>0</v>
      </c>
      <c r="AG69" s="3108">
        <f>Tablas!$AQ860</f>
        <v>1</v>
      </c>
      <c r="AH69" s="3108">
        <f>Tablas!$AV860</f>
        <v>1</v>
      </c>
      <c r="AI69" s="3108">
        <f>Tablas!$BA860</f>
        <v>1</v>
      </c>
      <c r="AJ69" s="3108">
        <f>Tablas!$BF860</f>
        <v>1</v>
      </c>
      <c r="AK69" s="3108">
        <f>Tablas!$BK860</f>
        <v>1</v>
      </c>
      <c r="AL69" s="3085" t="b">
        <f>Tablas!BL860=1</f>
        <v>0</v>
      </c>
      <c r="AM69" s="3096"/>
      <c r="AN69" s="3096"/>
      <c r="AO69" s="3096"/>
      <c r="AP69" s="3096"/>
      <c r="AQ69" s="3085"/>
      <c r="AR69" s="3085"/>
      <c r="AS69" s="3085"/>
      <c r="AT69" s="3085"/>
      <c r="AU69" s="3085"/>
      <c r="AV69" s="3085"/>
    </row>
    <row r="70" spans="1:48" ht="12" customHeight="1" x14ac:dyDescent="0.2">
      <c r="A70" s="9"/>
      <c r="B70" s="818"/>
      <c r="C70" s="3975"/>
      <c r="D70" s="4034"/>
      <c r="E70" s="3796"/>
      <c r="F70" s="3797"/>
      <c r="G70" s="3797"/>
      <c r="H70" s="3797"/>
      <c r="I70" s="3798"/>
      <c r="J70" s="3947"/>
      <c r="K70" s="3948"/>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3834" t="str">
        <f t="shared" si="23"/>
        <v/>
      </c>
      <c r="W70" s="3835"/>
      <c r="X70" s="3835"/>
      <c r="Y70" s="3835"/>
      <c r="Z70" s="3835"/>
      <c r="AA70" s="3836"/>
      <c r="AB70" s="1731"/>
      <c r="AC70" s="841"/>
      <c r="AD70" s="3084">
        <f t="shared" si="24"/>
        <v>0</v>
      </c>
      <c r="AE70" s="3116" t="str">
        <f>Tablas!$AK861</f>
        <v/>
      </c>
      <c r="AF70" s="3084">
        <f>COUNTIF($E$59:$E70,E70)</f>
        <v>0</v>
      </c>
      <c r="AG70" s="3108">
        <f>Tablas!$AQ861</f>
        <v>1</v>
      </c>
      <c r="AH70" s="3108">
        <f>Tablas!$AV861</f>
        <v>1</v>
      </c>
      <c r="AI70" s="3108">
        <f>Tablas!$BA861</f>
        <v>1</v>
      </c>
      <c r="AJ70" s="3108">
        <f>Tablas!$BF861</f>
        <v>1</v>
      </c>
      <c r="AK70" s="3108">
        <f>Tablas!$BK861</f>
        <v>1</v>
      </c>
      <c r="AL70" s="3085" t="b">
        <f>Tablas!BL861=1</f>
        <v>0</v>
      </c>
      <c r="AM70" s="3096"/>
      <c r="AN70" s="3096"/>
      <c r="AO70" s="3096"/>
      <c r="AP70" s="3096"/>
      <c r="AQ70" s="3085"/>
      <c r="AR70" s="3085"/>
      <c r="AS70" s="3085"/>
      <c r="AT70" s="3085"/>
      <c r="AU70" s="3085"/>
      <c r="AV70" s="3085"/>
    </row>
    <row r="71" spans="1:48" ht="12" customHeight="1" x14ac:dyDescent="0.2">
      <c r="A71" s="9"/>
      <c r="B71" s="818"/>
      <c r="C71" s="3975"/>
      <c r="D71" s="4034"/>
      <c r="E71" s="3867"/>
      <c r="F71" s="3868"/>
      <c r="G71" s="3868"/>
      <c r="H71" s="3868"/>
      <c r="I71" s="3869"/>
      <c r="J71" s="3870"/>
      <c r="K71" s="3871"/>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3837" t="str">
        <f t="shared" si="23"/>
        <v/>
      </c>
      <c r="W71" s="3838"/>
      <c r="X71" s="3838"/>
      <c r="Y71" s="3838"/>
      <c r="Z71" s="3838"/>
      <c r="AA71" s="3839"/>
      <c r="AB71" s="1731"/>
      <c r="AC71" s="841"/>
      <c r="AD71" s="3084">
        <f t="shared" si="24"/>
        <v>0</v>
      </c>
      <c r="AE71" s="3116" t="str">
        <f>Tablas!$AK862</f>
        <v/>
      </c>
      <c r="AF71" s="3084">
        <f>COUNTIF($E$59:$E71,E71)</f>
        <v>0</v>
      </c>
      <c r="AG71" s="3108">
        <f>Tablas!$AQ862</f>
        <v>1</v>
      </c>
      <c r="AH71" s="3108">
        <f>Tablas!$AV862</f>
        <v>1</v>
      </c>
      <c r="AI71" s="3108">
        <f>Tablas!$BA862</f>
        <v>1</v>
      </c>
      <c r="AJ71" s="3108">
        <f>Tablas!$BF862</f>
        <v>1</v>
      </c>
      <c r="AK71" s="3108">
        <f>Tablas!$BK862</f>
        <v>1</v>
      </c>
      <c r="AL71" s="3085" t="b">
        <f>Tablas!BL862=1</f>
        <v>0</v>
      </c>
      <c r="AM71" s="3096"/>
      <c r="AN71" s="3096"/>
      <c r="AO71" s="3096"/>
      <c r="AP71" s="3096"/>
      <c r="AQ71" s="3085"/>
      <c r="AR71" s="3085"/>
      <c r="AS71" s="3085"/>
      <c r="AT71" s="3085"/>
      <c r="AU71" s="3085"/>
      <c r="AV71" s="3085"/>
    </row>
    <row r="72" spans="1:48" s="14" customFormat="1" ht="12" customHeight="1" x14ac:dyDescent="0.2">
      <c r="A72" s="9"/>
      <c r="B72" s="818"/>
      <c r="C72" s="3975"/>
      <c r="D72" s="4034"/>
      <c r="E72" s="3796"/>
      <c r="F72" s="3797"/>
      <c r="G72" s="3797"/>
      <c r="H72" s="3797"/>
      <c r="I72" s="3798"/>
      <c r="J72" s="3947"/>
      <c r="K72" s="3948"/>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3834" t="str">
        <f t="shared" si="23"/>
        <v/>
      </c>
      <c r="W72" s="3835"/>
      <c r="X72" s="3835"/>
      <c r="Y72" s="3835"/>
      <c r="Z72" s="3835"/>
      <c r="AA72" s="3836"/>
      <c r="AB72" s="1731"/>
      <c r="AC72" s="841"/>
      <c r="AD72" s="3084">
        <f t="shared" si="24"/>
        <v>0</v>
      </c>
      <c r="AE72" s="3116" t="str">
        <f>Tablas!$AK863</f>
        <v/>
      </c>
      <c r="AF72" s="3084">
        <f>COUNTIF($E$59:$E72,E72)</f>
        <v>0</v>
      </c>
      <c r="AG72" s="3108">
        <f>Tablas!$AQ863</f>
        <v>1</v>
      </c>
      <c r="AH72" s="3108">
        <f>Tablas!$AV863</f>
        <v>1</v>
      </c>
      <c r="AI72" s="3108">
        <f>Tablas!$BA863</f>
        <v>1</v>
      </c>
      <c r="AJ72" s="3108">
        <f>Tablas!$BF863</f>
        <v>1</v>
      </c>
      <c r="AK72" s="3108">
        <f>Tablas!$BK863</f>
        <v>1</v>
      </c>
      <c r="AL72" s="3085" t="b">
        <f>Tablas!BL863=1</f>
        <v>0</v>
      </c>
      <c r="AM72" s="3096"/>
      <c r="AN72" s="3096"/>
      <c r="AO72" s="3096"/>
      <c r="AP72" s="3096"/>
      <c r="AQ72" s="3085"/>
      <c r="AR72" s="3096"/>
      <c r="AS72" s="3085"/>
      <c r="AT72" s="3085"/>
      <c r="AU72" s="3085"/>
      <c r="AV72" s="3085"/>
    </row>
    <row r="73" spans="1:48" s="14" customFormat="1" ht="12" customHeight="1" x14ac:dyDescent="0.2">
      <c r="A73" s="4"/>
      <c r="B73" s="918"/>
      <c r="C73" s="3975"/>
      <c r="D73" s="4034"/>
      <c r="E73" s="3867"/>
      <c r="F73" s="3868"/>
      <c r="G73" s="3868"/>
      <c r="H73" s="3868"/>
      <c r="I73" s="3869"/>
      <c r="J73" s="3870"/>
      <c r="K73" s="3871"/>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3837" t="str">
        <f t="shared" si="23"/>
        <v/>
      </c>
      <c r="W73" s="3838"/>
      <c r="X73" s="3838"/>
      <c r="Y73" s="3838"/>
      <c r="Z73" s="3838"/>
      <c r="AA73" s="3839"/>
      <c r="AB73" s="1731"/>
      <c r="AC73" s="841"/>
      <c r="AD73" s="3084">
        <f t="shared" si="24"/>
        <v>0</v>
      </c>
      <c r="AE73" s="3116" t="str">
        <f>Tablas!$AK864</f>
        <v/>
      </c>
      <c r="AF73" s="3084">
        <f>COUNTIF($E$59:$E73,E73)</f>
        <v>0</v>
      </c>
      <c r="AG73" s="3108">
        <f>Tablas!$AQ864</f>
        <v>1</v>
      </c>
      <c r="AH73" s="3108">
        <f>Tablas!$AV864</f>
        <v>1</v>
      </c>
      <c r="AI73" s="3108">
        <f>Tablas!$BA864</f>
        <v>1</v>
      </c>
      <c r="AJ73" s="3108">
        <f>Tablas!$BF864</f>
        <v>1</v>
      </c>
      <c r="AK73" s="3108">
        <f>Tablas!$BK864</f>
        <v>1</v>
      </c>
      <c r="AL73" s="3085" t="b">
        <f>Tablas!BL864=1</f>
        <v>0</v>
      </c>
      <c r="AM73" s="3096"/>
      <c r="AN73" s="3096"/>
      <c r="AO73" s="3096"/>
      <c r="AP73" s="3096"/>
      <c r="AQ73" s="3096"/>
      <c r="AR73" s="3096"/>
      <c r="AS73" s="3096"/>
      <c r="AT73" s="3096"/>
      <c r="AU73" s="3096"/>
      <c r="AV73" s="3096"/>
    </row>
    <row r="74" spans="1:48" s="14" customFormat="1" ht="12" customHeight="1" x14ac:dyDescent="0.2">
      <c r="A74" s="4"/>
      <c r="B74" s="918"/>
      <c r="C74" s="3975"/>
      <c r="D74" s="4034"/>
      <c r="E74" s="3796"/>
      <c r="F74" s="3797"/>
      <c r="G74" s="3797"/>
      <c r="H74" s="3797"/>
      <c r="I74" s="3798"/>
      <c r="J74" s="3947"/>
      <c r="K74" s="3948"/>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3834" t="str">
        <f t="shared" si="23"/>
        <v/>
      </c>
      <c r="W74" s="3835"/>
      <c r="X74" s="3835"/>
      <c r="Y74" s="3835"/>
      <c r="Z74" s="3835"/>
      <c r="AA74" s="3836"/>
      <c r="AB74" s="1731"/>
      <c r="AC74" s="841"/>
      <c r="AD74" s="3084">
        <f t="shared" si="24"/>
        <v>0</v>
      </c>
      <c r="AE74" s="3116" t="str">
        <f>Tablas!$AK865</f>
        <v/>
      </c>
      <c r="AF74" s="3084">
        <f>COUNTIF($E$59:$E74,E74)</f>
        <v>0</v>
      </c>
      <c r="AG74" s="3108">
        <f>Tablas!$AQ865</f>
        <v>1</v>
      </c>
      <c r="AH74" s="3108">
        <f>Tablas!$AV865</f>
        <v>1</v>
      </c>
      <c r="AI74" s="3108">
        <f>Tablas!$BA865</f>
        <v>1</v>
      </c>
      <c r="AJ74" s="3108">
        <f>Tablas!$BF865</f>
        <v>1</v>
      </c>
      <c r="AK74" s="3108">
        <f>Tablas!$BK865</f>
        <v>1</v>
      </c>
      <c r="AL74" s="3085" t="b">
        <f>Tablas!BL865=1</f>
        <v>0</v>
      </c>
      <c r="AM74" s="3096"/>
      <c r="AN74" s="3096"/>
      <c r="AO74" s="3096"/>
      <c r="AP74" s="3096"/>
      <c r="AQ74" s="3096"/>
      <c r="AR74" s="3096"/>
      <c r="AS74" s="3096"/>
      <c r="AT74" s="3096"/>
      <c r="AU74" s="3096"/>
      <c r="AV74" s="3096"/>
    </row>
    <row r="75" spans="1:48" s="14" customFormat="1" ht="12" customHeight="1" x14ac:dyDescent="0.2">
      <c r="A75" s="4"/>
      <c r="B75" s="918"/>
      <c r="C75" s="3975"/>
      <c r="D75" s="4034"/>
      <c r="E75" s="3867"/>
      <c r="F75" s="3868"/>
      <c r="G75" s="3868"/>
      <c r="H75" s="3868"/>
      <c r="I75" s="3869"/>
      <c r="J75" s="3870"/>
      <c r="K75" s="3871"/>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3837" t="str">
        <f t="shared" si="23"/>
        <v/>
      </c>
      <c r="W75" s="3838"/>
      <c r="X75" s="3838"/>
      <c r="Y75" s="3838"/>
      <c r="Z75" s="3838"/>
      <c r="AA75" s="3839"/>
      <c r="AB75" s="1731"/>
      <c r="AC75" s="841"/>
      <c r="AD75" s="3084">
        <f t="shared" si="24"/>
        <v>0</v>
      </c>
      <c r="AE75" s="3116" t="str">
        <f>Tablas!$AK866</f>
        <v/>
      </c>
      <c r="AF75" s="3084">
        <f>COUNTIF($E$59:$E75,E75)</f>
        <v>0</v>
      </c>
      <c r="AG75" s="3108">
        <f>Tablas!$AQ866</f>
        <v>1</v>
      </c>
      <c r="AH75" s="3108">
        <f>Tablas!$AV866</f>
        <v>1</v>
      </c>
      <c r="AI75" s="3108">
        <f>Tablas!$BA866</f>
        <v>1</v>
      </c>
      <c r="AJ75" s="3108">
        <f>Tablas!$BF866</f>
        <v>1</v>
      </c>
      <c r="AK75" s="3108">
        <f>Tablas!$BK866</f>
        <v>1</v>
      </c>
      <c r="AL75" s="3085" t="b">
        <f>Tablas!BL866=1</f>
        <v>0</v>
      </c>
      <c r="AM75" s="3096"/>
      <c r="AN75" s="3096"/>
      <c r="AO75" s="3096"/>
      <c r="AP75" s="3096"/>
      <c r="AQ75" s="3096"/>
      <c r="AR75" s="3096"/>
      <c r="AS75" s="3096"/>
      <c r="AT75" s="3096"/>
      <c r="AU75" s="3096"/>
      <c r="AV75" s="3096"/>
    </row>
    <row r="76" spans="1:48" s="14" customFormat="1" ht="12" customHeight="1" x14ac:dyDescent="0.2">
      <c r="A76" s="4"/>
      <c r="B76" s="918"/>
      <c r="C76" s="3975"/>
      <c r="D76" s="4034"/>
      <c r="E76" s="3796"/>
      <c r="F76" s="3797"/>
      <c r="G76" s="3797"/>
      <c r="H76" s="3797"/>
      <c r="I76" s="3798"/>
      <c r="J76" s="3947"/>
      <c r="K76" s="3948"/>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3834" t="str">
        <f>IF($AD76=0,"",IF(AF76&gt;1,"ARTE MARCIAL REPETIDA",IF(NOT(AL76),"ARTE MARCIAL SIN PAGAR",IF(VLOOKUP($AD76,Tabla_ArtesMarciales,23,FALSE)&lt;&gt;"-","FALTAN REQUISITOS",IF(VLOOKUP($AD76,Tabla_ArtesMarciales,16,FALSE)&gt;55,"Ver",VLOOKUP($AD76,Tabla_ArtesMarciales,11,FALSE))))))</f>
        <v/>
      </c>
      <c r="W76" s="3835"/>
      <c r="X76" s="3835"/>
      <c r="Y76" s="3835"/>
      <c r="Z76" s="3835"/>
      <c r="AA76" s="3836"/>
      <c r="AB76" s="1731"/>
      <c r="AC76" s="841"/>
      <c r="AD76" s="3084">
        <f t="shared" si="24"/>
        <v>0</v>
      </c>
      <c r="AE76" s="3116" t="str">
        <f>Tablas!$AK867</f>
        <v/>
      </c>
      <c r="AF76" s="3084">
        <f>COUNTIF($E$59:$E76,E76)</f>
        <v>0</v>
      </c>
      <c r="AG76" s="3108">
        <f>Tablas!$AQ867</f>
        <v>1</v>
      </c>
      <c r="AH76" s="3108">
        <f>Tablas!$AV867</f>
        <v>1</v>
      </c>
      <c r="AI76" s="3108">
        <f>Tablas!$BA867</f>
        <v>1</v>
      </c>
      <c r="AJ76" s="3108">
        <f>Tablas!$BF867</f>
        <v>1</v>
      </c>
      <c r="AK76" s="3108">
        <f>Tablas!$BK867</f>
        <v>1</v>
      </c>
      <c r="AL76" s="3085" t="b">
        <f>Tablas!BL867=1</f>
        <v>0</v>
      </c>
      <c r="AM76" s="3096"/>
      <c r="AN76" s="3096"/>
      <c r="AO76" s="3096"/>
      <c r="AP76" s="3096"/>
      <c r="AQ76" s="3096"/>
      <c r="AR76" s="3096"/>
      <c r="AS76" s="3096"/>
      <c r="AT76" s="3096"/>
      <c r="AU76" s="3096"/>
      <c r="AV76" s="3096"/>
    </row>
    <row r="77" spans="1:48" s="14" customFormat="1" ht="12" customHeight="1" x14ac:dyDescent="0.2">
      <c r="A77" s="4"/>
      <c r="B77" s="918"/>
      <c r="C77" s="3975"/>
      <c r="D77" s="4034"/>
      <c r="E77" s="4027"/>
      <c r="F77" s="4028"/>
      <c r="G77" s="4028"/>
      <c r="H77" s="4028"/>
      <c r="I77" s="4029"/>
      <c r="J77" s="3949"/>
      <c r="K77" s="3950"/>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3921" t="str">
        <f>IF($AD77=0,"",IF(AF77&gt;1,"ARTE MARCIAL REPETIDA",IF(NOT(AL77),"ARTE MARCIAL SIN PAGAR",IF(VLOOKUP($AD77,Tabla_ArtesMarciales,23,FALSE)&lt;&gt;"-","FALTAN REQUISITOS",IF(VLOOKUP($AD77,Tabla_ArtesMarciales,16,FALSE)&gt;55,"Ver",VLOOKUP($AD77,Tabla_ArtesMarciales,11,FALSE))))))</f>
        <v/>
      </c>
      <c r="W77" s="3922"/>
      <c r="X77" s="3922"/>
      <c r="Y77" s="3922"/>
      <c r="Z77" s="3922"/>
      <c r="AA77" s="3923"/>
      <c r="AB77" s="1731"/>
      <c r="AC77" s="841"/>
      <c r="AD77" s="3084">
        <f t="shared" si="24"/>
        <v>0</v>
      </c>
      <c r="AE77" s="3116" t="str">
        <f>Tablas!$AK868</f>
        <v/>
      </c>
      <c r="AF77" s="3084">
        <f>COUNTIF($E$59:$E77,E77)</f>
        <v>0</v>
      </c>
      <c r="AG77" s="3108">
        <f>Tablas!$AQ868</f>
        <v>1</v>
      </c>
      <c r="AH77" s="3108">
        <f>Tablas!$AV868</f>
        <v>1</v>
      </c>
      <c r="AI77" s="3108">
        <f>Tablas!$BA868</f>
        <v>1</v>
      </c>
      <c r="AJ77" s="3108">
        <f>Tablas!$BF868</f>
        <v>1</v>
      </c>
      <c r="AK77" s="3108">
        <f>Tablas!$BK868</f>
        <v>1</v>
      </c>
      <c r="AL77" s="3085" t="b">
        <f>Tablas!BL868=1</f>
        <v>0</v>
      </c>
      <c r="AM77" s="3096"/>
      <c r="AN77" s="3096"/>
      <c r="AO77" s="3096"/>
      <c r="AP77" s="3096"/>
      <c r="AQ77" s="3096"/>
      <c r="AR77" s="3096"/>
      <c r="AS77" s="3096"/>
      <c r="AT77" s="3096"/>
      <c r="AU77" s="3096"/>
      <c r="AV77" s="3096"/>
    </row>
    <row r="78" spans="1:48" s="14" customFormat="1" ht="12" customHeight="1" x14ac:dyDescent="0.2">
      <c r="A78" s="4"/>
      <c r="B78" s="918"/>
      <c r="C78" s="3975"/>
      <c r="D78" s="4034"/>
      <c r="E78" s="4048"/>
      <c r="F78" s="3994"/>
      <c r="G78" s="3994"/>
      <c r="H78" s="3994"/>
      <c r="I78" s="3994"/>
      <c r="J78" s="3994"/>
      <c r="K78" s="3995"/>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3924" t="str">
        <f>IF(E78=0,"",IF(VLOOKUP(E78,Tabla_AM_Armas,4,FALSE)="-","-","FALTAN REQUISITOS"))</f>
        <v/>
      </c>
      <c r="W78" s="3925"/>
      <c r="X78" s="3925"/>
      <c r="Y78" s="3925"/>
      <c r="Z78" s="3925"/>
      <c r="AA78" s="3926"/>
      <c r="AB78" s="1731"/>
      <c r="AC78" s="1405"/>
      <c r="AD78" s="3098"/>
      <c r="AE78" s="3116"/>
      <c r="AF78" s="3108"/>
      <c r="AG78" s="3116"/>
      <c r="AH78" s="3116"/>
      <c r="AI78" s="3116"/>
      <c r="AJ78" s="3116"/>
      <c r="AK78" s="3116"/>
      <c r="AL78" s="3096"/>
      <c r="AM78" s="3096"/>
      <c r="AN78" s="3096"/>
      <c r="AO78" s="3084"/>
      <c r="AP78" s="3096"/>
      <c r="AQ78" s="3096"/>
      <c r="AR78" s="3096"/>
      <c r="AS78" s="3096"/>
      <c r="AT78" s="3096"/>
      <c r="AU78" s="3096"/>
      <c r="AV78" s="3096"/>
    </row>
    <row r="79" spans="1:48" s="14" customFormat="1" ht="12" customHeight="1" x14ac:dyDescent="0.2">
      <c r="A79" s="4"/>
      <c r="B79" s="918"/>
      <c r="C79" s="3975"/>
      <c r="D79" s="4034"/>
      <c r="E79" s="4013"/>
      <c r="F79" s="3991"/>
      <c r="G79" s="3991"/>
      <c r="H79" s="3991"/>
      <c r="I79" s="3991"/>
      <c r="J79" s="3991"/>
      <c r="K79" s="3992"/>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888" t="str">
        <f>IF(E79=0,"",IF(VLOOKUP(E79,Tabla_AM_Armas,4,FALSE)="-","-","FALTAN REQUISITOS"))</f>
        <v/>
      </c>
      <c r="W79" s="3889"/>
      <c r="X79" s="3889"/>
      <c r="Y79" s="3889"/>
      <c r="Z79" s="3889"/>
      <c r="AA79" s="3890"/>
      <c r="AB79" s="1731"/>
      <c r="AC79" s="1405"/>
      <c r="AD79" s="3098"/>
      <c r="AE79" s="3116"/>
      <c r="AF79" s="3108"/>
      <c r="AG79" s="3116"/>
      <c r="AH79" s="3116"/>
      <c r="AI79" s="3116"/>
      <c r="AJ79" s="3116"/>
      <c r="AK79" s="3116"/>
      <c r="AL79" s="3096"/>
      <c r="AM79" s="3096"/>
      <c r="AN79" s="3096"/>
      <c r="AO79" s="3084"/>
      <c r="AP79" s="3096"/>
      <c r="AQ79" s="3096"/>
      <c r="AR79" s="3096"/>
      <c r="AS79" s="3096"/>
      <c r="AT79" s="3096"/>
      <c r="AU79" s="3096"/>
      <c r="AV79" s="3096"/>
    </row>
    <row r="80" spans="1:48" s="14" customFormat="1" ht="12" customHeight="1" x14ac:dyDescent="0.2">
      <c r="A80" s="4"/>
      <c r="B80" s="918"/>
      <c r="C80" s="3975"/>
      <c r="D80" s="4035"/>
      <c r="E80" s="4049"/>
      <c r="F80" s="4050"/>
      <c r="G80" s="4050"/>
      <c r="H80" s="4050"/>
      <c r="I80" s="4050"/>
      <c r="J80" s="4050"/>
      <c r="K80" s="4051"/>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3891" t="str">
        <f>IF(E80=0,"",IF(VLOOKUP(E80,Tabla_AM_Armas,4,FALSE)="-","-","FALTAN REQUISITOS"))</f>
        <v/>
      </c>
      <c r="W80" s="3892"/>
      <c r="X80" s="3892"/>
      <c r="Y80" s="3892"/>
      <c r="Z80" s="3892"/>
      <c r="AA80" s="3893"/>
      <c r="AB80" s="1731"/>
      <c r="AC80" s="1405"/>
      <c r="AD80" s="3098"/>
      <c r="AE80" s="3116"/>
      <c r="AF80" s="3108"/>
      <c r="AG80" s="3116"/>
      <c r="AH80" s="3116"/>
      <c r="AI80" s="3116"/>
      <c r="AJ80" s="3116"/>
      <c r="AK80" s="3116"/>
      <c r="AL80" s="3096"/>
      <c r="AM80" s="3096"/>
      <c r="AN80" s="3096"/>
      <c r="AO80" s="3084"/>
      <c r="AP80" s="3096"/>
      <c r="AQ80" s="3096"/>
      <c r="AR80" s="3096"/>
      <c r="AS80" s="3096"/>
      <c r="AT80" s="3096"/>
      <c r="AU80" s="3096"/>
      <c r="AV80" s="3096"/>
    </row>
    <row r="81" spans="1:48" s="14" customFormat="1" ht="12" customHeight="1" x14ac:dyDescent="0.2">
      <c r="A81" s="4"/>
      <c r="B81" s="918"/>
      <c r="C81" s="3975"/>
      <c r="D81" s="4018" t="s">
        <v>1504</v>
      </c>
      <c r="E81" s="3953"/>
      <c r="F81" s="3954"/>
      <c r="G81" s="3954"/>
      <c r="H81" s="3954"/>
      <c r="I81" s="3954"/>
      <c r="J81" s="3954"/>
      <c r="K81" s="3955"/>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03" t="str">
        <f>IF(E81=0,"",IF(VLOOKUP(E81,Tabla_ArsMagnus,5,FALSE)="-","Ver Descripción","FALTAN REQUISITOS"))</f>
        <v/>
      </c>
      <c r="W81" s="3904"/>
      <c r="X81" s="3904"/>
      <c r="Y81" s="3904"/>
      <c r="Z81" s="61" t="s">
        <v>1505</v>
      </c>
      <c r="AA81" s="541">
        <f>IF(E81=0,0,VLOOKUP(E81,Tabla_ArsMagnus,3,FALSE))</f>
        <v>0</v>
      </c>
      <c r="AB81" s="1731"/>
      <c r="AC81" s="1405"/>
      <c r="AD81" s="3084"/>
      <c r="AE81" s="3116"/>
      <c r="AF81" s="3108"/>
      <c r="AG81" s="3116"/>
      <c r="AH81" s="3116"/>
      <c r="AI81" s="3116"/>
      <c r="AJ81" s="3116"/>
      <c r="AK81" s="3116"/>
      <c r="AL81" s="3096"/>
      <c r="AM81" s="3096"/>
      <c r="AN81" s="3096"/>
      <c r="AO81" s="3084"/>
      <c r="AP81" s="3096"/>
      <c r="AQ81" s="3096"/>
      <c r="AR81" s="3096"/>
      <c r="AS81" s="3096"/>
      <c r="AT81" s="3096"/>
      <c r="AU81" s="3096"/>
      <c r="AV81" s="3096"/>
    </row>
    <row r="82" spans="1:48" s="14" customFormat="1" ht="12" customHeight="1" x14ac:dyDescent="0.2">
      <c r="A82" s="4"/>
      <c r="B82" s="918"/>
      <c r="C82" s="3975"/>
      <c r="D82" s="4019"/>
      <c r="E82" s="4054"/>
      <c r="F82" s="4055"/>
      <c r="G82" s="4055"/>
      <c r="H82" s="4055"/>
      <c r="I82" s="4055"/>
      <c r="J82" s="4055"/>
      <c r="K82" s="4056"/>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3905" t="str">
        <f>IF(E82=0,"",IF(VLOOKUP(E82,Tabla_ArsMagnus,5,FALSE)="-","Ver Descripción","FALTAN REQUISITOS"))</f>
        <v/>
      </c>
      <c r="W82" s="3906"/>
      <c r="X82" s="3906"/>
      <c r="Y82" s="3906"/>
      <c r="Z82" s="60" t="s">
        <v>1505</v>
      </c>
      <c r="AA82" s="542">
        <f>IF(E82=0,0,VLOOKUP(E82,Tabla_ArsMagnus,3,FALSE))</f>
        <v>0</v>
      </c>
      <c r="AB82" s="1731"/>
      <c r="AC82" s="1405"/>
      <c r="AD82" s="3084"/>
      <c r="AE82" s="3116"/>
      <c r="AF82" s="3108"/>
      <c r="AG82" s="3116"/>
      <c r="AH82" s="3116"/>
      <c r="AI82" s="3116"/>
      <c r="AJ82" s="3116"/>
      <c r="AK82" s="3116"/>
      <c r="AL82" s="3096"/>
      <c r="AM82" s="3096"/>
      <c r="AN82" s="3096"/>
      <c r="AO82" s="3096"/>
      <c r="AP82" s="3096"/>
      <c r="AQ82" s="3096"/>
      <c r="AR82" s="3096"/>
      <c r="AS82" s="3096"/>
      <c r="AT82" s="3096"/>
      <c r="AU82" s="3096"/>
      <c r="AV82" s="3096"/>
    </row>
    <row r="83" spans="1:48" s="14" customFormat="1" ht="12" customHeight="1" x14ac:dyDescent="0.2">
      <c r="A83" s="4"/>
      <c r="B83" s="918"/>
      <c r="C83" s="3975"/>
      <c r="D83" s="4019"/>
      <c r="E83" s="3953"/>
      <c r="F83" s="3954"/>
      <c r="G83" s="3954"/>
      <c r="H83" s="3954"/>
      <c r="I83" s="3954"/>
      <c r="J83" s="3954"/>
      <c r="K83" s="3955"/>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03" t="str">
        <f>IF(E83=0,"",IF(VLOOKUP(E83,Tabla_ArsMagnus,5,FALSE)="-","Ver Descripción","FALTAN REQUISITOS"))</f>
        <v/>
      </c>
      <c r="W83" s="3904"/>
      <c r="X83" s="3904"/>
      <c r="Y83" s="3904"/>
      <c r="Z83" s="61" t="s">
        <v>1505</v>
      </c>
      <c r="AA83" s="541">
        <f>IF(E83=0,0,VLOOKUP(E83,Tabla_ArsMagnus,3,FALSE))</f>
        <v>0</v>
      </c>
      <c r="AB83" s="1731"/>
      <c r="AC83" s="1405"/>
      <c r="AD83" s="3084"/>
      <c r="AE83" s="3116"/>
      <c r="AF83" s="3108"/>
      <c r="AG83" s="3116"/>
      <c r="AH83" s="3116"/>
      <c r="AI83" s="3116"/>
      <c r="AJ83" s="3116"/>
      <c r="AK83" s="3116"/>
      <c r="AL83" s="3096"/>
      <c r="AM83" s="3096"/>
      <c r="AN83" s="3096"/>
      <c r="AO83" s="3096"/>
      <c r="AP83" s="3096"/>
      <c r="AQ83" s="3096"/>
      <c r="AR83" s="3096"/>
      <c r="AS83" s="3096"/>
      <c r="AT83" s="3096"/>
      <c r="AU83" s="3096"/>
      <c r="AV83" s="3096"/>
    </row>
    <row r="84" spans="1:48" s="14" customFormat="1" ht="12" customHeight="1" x14ac:dyDescent="0.2">
      <c r="A84" s="4"/>
      <c r="B84" s="918"/>
      <c r="C84" s="3975"/>
      <c r="D84" s="4019"/>
      <c r="E84" s="4054"/>
      <c r="F84" s="4055"/>
      <c r="G84" s="4055"/>
      <c r="H84" s="4055"/>
      <c r="I84" s="4055"/>
      <c r="J84" s="4055"/>
      <c r="K84" s="4056"/>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3905" t="str">
        <f>IF(E84=0,"",IF(VLOOKUP(E84,Tabla_ArsMagnus,5,FALSE)="-","Ver Descripción","FALTAN REQUISITOS"))</f>
        <v/>
      </c>
      <c r="W84" s="3906"/>
      <c r="X84" s="3906"/>
      <c r="Y84" s="3906"/>
      <c r="Z84" s="60" t="s">
        <v>1505</v>
      </c>
      <c r="AA84" s="542">
        <f>IF(E84=0,0,VLOOKUP(E84,Tabla_ArsMagnus,3,FALSE))</f>
        <v>0</v>
      </c>
      <c r="AB84" s="1731"/>
      <c r="AC84" s="1405"/>
      <c r="AD84" s="3084"/>
      <c r="AE84" s="3116"/>
      <c r="AF84" s="3108"/>
      <c r="AG84" s="3116"/>
      <c r="AH84" s="3116"/>
      <c r="AI84" s="3116"/>
      <c r="AJ84" s="3116"/>
      <c r="AK84" s="3116"/>
      <c r="AL84" s="3096"/>
      <c r="AM84" s="3096"/>
      <c r="AN84" s="3096"/>
      <c r="AO84" s="3096"/>
      <c r="AP84" s="3096"/>
      <c r="AQ84" s="3096"/>
      <c r="AR84" s="3096"/>
      <c r="AS84" s="3096"/>
      <c r="AT84" s="3096"/>
      <c r="AU84" s="3096"/>
      <c r="AV84" s="3096"/>
    </row>
    <row r="85" spans="1:48" s="14" customFormat="1" ht="12" customHeight="1" thickBot="1" x14ac:dyDescent="0.25">
      <c r="A85" s="4"/>
      <c r="B85" s="918"/>
      <c r="C85" s="3975"/>
      <c r="D85" s="4019"/>
      <c r="E85" s="3953"/>
      <c r="F85" s="3954"/>
      <c r="G85" s="3954"/>
      <c r="H85" s="3954"/>
      <c r="I85" s="3954"/>
      <c r="J85" s="3954"/>
      <c r="K85" s="3955"/>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03" t="str">
        <f>IF(E85=0,"",IF(VLOOKUP(E85,Tabla_ArsMagnus,5,FALSE)="-","Ver Descripción","FALTAN REQUISITOS"))</f>
        <v/>
      </c>
      <c r="W85" s="3904"/>
      <c r="X85" s="3904"/>
      <c r="Y85" s="3904"/>
      <c r="Z85" s="61" t="s">
        <v>1505</v>
      </c>
      <c r="AA85" s="541">
        <f>IF(E85=0,0,VLOOKUP(E85,Tabla_ArsMagnus,3,FALSE))</f>
        <v>0</v>
      </c>
      <c r="AB85" s="1731"/>
      <c r="AC85" s="1405"/>
      <c r="AD85" s="3084"/>
      <c r="AE85" s="3116"/>
      <c r="AF85" s="3108"/>
      <c r="AG85" s="3116"/>
      <c r="AH85" s="3116"/>
      <c r="AI85" s="3116"/>
      <c r="AJ85" s="3116"/>
      <c r="AK85" s="3116"/>
      <c r="AL85" s="3096"/>
      <c r="AM85" s="3096"/>
      <c r="AN85" s="3096"/>
      <c r="AO85" s="3096"/>
      <c r="AP85" s="3096"/>
      <c r="AQ85" s="3096"/>
      <c r="AR85" s="3096"/>
      <c r="AS85" s="3096"/>
      <c r="AT85" s="3096"/>
      <c r="AU85" s="3096"/>
      <c r="AV85" s="3096"/>
    </row>
    <row r="86" spans="1:48" s="14" customFormat="1" ht="12" customHeight="1" x14ac:dyDescent="0.2">
      <c r="A86" s="4"/>
      <c r="B86" s="918"/>
      <c r="C86" s="3975"/>
      <c r="D86" s="3998" t="s">
        <v>1506</v>
      </c>
      <c r="E86" s="3999"/>
      <c r="F86" s="3999"/>
      <c r="G86" s="3999"/>
      <c r="H86" s="3999"/>
      <c r="I86" s="3999"/>
      <c r="J86" s="3999"/>
      <c r="K86" s="4052"/>
      <c r="L86" s="3985">
        <f>T$7*IF(Categoría_1=0,0.5,L88)</f>
        <v>200</v>
      </c>
      <c r="M86" s="3956">
        <f>SUM(M30:M85)+SUM(M25:M28)</f>
        <v>0</v>
      </c>
      <c r="N86" s="3985">
        <f>IF(Limite_Primarias_Individual,$T$9*N88,IF(Categoría_2=0,0,(IF(OR(Limite_Primarias_Combinado,Limite_Primarias_MasConveniente),O88,SUM(T$7:T$9)*IF(Limite_Primarias_Maximo,MAX($L88,$N88),N88)))))</f>
        <v>0</v>
      </c>
      <c r="O86" s="3956">
        <f>(SUM(O30:O85)+SUM(O25:O28)+IF(Limite_Primarias_Individual,0,M86))*IF(Categoría_2=0,0,1)</f>
        <v>0</v>
      </c>
      <c r="P86" s="3985">
        <f>IF(Limite_Primarias_Individual,$T$11*P88,IF(Categoría_3=0,0,(IF(OR(Limite_Primarias_Combinado,Limite_Primarias_MasConveniente),Q88,SUM(T$7:T$11)*IF(Limite_Primarias_Maximo,MAX($L88,$N88,$P88),P88)))))</f>
        <v>0</v>
      </c>
      <c r="Q86" s="3984">
        <f>(SUM(Q30:Q85)+SUM(Q25:Q28)+IF(Limite_Primarias_Individual,0,O86))*IF(Categoría_3=0,0,1)</f>
        <v>0</v>
      </c>
      <c r="R86" s="3985">
        <f>IF(Limite_Primarias_Individual,$T$13*R88,IF(Categoría_4=0,0,(IF(OR(Limite_Primarias_Combinado,Limite_Primarias_MasConveniente),S88,SUM(T$7:T$13)*IF(Limite_Primarias_Maximo,MAX($L88,$N88,$P88,$R88),R88)))))</f>
        <v>0</v>
      </c>
      <c r="S86" s="3956">
        <f>(SUM(S30:S85)+SUM(S25:S28)+IF(Limite_Primarias_Individual,0,Q86))*IF(Categoría_4=0,0,1)</f>
        <v>0</v>
      </c>
      <c r="T86" s="3985">
        <f>IF(Limite_Primarias_Individual,$T$15*T88,IF(Categoría_5=0,0,(IF(OR(Limite_Primarias_Combinado,Limite_Primarias_MasConveniente),U88,SUM(T$7:T$15)*IF(Limite_Primarias_Maximo,MAX($L88,$N88,$P88,$R88,$T88),T88)))))</f>
        <v>0</v>
      </c>
      <c r="U86" s="3956">
        <f>(SUM(U30:U85)+SUM(U25:U28)+IF(Limite_Primarias_Individual,0,S86))*IF(Categoría_5=0,0,1)</f>
        <v>0</v>
      </c>
      <c r="V86" s="3927"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28"/>
      <c r="X86" s="3928"/>
      <c r="Y86" s="3928"/>
      <c r="Z86" s="3928"/>
      <c r="AA86" s="3929"/>
      <c r="AB86" s="1731"/>
      <c r="AC86" s="1405"/>
      <c r="AD86" s="3084"/>
      <c r="AE86" s="3116"/>
      <c r="AF86" s="3108"/>
      <c r="AG86" s="3116"/>
      <c r="AH86" s="3116"/>
      <c r="AI86" s="3116"/>
      <c r="AJ86" s="3116"/>
      <c r="AK86" s="3116"/>
      <c r="AL86" s="3096"/>
      <c r="AM86" s="3096"/>
      <c r="AN86" s="3096"/>
      <c r="AO86" s="3096"/>
      <c r="AP86" s="3096"/>
      <c r="AQ86" s="3096"/>
      <c r="AR86" s="3096"/>
      <c r="AS86" s="3096"/>
      <c r="AT86" s="3096"/>
      <c r="AU86" s="3096"/>
      <c r="AV86" s="3096"/>
    </row>
    <row r="87" spans="1:48" s="14" customFormat="1" ht="12" customHeight="1" thickBot="1" x14ac:dyDescent="0.25">
      <c r="A87" s="4"/>
      <c r="B87" s="918"/>
      <c r="C87" s="3976"/>
      <c r="D87" s="4001"/>
      <c r="E87" s="4002"/>
      <c r="F87" s="4002"/>
      <c r="G87" s="4002"/>
      <c r="H87" s="4002"/>
      <c r="I87" s="4002"/>
      <c r="J87" s="4002"/>
      <c r="K87" s="4053"/>
      <c r="L87" s="3986"/>
      <c r="M87" s="3957"/>
      <c r="N87" s="3986"/>
      <c r="O87" s="3957"/>
      <c r="P87" s="3986"/>
      <c r="Q87" s="3678"/>
      <c r="R87" s="3986"/>
      <c r="S87" s="3957"/>
      <c r="T87" s="3986"/>
      <c r="U87" s="3957"/>
      <c r="V87" s="3930"/>
      <c r="W87" s="3931"/>
      <c r="X87" s="3931"/>
      <c r="Y87" s="3931"/>
      <c r="Z87" s="3931"/>
      <c r="AA87" s="3932"/>
      <c r="AB87" s="1731"/>
      <c r="AC87" s="1405"/>
      <c r="AD87" s="3084"/>
      <c r="AE87" s="3116"/>
      <c r="AF87" s="3108"/>
      <c r="AG87" s="3116"/>
      <c r="AH87" s="3116"/>
      <c r="AI87" s="3116"/>
      <c r="AJ87" s="3116"/>
      <c r="AK87" s="3116"/>
      <c r="AL87" s="3096"/>
      <c r="AM87" s="3096"/>
      <c r="AN87" s="3096"/>
      <c r="AO87" s="3096"/>
      <c r="AP87" s="3096"/>
      <c r="AQ87" s="3096"/>
      <c r="AR87" s="3096"/>
      <c r="AS87" s="3096"/>
      <c r="AT87" s="3096"/>
      <c r="AU87" s="3096"/>
      <c r="AV87" s="3096"/>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4"/>
      <c r="AE88" s="3116"/>
      <c r="AF88" s="3108"/>
      <c r="AG88" s="3116"/>
      <c r="AH88" s="3116"/>
      <c r="AI88" s="3116"/>
      <c r="AJ88" s="3116"/>
      <c r="AK88" s="3116"/>
      <c r="AL88" s="3096"/>
      <c r="AM88" s="3096"/>
      <c r="AN88" s="3096"/>
      <c r="AO88" s="3096"/>
      <c r="AP88" s="3096"/>
      <c r="AQ88" s="3096"/>
      <c r="AR88" s="3096"/>
      <c r="AS88" s="3096"/>
      <c r="AT88" s="3096"/>
      <c r="AU88" s="3096"/>
      <c r="AV88" s="3096"/>
    </row>
    <row r="89" spans="1:48" s="14" customFormat="1" ht="12" customHeight="1" thickBot="1" x14ac:dyDescent="0.25">
      <c r="A89" s="4"/>
      <c r="B89" s="918"/>
      <c r="AB89" s="1731"/>
      <c r="AC89" s="1405"/>
      <c r="AD89" s="3084"/>
      <c r="AE89" s="3116"/>
      <c r="AF89" s="3108"/>
      <c r="AG89" s="3116"/>
      <c r="AH89" s="3116"/>
      <c r="AI89" s="3116"/>
      <c r="AJ89" s="3116"/>
      <c r="AK89" s="3116"/>
      <c r="AL89" s="3096"/>
      <c r="AM89" s="3096"/>
      <c r="AN89" s="3096"/>
      <c r="AO89" s="3096"/>
      <c r="AP89" s="3096"/>
      <c r="AQ89" s="3096"/>
      <c r="AR89" s="3096"/>
      <c r="AS89" s="3096"/>
      <c r="AT89" s="3096"/>
      <c r="AU89" s="3096"/>
      <c r="AV89" s="3096"/>
    </row>
    <row r="90" spans="1:48" s="14" customFormat="1" ht="12" customHeight="1" x14ac:dyDescent="0.2">
      <c r="A90" s="4"/>
      <c r="B90" s="918"/>
      <c r="L90" s="3882" t="str">
        <f>IF(Categoría_1=0,"",Categoría_1)</f>
        <v/>
      </c>
      <c r="M90" s="3883"/>
      <c r="N90" s="3886" t="str">
        <f>IF(Categoría_2=0,"",Categoría_2)</f>
        <v/>
      </c>
      <c r="O90" s="3883"/>
      <c r="P90" s="3886" t="str">
        <f>IF(Categoría_3=0,"",Categoría_3)</f>
        <v/>
      </c>
      <c r="Q90" s="3883"/>
      <c r="R90" s="3886" t="str">
        <f>IF(Categoría_4=0,"",Categoría_4)</f>
        <v/>
      </c>
      <c r="S90" s="3883"/>
      <c r="T90" s="3886" t="str">
        <f>IF(Categoría_5=0,"",Categoría_5)</f>
        <v/>
      </c>
      <c r="U90" s="3898"/>
      <c r="V90" s="62"/>
      <c r="W90" s="62"/>
      <c r="X90" s="62"/>
      <c r="Y90" s="62"/>
      <c r="Z90" s="62"/>
      <c r="AA90" s="62"/>
      <c r="AB90" s="1731"/>
      <c r="AC90" s="1405"/>
      <c r="AD90" s="3084"/>
      <c r="AE90" s="3116"/>
      <c r="AF90" s="3108"/>
      <c r="AG90" s="3116"/>
      <c r="AH90" s="3116"/>
      <c r="AI90" s="3116"/>
      <c r="AJ90" s="3116"/>
      <c r="AK90" s="3116"/>
      <c r="AL90" s="3096"/>
      <c r="AM90" s="3096"/>
      <c r="AN90" s="3096"/>
      <c r="AO90" s="3084"/>
      <c r="AP90" s="3096"/>
      <c r="AQ90" s="3096"/>
      <c r="AR90" s="3096"/>
      <c r="AS90" s="3096"/>
      <c r="AT90" s="3096"/>
      <c r="AU90" s="3096"/>
      <c r="AV90" s="3096"/>
    </row>
    <row r="91" spans="1:48" s="14" customFormat="1" ht="12" customHeight="1" thickBot="1" x14ac:dyDescent="0.25">
      <c r="A91" s="4"/>
      <c r="B91" s="918"/>
      <c r="C91" s="19"/>
      <c r="L91" s="3951"/>
      <c r="M91" s="3952"/>
      <c r="N91" s="3899"/>
      <c r="O91" s="3952"/>
      <c r="P91" s="3899"/>
      <c r="Q91" s="3952"/>
      <c r="R91" s="3899"/>
      <c r="S91" s="3952"/>
      <c r="T91" s="3899"/>
      <c r="U91" s="3900"/>
      <c r="V91" s="62"/>
      <c r="W91" s="62"/>
      <c r="X91" s="62"/>
      <c r="Y91" s="62"/>
      <c r="Z91" s="62"/>
      <c r="AA91" s="62"/>
      <c r="AB91" s="1731"/>
      <c r="AC91" s="1405"/>
      <c r="AD91" s="3084"/>
      <c r="AE91" s="3116"/>
      <c r="AF91" s="3108"/>
      <c r="AG91" s="3116"/>
      <c r="AH91" s="3116"/>
      <c r="AI91" s="3116"/>
      <c r="AJ91" s="3116"/>
      <c r="AK91" s="3116"/>
      <c r="AL91" s="3096"/>
      <c r="AM91" s="3096"/>
      <c r="AN91" s="3096"/>
      <c r="AO91" s="3084"/>
      <c r="AP91" s="3096"/>
      <c r="AQ91" s="3096"/>
      <c r="AR91" s="3096"/>
      <c r="AS91" s="3096"/>
      <c r="AT91" s="3096"/>
      <c r="AU91" s="3096"/>
      <c r="AV91" s="3096"/>
    </row>
    <row r="92" spans="1:48" s="14" customFormat="1" ht="12" customHeight="1" thickBot="1" x14ac:dyDescent="0.25">
      <c r="A92" s="4"/>
      <c r="B92" s="918"/>
      <c r="C92" s="3973" t="s">
        <v>1507</v>
      </c>
      <c r="D92" s="521" t="s">
        <v>1398</v>
      </c>
      <c r="E92" s="3996" t="s">
        <v>1375</v>
      </c>
      <c r="F92" s="3909"/>
      <c r="G92" s="3909"/>
      <c r="H92" s="3909"/>
      <c r="I92" s="3909"/>
      <c r="J92" s="3909"/>
      <c r="K92" s="3997"/>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3909" t="s">
        <v>1488</v>
      </c>
      <c r="Y92" s="3909"/>
      <c r="Z92" s="522" t="s">
        <v>1417</v>
      </c>
      <c r="AA92" s="524" t="s">
        <v>1349</v>
      </c>
      <c r="AB92" s="1731"/>
      <c r="AC92" s="1405"/>
      <c r="AD92" s="3084"/>
      <c r="AE92" s="3084"/>
      <c r="AF92" s="3108"/>
      <c r="AG92" s="3116"/>
      <c r="AH92" s="3116"/>
      <c r="AI92" s="3116"/>
      <c r="AJ92" s="3116"/>
      <c r="AK92" s="3116"/>
      <c r="AL92" s="3096"/>
      <c r="AM92" s="3096"/>
      <c r="AN92" s="3096"/>
      <c r="AO92" s="3084"/>
      <c r="AP92" s="3096"/>
      <c r="AQ92" s="3096"/>
      <c r="AR92" s="3096"/>
      <c r="AS92" s="3096"/>
      <c r="AT92" s="3096"/>
      <c r="AU92" s="3096"/>
      <c r="AV92" s="3096"/>
    </row>
    <row r="93" spans="1:48" s="14" customFormat="1" ht="12" customHeight="1" x14ac:dyDescent="0.2">
      <c r="A93" s="4"/>
      <c r="B93" s="918"/>
      <c r="C93" s="3974"/>
      <c r="D93" s="3977" t="s">
        <v>1365</v>
      </c>
      <c r="E93" s="3828" t="s">
        <v>1508</v>
      </c>
      <c r="F93" s="3829"/>
      <c r="G93" s="3829"/>
      <c r="H93" s="3829"/>
      <c r="I93" s="3829"/>
      <c r="J93" s="3829"/>
      <c r="K93" s="3830"/>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841">
        <f>HLOOKUP($E93,Bonos_Cat_Base,2,FALSE)</f>
        <v>0</v>
      </c>
      <c r="Y93" s="3841">
        <f>HLOOKUP($E93,Bonos_Cat_Base,2,FALSE)</f>
        <v>0</v>
      </c>
      <c r="Z93" s="2196"/>
      <c r="AA93" s="53">
        <f>Z93+X93+V93+W93</f>
        <v>0</v>
      </c>
      <c r="AB93" s="1731"/>
      <c r="AC93" s="1405"/>
      <c r="AD93" s="3084"/>
      <c r="AE93" s="3116"/>
      <c r="AF93" s="3108"/>
      <c r="AG93" s="3116"/>
      <c r="AH93" s="3116"/>
      <c r="AI93" s="3116"/>
      <c r="AJ93" s="3116"/>
      <c r="AK93" s="3116"/>
      <c r="AL93" s="3096"/>
      <c r="AM93" s="3096"/>
      <c r="AN93" s="3096"/>
      <c r="AO93" s="3084"/>
      <c r="AP93" s="3096"/>
      <c r="AQ93" s="3096"/>
      <c r="AR93" s="3096"/>
      <c r="AS93" s="3096"/>
      <c r="AT93" s="3096"/>
      <c r="AU93" s="3096"/>
      <c r="AV93" s="3096"/>
    </row>
    <row r="94" spans="1:48" s="14" customFormat="1" ht="12" customHeight="1" x14ac:dyDescent="0.2">
      <c r="A94" s="4"/>
      <c r="B94" s="918"/>
      <c r="C94" s="3974"/>
      <c r="D94" s="3977"/>
      <c r="E94" s="3831" t="s">
        <v>1509</v>
      </c>
      <c r="F94" s="3832"/>
      <c r="G94" s="3832"/>
      <c r="H94" s="3832"/>
      <c r="I94" s="3832"/>
      <c r="J94" s="3832"/>
      <c r="K94" s="3833"/>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3840" t="s">
        <v>1455</v>
      </c>
      <c r="Y94" s="3840"/>
      <c r="Z94" s="2195"/>
      <c r="AA94" s="55">
        <f>MAX(0,Z94+W94+V94+IF(Mod_ATA&lt;0,MIN(0,TRUNC(Mod_ATA/2,0)),0))</f>
        <v>0</v>
      </c>
      <c r="AB94" s="1731"/>
      <c r="AC94" s="1405"/>
      <c r="AD94" s="3084"/>
      <c r="AE94" s="3116"/>
      <c r="AF94" s="3108"/>
      <c r="AG94" s="3116"/>
      <c r="AH94" s="3116"/>
      <c r="AI94" s="3116"/>
      <c r="AJ94" s="3116"/>
      <c r="AK94" s="3116"/>
      <c r="AL94" s="3096"/>
      <c r="AM94" s="3096"/>
      <c r="AN94" s="3096"/>
      <c r="AO94" s="3084"/>
      <c r="AP94" s="3096"/>
      <c r="AQ94" s="3096"/>
      <c r="AR94" s="3096"/>
      <c r="AS94" s="3096"/>
      <c r="AT94" s="3096"/>
      <c r="AU94" s="3096"/>
      <c r="AV94" s="3096"/>
    </row>
    <row r="95" spans="1:48" s="14" customFormat="1" ht="12" customHeight="1" x14ac:dyDescent="0.2">
      <c r="A95" s="4"/>
      <c r="B95" s="918"/>
      <c r="C95" s="3974"/>
      <c r="D95" s="3977"/>
      <c r="E95" s="3828" t="s">
        <v>1510</v>
      </c>
      <c r="F95" s="3829"/>
      <c r="G95" s="3829"/>
      <c r="H95" s="3829"/>
      <c r="I95" s="3829"/>
      <c r="J95" s="3829"/>
      <c r="K95" s="3830"/>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841" t="s">
        <v>1455</v>
      </c>
      <c r="Y95" s="3841"/>
      <c r="Z95" s="2196"/>
      <c r="AA95" s="53">
        <f>W95+V95+Z95</f>
        <v>0</v>
      </c>
      <c r="AB95" s="1731"/>
      <c r="AC95" s="1405"/>
      <c r="AD95" s="3084"/>
      <c r="AE95" s="3116"/>
      <c r="AF95" s="3108"/>
      <c r="AG95" s="3116"/>
      <c r="AH95" s="3116"/>
      <c r="AI95" s="3116"/>
      <c r="AJ95" s="3116"/>
      <c r="AK95" s="3116"/>
      <c r="AL95" s="3096"/>
      <c r="AM95" s="3096"/>
      <c r="AN95" s="3096"/>
      <c r="AO95" s="3084"/>
      <c r="AP95" s="3096"/>
      <c r="AQ95" s="3096"/>
      <c r="AR95" s="3096"/>
      <c r="AS95" s="3096"/>
      <c r="AT95" s="3096"/>
      <c r="AU95" s="3096"/>
      <c r="AV95" s="3096"/>
    </row>
    <row r="96" spans="1:48" s="14" customFormat="1" ht="12" customHeight="1" x14ac:dyDescent="0.2">
      <c r="A96" s="4"/>
      <c r="B96" s="918"/>
      <c r="C96" s="3974"/>
      <c r="D96" s="3977"/>
      <c r="E96" s="3831" t="s">
        <v>1511</v>
      </c>
      <c r="F96" s="3832"/>
      <c r="G96" s="3832"/>
      <c r="H96" s="3832"/>
      <c r="I96" s="3832"/>
      <c r="J96" s="3832"/>
      <c r="K96" s="3833"/>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3840" t="s">
        <v>1455</v>
      </c>
      <c r="Y96" s="3840"/>
      <c r="Z96" s="2195"/>
      <c r="AA96" s="55">
        <f>Z96+V96+W96+Mod_ATA</f>
        <v>0</v>
      </c>
      <c r="AB96" s="1731"/>
      <c r="AC96" s="1405"/>
      <c r="AD96" s="3084"/>
      <c r="AE96" s="3116"/>
      <c r="AF96" s="3108"/>
      <c r="AG96" s="3116"/>
      <c r="AH96" s="3116"/>
      <c r="AI96" s="3116"/>
      <c r="AJ96" s="3116"/>
      <c r="AK96" s="3116"/>
      <c r="AL96" s="3096"/>
      <c r="AM96" s="3096"/>
      <c r="AN96" s="3096"/>
      <c r="AO96" s="3084"/>
      <c r="AP96" s="3096"/>
      <c r="AQ96" s="3096"/>
      <c r="AR96" s="3096"/>
      <c r="AS96" s="3096"/>
      <c r="AT96" s="3096"/>
      <c r="AU96" s="3096"/>
      <c r="AV96" s="3096"/>
    </row>
    <row r="97" spans="1:48" s="14" customFormat="1" ht="12" customHeight="1" x14ac:dyDescent="0.2">
      <c r="A97" s="4"/>
      <c r="B97" s="918"/>
      <c r="C97" s="3974"/>
      <c r="D97" s="3978"/>
      <c r="E97" s="3828" t="s">
        <v>1512</v>
      </c>
      <c r="F97" s="3829"/>
      <c r="G97" s="3829"/>
      <c r="H97" s="3829"/>
      <c r="I97" s="3829"/>
      <c r="J97" s="3829"/>
      <c r="K97" s="3830"/>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841">
        <f>IF(Tablas!G449&gt;0,5*Nivel_Total,0)</f>
        <v>0</v>
      </c>
      <c r="Y97" s="3841"/>
      <c r="Z97" s="2196"/>
      <c r="AA97" s="64">
        <f>Z97+V97+W97+X97</f>
        <v>0</v>
      </c>
      <c r="AB97" s="1731"/>
      <c r="AC97" s="1405"/>
      <c r="AD97" s="3084"/>
      <c r="AE97" s="3116"/>
      <c r="AF97" s="3108"/>
      <c r="AG97" s="3116"/>
      <c r="AH97" s="3116"/>
      <c r="AI97" s="3116"/>
      <c r="AJ97" s="3116"/>
      <c r="AK97" s="3116"/>
      <c r="AL97" s="3096"/>
      <c r="AM97" s="3096"/>
      <c r="AN97" s="3096"/>
      <c r="AO97" s="3084"/>
      <c r="AP97" s="3096"/>
      <c r="AQ97" s="3096"/>
      <c r="AR97" s="3096"/>
      <c r="AS97" s="3096"/>
      <c r="AT97" s="3096"/>
      <c r="AU97" s="3096"/>
      <c r="AV97" s="3096"/>
    </row>
    <row r="98" spans="1:48" s="14" customFormat="1" ht="12" customHeight="1" x14ac:dyDescent="0.2">
      <c r="A98" s="4"/>
      <c r="B98" s="918"/>
      <c r="C98" s="3974"/>
      <c r="D98" s="3979" t="s">
        <v>1513</v>
      </c>
      <c r="E98" s="4004" t="s">
        <v>1514</v>
      </c>
      <c r="F98" s="4005"/>
      <c r="G98" s="4005"/>
      <c r="H98" s="4005"/>
      <c r="I98" s="4005"/>
      <c r="J98" s="4005"/>
      <c r="K98" s="4006"/>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4064">
        <f t="shared" ref="X98:Y101" si="25">HLOOKUP($E98,Bonos_Cat_Base,2,FALSE)</f>
        <v>0</v>
      </c>
      <c r="Y98" s="4064">
        <f t="shared" si="25"/>
        <v>0</v>
      </c>
      <c r="Z98" s="2209"/>
      <c r="AA98" s="65">
        <f>Z98+X98+V98+W98+IF(Mod_ATA&lt;0,Mod_ATA,0)+IF(Raza="Devah",10,0)+IF(Nephilim="Nephilim Devah",10,0)</f>
        <v>0</v>
      </c>
      <c r="AB98" s="1731"/>
      <c r="AC98" s="1405"/>
      <c r="AD98" s="3084"/>
      <c r="AE98" s="3116"/>
      <c r="AF98" s="3108"/>
      <c r="AG98" s="3116"/>
      <c r="AH98" s="3116"/>
      <c r="AI98" s="3116"/>
      <c r="AJ98" s="3116"/>
      <c r="AK98" s="3116"/>
      <c r="AL98" s="3096"/>
      <c r="AM98" s="3096"/>
      <c r="AN98" s="3096"/>
      <c r="AO98" s="3084"/>
      <c r="AP98" s="3096"/>
      <c r="AQ98" s="3096"/>
      <c r="AR98" s="3096"/>
      <c r="AS98" s="3096"/>
      <c r="AT98" s="3096"/>
      <c r="AU98" s="3096"/>
      <c r="AV98" s="3096"/>
    </row>
    <row r="99" spans="1:48" s="14" customFormat="1" ht="12" customHeight="1" x14ac:dyDescent="0.2">
      <c r="A99" s="4"/>
      <c r="B99" s="918"/>
      <c r="C99" s="3974"/>
      <c r="D99" s="3980"/>
      <c r="E99" s="4007" t="s">
        <v>6967</v>
      </c>
      <c r="F99" s="4008"/>
      <c r="G99" s="4008"/>
      <c r="H99" s="4008"/>
      <c r="I99" s="4008"/>
      <c r="J99" s="4008"/>
      <c r="K99" s="4009"/>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4065">
        <f t="shared" si="25"/>
        <v>0</v>
      </c>
      <c r="Y99" s="4065">
        <f t="shared" si="25"/>
        <v>0</v>
      </c>
      <c r="Z99" s="2210"/>
      <c r="AA99" s="502">
        <f>Z99+X99+V99+W99+IF(Mod_ATA&lt;0,Mod_ATA,0)+IF(Raza="Devah",10,0)+Tablas!$K$1806</f>
        <v>0</v>
      </c>
      <c r="AB99" s="1731"/>
      <c r="AC99" s="1405"/>
      <c r="AD99" s="3084"/>
      <c r="AE99" s="3116"/>
      <c r="AF99" s="3108"/>
      <c r="AG99" s="3116"/>
      <c r="AH99" s="3099"/>
      <c r="AI99" s="3116"/>
      <c r="AJ99" s="3116"/>
      <c r="AK99" s="3116"/>
      <c r="AL99" s="3096"/>
      <c r="AM99" s="3096"/>
      <c r="AN99" s="3096"/>
      <c r="AO99" s="3084"/>
      <c r="AP99" s="3096"/>
      <c r="AQ99" s="3096"/>
      <c r="AR99" s="3096"/>
      <c r="AS99" s="3096"/>
      <c r="AT99" s="3096"/>
      <c r="AU99" s="3096"/>
      <c r="AV99" s="3096"/>
    </row>
    <row r="100" spans="1:48" s="14" customFormat="1" ht="12" customHeight="1" x14ac:dyDescent="0.2">
      <c r="A100" s="4"/>
      <c r="B100" s="918"/>
      <c r="C100" s="3974"/>
      <c r="D100" s="3980"/>
      <c r="E100" s="4010" t="s">
        <v>386</v>
      </c>
      <c r="F100" s="4011"/>
      <c r="G100" s="4011"/>
      <c r="H100" s="4011"/>
      <c r="I100" s="4011"/>
      <c r="J100" s="4011"/>
      <c r="K100" s="4012"/>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4066">
        <f t="shared" si="25"/>
        <v>0</v>
      </c>
      <c r="Y100" s="4066">
        <f t="shared" si="25"/>
        <v>0</v>
      </c>
      <c r="Z100" s="2211"/>
      <c r="AA100" s="505">
        <f>Z100+X100+V100+W100+IF(Mod_ATA&lt;0,Mod_ATA,0)+IF(Raza="Devah",10,0)</f>
        <v>0</v>
      </c>
      <c r="AB100" s="1731"/>
      <c r="AC100" s="1405"/>
      <c r="AD100" s="3084"/>
      <c r="AE100" s="3116"/>
      <c r="AF100" s="3108"/>
      <c r="AG100" s="3116"/>
      <c r="AH100" s="3116"/>
      <c r="AI100" s="3116"/>
      <c r="AJ100" s="3116"/>
      <c r="AK100" s="3116"/>
      <c r="AL100" s="3096"/>
      <c r="AM100" s="3096"/>
      <c r="AN100" s="3096"/>
      <c r="AO100" s="3084"/>
      <c r="AP100" s="3096"/>
      <c r="AQ100" s="3096"/>
      <c r="AR100" s="3096"/>
      <c r="AS100" s="3096"/>
      <c r="AT100" s="3096"/>
      <c r="AU100" s="3096"/>
      <c r="AV100" s="3096"/>
    </row>
    <row r="101" spans="1:48" s="14" customFormat="1" ht="12" customHeight="1" x14ac:dyDescent="0.2">
      <c r="A101" s="4"/>
      <c r="B101" s="918"/>
      <c r="C101" s="3974"/>
      <c r="D101" s="3981"/>
      <c r="E101" s="3987" t="s">
        <v>1517</v>
      </c>
      <c r="F101" s="3988"/>
      <c r="G101" s="3988"/>
      <c r="H101" s="3988"/>
      <c r="I101" s="3988"/>
      <c r="J101" s="3988"/>
      <c r="K101" s="3989"/>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4069">
        <f t="shared" si="25"/>
        <v>0</v>
      </c>
      <c r="Y101" s="4069">
        <f t="shared" si="25"/>
        <v>0</v>
      </c>
      <c r="Z101" s="2212"/>
      <c r="AA101" s="66">
        <f>Z101+X101+V101+W101+IF(Mod_ATA&lt;0,Mod_ATA,0)+IF(Raza="Devah",10,0)+IF(Nephilim="Nephilim Devah",10,0)</f>
        <v>0</v>
      </c>
      <c r="AB101" s="1731"/>
      <c r="AC101" s="1405"/>
      <c r="AD101" s="3084"/>
      <c r="AE101" s="3116"/>
      <c r="AF101" s="3108"/>
      <c r="AG101" s="3116"/>
      <c r="AH101" s="3116"/>
      <c r="AI101" s="3116"/>
      <c r="AJ101" s="3116"/>
      <c r="AK101" s="3116"/>
      <c r="AL101" s="3096"/>
      <c r="AM101" s="3096"/>
      <c r="AN101" s="3096"/>
      <c r="AO101" s="3084"/>
      <c r="AP101" s="3096"/>
      <c r="AQ101" s="3096"/>
      <c r="AR101" s="3096"/>
      <c r="AS101" s="3096"/>
      <c r="AT101" s="3096"/>
      <c r="AU101" s="3096"/>
      <c r="AV101" s="3096"/>
    </row>
    <row r="102" spans="1:48" s="14" customFormat="1" ht="12" customHeight="1" x14ac:dyDescent="0.2">
      <c r="A102" s="4"/>
      <c r="B102" s="918"/>
      <c r="C102" s="3974"/>
      <c r="D102" s="3982" t="s">
        <v>1518</v>
      </c>
      <c r="E102" s="3990"/>
      <c r="F102" s="3991"/>
      <c r="G102" s="3991"/>
      <c r="H102" s="3991"/>
      <c r="I102" s="3991"/>
      <c r="J102" s="3991"/>
      <c r="K102" s="3992"/>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888" t="str">
        <f>IF($E102=0,"",VLOOKUP($E102,Tabla_TablasSobrenat,3))</f>
        <v/>
      </c>
      <c r="W102" s="3889">
        <f t="shared" ref="W102:AA103" si="26">IF($E102=0,0,VLOOKUP($E102,Tabla_TablasSobrenat,2))</f>
        <v>0</v>
      </c>
      <c r="X102" s="3889">
        <f t="shared" si="26"/>
        <v>0</v>
      </c>
      <c r="Y102" s="3889">
        <f t="shared" si="26"/>
        <v>0</v>
      </c>
      <c r="Z102" s="3889">
        <f t="shared" si="26"/>
        <v>0</v>
      </c>
      <c r="AA102" s="4063">
        <f t="shared" si="26"/>
        <v>0</v>
      </c>
      <c r="AB102" s="1731"/>
      <c r="AC102" s="1405"/>
      <c r="AD102" s="3084"/>
      <c r="AE102" s="3116"/>
      <c r="AF102" s="3108"/>
      <c r="AG102" s="3116"/>
      <c r="AH102" s="3116"/>
      <c r="AI102" s="3116"/>
      <c r="AJ102" s="3116"/>
      <c r="AK102" s="3116"/>
      <c r="AL102" s="3096"/>
      <c r="AM102" s="3096"/>
      <c r="AN102" s="3096"/>
      <c r="AO102" s="3084"/>
      <c r="AP102" s="3096"/>
      <c r="AQ102" s="3096"/>
      <c r="AR102" s="3096"/>
      <c r="AS102" s="3096"/>
      <c r="AT102" s="3096"/>
      <c r="AU102" s="3096"/>
      <c r="AV102" s="3096"/>
    </row>
    <row r="103" spans="1:48" s="14" customFormat="1" ht="12" customHeight="1" thickBot="1" x14ac:dyDescent="0.25">
      <c r="A103" s="4"/>
      <c r="B103" s="918"/>
      <c r="C103" s="3974"/>
      <c r="D103" s="3983"/>
      <c r="E103" s="3993"/>
      <c r="F103" s="3994"/>
      <c r="G103" s="3994"/>
      <c r="H103" s="3994"/>
      <c r="I103" s="3994"/>
      <c r="J103" s="3994"/>
      <c r="K103" s="3995"/>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3910" t="str">
        <f>IF($E103=0,"",VLOOKUP($E103,Tabla_TablasSobrenat,3))</f>
        <v/>
      </c>
      <c r="W103" s="3911">
        <f t="shared" si="26"/>
        <v>0</v>
      </c>
      <c r="X103" s="3911">
        <f t="shared" si="26"/>
        <v>0</v>
      </c>
      <c r="Y103" s="3911">
        <f t="shared" si="26"/>
        <v>0</v>
      </c>
      <c r="Z103" s="3911">
        <f t="shared" si="26"/>
        <v>0</v>
      </c>
      <c r="AA103" s="3912">
        <f t="shared" si="26"/>
        <v>0</v>
      </c>
      <c r="AB103" s="1731"/>
      <c r="AC103" s="1405"/>
      <c r="AD103" s="3084"/>
      <c r="AE103" s="3116"/>
      <c r="AF103" s="3108"/>
      <c r="AG103" s="3116"/>
      <c r="AH103" s="3116"/>
      <c r="AI103" s="3116"/>
      <c r="AJ103" s="3116"/>
      <c r="AK103" s="3116"/>
      <c r="AL103" s="3096"/>
      <c r="AM103" s="3096"/>
      <c r="AN103" s="3096"/>
      <c r="AO103" s="3084"/>
      <c r="AP103" s="3096"/>
      <c r="AQ103" s="3096"/>
      <c r="AR103" s="3096"/>
      <c r="AS103" s="3096"/>
      <c r="AT103" s="3096"/>
      <c r="AU103" s="3096"/>
      <c r="AV103" s="3096"/>
    </row>
    <row r="104" spans="1:48" s="14" customFormat="1" ht="12" customHeight="1" x14ac:dyDescent="0.2">
      <c r="A104" s="29"/>
      <c r="B104" s="819"/>
      <c r="C104" s="3975"/>
      <c r="D104" s="3998" t="s">
        <v>1519</v>
      </c>
      <c r="E104" s="3999"/>
      <c r="F104" s="3999"/>
      <c r="G104" s="3999"/>
      <c r="H104" s="3999"/>
      <c r="I104" s="3999"/>
      <c r="J104" s="3999"/>
      <c r="K104" s="4000"/>
      <c r="L104" s="3985">
        <f>T$7*IF(Categoría_1=0,0.5,L106)</f>
        <v>200</v>
      </c>
      <c r="M104" s="3956">
        <f>SUM(M93:M103)</f>
        <v>0</v>
      </c>
      <c r="N104" s="3985">
        <f>IF(Limite_Primarias_Individual,$T$9*N106,IF(Categoría_2=0,0,(IF(OR(Limite_Primarias_Combinado,Limite_Primarias_MasConveniente),O106,SUM(T$7:T$9)*IF(Limite_Primarias_Maximo,MAX($L106,$N106),N106)))))</f>
        <v>0</v>
      </c>
      <c r="O104" s="3956">
        <f>(SUM(O93:O103)+IF(Limite_Primarias_Individual,0,M104))*IF(Categoría_2=0,0,1)</f>
        <v>0</v>
      </c>
      <c r="P104" s="3985">
        <f>IF(Limite_Primarias_Individual,$T$11*P106,IF(Categoría_3=0,0,(IF(OR(Limite_Primarias_Combinado,Limite_Primarias_MasConveniente),Q106,SUM(T$7:T$11)*IF(Limite_Primarias_Maximo,MAX($L106,$N106,$P106),P106)))))</f>
        <v>0</v>
      </c>
      <c r="Q104" s="3984">
        <f>(SUM(Q93:Q103)+IF(Limite_Primarias_Individual,0,O104))*IF(Categoría_3=0,0,1)</f>
        <v>0</v>
      </c>
      <c r="R104" s="3985">
        <f>IF(Limite_Primarias_Individual,$T$13*R106,IF(Categoría_4=0,0,(IF(OR(Limite_Primarias_Combinado,Limite_Primarias_MasConveniente),S106,SUM(T$7:T$13)*IF(Limite_Primarias_Maximo,MAX($L106,$N106,$P106,$R106),R106)))))</f>
        <v>0</v>
      </c>
      <c r="S104" s="3956">
        <f>(SUM(S93:S103)+IF(Limite_Primarias_Individual,0,Q104))*IF(Categoría_4=0,0,1)</f>
        <v>0</v>
      </c>
      <c r="T104" s="3985">
        <f>IF(Limite_Primarias_Individual,$T$15*T106,IF(Categoría_5=0,0,(IF(OR(Limite_Primarias_Combinado,Limite_Primarias_MasConveniente),U106,SUM(T$7:T$15)*IF(Limite_Primarias_Maximo,MAX($L106,$N106,$P106,$R106,$T106),T106)))))</f>
        <v>0</v>
      </c>
      <c r="U104" s="3901">
        <f>(SUM(U93:U103)+IF(Limite_Primarias_Individual,0,S104))*IF(Categoría_5=0,0,1)</f>
        <v>0</v>
      </c>
      <c r="V104" s="4057" t="str">
        <f>IF((M96+O96+Q96+S96+U96)*2&gt;MAX(L104,N104,P104,R104,T104),"Exceso en Proyección Mágica",IF(M97+O97+Q97+S97+U97&gt;0.1*$Z$194,"Exceso de PDs en Nivel de Magia",IF(OR(M104&gt;L104,O104&gt;N104,Q104&gt;P104,S104&gt;R104,U104&gt;T104),"Exceso de PDs en Habilidades Místicas","")))</f>
        <v/>
      </c>
      <c r="W104" s="4058"/>
      <c r="X104" s="4058"/>
      <c r="Y104" s="4058"/>
      <c r="Z104" s="4058"/>
      <c r="AA104" s="4059"/>
      <c r="AB104" s="1727"/>
      <c r="AC104" s="841"/>
      <c r="AD104" s="3084"/>
      <c r="AE104" s="3116"/>
      <c r="AF104" s="3108"/>
      <c r="AG104" s="3116"/>
      <c r="AH104" s="3116"/>
      <c r="AI104" s="3116"/>
      <c r="AJ104" s="3116"/>
      <c r="AK104" s="3116"/>
      <c r="AL104" s="3096"/>
      <c r="AM104" s="3096"/>
      <c r="AN104" s="3096"/>
      <c r="AO104" s="3084"/>
      <c r="AP104" s="3096"/>
      <c r="AQ104" s="3096"/>
      <c r="AR104" s="3096"/>
      <c r="AS104" s="3096"/>
      <c r="AT104" s="3096"/>
      <c r="AU104" s="3096"/>
      <c r="AV104" s="3096"/>
    </row>
    <row r="105" spans="1:48" s="14" customFormat="1" ht="12" customHeight="1" thickBot="1" x14ac:dyDescent="0.25">
      <c r="A105" s="29"/>
      <c r="B105" s="819"/>
      <c r="C105" s="3976"/>
      <c r="D105" s="4001"/>
      <c r="E105" s="4002"/>
      <c r="F105" s="4002"/>
      <c r="G105" s="4002"/>
      <c r="H105" s="4002"/>
      <c r="I105" s="4002"/>
      <c r="J105" s="4002"/>
      <c r="K105" s="4003"/>
      <c r="L105" s="3986"/>
      <c r="M105" s="3957"/>
      <c r="N105" s="3986"/>
      <c r="O105" s="3957"/>
      <c r="P105" s="3986"/>
      <c r="Q105" s="3678"/>
      <c r="R105" s="3986"/>
      <c r="S105" s="3957"/>
      <c r="T105" s="3986"/>
      <c r="U105" s="3902"/>
      <c r="V105" s="4060"/>
      <c r="W105" s="4061"/>
      <c r="X105" s="4061"/>
      <c r="Y105" s="4061"/>
      <c r="Z105" s="4061"/>
      <c r="AA105" s="4062"/>
      <c r="AB105" s="1727"/>
      <c r="AC105" s="841"/>
      <c r="AD105" s="3084"/>
      <c r="AE105" s="3116"/>
      <c r="AF105" s="3108"/>
      <c r="AG105" s="3116"/>
      <c r="AH105" s="3116"/>
      <c r="AI105" s="3116"/>
      <c r="AJ105" s="3116"/>
      <c r="AK105" s="3116"/>
      <c r="AL105" s="3096"/>
      <c r="AM105" s="3096"/>
      <c r="AN105" s="3096"/>
      <c r="AO105" s="3084"/>
      <c r="AP105" s="3096"/>
      <c r="AQ105" s="3096"/>
      <c r="AR105" s="3096"/>
      <c r="AS105" s="3096"/>
      <c r="AT105" s="3096"/>
      <c r="AU105" s="3096"/>
      <c r="AV105" s="3096"/>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4"/>
      <c r="AE106" s="3116"/>
      <c r="AF106" s="3108"/>
      <c r="AG106" s="3116"/>
      <c r="AH106" s="3116"/>
      <c r="AI106" s="3116"/>
      <c r="AJ106" s="3116"/>
      <c r="AK106" s="3116"/>
      <c r="AL106" s="3096"/>
      <c r="AM106" s="3096"/>
      <c r="AN106" s="3096"/>
      <c r="AO106" s="3084"/>
      <c r="AP106" s="3096"/>
      <c r="AQ106" s="3096"/>
      <c r="AR106" s="3096"/>
      <c r="AS106" s="3096"/>
      <c r="AT106" s="3096"/>
      <c r="AU106" s="3096"/>
      <c r="AV106" s="3096"/>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4"/>
      <c r="AE107" s="3116"/>
      <c r="AF107" s="3108"/>
      <c r="AG107" s="3116"/>
      <c r="AH107" s="3116"/>
      <c r="AI107" s="3116"/>
      <c r="AJ107" s="3116"/>
      <c r="AK107" s="3116"/>
      <c r="AL107" s="3096"/>
      <c r="AM107" s="3096"/>
      <c r="AN107" s="3096"/>
      <c r="AO107" s="3084"/>
      <c r="AP107" s="3096"/>
      <c r="AQ107" s="3096"/>
      <c r="AR107" s="3096"/>
      <c r="AS107" s="3096"/>
      <c r="AT107" s="3096"/>
      <c r="AU107" s="3096"/>
      <c r="AV107" s="3096"/>
    </row>
    <row r="108" spans="1:48" s="14" customFormat="1" ht="12" customHeight="1" x14ac:dyDescent="0.2">
      <c r="A108" s="29"/>
      <c r="B108" s="819"/>
      <c r="C108" s="21"/>
      <c r="D108" s="21"/>
      <c r="E108" s="21"/>
      <c r="F108" s="21"/>
      <c r="I108" s="21"/>
      <c r="J108" s="21"/>
      <c r="K108" s="21"/>
      <c r="L108" s="3882" t="str">
        <f>IF(Categoría_1=0,"",Categoría_1)</f>
        <v/>
      </c>
      <c r="M108" s="3883"/>
      <c r="N108" s="3886" t="str">
        <f>IF(Categoría_2=0,"",Categoría_2)</f>
        <v/>
      </c>
      <c r="O108" s="3883"/>
      <c r="P108" s="3886" t="str">
        <f>IF(Categoría_3=0,"",Categoría_3)</f>
        <v/>
      </c>
      <c r="Q108" s="3883"/>
      <c r="R108" s="3886" t="str">
        <f>IF(Categoría_4=0,"",Categoría_4)</f>
        <v/>
      </c>
      <c r="S108" s="3883"/>
      <c r="T108" s="3886" t="str">
        <f>IF(Categoría_5=0,"",Categoría_5)</f>
        <v/>
      </c>
      <c r="U108" s="3898"/>
      <c r="V108" s="21"/>
      <c r="W108" s="21"/>
      <c r="X108" s="21"/>
      <c r="Y108" s="21"/>
      <c r="Z108" s="21"/>
      <c r="AA108" s="21"/>
      <c r="AB108" s="1727"/>
      <c r="AC108" s="841"/>
      <c r="AD108" s="3084"/>
      <c r="AE108" s="3116"/>
      <c r="AF108" s="3108"/>
      <c r="AG108" s="3116"/>
      <c r="AH108" s="3116"/>
      <c r="AI108" s="3116"/>
      <c r="AJ108" s="3116"/>
      <c r="AK108" s="3116"/>
      <c r="AL108" s="3096"/>
      <c r="AM108" s="3096"/>
      <c r="AN108" s="3096"/>
      <c r="AO108" s="3084"/>
      <c r="AP108" s="3096"/>
      <c r="AQ108" s="3096"/>
      <c r="AR108" s="3096"/>
      <c r="AS108" s="3096"/>
      <c r="AT108" s="3096"/>
      <c r="AU108" s="3096"/>
      <c r="AV108" s="3096"/>
    </row>
    <row r="109" spans="1:48" s="14" customFormat="1" ht="12" customHeight="1" thickBot="1" x14ac:dyDescent="0.25">
      <c r="A109" s="29"/>
      <c r="B109" s="819"/>
      <c r="C109" s="21"/>
      <c r="D109" s="21"/>
      <c r="E109" s="21"/>
      <c r="F109" s="21"/>
      <c r="I109" s="21"/>
      <c r="J109" s="21"/>
      <c r="K109" s="21"/>
      <c r="L109" s="3951"/>
      <c r="M109" s="3952"/>
      <c r="N109" s="3899"/>
      <c r="O109" s="3952"/>
      <c r="P109" s="3899"/>
      <c r="Q109" s="3952"/>
      <c r="R109" s="3899"/>
      <c r="S109" s="3952"/>
      <c r="T109" s="3899"/>
      <c r="U109" s="3900"/>
      <c r="V109" s="21"/>
      <c r="W109" s="21"/>
      <c r="X109" s="21"/>
      <c r="Y109" s="21"/>
      <c r="Z109" s="21"/>
      <c r="AA109" s="21"/>
      <c r="AB109" s="1727"/>
      <c r="AC109" s="841"/>
      <c r="AD109" s="3084"/>
      <c r="AE109" s="3116"/>
      <c r="AF109" s="3108"/>
      <c r="AG109" s="3116"/>
      <c r="AH109" s="3116"/>
      <c r="AI109" s="3116"/>
      <c r="AJ109" s="3116"/>
      <c r="AK109" s="3116"/>
      <c r="AL109" s="3096"/>
      <c r="AM109" s="3096"/>
      <c r="AN109" s="3096"/>
      <c r="AO109" s="3084"/>
      <c r="AP109" s="3096"/>
      <c r="AQ109" s="3096"/>
      <c r="AR109" s="3096"/>
      <c r="AS109" s="3096"/>
      <c r="AT109" s="3096"/>
      <c r="AU109" s="3096"/>
      <c r="AV109" s="3096"/>
    </row>
    <row r="110" spans="1:48" ht="12" customHeight="1" thickBot="1" x14ac:dyDescent="0.25">
      <c r="A110" s="29"/>
      <c r="B110" s="819"/>
      <c r="C110" s="4136" t="s">
        <v>1520</v>
      </c>
      <c r="D110" s="1432" t="s">
        <v>1398</v>
      </c>
      <c r="E110" s="4087" t="s">
        <v>1375</v>
      </c>
      <c r="F110" s="4087"/>
      <c r="G110" s="4087"/>
      <c r="H110" s="4087"/>
      <c r="I110" s="4087"/>
      <c r="J110" s="4087"/>
      <c r="K110" s="4198"/>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3897" t="s">
        <v>1488</v>
      </c>
      <c r="Y110" s="3897"/>
      <c r="Z110" s="504" t="s">
        <v>1417</v>
      </c>
      <c r="AA110" s="51" t="s">
        <v>1349</v>
      </c>
      <c r="AB110" s="1727"/>
      <c r="AC110" s="841"/>
      <c r="AD110" s="3084"/>
      <c r="AE110" s="3084"/>
      <c r="AF110" s="3108"/>
      <c r="AG110" s="3116"/>
      <c r="AH110" s="3116"/>
      <c r="AI110" s="3116"/>
      <c r="AJ110" s="3116"/>
      <c r="AK110" s="3116"/>
      <c r="AL110" s="3096"/>
      <c r="AM110" s="3096"/>
      <c r="AN110" s="3096"/>
      <c r="AO110" s="3084"/>
      <c r="AP110" s="3096"/>
      <c r="AQ110" s="3085"/>
      <c r="AR110" s="3085"/>
      <c r="AS110" s="3085"/>
      <c r="AT110" s="3085"/>
      <c r="AU110" s="3085"/>
      <c r="AV110" s="3085"/>
    </row>
    <row r="111" spans="1:48" ht="12" customHeight="1" x14ac:dyDescent="0.2">
      <c r="A111" s="29"/>
      <c r="B111" s="819"/>
      <c r="C111" s="3974"/>
      <c r="D111" s="4095" t="s">
        <v>1365</v>
      </c>
      <c r="E111" s="4181" t="s">
        <v>1521</v>
      </c>
      <c r="F111" s="4008"/>
      <c r="G111" s="4008"/>
      <c r="H111" s="4008"/>
      <c r="I111" s="4008"/>
      <c r="J111" s="4008"/>
      <c r="K111" s="4009"/>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4079">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79"/>
      <c r="Z111" s="2207"/>
      <c r="AA111" s="63">
        <f>V111+Z111+X111</f>
        <v>0</v>
      </c>
      <c r="AB111" s="1727"/>
      <c r="AC111" s="841"/>
      <c r="AD111" s="3084"/>
      <c r="AE111" s="3116"/>
      <c r="AF111" s="3108"/>
      <c r="AG111" s="3116"/>
      <c r="AH111" s="3116"/>
      <c r="AI111" s="3116"/>
      <c r="AJ111" s="3116"/>
      <c r="AK111" s="3116"/>
      <c r="AL111" s="3096"/>
      <c r="AM111" s="3096"/>
      <c r="AN111" s="3096"/>
      <c r="AO111" s="3084"/>
      <c r="AP111" s="3096"/>
      <c r="AQ111" s="3085"/>
      <c r="AR111" s="3085"/>
      <c r="AS111" s="3085"/>
      <c r="AT111" s="3085"/>
      <c r="AU111" s="3085"/>
      <c r="AV111" s="3085"/>
    </row>
    <row r="112" spans="1:48" ht="12" customHeight="1" x14ac:dyDescent="0.2">
      <c r="A112" s="29"/>
      <c r="B112" s="819"/>
      <c r="C112" s="3974"/>
      <c r="D112" s="4096"/>
      <c r="E112" s="4182" t="s">
        <v>1522</v>
      </c>
      <c r="F112" s="4011"/>
      <c r="G112" s="4011"/>
      <c r="H112" s="4011"/>
      <c r="I112" s="4011"/>
      <c r="J112" s="4011"/>
      <c r="K112" s="4012"/>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4080" t="s">
        <v>1455</v>
      </c>
      <c r="Y112" s="4080"/>
      <c r="Z112" s="2208"/>
      <c r="AA112" s="56">
        <f>V112+W112+Z112+Mod_ATA</f>
        <v>0</v>
      </c>
      <c r="AB112" s="1727"/>
      <c r="AC112" s="841"/>
      <c r="AD112" s="3084"/>
      <c r="AE112" s="3116"/>
      <c r="AF112" s="3108"/>
      <c r="AG112" s="3116"/>
      <c r="AH112" s="3116"/>
      <c r="AI112" s="3116"/>
      <c r="AJ112" s="3116"/>
      <c r="AK112" s="3116"/>
      <c r="AL112" s="3096"/>
      <c r="AM112" s="3096"/>
      <c r="AN112" s="3096"/>
      <c r="AO112" s="3084"/>
      <c r="AP112" s="3096"/>
      <c r="AQ112" s="3085"/>
      <c r="AR112" s="3085"/>
      <c r="AS112" s="3085"/>
      <c r="AT112" s="3085"/>
      <c r="AU112" s="3085"/>
      <c r="AV112" s="3085"/>
    </row>
    <row r="113" spans="1:48" ht="12" customHeight="1" x14ac:dyDescent="0.2">
      <c r="A113" s="29"/>
      <c r="B113" s="819"/>
      <c r="C113" s="3974"/>
      <c r="D113" s="544" t="s">
        <v>1518</v>
      </c>
      <c r="E113" s="4183"/>
      <c r="F113" s="4184"/>
      <c r="G113" s="4184"/>
      <c r="H113" s="4184"/>
      <c r="I113" s="4184"/>
      <c r="J113" s="4184"/>
      <c r="K113" s="4185"/>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4070" t="str">
        <f>IF($E113=0,"",VLOOKUP($E113,Tabla_TablasSobrenat,3))</f>
        <v/>
      </c>
      <c r="W113" s="4071">
        <f>IF($E113=0,0,VLOOKUP($E113,Tabla_TablasSobrenat,2))</f>
        <v>0</v>
      </c>
      <c r="X113" s="4071">
        <f>IF($E113=0,0,VLOOKUP($E113,Tabla_TablasSobrenat,2))</f>
        <v>0</v>
      </c>
      <c r="Y113" s="4071">
        <f>IF($E113=0,0,VLOOKUP($E113,Tabla_TablasSobrenat,2))</f>
        <v>0</v>
      </c>
      <c r="Z113" s="4071">
        <f>IF($E113=0,0,VLOOKUP($E113,Tabla_TablasSobrenat,2))</f>
        <v>0</v>
      </c>
      <c r="AA113" s="4072">
        <f>IF($E113=0,0,VLOOKUP($E113,Tabla_TablasSobrenat,2))</f>
        <v>0</v>
      </c>
      <c r="AB113" s="1727"/>
      <c r="AC113" s="841"/>
      <c r="AD113" s="3084" t="s">
        <v>10236</v>
      </c>
      <c r="AE113" s="3116" t="s">
        <v>10237</v>
      </c>
      <c r="AF113" s="3108" t="s">
        <v>10238</v>
      </c>
      <c r="AG113" s="3116"/>
      <c r="AH113" s="3116"/>
      <c r="AI113" s="3116"/>
      <c r="AJ113" s="3116"/>
      <c r="AK113" s="3116"/>
      <c r="AL113" s="3096"/>
      <c r="AM113" s="3096"/>
      <c r="AN113" s="3096"/>
      <c r="AO113" s="3084"/>
      <c r="AP113" s="3096"/>
      <c r="AQ113" s="3085"/>
      <c r="AR113" s="3085"/>
      <c r="AS113" s="3085"/>
      <c r="AT113" s="3085"/>
      <c r="AU113" s="3085"/>
      <c r="AV113" s="3085"/>
    </row>
    <row r="114" spans="1:48" ht="12" customHeight="1" x14ac:dyDescent="0.2">
      <c r="A114" s="29"/>
      <c r="B114" s="819"/>
      <c r="C114" s="3974"/>
      <c r="D114" s="3979" t="s">
        <v>1523</v>
      </c>
      <c r="E114" s="4186"/>
      <c r="F114" s="4187"/>
      <c r="G114" s="4187"/>
      <c r="H114" s="4187"/>
      <c r="I114" s="4187"/>
      <c r="J114" s="4187"/>
      <c r="K114" s="4188"/>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4073" t="str">
        <f>IF(E114=0,"",VLOOKUP(E114,Tablas!$D$1210:$R$1225,4,FALSE))</f>
        <v/>
      </c>
      <c r="W114" s="4074"/>
      <c r="X114" s="4074"/>
      <c r="Y114" s="4074"/>
      <c r="Z114" s="4074"/>
      <c r="AA114" s="4075"/>
      <c r="AB114" s="1727"/>
      <c r="AC114" s="841"/>
      <c r="AD114" s="3084" t="e">
        <f>VLOOKUP(E114,Tablas!$D$1210:$R$1225,5,FALSE)</f>
        <v>#N/A</v>
      </c>
      <c r="AE114" s="3116" t="str">
        <f t="shared" ref="AE114:AE119" si="27">IF(ISNUMBER(FIND("Cancelación:",E114)),SUBSTITUTE(E114,"Cancelación: ",""),"")</f>
        <v/>
      </c>
      <c r="AF114" s="3108"/>
      <c r="AG114" s="3108" t="b">
        <f>AE114&lt;&gt;""</f>
        <v>0</v>
      </c>
      <c r="AH114" s="3116"/>
      <c r="AI114" s="3116"/>
      <c r="AJ114" s="3116"/>
      <c r="AK114" s="3116"/>
      <c r="AL114" s="3096"/>
      <c r="AM114" s="3096"/>
      <c r="AN114" s="3096"/>
      <c r="AO114" s="3084"/>
      <c r="AP114" s="3096"/>
      <c r="AQ114" s="3085"/>
      <c r="AR114" s="3085"/>
      <c r="AS114" s="3085"/>
      <c r="AT114" s="3085"/>
      <c r="AU114" s="3085"/>
      <c r="AV114" s="3085"/>
    </row>
    <row r="115" spans="1:48" ht="12" customHeight="1" x14ac:dyDescent="0.2">
      <c r="A115" s="29"/>
      <c r="B115" s="819"/>
      <c r="C115" s="3974"/>
      <c r="D115" s="3980"/>
      <c r="E115" s="4048"/>
      <c r="F115" s="3994"/>
      <c r="G115" s="3994"/>
      <c r="H115" s="3994"/>
      <c r="I115" s="3994"/>
      <c r="J115" s="3994"/>
      <c r="K115" s="3995"/>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4076" t="str">
        <f>IF(E115=0,"",VLOOKUP(E115,Tablas!$D$1210:$R$1225,4,FALSE))</f>
        <v/>
      </c>
      <c r="W115" s="4077"/>
      <c r="X115" s="4077"/>
      <c r="Y115" s="4077"/>
      <c r="Z115" s="4077"/>
      <c r="AA115" s="4078"/>
      <c r="AB115" s="1727"/>
      <c r="AC115" s="841"/>
      <c r="AD115" s="3084" t="e">
        <f>VLOOKUP(E115,Tablas!$D$1210:$R$1225,5,FALSE)</f>
        <v>#N/A</v>
      </c>
      <c r="AE115" s="3116" t="str">
        <f t="shared" si="27"/>
        <v/>
      </c>
      <c r="AF115" s="3108" t="b">
        <f>AND(COUNTIF($E$114:$E114,AD115)&gt;0,COUNTIF($E$114:$E114,"Cancelación: "&amp;AD115)=0)</f>
        <v>0</v>
      </c>
      <c r="AG115" s="3116" t="b">
        <f>OR(COUNTIF($E$114:$E114,E115)&lt;&gt;COUNTIF($E$114:$E114,"Cancelación: "&amp;E115),AF115,IF(AE115="",FALSE,COUNTIF($E$114:$E114,AE115)=0))</f>
        <v>0</v>
      </c>
      <c r="AH115" s="3116"/>
      <c r="AI115" s="3116"/>
      <c r="AJ115" s="3116"/>
      <c r="AK115" s="3116"/>
      <c r="AL115" s="3096"/>
      <c r="AM115" s="3096"/>
      <c r="AN115" s="3096"/>
      <c r="AO115" s="3084"/>
      <c r="AP115" s="3096"/>
      <c r="AQ115" s="3085"/>
      <c r="AR115" s="3085"/>
      <c r="AS115" s="3085"/>
      <c r="AT115" s="3085"/>
      <c r="AU115" s="3085"/>
      <c r="AV115" s="3085"/>
    </row>
    <row r="116" spans="1:48" ht="12" customHeight="1" x14ac:dyDescent="0.2">
      <c r="A116" s="29"/>
      <c r="B116" s="819"/>
      <c r="C116" s="3974"/>
      <c r="D116" s="3980"/>
      <c r="E116" s="4013"/>
      <c r="F116" s="3991"/>
      <c r="G116" s="3991"/>
      <c r="H116" s="3991"/>
      <c r="I116" s="3991"/>
      <c r="J116" s="3991"/>
      <c r="K116" s="3992"/>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4081" t="str">
        <f>IF(E116=0,"",VLOOKUP(E116,Tablas!$D$1210:$R$1225,4,FALSE))</f>
        <v/>
      </c>
      <c r="W116" s="4082"/>
      <c r="X116" s="4082"/>
      <c r="Y116" s="4082"/>
      <c r="Z116" s="4082"/>
      <c r="AA116" s="4083"/>
      <c r="AB116" s="1727"/>
      <c r="AC116" s="841"/>
      <c r="AD116" s="3084" t="e">
        <f>VLOOKUP(E116,Tablas!$D$1210:$R$1225,5,FALSE)</f>
        <v>#N/A</v>
      </c>
      <c r="AE116" s="3116" t="str">
        <f t="shared" si="27"/>
        <v/>
      </c>
      <c r="AF116" s="3108" t="b">
        <f>AND(COUNTIF($E$114:$E115,AD116)&gt;0,COUNTIF($E$114:$E115,"Cancelación: "&amp;AD116)=0)</f>
        <v>0</v>
      </c>
      <c r="AG116" s="3116" t="b">
        <f>OR(COUNTIF($E$114:$E115,E116)&lt;&gt;COUNTIF($E$114:$E115,"Cancelación: "&amp;E116),AF116,IF(AE116="",FALSE,COUNTIF($E$114:$E115,AE116)=0))</f>
        <v>0</v>
      </c>
      <c r="AH116" s="3116"/>
      <c r="AI116" s="3116"/>
      <c r="AJ116" s="3116"/>
      <c r="AK116" s="3116"/>
      <c r="AL116" s="3096"/>
      <c r="AM116" s="3096"/>
      <c r="AN116" s="3096"/>
      <c r="AO116" s="3084"/>
      <c r="AP116" s="3096"/>
      <c r="AQ116" s="3085"/>
      <c r="AR116" s="3085"/>
      <c r="AS116" s="3085"/>
      <c r="AT116" s="3085"/>
      <c r="AU116" s="3085"/>
      <c r="AV116" s="3085"/>
    </row>
    <row r="117" spans="1:48" ht="12" customHeight="1" x14ac:dyDescent="0.2">
      <c r="A117" s="29"/>
      <c r="B117" s="819"/>
      <c r="C117" s="3974"/>
      <c r="D117" s="3980"/>
      <c r="E117" s="4048"/>
      <c r="F117" s="3994"/>
      <c r="G117" s="3994"/>
      <c r="H117" s="3994"/>
      <c r="I117" s="3994"/>
      <c r="J117" s="3994"/>
      <c r="K117" s="3995"/>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4076" t="str">
        <f>IF(E117=0,"",VLOOKUP(E117,Tablas!$D$1210:$R$1225,4,FALSE))</f>
        <v/>
      </c>
      <c r="W117" s="4077"/>
      <c r="X117" s="4077"/>
      <c r="Y117" s="4077"/>
      <c r="Z117" s="4077"/>
      <c r="AA117" s="4078"/>
      <c r="AB117" s="1727"/>
      <c r="AC117" s="841"/>
      <c r="AD117" s="3084" t="e">
        <f>VLOOKUP(E117,Tablas!$D$1210:$R$1225,5,FALSE)</f>
        <v>#N/A</v>
      </c>
      <c r="AE117" s="3116" t="str">
        <f t="shared" si="27"/>
        <v/>
      </c>
      <c r="AF117" s="3108" t="b">
        <f>AND(COUNTIF($E$114:$E116,AD117)&gt;0,COUNTIF($E$114:$E116,"Cancelación: "&amp;AD117)=0)</f>
        <v>0</v>
      </c>
      <c r="AG117" s="3116" t="b">
        <f>OR(COUNTIF($E$114:$E116,E117)&lt;&gt;COUNTIF($E$114:$E116,"Cancelación: "&amp;E117),AF117,IF(AE117="",FALSE,COUNTIF($E$114:$E116,AE117)=0))</f>
        <v>0</v>
      </c>
      <c r="AH117" s="3116"/>
      <c r="AI117" s="3116"/>
      <c r="AJ117" s="3116"/>
      <c r="AK117" s="3116"/>
      <c r="AL117" s="3096"/>
      <c r="AM117" s="3096"/>
      <c r="AN117" s="3096"/>
      <c r="AO117" s="3084"/>
      <c r="AP117" s="3096"/>
      <c r="AQ117" s="3085"/>
      <c r="AR117" s="3085"/>
      <c r="AS117" s="3085"/>
      <c r="AT117" s="3085"/>
      <c r="AU117" s="3085"/>
      <c r="AV117" s="3085"/>
    </row>
    <row r="118" spans="1:48" ht="12" customHeight="1" x14ac:dyDescent="0.2">
      <c r="A118" s="29"/>
      <c r="B118" s="819"/>
      <c r="C118" s="3974"/>
      <c r="D118" s="3980"/>
      <c r="E118" s="4013"/>
      <c r="F118" s="3991"/>
      <c r="G118" s="3991"/>
      <c r="H118" s="3991"/>
      <c r="I118" s="3991"/>
      <c r="J118" s="3991"/>
      <c r="K118" s="3992"/>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4081" t="str">
        <f>IF(E118=0,"",VLOOKUP(E118,Tablas!$D$1210:$R$1225,4,FALSE))</f>
        <v/>
      </c>
      <c r="W118" s="4082"/>
      <c r="X118" s="4082"/>
      <c r="Y118" s="4082"/>
      <c r="Z118" s="4082"/>
      <c r="AA118" s="4083"/>
      <c r="AB118" s="1727"/>
      <c r="AC118" s="841"/>
      <c r="AD118" s="3084" t="e">
        <f>VLOOKUP(E118,Tablas!$D$1210:$R$1225,5,FALSE)</f>
        <v>#N/A</v>
      </c>
      <c r="AE118" s="3116" t="str">
        <f t="shared" si="27"/>
        <v/>
      </c>
      <c r="AF118" s="3108" t="b">
        <f>AND(COUNTIF($E$114:$E117,AD118)&gt;0,COUNTIF($E$114:$E117,"Cancelación: "&amp;AD118)=0)</f>
        <v>0</v>
      </c>
      <c r="AG118" s="3116" t="b">
        <f>OR(COUNTIF($E$114:$E117,E118)&lt;&gt;COUNTIF($E$114:$E117,"Cancelación: "&amp;E118),AF118,IF(AE118="",FALSE,COUNTIF($E$114:$E117,AE118)=0))</f>
        <v>0</v>
      </c>
      <c r="AH118" s="3099"/>
      <c r="AI118" s="3116"/>
      <c r="AJ118" s="3116"/>
      <c r="AK118" s="3116"/>
      <c r="AL118" s="3096"/>
      <c r="AM118" s="3096"/>
      <c r="AN118" s="3096"/>
      <c r="AO118" s="3084"/>
      <c r="AP118" s="3096"/>
      <c r="AQ118" s="3085"/>
      <c r="AR118" s="3085"/>
      <c r="AS118" s="3085"/>
      <c r="AT118" s="3085"/>
      <c r="AU118" s="3085"/>
      <c r="AV118" s="3085"/>
    </row>
    <row r="119" spans="1:48" ht="12" customHeight="1" thickBot="1" x14ac:dyDescent="0.25">
      <c r="A119" s="29"/>
      <c r="B119" s="819"/>
      <c r="C119" s="3974"/>
      <c r="D119" s="3980"/>
      <c r="E119" s="4048"/>
      <c r="F119" s="3994"/>
      <c r="G119" s="3994"/>
      <c r="H119" s="3994"/>
      <c r="I119" s="3994"/>
      <c r="J119" s="3994"/>
      <c r="K119" s="3995"/>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4076" t="str">
        <f>IF(E119=0,"",VLOOKUP(E119,Tablas!$D$1210:$R$1225,4,FALSE))</f>
        <v/>
      </c>
      <c r="W119" s="4077"/>
      <c r="X119" s="4077"/>
      <c r="Y119" s="4077"/>
      <c r="Z119" s="4077"/>
      <c r="AA119" s="4078"/>
      <c r="AB119" s="1727"/>
      <c r="AC119" s="841"/>
      <c r="AD119" s="3084" t="e">
        <f>VLOOKUP(E119,Tablas!$D$1210:$R$1225,5,FALSE)</f>
        <v>#N/A</v>
      </c>
      <c r="AE119" s="3116" t="str">
        <f t="shared" si="27"/>
        <v/>
      </c>
      <c r="AF119" s="3108" t="b">
        <f>AND(COUNTIF($E$114:$E118,AD119)&gt;0,COUNTIF($E$114:$E118,"Cancelación: "&amp;AD119)=0)</f>
        <v>0</v>
      </c>
      <c r="AG119" s="3116" t="b">
        <f>OR(COUNTIF($E$114:$E118,E119)&lt;&gt;COUNTIF($E$114:$E118,"Cancelación: "&amp;E119),AF119,IF(AE119="",FALSE,COUNTIF($E$114:$E118,AE119)=0))</f>
        <v>0</v>
      </c>
      <c r="AH119" s="3116"/>
      <c r="AI119" s="3116"/>
      <c r="AJ119" s="3116"/>
      <c r="AK119" s="3116"/>
      <c r="AL119" s="3096"/>
      <c r="AM119" s="3096"/>
      <c r="AN119" s="3096"/>
      <c r="AO119" s="3084"/>
      <c r="AP119" s="3096"/>
      <c r="AQ119" s="3085"/>
      <c r="AR119" s="3085"/>
      <c r="AS119" s="3085"/>
      <c r="AT119" s="3085"/>
      <c r="AU119" s="3085"/>
      <c r="AV119" s="3085"/>
    </row>
    <row r="120" spans="1:48" ht="12" customHeight="1" x14ac:dyDescent="0.2">
      <c r="A120" s="29"/>
      <c r="B120" s="819"/>
      <c r="C120" s="3975"/>
      <c r="D120" s="3998" t="s">
        <v>1524</v>
      </c>
      <c r="E120" s="3999"/>
      <c r="F120" s="3999"/>
      <c r="G120" s="3999"/>
      <c r="H120" s="3999"/>
      <c r="I120" s="3999"/>
      <c r="J120" s="3999"/>
      <c r="K120" s="4052"/>
      <c r="L120" s="3985">
        <f>T$7*IF(Categoría_1=0,0.5,VLOOKUP(Categoría_1,Tabla_Categorías,8,FALSE))</f>
        <v>200</v>
      </c>
      <c r="M120" s="3956">
        <f>SUM(M111:M119)</f>
        <v>0</v>
      </c>
      <c r="N120" s="3985">
        <f>IF(Limite_Primarias_Individual,$T$9*N122,IF(Categoría_2=0,0,(IF(OR(Limite_Primarias_Combinado,Limite_Primarias_MasConveniente),O122,SUM(T$7:T$9)*IF(Limite_Primarias_Maximo,MAX($L122,$N122),N122)))))</f>
        <v>0</v>
      </c>
      <c r="O120" s="3956">
        <f>(SUM(O111:O119)+IF(Limite_Primarias_Individual,0,M120))*IF(Categoría_2=0,0,1)</f>
        <v>0</v>
      </c>
      <c r="P120" s="3985">
        <f>IF(Limite_Primarias_Individual,$T$11*P122,IF(Categoría_3=0,0,(IF(OR(Limite_Primarias_Combinado,Limite_Primarias_MasConveniente),Q122,SUM(T$7:T$11)*IF(Limite_Primarias_Maximo,MAX($L122,$N122,$P122),P122)))))</f>
        <v>0</v>
      </c>
      <c r="Q120" s="3984">
        <f>(SUM(Q111:Q119)+IF(Limite_Primarias_Individual,0,O120))*IF(Categoría_3=0,0,1)</f>
        <v>0</v>
      </c>
      <c r="R120" s="3985">
        <f>IF(Limite_Primarias_Individual,$T$13*R122,IF(Categoría_4=0,0,(IF(OR(Limite_Primarias_Combinado,Limite_Primarias_MasConveniente),S122,SUM(T$7:T$13)*IF(Limite_Primarias_Maximo,MAX($L122,$N122,$P122,$R122),R122)))))</f>
        <v>0</v>
      </c>
      <c r="S120" s="3956">
        <f>(SUM(S111:S119)+IF(Limite_Primarias_Individual,0,Q120))*IF(Categoría_4=0,0,1)</f>
        <v>0</v>
      </c>
      <c r="T120" s="3985">
        <f>IF(Limite_Primarias_Individual,$T$15*T122,IF(Categoría_5=0,0,(IF(OR(Limite_Primarias_Combinado,Limite_Primarias_MasConveniente),U122,SUM(T$7:T$15)*IF(Limite_Primarias_Maximo,MAX($L122,$N122,$P122,$R122,$T122),T122)))))</f>
        <v>0</v>
      </c>
      <c r="U120" s="3956">
        <f>(SUM(U111:U119)+IF(Limite_Primarias_Individual,0,S120))*IF(Categoría_5=0,0,1)</f>
        <v>0</v>
      </c>
      <c r="V120" s="3927" t="str">
        <f>IF((M112+O112+Q112+S112+U112)*2&gt;MAX(L120,N120,P120,R120,T120),"Exceso en Proyección Psíquica",IF(AF120,"Patrones opuestos seleccionados",IF(OR(M120&gt;L120,O120&gt;N120,Q120&gt;P120,S120&gt;R120,U120&gt;T120),"Exceso de PDs en Habilidades Psíquicas","")))</f>
        <v/>
      </c>
      <c r="W120" s="3928"/>
      <c r="X120" s="3928"/>
      <c r="Y120" s="3928"/>
      <c r="Z120" s="3928"/>
      <c r="AA120" s="3929"/>
      <c r="AB120" s="1727"/>
      <c r="AC120" s="841"/>
      <c r="AD120" s="3084"/>
      <c r="AE120" s="3116"/>
      <c r="AF120" s="3108" t="b">
        <f>OR(AF115:AF119)</f>
        <v>0</v>
      </c>
      <c r="AG120" s="3116"/>
      <c r="AH120" s="3116"/>
      <c r="AI120" s="3116"/>
      <c r="AJ120" s="3116"/>
      <c r="AK120" s="3116"/>
      <c r="AL120" s="3096"/>
      <c r="AM120" s="3096"/>
      <c r="AN120" s="3096"/>
      <c r="AO120" s="3084"/>
      <c r="AP120" s="3096"/>
      <c r="AQ120" s="3085"/>
      <c r="AR120" s="3085"/>
      <c r="AS120" s="3085"/>
      <c r="AT120" s="3085"/>
      <c r="AU120" s="3085"/>
      <c r="AV120" s="3085"/>
    </row>
    <row r="121" spans="1:48" ht="12" customHeight="1" thickBot="1" x14ac:dyDescent="0.25">
      <c r="A121" s="29"/>
      <c r="B121" s="819"/>
      <c r="C121" s="3976"/>
      <c r="D121" s="4001"/>
      <c r="E121" s="4002"/>
      <c r="F121" s="4002"/>
      <c r="G121" s="4002"/>
      <c r="H121" s="4002"/>
      <c r="I121" s="4002"/>
      <c r="J121" s="4002"/>
      <c r="K121" s="4053"/>
      <c r="L121" s="3986"/>
      <c r="M121" s="3957"/>
      <c r="N121" s="3986"/>
      <c r="O121" s="3957"/>
      <c r="P121" s="3986"/>
      <c r="Q121" s="3678"/>
      <c r="R121" s="3986"/>
      <c r="S121" s="3957"/>
      <c r="T121" s="3986"/>
      <c r="U121" s="3957"/>
      <c r="V121" s="3930"/>
      <c r="W121" s="3931"/>
      <c r="X121" s="3931"/>
      <c r="Y121" s="3931"/>
      <c r="Z121" s="3931"/>
      <c r="AA121" s="3932"/>
      <c r="AB121" s="1727"/>
      <c r="AC121" s="841"/>
      <c r="AD121" s="3084"/>
      <c r="AE121" s="3084"/>
      <c r="AF121" s="3108"/>
      <c r="AG121" s="3116"/>
      <c r="AH121" s="3116"/>
      <c r="AI121" s="3116"/>
      <c r="AJ121" s="3116"/>
      <c r="AK121" s="3116"/>
      <c r="AL121" s="3096"/>
      <c r="AM121" s="3096"/>
      <c r="AN121" s="3096"/>
      <c r="AO121" s="3084"/>
      <c r="AP121" s="3096"/>
      <c r="AQ121" s="3085"/>
      <c r="AR121" s="3085"/>
      <c r="AS121" s="3085"/>
      <c r="AT121" s="3085"/>
      <c r="AU121" s="3085"/>
      <c r="AV121" s="3085"/>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4"/>
      <c r="AE122" s="3116"/>
      <c r="AF122" s="3108"/>
      <c r="AG122" s="3116"/>
      <c r="AH122" s="3116"/>
      <c r="AI122" s="3116"/>
      <c r="AJ122" s="3116"/>
      <c r="AK122" s="3116"/>
      <c r="AL122" s="3096"/>
      <c r="AM122" s="3096"/>
      <c r="AN122" s="3096"/>
      <c r="AO122" s="3096"/>
      <c r="AP122" s="3096"/>
      <c r="AQ122" s="3085"/>
      <c r="AR122" s="3085"/>
      <c r="AS122" s="3085"/>
      <c r="AT122" s="3085"/>
      <c r="AU122" s="3085"/>
      <c r="AV122" s="3085"/>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4"/>
      <c r="AE123" s="3116"/>
      <c r="AF123" s="3108"/>
      <c r="AG123" s="3116"/>
      <c r="AH123" s="3116"/>
      <c r="AI123" s="3116"/>
      <c r="AJ123" s="3116"/>
      <c r="AK123" s="3116"/>
      <c r="AL123" s="3096"/>
      <c r="AM123" s="3096"/>
      <c r="AN123" s="3096"/>
      <c r="AO123" s="3096"/>
      <c r="AP123" s="3096"/>
      <c r="AQ123" s="3085"/>
      <c r="AR123" s="3085"/>
      <c r="AS123" s="3085"/>
      <c r="AT123" s="3085"/>
      <c r="AU123" s="3085"/>
      <c r="AV123" s="3085"/>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4"/>
      <c r="AE124" s="3116"/>
      <c r="AF124" s="3108"/>
      <c r="AG124" s="3116"/>
      <c r="AH124" s="3116"/>
      <c r="AI124" s="3116"/>
      <c r="AJ124" s="3116"/>
      <c r="AK124" s="3116"/>
      <c r="AL124" s="3096"/>
      <c r="AM124" s="3096"/>
      <c r="AN124" s="3096"/>
      <c r="AO124" s="3096"/>
      <c r="AP124" s="3096"/>
      <c r="AQ124" s="3085"/>
      <c r="AR124" s="3085"/>
      <c r="AS124" s="3085"/>
      <c r="AT124" s="3085"/>
      <c r="AU124" s="3085"/>
      <c r="AV124" s="3085"/>
    </row>
    <row r="125" spans="1:48" ht="12" customHeight="1" thickBot="1" x14ac:dyDescent="0.25">
      <c r="A125" s="29"/>
      <c r="B125" s="819"/>
      <c r="AB125" s="1727"/>
      <c r="AC125" s="841"/>
      <c r="AD125" s="3084"/>
      <c r="AE125" s="3116"/>
      <c r="AF125" s="3108"/>
      <c r="AG125" s="3116"/>
      <c r="AH125" s="3116"/>
      <c r="AI125" s="3116"/>
      <c r="AJ125" s="3116"/>
      <c r="AK125" s="3116"/>
      <c r="AL125" s="3096"/>
      <c r="AM125" s="3096"/>
      <c r="AN125" s="3096"/>
      <c r="AO125" s="3096"/>
      <c r="AP125" s="3096"/>
      <c r="AQ125" s="3085"/>
      <c r="AR125" s="3085"/>
      <c r="AS125" s="3085"/>
      <c r="AT125" s="3085"/>
      <c r="AU125" s="3085"/>
      <c r="AV125" s="3085"/>
    </row>
    <row r="126" spans="1:48" ht="12" customHeight="1" thickBot="1" x14ac:dyDescent="0.25">
      <c r="A126" s="9"/>
      <c r="B126" s="819"/>
      <c r="J126" s="4194" t="str">
        <f>IF(Categoría_1=0,"",Categoría_1)</f>
        <v/>
      </c>
      <c r="K126" s="4093"/>
      <c r="L126" s="4089" t="str">
        <f>IF(Categoría_2=0,"",Categoría_2)</f>
        <v/>
      </c>
      <c r="M126" s="4093"/>
      <c r="N126" s="4089" t="str">
        <f>IF(Categoría_3=0,"",Categoría_3)</f>
        <v/>
      </c>
      <c r="O126" s="4093"/>
      <c r="P126" s="4089" t="str">
        <f>IF(Categoría_4=0,"",Categoría_4)</f>
        <v/>
      </c>
      <c r="Q126" s="4093"/>
      <c r="R126" s="4089" t="str">
        <f>IF(Categoría_5=0,"",Categoría_5)</f>
        <v/>
      </c>
      <c r="S126" s="4090"/>
      <c r="AB126" s="1727"/>
      <c r="AC126" s="841"/>
      <c r="AD126" s="3084"/>
      <c r="AE126" s="3084" t="s">
        <v>6965</v>
      </c>
      <c r="AF126" s="3096" t="b">
        <f>IF(Tablas!G487&gt;0,TRUE,IF(Personalización!E12&lt;&gt;"No",TRUE,FALSE))</f>
        <v>0</v>
      </c>
      <c r="AG126" s="3116"/>
      <c r="AH126" s="3116"/>
      <c r="AI126" s="3116"/>
      <c r="AJ126" s="3116"/>
      <c r="AK126" s="3116"/>
      <c r="AL126" s="3096"/>
      <c r="AM126" s="3096"/>
      <c r="AN126" s="3096"/>
      <c r="AO126" s="3096"/>
      <c r="AP126" s="3096"/>
      <c r="AQ126" s="3085"/>
      <c r="AR126" s="3085"/>
      <c r="AS126" s="3085"/>
      <c r="AT126" s="3085"/>
      <c r="AU126" s="3085"/>
      <c r="AV126" s="3085"/>
    </row>
    <row r="127" spans="1:48" ht="12" customHeight="1" thickBot="1" x14ac:dyDescent="0.25">
      <c r="A127" s="29"/>
      <c r="B127" s="819"/>
      <c r="J127" s="4195"/>
      <c r="K127" s="4094"/>
      <c r="L127" s="4091"/>
      <c r="M127" s="4094"/>
      <c r="N127" s="4091"/>
      <c r="O127" s="4094"/>
      <c r="P127" s="4091"/>
      <c r="Q127" s="4094"/>
      <c r="R127" s="4091"/>
      <c r="S127" s="4092"/>
      <c r="W127" s="4084" t="s">
        <v>1535</v>
      </c>
      <c r="X127" s="4085"/>
      <c r="AB127" s="1727"/>
      <c r="AC127" s="841"/>
      <c r="AD127" s="3084"/>
      <c r="AE127" s="3855" t="s">
        <v>2477</v>
      </c>
      <c r="AF127" s="3855"/>
      <c r="AG127" s="3855"/>
      <c r="AH127" s="3855"/>
      <c r="AI127" s="3855"/>
      <c r="AJ127" s="3855"/>
      <c r="AK127" s="3116"/>
      <c r="AL127" s="3855" t="s">
        <v>7289</v>
      </c>
      <c r="AM127" s="3855"/>
      <c r="AN127" s="3855"/>
      <c r="AO127" s="3855"/>
      <c r="AP127" s="3855"/>
      <c r="AQ127" s="3855"/>
      <c r="AR127" s="3855"/>
      <c r="AS127" s="3855"/>
      <c r="AT127" s="3855"/>
      <c r="AU127" s="3085"/>
      <c r="AV127" s="3085"/>
    </row>
    <row r="128" spans="1:48" ht="12" customHeight="1" thickBot="1" x14ac:dyDescent="0.25">
      <c r="A128" s="29"/>
      <c r="B128" s="819"/>
      <c r="C128" s="3625" t="s">
        <v>1394</v>
      </c>
      <c r="D128" s="2413" t="s">
        <v>1398</v>
      </c>
      <c r="E128" s="4086" t="s">
        <v>1375</v>
      </c>
      <c r="F128" s="4087"/>
      <c r="G128" s="4087"/>
      <c r="H128" s="4088"/>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84" t="s">
        <v>6964</v>
      </c>
      <c r="AE128" s="3084" t="s">
        <v>6966</v>
      </c>
      <c r="AF128" s="3084" t="s">
        <v>6572</v>
      </c>
      <c r="AG128" s="3084" t="s">
        <v>6573</v>
      </c>
      <c r="AH128" s="3116" t="s">
        <v>1476</v>
      </c>
      <c r="AI128" s="3084" t="s">
        <v>6395</v>
      </c>
      <c r="AJ128" s="3084" t="s">
        <v>6380</v>
      </c>
      <c r="AK128" s="3116"/>
      <c r="AL128" s="3096" t="s">
        <v>7217</v>
      </c>
      <c r="AM128" s="3096"/>
      <c r="AN128" s="3096" t="s">
        <v>7215</v>
      </c>
      <c r="AO128" s="3096"/>
      <c r="AP128" s="3096" t="s">
        <v>7216</v>
      </c>
      <c r="AQ128" s="3085"/>
      <c r="AR128" s="3096" t="s">
        <v>7219</v>
      </c>
      <c r="AS128" s="3085"/>
      <c r="AT128" s="3096" t="s">
        <v>7218</v>
      </c>
      <c r="AU128" s="3096" t="s">
        <v>10004</v>
      </c>
      <c r="AV128" s="3085"/>
    </row>
    <row r="129" spans="1:48" ht="12" customHeight="1" x14ac:dyDescent="0.2">
      <c r="A129" s="29"/>
      <c r="B129" s="819" t="str">
        <f>D129</f>
        <v>Atléticas</v>
      </c>
      <c r="C129" s="3627"/>
      <c r="D129" s="4102" t="s">
        <v>1403</v>
      </c>
      <c r="E129" s="4196" t="s">
        <v>1404</v>
      </c>
      <c r="F129" s="4197"/>
      <c r="G129" s="4197"/>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7">
        <f>MAX('Tablas psiquica'!AH53,'Tablas psiquica'!AH55)</f>
        <v>0</v>
      </c>
      <c r="AE129" s="3116"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8">
        <f>IF(AF$126,IF(OR(Region="",ClaseSocial="",Personalización!$AN$9),0,IF(OR(AND(AI129,AJ129),AND(NOT(AI129),NOT(AJ129))),LEFT(AG129,2)+LEFT(AH129,2),IF(AND(AI129,NOT(AJ129)),LEFT(AH129,2),0))),0)</f>
        <v>0</v>
      </c>
      <c r="AG129" s="3084">
        <f>HLOOKUP(Region&amp;ClaseSocial,Tabla_RaicesCulturales,Tablas!F142,FALSE)</f>
        <v>0</v>
      </c>
      <c r="AH129" s="3116">
        <f>IF(AND(E129="Historia",Personalización!$E$16="Historia (Local)"),20&amp;" "&amp;Personalización!$E$16,IF(E129=Personalización!$E$15,VLOOKUP(E129,Tablas!$L$136:$M$137,2,FALSE),IF(E129=Personalización!$E$16,VLOOKUP(E129,Tablas!$N$136:$O$137,2,FALSE),0)))</f>
        <v>0</v>
      </c>
      <c r="AI129" s="3116" t="b">
        <f t="shared" ref="AI129:AI146" si="30">OR(ISNUMBER(FIND("(",AG129)),ISNUMBER(FIND("(",AH129)))</f>
        <v>0</v>
      </c>
      <c r="AJ129" s="3116" t="b">
        <f t="shared" ref="AJ129:AJ146" si="31">AND(NOT(I129=""),OR(ISNUMBER(SEARCH(I129,AG129)),ISNUMBER(SEARCH(I129,AH129))))</f>
        <v>0</v>
      </c>
      <c r="AK129" s="3116"/>
      <c r="AL129" s="3096"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6"/>
      <c r="AN129" s="3096"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6"/>
      <c r="AP129" s="3096"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85"/>
      <c r="AR129" s="3096"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85"/>
      <c r="AT129" s="3096"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85" t="str">
        <f>IF(AND($AF$126,OR(AG129&lt;&gt;0,AH129&lt;&gt;0)),E129&amp;" "&amp;IF(AND(ISNUMBER(AG129),ISNUMBER(VALUE(AH129))),AG129+AH129,IF(AH129&lt;&gt;0,VALUE(AH129)&amp;", "&amp;E129&amp;" ","")&amp;SUBSTITUTE(AG129,E129&amp;" ",""))&amp;", ","")</f>
        <v/>
      </c>
      <c r="AV129" s="3085"/>
    </row>
    <row r="130" spans="1:48" ht="12" customHeight="1" x14ac:dyDescent="0.2">
      <c r="A130" s="29"/>
      <c r="B130" s="819" t="str">
        <f t="shared" ref="B130:B135" si="36">B129</f>
        <v>Atléticas</v>
      </c>
      <c r="C130" s="3627"/>
      <c r="D130" s="4100"/>
      <c r="E130" s="4010" t="s">
        <v>1405</v>
      </c>
      <c r="F130" s="4011"/>
      <c r="G130" s="4011"/>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7">
        <f>'Tablas psiquica'!$AH$55</f>
        <v>0</v>
      </c>
      <c r="AE130" s="3116"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8">
        <f>IF(AF$126,IF(OR(Region="",ClaseSocial="",Personalización!$AN$9),0,IF(OR(AND(AI130,AJ130),AND(NOT(AI130),NOT(AJ130))),LEFT(AG130,2)+LEFT(AH130,2),IF(AND(AI130,NOT(AJ130)),LEFT(AH130,2),0))),0)</f>
        <v>0</v>
      </c>
      <c r="AG130" s="3084">
        <f>HLOOKUP(Region&amp;ClaseSocial,Tabla_RaicesCulturales,Tablas!F143,FALSE)</f>
        <v>0</v>
      </c>
      <c r="AH130" s="3116">
        <f>IF(AND(E130="Historia",Personalización!$E$16="Historia (Local)"),20&amp;" "&amp;Personalización!$E$16,IF(E130=Personalización!$E$15,VLOOKUP(E130,Tablas!$L$136:$M$137,2,FALSE),IF(E130=Personalización!$E$16,VLOOKUP(E130,Tablas!$N$136:$O$137,2,FALSE),0)))</f>
        <v>0</v>
      </c>
      <c r="AI130" s="3116" t="b">
        <f t="shared" si="30"/>
        <v>0</v>
      </c>
      <c r="AJ130" s="3116" t="b">
        <f t="shared" si="31"/>
        <v>0</v>
      </c>
      <c r="AK130" s="3116"/>
      <c r="AL130" s="3096"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6"/>
      <c r="AN130" s="3096" t="e">
        <f t="shared" si="32"/>
        <v>#N/A</v>
      </c>
      <c r="AO130" s="3096"/>
      <c r="AP130" s="3096" t="e">
        <f t="shared" si="33"/>
        <v>#N/A</v>
      </c>
      <c r="AQ130" s="3085"/>
      <c r="AR130" s="3096" t="e">
        <f t="shared" si="34"/>
        <v>#N/A</v>
      </c>
      <c r="AS130" s="3085"/>
      <c r="AT130" s="3096" t="e">
        <f t="shared" si="35"/>
        <v>#N/A</v>
      </c>
      <c r="AU130" s="3085" t="str">
        <f t="shared" ref="AU130:AU179" si="38">IF(AND($AF$126,OR(AG130&lt;&gt;0,AH130&lt;&gt;0)),E130&amp;" "&amp;IF(AND(ISNUMBER(AG130),ISNUMBER(VALUE(AH130))),AG130+AH130,IF(AH130&lt;&gt;0,VALUE(AH130)&amp;", "&amp;E130&amp;" ","")&amp;SUBSTITUTE(AG130,E130&amp;" ",""))&amp;", ","")</f>
        <v/>
      </c>
      <c r="AV130" s="3085"/>
    </row>
    <row r="131" spans="1:48" ht="12" customHeight="1" x14ac:dyDescent="0.2">
      <c r="A131" s="29"/>
      <c r="B131" s="819" t="str">
        <f t="shared" si="36"/>
        <v>Atléticas</v>
      </c>
      <c r="C131" s="3627"/>
      <c r="D131" s="4100"/>
      <c r="E131" s="4007" t="s">
        <v>1408</v>
      </c>
      <c r="F131" s="4008"/>
      <c r="G131" s="4008"/>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7">
        <f>'Tablas psiquica'!$AH$55</f>
        <v>0</v>
      </c>
      <c r="AE131" s="311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8">
        <f>IF(AF$126,IF(OR(Region="",ClaseSocial="",Personalización!$AN$9),0,IF(OR(AND(AI131,AJ131),AND(NOT(AI131),NOT(AJ131))),LEFT(AG131,2)+LEFT(AH131,2),IF(AND(AI131,NOT(AJ131)),LEFT(AH131,2),0))),0)</f>
        <v>0</v>
      </c>
      <c r="AG131" s="3084">
        <f>HLOOKUP(Region&amp;ClaseSocial,Tabla_RaicesCulturales,Tablas!F144,FALSE)</f>
        <v>0</v>
      </c>
      <c r="AH131" s="3116">
        <f>IF(AND(E131="Historia",Personalización!$E$16="Historia (Local)"),20&amp;" "&amp;Personalización!$E$16,IF(E131=Personalización!$E$15,VLOOKUP(E131,Tablas!$L$136:$M$137,2,FALSE),IF(E131=Personalización!$E$16,VLOOKUP(E131,Tablas!$N$136:$O$137,2,FALSE),0)))</f>
        <v>0</v>
      </c>
      <c r="AI131" s="3116" t="b">
        <f t="shared" si="30"/>
        <v>0</v>
      </c>
      <c r="AJ131" s="3116" t="b">
        <f t="shared" si="31"/>
        <v>0</v>
      </c>
      <c r="AK131" s="3116"/>
      <c r="AL131" s="3096" t="e">
        <f t="shared" si="37"/>
        <v>#N/A</v>
      </c>
      <c r="AM131" s="3096"/>
      <c r="AN131" s="3096" t="e">
        <f t="shared" si="32"/>
        <v>#N/A</v>
      </c>
      <c r="AO131" s="3096"/>
      <c r="AP131" s="3096" t="e">
        <f t="shared" si="33"/>
        <v>#N/A</v>
      </c>
      <c r="AQ131" s="3085"/>
      <c r="AR131" s="3096" t="e">
        <f t="shared" si="34"/>
        <v>#N/A</v>
      </c>
      <c r="AS131" s="3085"/>
      <c r="AT131" s="3096" t="e">
        <f t="shared" si="35"/>
        <v>#N/A</v>
      </c>
      <c r="AU131" s="3085" t="str">
        <f t="shared" si="38"/>
        <v/>
      </c>
      <c r="AV131" s="3085"/>
    </row>
    <row r="132" spans="1:48" ht="12" customHeight="1" x14ac:dyDescent="0.2">
      <c r="A132" s="29"/>
      <c r="B132" s="819" t="str">
        <f t="shared" si="36"/>
        <v>Atléticas</v>
      </c>
      <c r="C132" s="3627"/>
      <c r="D132" s="4100"/>
      <c r="E132" s="4010" t="s">
        <v>1412</v>
      </c>
      <c r="F132" s="4011"/>
      <c r="G132" s="4011"/>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7">
        <f>'Tablas psiquica'!$AH$55</f>
        <v>0</v>
      </c>
      <c r="AE132" s="311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8">
        <f>IF(AF$126,IF(OR(Region="",ClaseSocial="",Personalización!$AN$9),0,IF(OR(AND(AI132,AJ132),AND(NOT(AI132),NOT(AJ132))),LEFT(AG132,2)+LEFT(AH132,2),IF(AND(AI132,NOT(AJ132)),LEFT(AH132,2),0))),0)</f>
        <v>0</v>
      </c>
      <c r="AG132" s="3084">
        <f>HLOOKUP(Region&amp;ClaseSocial,Tabla_RaicesCulturales,Tablas!F145,FALSE)</f>
        <v>0</v>
      </c>
      <c r="AH132" s="3116">
        <f>IF(AND(E132="Historia",Personalización!$E$16="Historia (Local)"),20&amp;" "&amp;Personalización!$E$16,IF(E132=Personalización!$E$15,VLOOKUP(E132,Tablas!$L$136:$M$137,2,FALSE),IF(E132=Personalización!$E$16,VLOOKUP(E132,Tablas!$N$136:$O$137,2,FALSE),0)))</f>
        <v>0</v>
      </c>
      <c r="AI132" s="3116" t="b">
        <f t="shared" si="30"/>
        <v>0</v>
      </c>
      <c r="AJ132" s="3116" t="b">
        <f t="shared" si="31"/>
        <v>0</v>
      </c>
      <c r="AK132" s="3116"/>
      <c r="AL132" s="3096" t="e">
        <f t="shared" si="37"/>
        <v>#N/A</v>
      </c>
      <c r="AM132" s="3096"/>
      <c r="AN132" s="3096" t="e">
        <f t="shared" si="32"/>
        <v>#N/A</v>
      </c>
      <c r="AO132" s="3096"/>
      <c r="AP132" s="3096" t="e">
        <f t="shared" si="33"/>
        <v>#N/A</v>
      </c>
      <c r="AQ132" s="3085"/>
      <c r="AR132" s="3096" t="e">
        <f t="shared" si="34"/>
        <v>#N/A</v>
      </c>
      <c r="AS132" s="3085"/>
      <c r="AT132" s="3096" t="e">
        <f t="shared" si="35"/>
        <v>#N/A</v>
      </c>
      <c r="AU132" s="3085" t="str">
        <f t="shared" si="38"/>
        <v/>
      </c>
      <c r="AV132" s="3085"/>
    </row>
    <row r="133" spans="1:48" ht="12" customHeight="1" x14ac:dyDescent="0.2">
      <c r="A133" s="29"/>
      <c r="B133" s="819" t="str">
        <f t="shared" si="36"/>
        <v>Atléticas</v>
      </c>
      <c r="C133" s="3627"/>
      <c r="D133" s="4100"/>
      <c r="E133" s="4007" t="s">
        <v>1415</v>
      </c>
      <c r="F133" s="4008"/>
      <c r="G133" s="4008"/>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7">
        <f>'Tablas psiquica'!$AH$55</f>
        <v>0</v>
      </c>
      <c r="AE133" s="311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8">
        <f>IF(AF$126,IF(OR(Region="",ClaseSocial="",Personalización!$AN$9),0,IF(OR(AND(AI133,AJ133),AND(NOT(AI133),NOT(AJ133))),LEFT(AG133,2)+LEFT(AH133,2),IF(AND(AI133,NOT(AJ133)),LEFT(AH133,2),0))),0)</f>
        <v>0</v>
      </c>
      <c r="AG133" s="3084">
        <f>HLOOKUP(Region&amp;ClaseSocial,Tabla_RaicesCulturales,Tablas!F146,FALSE)</f>
        <v>0</v>
      </c>
      <c r="AH133" s="3116">
        <f>IF(AND(E133="Historia",Personalización!$E$16="Historia (Local)"),20&amp;" "&amp;Personalización!$E$16,IF(E133=Personalización!$E$15,VLOOKUP(E133,Tablas!$L$136:$M$137,2,FALSE),IF(E133=Personalización!$E$16,VLOOKUP(E133,Tablas!$N$136:$O$137,2,FALSE),0)))</f>
        <v>0</v>
      </c>
      <c r="AI133" s="3116" t="b">
        <f t="shared" si="30"/>
        <v>0</v>
      </c>
      <c r="AJ133" s="3116" t="b">
        <f t="shared" si="31"/>
        <v>0</v>
      </c>
      <c r="AK133" s="3116"/>
      <c r="AL133" s="3096" t="e">
        <f t="shared" si="37"/>
        <v>#N/A</v>
      </c>
      <c r="AM133" s="3096"/>
      <c r="AN133" s="3096" t="e">
        <f t="shared" si="32"/>
        <v>#N/A</v>
      </c>
      <c r="AO133" s="3096"/>
      <c r="AP133" s="3096" t="e">
        <f t="shared" si="33"/>
        <v>#N/A</v>
      </c>
      <c r="AQ133" s="3085"/>
      <c r="AR133" s="3096" t="e">
        <f t="shared" si="34"/>
        <v>#N/A</v>
      </c>
      <c r="AS133" s="3085"/>
      <c r="AT133" s="3096" t="e">
        <f t="shared" si="35"/>
        <v>#N/A</v>
      </c>
      <c r="AU133" s="3085" t="str">
        <f t="shared" si="38"/>
        <v/>
      </c>
      <c r="AV133" s="3085"/>
    </row>
    <row r="134" spans="1:48" ht="12" customHeight="1" x14ac:dyDescent="0.2">
      <c r="A134" s="29"/>
      <c r="B134" s="819" t="str">
        <f t="shared" si="36"/>
        <v>Atléticas</v>
      </c>
      <c r="C134" s="3627"/>
      <c r="D134" s="4100"/>
      <c r="E134" s="4010" t="s">
        <v>1418</v>
      </c>
      <c r="F134" s="4011"/>
      <c r="G134" s="4011"/>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7">
        <f>MAX('Tablas psiquica'!AH52,'Tablas psiquica'!$AH$55)</f>
        <v>0</v>
      </c>
      <c r="AE134" s="3116"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8">
        <f>IF(AF$126,IF(OR(Region="",ClaseSocial="",Personalización!$AN$9),0,IF(OR(AND(AI134,AJ134),AND(NOT(AI134),NOT(AJ134))),LEFT(AG134,2)+LEFT(AH134,2),IF(AND(AI134,NOT(AJ134)),LEFT(AH134,2),0))),0)</f>
        <v>0</v>
      </c>
      <c r="AG134" s="3084">
        <f>HLOOKUP(Region&amp;ClaseSocial,Tabla_RaicesCulturales,Tablas!F147,FALSE)</f>
        <v>0</v>
      </c>
      <c r="AH134" s="3116">
        <f>IF(AND(E134="Historia",Personalización!$E$16="Historia (Local)"),20&amp;" "&amp;Personalización!$E$16,IF(E134=Personalización!$E$15,VLOOKUP(E134,Tablas!$L$136:$M$137,2,FALSE),IF(E134=Personalización!$E$16,VLOOKUP(E134,Tablas!$N$136:$O$137,2,FALSE),0)))</f>
        <v>0</v>
      </c>
      <c r="AI134" s="3116" t="b">
        <f t="shared" si="30"/>
        <v>0</v>
      </c>
      <c r="AJ134" s="3116" t="b">
        <f t="shared" si="31"/>
        <v>0</v>
      </c>
      <c r="AK134" s="3116"/>
      <c r="AL134" s="3096" t="e">
        <f t="shared" si="37"/>
        <v>#N/A</v>
      </c>
      <c r="AM134" s="3096"/>
      <c r="AN134" s="3096" t="e">
        <f t="shared" si="32"/>
        <v>#N/A</v>
      </c>
      <c r="AO134" s="3096"/>
      <c r="AP134" s="3096" t="e">
        <f t="shared" si="33"/>
        <v>#N/A</v>
      </c>
      <c r="AQ134" s="3085"/>
      <c r="AR134" s="3096" t="e">
        <f t="shared" si="34"/>
        <v>#N/A</v>
      </c>
      <c r="AS134" s="3085"/>
      <c r="AT134" s="3096" t="e">
        <f t="shared" si="35"/>
        <v>#N/A</v>
      </c>
      <c r="AU134" s="3085" t="str">
        <f t="shared" si="38"/>
        <v/>
      </c>
      <c r="AV134" s="3085"/>
    </row>
    <row r="135" spans="1:48" ht="12" customHeight="1" x14ac:dyDescent="0.2">
      <c r="A135" s="29"/>
      <c r="B135" s="819" t="str">
        <f t="shared" si="36"/>
        <v>Atléticas</v>
      </c>
      <c r="C135" s="3627"/>
      <c r="D135" s="4100"/>
      <c r="E135" s="4007" t="s">
        <v>6273</v>
      </c>
      <c r="F135" s="4008"/>
      <c r="G135" s="4008"/>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7">
        <f>'Tablas psiquica'!$AH$55</f>
        <v>0</v>
      </c>
      <c r="AE135" s="311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8">
        <f>IF(AF$126,IF(OR(Region="",ClaseSocial="",Personalización!$AN$9),0,IF(OR(AND(AI135,AJ135),AND(NOT(AI135),NOT(AJ135))),LEFT(AG135,2)+LEFT(AH135,2),IF(AND(AI135,NOT(AJ135)),LEFT(AH135,2),0))),0)</f>
        <v>0</v>
      </c>
      <c r="AG135" s="3084">
        <f>HLOOKUP(Region&amp;ClaseSocial,Tabla_RaicesCulturales,Tablas!F148,FALSE)</f>
        <v>0</v>
      </c>
      <c r="AH135" s="3116">
        <f>IF(AND(E135="Historia",Personalización!$E$16="Historia (Local)"),20&amp;" "&amp;Personalización!$E$16,IF(E135=Personalización!$E$15,VLOOKUP(E135,Tablas!$L$136:$M$137,2,FALSE),IF(E135=Personalización!$E$16,VLOOKUP(E135,Tablas!$N$136:$O$137,2,FALSE),0)))</f>
        <v>0</v>
      </c>
      <c r="AI135" s="3116" t="b">
        <f t="shared" si="30"/>
        <v>0</v>
      </c>
      <c r="AJ135" s="3116" t="b">
        <f t="shared" si="31"/>
        <v>0</v>
      </c>
      <c r="AK135" s="3116"/>
      <c r="AL135" s="3096" t="e">
        <f t="shared" si="37"/>
        <v>#N/A</v>
      </c>
      <c r="AM135" s="3096"/>
      <c r="AN135" s="3096" t="e">
        <f t="shared" si="32"/>
        <v>#N/A</v>
      </c>
      <c r="AO135" s="3096"/>
      <c r="AP135" s="3096" t="e">
        <f t="shared" si="33"/>
        <v>#N/A</v>
      </c>
      <c r="AQ135" s="3085"/>
      <c r="AR135" s="3096" t="e">
        <f t="shared" si="34"/>
        <v>#N/A</v>
      </c>
      <c r="AS135" s="3085"/>
      <c r="AT135" s="3096" t="e">
        <f t="shared" si="35"/>
        <v>#N/A</v>
      </c>
      <c r="AU135" s="3085" t="str">
        <f t="shared" si="38"/>
        <v/>
      </c>
      <c r="AV135" s="3085"/>
    </row>
    <row r="136" spans="1:48" ht="12" customHeight="1" x14ac:dyDescent="0.2">
      <c r="A136" s="29"/>
      <c r="B136" s="819" t="str">
        <f>D136</f>
        <v>Sociales</v>
      </c>
      <c r="C136" s="3627"/>
      <c r="D136" s="4099" t="s">
        <v>1421</v>
      </c>
      <c r="E136" s="4004" t="s">
        <v>1422</v>
      </c>
      <c r="F136" s="4005"/>
      <c r="G136" s="4005"/>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4">
        <f>Tablas!$K$1896</f>
        <v>0</v>
      </c>
      <c r="AE136" s="3116"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8">
        <f>IF(AF$126,IF(OR(Region="",ClaseSocial="",Personalización!$AN$9),0,IF(OR(AND(AI136,AJ136),AND(NOT(AI136),NOT(AJ136))),LEFT(AG136,2)+LEFT(AH136,2),IF(AND(AI136,NOT(AJ136)),LEFT(AH136,2),0))),0)</f>
        <v>0</v>
      </c>
      <c r="AG136" s="3084">
        <f>HLOOKUP(Region&amp;ClaseSocial,Tabla_RaicesCulturales,Tablas!F149,FALSE)</f>
        <v>0</v>
      </c>
      <c r="AH136" s="3116">
        <f>IF(AND(E136="Historia",Personalización!$E$16="Historia (Local)"),20&amp;" "&amp;Personalización!$E$16,IF(E136=Personalización!$E$15,VLOOKUP(E136,Tablas!$L$136:$M$137,2,FALSE),IF(E136=Personalización!$E$16,VLOOKUP(E136,Tablas!$N$136:$O$137,2,FALSE),0)))</f>
        <v>0</v>
      </c>
      <c r="AI136" s="3116" t="b">
        <f t="shared" si="30"/>
        <v>0</v>
      </c>
      <c r="AJ136" s="3116" t="b">
        <f t="shared" si="31"/>
        <v>0</v>
      </c>
      <c r="AK136" s="3116"/>
      <c r="AL136" s="3096" t="e">
        <f t="shared" si="37"/>
        <v>#N/A</v>
      </c>
      <c r="AM136" s="3096"/>
      <c r="AN136" s="3096" t="e">
        <f t="shared" si="32"/>
        <v>#N/A</v>
      </c>
      <c r="AO136" s="3096"/>
      <c r="AP136" s="3096" t="e">
        <f t="shared" si="33"/>
        <v>#N/A</v>
      </c>
      <c r="AQ136" s="3085"/>
      <c r="AR136" s="3096" t="e">
        <f t="shared" si="34"/>
        <v>#N/A</v>
      </c>
      <c r="AS136" s="3085"/>
      <c r="AT136" s="3096" t="e">
        <f t="shared" si="35"/>
        <v>#N/A</v>
      </c>
      <c r="AU136" s="3085" t="str">
        <f t="shared" si="38"/>
        <v/>
      </c>
      <c r="AV136" s="3085"/>
    </row>
    <row r="137" spans="1:48" ht="12" customHeight="1" x14ac:dyDescent="0.2">
      <c r="A137" s="29"/>
      <c r="B137" s="819" t="str">
        <f t="shared" ref="B137:B142" si="39">B136</f>
        <v>Sociales</v>
      </c>
      <c r="C137" s="3627"/>
      <c r="D137" s="4100"/>
      <c r="E137" s="4007" t="s">
        <v>1424</v>
      </c>
      <c r="F137" s="4008"/>
      <c r="G137" s="4008"/>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4">
        <f>Tablas!$K$1860</f>
        <v>0</v>
      </c>
      <c r="AE137" s="3116"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8">
        <f>IF(AF$126,IF(OR(Region="",ClaseSocial="",Personalización!$AN$9),0,IF(OR(AND(AI137,AJ137),AND(NOT(AI137),NOT(AJ137))),LEFT(AG137,2)+LEFT(AH137,2),IF(AND(AI137,NOT(AJ137)),LEFT(AH137,2),0))),0)</f>
        <v>0</v>
      </c>
      <c r="AG137" s="3084">
        <f>HLOOKUP(Region&amp;ClaseSocial,Tabla_RaicesCulturales,Tablas!F150,FALSE)</f>
        <v>0</v>
      </c>
      <c r="AH137" s="3116">
        <f>IF(AND(E137="Historia",Personalización!$E$16="Historia (Local)"),20&amp;" "&amp;Personalización!$E$16,IF(E137=Personalización!$E$15,VLOOKUP(E137,Tablas!$L$136:$M$137,2,FALSE),IF(E137=Personalización!$E$16,VLOOKUP(E137,Tablas!$N$136:$O$137,2,FALSE),0)))</f>
        <v>0</v>
      </c>
      <c r="AI137" s="3116" t="b">
        <f t="shared" si="30"/>
        <v>0</v>
      </c>
      <c r="AJ137" s="3116" t="b">
        <f t="shared" si="31"/>
        <v>0</v>
      </c>
      <c r="AK137" s="3116"/>
      <c r="AL137" s="3096" t="e">
        <f t="shared" si="37"/>
        <v>#N/A</v>
      </c>
      <c r="AM137" s="3096"/>
      <c r="AN137" s="3096" t="e">
        <f t="shared" si="32"/>
        <v>#N/A</v>
      </c>
      <c r="AO137" s="3096"/>
      <c r="AP137" s="3096" t="e">
        <f t="shared" si="33"/>
        <v>#N/A</v>
      </c>
      <c r="AQ137" s="3085"/>
      <c r="AR137" s="3096" t="e">
        <f t="shared" si="34"/>
        <v>#N/A</v>
      </c>
      <c r="AS137" s="3085"/>
      <c r="AT137" s="3096" t="e">
        <f t="shared" si="35"/>
        <v>#N/A</v>
      </c>
      <c r="AU137" s="3085" t="str">
        <f t="shared" si="38"/>
        <v/>
      </c>
      <c r="AV137" s="3085"/>
    </row>
    <row r="138" spans="1:48" ht="12" customHeight="1" x14ac:dyDescent="0.2">
      <c r="A138" s="29"/>
      <c r="B138" s="819" t="str">
        <f t="shared" si="39"/>
        <v>Sociales</v>
      </c>
      <c r="C138" s="3627"/>
      <c r="D138" s="4100"/>
      <c r="E138" s="4010" t="s">
        <v>1427</v>
      </c>
      <c r="F138" s="4011"/>
      <c r="G138" s="4011"/>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4">
        <f>Tablas!$K$1805+Tablas!$K$1871</f>
        <v>0</v>
      </c>
      <c r="AE138" s="3116"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8">
        <f>IF(AF$126,IF(OR(Region="",ClaseSocial="",Personalización!$AN$9),0,IF(OR(AND(AI138,AJ138),AND(NOT(AI138),NOT(AJ138))),LEFT(AG138,2)+LEFT(AH138,2),IF(AND(AI138,NOT(AJ138)),LEFT(AH138,2),0))),0)</f>
        <v>0</v>
      </c>
      <c r="AG138" s="3084">
        <f>HLOOKUP(Region&amp;ClaseSocial,Tabla_RaicesCulturales,Tablas!F151,FALSE)</f>
        <v>0</v>
      </c>
      <c r="AH138" s="3116">
        <f>IF(AND(E138="Historia",Personalización!$E$16="Historia (Local)"),20&amp;" "&amp;Personalización!$E$16,IF(E138=Personalización!$E$15,VLOOKUP(E138,Tablas!$L$136:$M$137,2,FALSE),IF(E138=Personalización!$E$16,VLOOKUP(E138,Tablas!$N$136:$O$137,2,FALSE),0)))</f>
        <v>0</v>
      </c>
      <c r="AI138" s="3116" t="b">
        <f t="shared" si="30"/>
        <v>0</v>
      </c>
      <c r="AJ138" s="3116" t="b">
        <f t="shared" si="31"/>
        <v>0</v>
      </c>
      <c r="AK138" s="3116"/>
      <c r="AL138" s="3096" t="e">
        <f t="shared" si="37"/>
        <v>#N/A</v>
      </c>
      <c r="AM138" s="3096"/>
      <c r="AN138" s="3096" t="e">
        <f t="shared" si="32"/>
        <v>#N/A</v>
      </c>
      <c r="AO138" s="3096"/>
      <c r="AP138" s="3096" t="e">
        <f t="shared" si="33"/>
        <v>#N/A</v>
      </c>
      <c r="AQ138" s="3085"/>
      <c r="AR138" s="3096" t="e">
        <f t="shared" si="34"/>
        <v>#N/A</v>
      </c>
      <c r="AS138" s="3085"/>
      <c r="AT138" s="3096" t="e">
        <f t="shared" si="35"/>
        <v>#N/A</v>
      </c>
      <c r="AU138" s="3085" t="str">
        <f t="shared" si="38"/>
        <v/>
      </c>
      <c r="AV138" s="3085"/>
    </row>
    <row r="139" spans="1:48" ht="12" customHeight="1" x14ac:dyDescent="0.2">
      <c r="A139" s="29"/>
      <c r="B139" s="819" t="str">
        <f t="shared" si="39"/>
        <v>Sociales</v>
      </c>
      <c r="C139" s="3627"/>
      <c r="D139" s="4100"/>
      <c r="E139" s="4007" t="s">
        <v>1429</v>
      </c>
      <c r="F139" s="4008"/>
      <c r="G139" s="4008"/>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4">
        <f>Tablas!$K$1805</f>
        <v>0</v>
      </c>
      <c r="AE139" s="3116"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8">
        <f>IF(AF$126,IF(OR(Region="",ClaseSocial="",Personalización!$AN$9),0,IF(OR(AND(AI139,AJ139),AND(NOT(AI139),NOT(AJ139))),LEFT(AG139,2)+LEFT(AH139,2),IF(AND(AI139,NOT(AJ139)),LEFT(AH139,2),0))),0)</f>
        <v>0</v>
      </c>
      <c r="AG139" s="3084">
        <f>HLOOKUP(Region&amp;ClaseSocial,Tabla_RaicesCulturales,Tablas!F152,FALSE)</f>
        <v>0</v>
      </c>
      <c r="AH139" s="3116">
        <f>IF(AND(E139="Historia",Personalización!$E$16="Historia (Local)"),20&amp;" "&amp;Personalización!$E$16,IF(E139=Personalización!$E$15,VLOOKUP(E139,Tablas!$L$136:$M$137,2,FALSE),IF(E139=Personalización!$E$16,VLOOKUP(E139,Tablas!$N$136:$O$137,2,FALSE),0)))</f>
        <v>0</v>
      </c>
      <c r="AI139" s="3116" t="b">
        <f t="shared" si="30"/>
        <v>0</v>
      </c>
      <c r="AJ139" s="3116" t="b">
        <f t="shared" si="31"/>
        <v>0</v>
      </c>
      <c r="AK139" s="3116"/>
      <c r="AL139" s="3096" t="e">
        <f t="shared" si="37"/>
        <v>#N/A</v>
      </c>
      <c r="AM139" s="3096"/>
      <c r="AN139" s="3096" t="e">
        <f t="shared" si="32"/>
        <v>#N/A</v>
      </c>
      <c r="AO139" s="3096"/>
      <c r="AP139" s="3096" t="e">
        <f t="shared" si="33"/>
        <v>#N/A</v>
      </c>
      <c r="AQ139" s="3085"/>
      <c r="AR139" s="3096" t="e">
        <f t="shared" si="34"/>
        <v>#N/A</v>
      </c>
      <c r="AS139" s="3085"/>
      <c r="AT139" s="3096" t="e">
        <f t="shared" si="35"/>
        <v>#N/A</v>
      </c>
      <c r="AU139" s="3085" t="str">
        <f t="shared" si="38"/>
        <v/>
      </c>
      <c r="AV139" s="3085"/>
    </row>
    <row r="140" spans="1:48" ht="12" customHeight="1" x14ac:dyDescent="0.2">
      <c r="A140" s="29"/>
      <c r="B140" s="819" t="str">
        <f t="shared" si="39"/>
        <v>Sociales</v>
      </c>
      <c r="C140" s="3627"/>
      <c r="D140" s="4100"/>
      <c r="E140" s="4010" t="s">
        <v>816</v>
      </c>
      <c r="F140" s="4011"/>
      <c r="G140" s="4011"/>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4"/>
      <c r="AE140" s="311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8">
        <f>IF(AF$126,IF(OR(Region="",ClaseSocial="",Personalización!$AN$9),0,IF(OR(AND(AI140,AJ140),AND(NOT(AI140),NOT(AJ140))),LEFT(AG140,2)+LEFT(AH140,2),IF(AND(AI140,NOT(AJ140)),LEFT(AH140,2),0))),0)</f>
        <v>0</v>
      </c>
      <c r="AG140" s="3084">
        <f>HLOOKUP(Region&amp;ClaseSocial,Tabla_RaicesCulturales,Tablas!F153,FALSE)</f>
        <v>0</v>
      </c>
      <c r="AH140" s="3116">
        <f>IF(AND(E140="Historia",Personalización!$E$16="Historia (Local)"),20&amp;" "&amp;Personalización!$E$16,IF(E140=Personalización!$E$15,VLOOKUP(E140,Tablas!$L$136:$M$137,2,FALSE),IF(E140=Personalización!$E$16,VLOOKUP(E140,Tablas!$N$136:$O$137,2,FALSE),0)))</f>
        <v>0</v>
      </c>
      <c r="AI140" s="3116" t="b">
        <f t="shared" si="30"/>
        <v>0</v>
      </c>
      <c r="AJ140" s="3116" t="b">
        <f t="shared" si="31"/>
        <v>0</v>
      </c>
      <c r="AK140" s="3116"/>
      <c r="AL140" s="3096" t="e">
        <f t="shared" si="37"/>
        <v>#N/A</v>
      </c>
      <c r="AM140" s="3096"/>
      <c r="AN140" s="3096" t="e">
        <f t="shared" si="32"/>
        <v>#N/A</v>
      </c>
      <c r="AO140" s="3096"/>
      <c r="AP140" s="3096" t="e">
        <f t="shared" si="33"/>
        <v>#N/A</v>
      </c>
      <c r="AQ140" s="3085"/>
      <c r="AR140" s="3096" t="e">
        <f t="shared" si="34"/>
        <v>#N/A</v>
      </c>
      <c r="AS140" s="3085"/>
      <c r="AT140" s="3096" t="e">
        <f t="shared" si="35"/>
        <v>#N/A</v>
      </c>
      <c r="AU140" s="3085" t="str">
        <f t="shared" si="38"/>
        <v/>
      </c>
      <c r="AV140" s="3085"/>
    </row>
    <row r="141" spans="1:48" ht="12" customHeight="1" x14ac:dyDescent="0.2">
      <c r="A141" s="29"/>
      <c r="B141" s="819" t="str">
        <f t="shared" si="39"/>
        <v>Sociales</v>
      </c>
      <c r="C141" s="3627"/>
      <c r="D141" s="4100"/>
      <c r="E141" s="4007" t="s">
        <v>817</v>
      </c>
      <c r="F141" s="4008"/>
      <c r="G141" s="4008"/>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4"/>
      <c r="AE141" s="311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8">
        <f>IF(AF$126,IF(OR(Region="",ClaseSocial="",Personalización!$AN$9),0,IF(OR(AND(AI141,AJ141),AND(NOT(AI141),NOT(AJ141))),LEFT(AG141,2)+LEFT(AH141,2),IF(AND(AI141,NOT(AJ141)),LEFT(AH141,2),0))),0)</f>
        <v>0</v>
      </c>
      <c r="AG141" s="3084">
        <f>HLOOKUP(Region&amp;ClaseSocial,Tabla_RaicesCulturales,Tablas!F154,FALSE)</f>
        <v>0</v>
      </c>
      <c r="AH141" s="3116">
        <f>IF(AND(E141="Historia",Personalización!$E$16="Historia (Local)"),20&amp;" "&amp;Personalización!$E$16,IF(E141=Personalización!$E$15,VLOOKUP(E141,Tablas!$L$136:$M$137,2,FALSE),IF(E141=Personalización!$E$16,VLOOKUP(E141,Tablas!$N$136:$O$137,2,FALSE),0)))</f>
        <v>0</v>
      </c>
      <c r="AI141" s="3116" t="b">
        <f t="shared" si="30"/>
        <v>0</v>
      </c>
      <c r="AJ141" s="3116" t="b">
        <f t="shared" si="31"/>
        <v>0</v>
      </c>
      <c r="AK141" s="3116"/>
      <c r="AL141" s="3096" t="e">
        <f t="shared" si="37"/>
        <v>#N/A</v>
      </c>
      <c r="AM141" s="3096"/>
      <c r="AN141" s="3096" t="e">
        <f t="shared" si="32"/>
        <v>#N/A</v>
      </c>
      <c r="AO141" s="3096"/>
      <c r="AP141" s="3096" t="e">
        <f t="shared" si="33"/>
        <v>#N/A</v>
      </c>
      <c r="AQ141" s="3085"/>
      <c r="AR141" s="3096" t="e">
        <f t="shared" si="34"/>
        <v>#N/A</v>
      </c>
      <c r="AS141" s="3085"/>
      <c r="AT141" s="3096" t="e">
        <f t="shared" si="35"/>
        <v>#N/A</v>
      </c>
      <c r="AU141" s="3085" t="str">
        <f t="shared" si="38"/>
        <v/>
      </c>
      <c r="AV141" s="3085"/>
    </row>
    <row r="142" spans="1:48" ht="12" customHeight="1" x14ac:dyDescent="0.2">
      <c r="A142" s="29"/>
      <c r="B142" s="819" t="str">
        <f t="shared" si="39"/>
        <v>Sociales</v>
      </c>
      <c r="C142" s="3627"/>
      <c r="D142" s="4101"/>
      <c r="E142" s="4067" t="s">
        <v>818</v>
      </c>
      <c r="F142" s="4068"/>
      <c r="G142" s="4068"/>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4"/>
      <c r="AE142" s="311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8">
        <f>IF(AF$126,IF(OR(Region="",ClaseSocial="",Personalización!$AN$9),0,IF(OR(AND(AI142,AJ142),AND(NOT(AI142),NOT(AJ142))),LEFT(AG142,2)+LEFT(AH142,2),IF(AND(AI142,NOT(AJ142)),LEFT(AH142,2),0))),0)</f>
        <v>0</v>
      </c>
      <c r="AG142" s="3084">
        <f>HLOOKUP(Region&amp;ClaseSocial,Tabla_RaicesCulturales,Tablas!F155,FALSE)</f>
        <v>0</v>
      </c>
      <c r="AH142" s="3116">
        <f>IF(AND(E142="Historia",Personalización!$E$16="Historia (Local)"),20&amp;" "&amp;Personalización!$E$16,IF(E142=Personalización!$E$15,VLOOKUP(E142,Tablas!$L$136:$M$137,2,FALSE),IF(E142=Personalización!$E$16,VLOOKUP(E142,Tablas!$N$136:$O$137,2,FALSE),0)))</f>
        <v>0</v>
      </c>
      <c r="AI142" s="3116" t="b">
        <f t="shared" si="30"/>
        <v>0</v>
      </c>
      <c r="AJ142" s="3116" t="b">
        <f t="shared" si="31"/>
        <v>0</v>
      </c>
      <c r="AK142" s="3116"/>
      <c r="AL142" s="3096" t="e">
        <f t="shared" si="37"/>
        <v>#N/A</v>
      </c>
      <c r="AM142" s="3096"/>
      <c r="AN142" s="3096" t="e">
        <f t="shared" si="32"/>
        <v>#N/A</v>
      </c>
      <c r="AO142" s="3096"/>
      <c r="AP142" s="3096" t="e">
        <f t="shared" si="33"/>
        <v>#N/A</v>
      </c>
      <c r="AQ142" s="3085"/>
      <c r="AR142" s="3096" t="e">
        <f t="shared" si="34"/>
        <v>#N/A</v>
      </c>
      <c r="AS142" s="3085"/>
      <c r="AT142" s="3096" t="e">
        <f t="shared" si="35"/>
        <v>#N/A</v>
      </c>
      <c r="AU142" s="3085" t="str">
        <f t="shared" si="38"/>
        <v/>
      </c>
      <c r="AV142" s="3085"/>
    </row>
    <row r="143" spans="1:48" ht="12" customHeight="1" x14ac:dyDescent="0.2">
      <c r="A143" s="29"/>
      <c r="B143" s="819" t="str">
        <f>"Perceptivas"</f>
        <v>Perceptivas</v>
      </c>
      <c r="C143" s="3627"/>
      <c r="D143" s="4100" t="s">
        <v>7090</v>
      </c>
      <c r="E143" s="4007" t="s">
        <v>1431</v>
      </c>
      <c r="F143" s="4008"/>
      <c r="G143" s="4008"/>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4">
        <f>IF(Raza="Tuan Dalyr",80,50)*Tablas!G279+IF(Raza="Turak",IF(COUNTIF(Cercanía_Dragón,"Ojos de cazador")&gt;0,20,0),0)</f>
        <v>0</v>
      </c>
      <c r="AE143" s="3116"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8">
        <f>IF(AF$126,IF(OR(Region="",ClaseSocial="",Personalización!$AN$9),0,IF(OR(AND(AI143,AJ143),AND(NOT(AI143),NOT(AJ143))),LEFT(AG143,2)+LEFT(AH143,2),IF(AND(AI143,NOT(AJ143)),LEFT(AH143,2),0))),0)</f>
        <v>0</v>
      </c>
      <c r="AG143" s="3084">
        <f>HLOOKUP(Region&amp;ClaseSocial,Tabla_RaicesCulturales,Tablas!F156,FALSE)</f>
        <v>0</v>
      </c>
      <c r="AH143" s="3116">
        <f>IF(AND(E143="Historia",Personalización!$E$16="Historia (Local)"),20&amp;" "&amp;Personalización!$E$16,IF(E143=Personalización!$E$15,VLOOKUP(E143,Tablas!$L$136:$M$137,2,FALSE),IF(E143=Personalización!$E$16,VLOOKUP(E143,Tablas!$N$136:$O$137,2,FALSE),0)))</f>
        <v>0</v>
      </c>
      <c r="AI143" s="3116" t="b">
        <f t="shared" si="30"/>
        <v>0</v>
      </c>
      <c r="AJ143" s="3116" t="b">
        <f t="shared" si="31"/>
        <v>0</v>
      </c>
      <c r="AK143" s="3116"/>
      <c r="AL143" s="3096" t="e">
        <f t="shared" si="37"/>
        <v>#N/A</v>
      </c>
      <c r="AM143" s="3096"/>
      <c r="AN143" s="3096" t="e">
        <f t="shared" si="32"/>
        <v>#N/A</v>
      </c>
      <c r="AO143" s="3096"/>
      <c r="AP143" s="3096" t="e">
        <f t="shared" si="33"/>
        <v>#N/A</v>
      </c>
      <c r="AQ143" s="3085"/>
      <c r="AR143" s="3096" t="e">
        <f t="shared" si="34"/>
        <v>#N/A</v>
      </c>
      <c r="AS143" s="3085"/>
      <c r="AT143" s="3096" t="e">
        <f t="shared" si="35"/>
        <v>#N/A</v>
      </c>
      <c r="AU143" s="3085" t="str">
        <f t="shared" si="38"/>
        <v/>
      </c>
      <c r="AV143" s="3085"/>
    </row>
    <row r="144" spans="1:48" ht="12" customHeight="1" x14ac:dyDescent="0.2">
      <c r="A144" s="29"/>
      <c r="B144" s="819" t="str">
        <f>B143</f>
        <v>Perceptivas</v>
      </c>
      <c r="C144" s="3627"/>
      <c r="D144" s="4100"/>
      <c r="E144" s="4010" t="s">
        <v>1432</v>
      </c>
      <c r="F144" s="4011"/>
      <c r="G144" s="4011"/>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4">
        <f>IF(Raza="Tuan Dalyr",80,50)*Tablas!G279</f>
        <v>0</v>
      </c>
      <c r="AE144" s="3116"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8">
        <f>IF(AF$126,IF(OR(Region="",ClaseSocial="",Personalización!$AN$9),0,IF(OR(AND(AI144,AJ144),AND(NOT(AI144),NOT(AJ144))),LEFT(AG144,2)+LEFT(AH144,2),IF(AND(AI144,NOT(AJ144)),LEFT(AH144,2),0))),0)</f>
        <v>0</v>
      </c>
      <c r="AG144" s="3084">
        <f>HLOOKUP(Region&amp;ClaseSocial,Tabla_RaicesCulturales,Tablas!F157,FALSE)</f>
        <v>0</v>
      </c>
      <c r="AH144" s="3116">
        <f>IF(AND(E144="Historia",Personalización!$E$16="Historia (Local)"),20&amp;" "&amp;Personalización!$E$16,IF(E144=Personalización!$E$15,VLOOKUP(E144,Tablas!$L$136:$M$137,2,FALSE),IF(E144=Personalización!$E$16,VLOOKUP(E144,Tablas!$N$136:$O$137,2,FALSE),0)))</f>
        <v>0</v>
      </c>
      <c r="AI144" s="3116" t="b">
        <f t="shared" si="30"/>
        <v>0</v>
      </c>
      <c r="AJ144" s="3116" t="b">
        <f t="shared" si="31"/>
        <v>0</v>
      </c>
      <c r="AK144" s="3116"/>
      <c r="AL144" s="3096" t="e">
        <f t="shared" si="37"/>
        <v>#N/A</v>
      </c>
      <c r="AM144" s="3096"/>
      <c r="AN144" s="3096" t="e">
        <f t="shared" si="32"/>
        <v>#N/A</v>
      </c>
      <c r="AO144" s="3096"/>
      <c r="AP144" s="3096" t="e">
        <f t="shared" si="33"/>
        <v>#N/A</v>
      </c>
      <c r="AQ144" s="3085"/>
      <c r="AR144" s="3096" t="e">
        <f t="shared" si="34"/>
        <v>#N/A</v>
      </c>
      <c r="AS144" s="3085"/>
      <c r="AT144" s="3096" t="e">
        <f t="shared" si="35"/>
        <v>#N/A</v>
      </c>
      <c r="AU144" s="3085" t="str">
        <f t="shared" si="38"/>
        <v/>
      </c>
      <c r="AV144" s="3085"/>
    </row>
    <row r="145" spans="1:48" ht="12" customHeight="1" x14ac:dyDescent="0.2">
      <c r="A145" s="29"/>
      <c r="B145" s="819" t="str">
        <f>B144</f>
        <v>Perceptivas</v>
      </c>
      <c r="C145" s="3627"/>
      <c r="D145" s="4100"/>
      <c r="E145" s="4007" t="s">
        <v>1433</v>
      </c>
      <c r="F145" s="4008"/>
      <c r="G145" s="4008"/>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4"/>
      <c r="AE145" s="3116"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8">
        <f>IF(AF$126,IF(OR(Region="",ClaseSocial="",Personalización!$AN$9),0,IF(OR(AND(AI145,AJ145),AND(NOT(AI145),NOT(AJ145))),LEFT(AG145,2)+LEFT(AH145,2),IF(AND(AI145,NOT(AJ145)),LEFT(AH145,2),0))),0)</f>
        <v>0</v>
      </c>
      <c r="AG145" s="3084">
        <f>HLOOKUP(Region&amp;ClaseSocial,Tabla_RaicesCulturales,Tablas!F158,FALSE)</f>
        <v>0</v>
      </c>
      <c r="AH145" s="3116">
        <f>IF(AND(E145="Historia",Personalización!$E$16="Historia (Local)"),20&amp;" "&amp;Personalización!$E$16,IF(E145=Personalización!$E$15,VLOOKUP(E145,Tablas!$L$136:$M$137,2,FALSE),IF(E145=Personalización!$E$16,VLOOKUP(E145,Tablas!$N$136:$O$137,2,FALSE),0)))</f>
        <v>0</v>
      </c>
      <c r="AI145" s="3116" t="b">
        <f t="shared" si="30"/>
        <v>0</v>
      </c>
      <c r="AJ145" s="3116" t="b">
        <f t="shared" si="31"/>
        <v>0</v>
      </c>
      <c r="AK145" s="3116"/>
      <c r="AL145" s="3096" t="e">
        <f t="shared" si="37"/>
        <v>#N/A</v>
      </c>
      <c r="AM145" s="3096"/>
      <c r="AN145" s="3096" t="e">
        <f t="shared" si="32"/>
        <v>#N/A</v>
      </c>
      <c r="AO145" s="3096"/>
      <c r="AP145" s="3096" t="e">
        <f t="shared" si="33"/>
        <v>#N/A</v>
      </c>
      <c r="AQ145" s="3085"/>
      <c r="AR145" s="3096" t="e">
        <f t="shared" si="34"/>
        <v>#N/A</v>
      </c>
      <c r="AS145" s="3085"/>
      <c r="AT145" s="3096" t="e">
        <f t="shared" si="35"/>
        <v>#N/A</v>
      </c>
      <c r="AU145" s="3085" t="str">
        <f t="shared" si="38"/>
        <v/>
      </c>
      <c r="AV145" s="3085"/>
    </row>
    <row r="146" spans="1:48" ht="12" customHeight="1" x14ac:dyDescent="0.2">
      <c r="A146" s="29"/>
      <c r="B146" s="819" t="str">
        <f>D146</f>
        <v>Intelectuales</v>
      </c>
      <c r="C146" s="3627"/>
      <c r="D146" s="4099" t="s">
        <v>1434</v>
      </c>
      <c r="E146" s="4004" t="s">
        <v>1435</v>
      </c>
      <c r="F146" s="4005"/>
      <c r="G146" s="4005"/>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4">
        <f>Tablas!$K$1809+Tablas!$K$1846</f>
        <v>0</v>
      </c>
      <c r="AE146" s="3116"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8">
        <f>IF(AF$126,IF(OR(Region="",ClaseSocial="",Personalización!$AN$9),0,IF(OR(AND(AI146,AJ146),AND(NOT(AI146),NOT(AJ146))),LEFT(AG146,2)+LEFT(AH146,2),IF(AND(AI146,NOT(AJ146)),LEFT(AH146,2),0))),0)</f>
        <v>0</v>
      </c>
      <c r="AG146" s="3084">
        <f>HLOOKUP(Region&amp;ClaseSocial,Tabla_RaicesCulturales,Tablas!F159,FALSE)</f>
        <v>0</v>
      </c>
      <c r="AH146" s="3116">
        <f>IF(AND(E146="Historia",Personalización!$E$16="Historia (Local)"),20&amp;" "&amp;Personalización!$E$16,IF(E146=Personalización!$E$15,VLOOKUP(E146,Tablas!$L$136:$M$137,2,FALSE),IF(E146=Personalización!$E$16,VLOOKUP(E146,Tablas!$N$136:$O$137,2,FALSE),0)))</f>
        <v>0</v>
      </c>
      <c r="AI146" s="3116" t="b">
        <f t="shared" si="30"/>
        <v>0</v>
      </c>
      <c r="AJ146" s="3116" t="b">
        <f t="shared" si="31"/>
        <v>0</v>
      </c>
      <c r="AK146" s="3116"/>
      <c r="AL146" s="3096" t="e">
        <f t="shared" si="37"/>
        <v>#N/A</v>
      </c>
      <c r="AM146" s="3096"/>
      <c r="AN146" s="3096" t="e">
        <f t="shared" si="32"/>
        <v>#N/A</v>
      </c>
      <c r="AO146" s="3096"/>
      <c r="AP146" s="3096" t="e">
        <f t="shared" si="33"/>
        <v>#N/A</v>
      </c>
      <c r="AQ146" s="3085"/>
      <c r="AR146" s="3096" t="e">
        <f t="shared" si="34"/>
        <v>#N/A</v>
      </c>
      <c r="AS146" s="3085"/>
      <c r="AT146" s="3096" t="e">
        <f t="shared" si="35"/>
        <v>#N/A</v>
      </c>
      <c r="AU146" s="3085" t="str">
        <f t="shared" si="38"/>
        <v/>
      </c>
      <c r="AV146" s="3085"/>
    </row>
    <row r="147" spans="1:48" ht="12" customHeight="1" x14ac:dyDescent="0.2">
      <c r="A147" s="29"/>
      <c r="B147" s="819" t="str">
        <f t="shared" ref="B147:B157" si="40">B146</f>
        <v>Intelectuales</v>
      </c>
      <c r="C147" s="3627"/>
      <c r="D147" s="4100"/>
      <c r="E147" s="4007" t="s">
        <v>1436</v>
      </c>
      <c r="F147" s="4008"/>
      <c r="G147" s="4008"/>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4">
        <f>Tablas!$K$1809+Tablas!$K$1898</f>
        <v>0</v>
      </c>
      <c r="AE147" s="311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8">
        <f>IF(AF$126,IF(OR(Region="",ClaseSocial="",Personalización!$AN$9),0,IF(OR(AND(AI147,AJ147),AND(NOT(AI147),NOT(AJ147))),LEFT(AG147,2)+LEFT(AH147,2),IF(AND(AI147,NOT(AJ147)),LEFT(AH147,2),0))),0)</f>
        <v>0</v>
      </c>
      <c r="AG147" s="3084">
        <f>HLOOKUP(Region&amp;ClaseSocial,Tabla_RaicesCulturales,Tablas!F160,FALSE)</f>
        <v>0</v>
      </c>
      <c r="AH147" s="3116">
        <f>IF(AND(E147="Historia",Personalización!$E$16="Historia (Local)"),20&amp;" "&amp;Personalización!$E$16,IF(E147=Personalización!$E$15,VLOOKUP(E147,Tablas!$L$136:$M$137,2,FALSE),IF(E147=Personalización!$E$16,VLOOKUP(E147,Tablas!$N$136:$O$137,2,FALSE),0)))</f>
        <v>0</v>
      </c>
      <c r="AI147" s="3116" t="b">
        <f t="shared" ref="AI147:AI160" si="41">OR(ISNUMBER(FIND("(",AG147)),ISNUMBER(FIND("(",AH147)))</f>
        <v>0</v>
      </c>
      <c r="AJ147" s="3116" t="b">
        <f t="shared" ref="AJ147:AJ160" si="42">AND(NOT(I147=""),OR(ISNUMBER(SEARCH(I147,AG147)),ISNUMBER(SEARCH(I147,AH147))))</f>
        <v>0</v>
      </c>
      <c r="AK147" s="3116"/>
      <c r="AL147" s="3096" t="e">
        <f t="shared" si="37"/>
        <v>#N/A</v>
      </c>
      <c r="AM147" s="3096"/>
      <c r="AN147" s="3096" t="e">
        <f t="shared" si="32"/>
        <v>#N/A</v>
      </c>
      <c r="AO147" s="3096"/>
      <c r="AP147" s="3096" t="e">
        <f t="shared" si="33"/>
        <v>#N/A</v>
      </c>
      <c r="AQ147" s="3085"/>
      <c r="AR147" s="3096" t="e">
        <f t="shared" si="34"/>
        <v>#N/A</v>
      </c>
      <c r="AS147" s="3085"/>
      <c r="AT147" s="3096" t="e">
        <f t="shared" si="35"/>
        <v>#N/A</v>
      </c>
      <c r="AU147" s="3085" t="str">
        <f t="shared" si="38"/>
        <v/>
      </c>
      <c r="AV147" s="3085"/>
    </row>
    <row r="148" spans="1:48" ht="12" customHeight="1" x14ac:dyDescent="0.2">
      <c r="A148" s="29"/>
      <c r="B148" s="819" t="str">
        <f t="shared" si="40"/>
        <v>Intelectuales</v>
      </c>
      <c r="C148" s="3627"/>
      <c r="D148" s="4100"/>
      <c r="E148" s="4010" t="s">
        <v>2566</v>
      </c>
      <c r="F148" s="4011"/>
      <c r="G148" s="4011"/>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4">
        <f>Tablas!$K$1809</f>
        <v>0</v>
      </c>
      <c r="AE148" s="311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8">
        <f>IF(AF$126,IF(OR(Region="",ClaseSocial="",Personalización!$AN$9),0,IF(OR(AND(AI148,AJ148),AND(NOT(AI148),NOT(AJ148))),LEFT(AG148,2)+LEFT(AH148,2),IF(AND(AI148,NOT(AJ148)),LEFT(AH148,2),0))),0)</f>
        <v>0</v>
      </c>
      <c r="AG148" s="3084">
        <f>HLOOKUP(Region&amp;ClaseSocial,Tabla_RaicesCulturales,Tablas!F161,FALSE)</f>
        <v>0</v>
      </c>
      <c r="AH148" s="3116">
        <f>IF(AND(E148="Historia",Personalización!$E$16="Historia (Local)"),20&amp;" "&amp;Personalización!$E$16,IF(E148=Personalización!$E$15,VLOOKUP(E148,Tablas!$L$136:$M$137,2,FALSE),IF(E148=Personalización!$E$16,VLOOKUP(E148,Tablas!$N$136:$O$137,2,FALSE),0)))</f>
        <v>0</v>
      </c>
      <c r="AI148" s="3116" t="b">
        <f t="shared" si="41"/>
        <v>0</v>
      </c>
      <c r="AJ148" s="3116" t="b">
        <f t="shared" si="42"/>
        <v>0</v>
      </c>
      <c r="AK148" s="3116"/>
      <c r="AL148" s="3096" t="e">
        <f t="shared" si="37"/>
        <v>#N/A</v>
      </c>
      <c r="AM148" s="3096"/>
      <c r="AN148" s="3096" t="e">
        <f t="shared" si="32"/>
        <v>#N/A</v>
      </c>
      <c r="AO148" s="3096"/>
      <c r="AP148" s="3096" t="e">
        <f t="shared" si="33"/>
        <v>#N/A</v>
      </c>
      <c r="AQ148" s="3085"/>
      <c r="AR148" s="3096" t="e">
        <f t="shared" si="34"/>
        <v>#N/A</v>
      </c>
      <c r="AS148" s="3085"/>
      <c r="AT148" s="3096" t="e">
        <f t="shared" si="35"/>
        <v>#N/A</v>
      </c>
      <c r="AU148" s="3085" t="str">
        <f t="shared" si="38"/>
        <v/>
      </c>
      <c r="AV148" s="3085"/>
    </row>
    <row r="149" spans="1:48" ht="12" customHeight="1" x14ac:dyDescent="0.2">
      <c r="A149" s="29"/>
      <c r="B149" s="819" t="str">
        <f t="shared" si="40"/>
        <v>Intelectuales</v>
      </c>
      <c r="C149" s="3627"/>
      <c r="D149" s="4100"/>
      <c r="E149" s="4007" t="s">
        <v>1437</v>
      </c>
      <c r="F149" s="4008"/>
      <c r="G149" s="4008"/>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4">
        <f>Tablas!$K$1809+Tablas!$K1845</f>
        <v>0</v>
      </c>
      <c r="AE149" s="3116"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8">
        <f>IF(AF$126,IF(OR(Region="",ClaseSocial="",Personalización!$AN$9),0,IF(OR(AND(AI149,AJ149),AND(NOT(AI149),NOT(AJ149))),LEFT(AG149,2)+LEFT(AH149,2),IF(AND(AI149,NOT(AJ149)),LEFT(AH149,2),0))),0)</f>
        <v>0</v>
      </c>
      <c r="AG149" s="3084">
        <f>HLOOKUP(Region&amp;ClaseSocial,Tabla_RaicesCulturales,Tablas!F162,FALSE)</f>
        <v>0</v>
      </c>
      <c r="AH149" s="3116">
        <f>IF(AND(E149="Historia",Personalización!$E$16="Historia (Local)"),20&amp;" "&amp;Personalización!$E$16,IF(E149=Personalización!$E$15,VLOOKUP(E149,Tablas!$L$136:$M$137,2,FALSE),IF(E149=Personalización!$E$16,VLOOKUP(E149,Tablas!$N$136:$O$137,2,FALSE),0)))</f>
        <v>0</v>
      </c>
      <c r="AI149" s="3116" t="b">
        <f t="shared" si="41"/>
        <v>0</v>
      </c>
      <c r="AJ149" s="3116" t="b">
        <f t="shared" si="42"/>
        <v>0</v>
      </c>
      <c r="AK149" s="3116"/>
      <c r="AL149" s="3096" t="e">
        <f t="shared" si="37"/>
        <v>#N/A</v>
      </c>
      <c r="AM149" s="3096"/>
      <c r="AN149" s="3096" t="e">
        <f t="shared" si="32"/>
        <v>#N/A</v>
      </c>
      <c r="AO149" s="3096"/>
      <c r="AP149" s="3096" t="e">
        <f t="shared" si="33"/>
        <v>#N/A</v>
      </c>
      <c r="AQ149" s="3085"/>
      <c r="AR149" s="3096" t="e">
        <f t="shared" si="34"/>
        <v>#N/A</v>
      </c>
      <c r="AS149" s="3085"/>
      <c r="AT149" s="3096" t="e">
        <f t="shared" si="35"/>
        <v>#N/A</v>
      </c>
      <c r="AU149" s="3085" t="str">
        <f t="shared" si="38"/>
        <v/>
      </c>
      <c r="AV149" s="3085"/>
    </row>
    <row r="150" spans="1:48" ht="12" customHeight="1" x14ac:dyDescent="0.2">
      <c r="A150" s="29"/>
      <c r="B150" s="819" t="str">
        <f t="shared" si="40"/>
        <v>Intelectuales</v>
      </c>
      <c r="C150" s="3627"/>
      <c r="D150" s="4100"/>
      <c r="E150" s="4010" t="s">
        <v>1439</v>
      </c>
      <c r="F150" s="4011"/>
      <c r="G150" s="4011"/>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4">
        <f>Tablas!$K$1809</f>
        <v>0</v>
      </c>
      <c r="AE150" s="311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8">
        <f>IF(AF$126,IF(OR(Region="",ClaseSocial="",Personalización!$AN$9),0,IF(OR(AND(AI150,AJ150),AND(NOT(AI150),NOT(AJ150))),LEFT(AG150,2)+LEFT(AH150,2),IF(AND(AI150,NOT(AJ150)),LEFT(AH150,2),0))),0)</f>
        <v>0</v>
      </c>
      <c r="AG150" s="3084">
        <f>HLOOKUP(Region&amp;ClaseSocial,Tabla_RaicesCulturales,Tablas!F163,FALSE)</f>
        <v>0</v>
      </c>
      <c r="AH150" s="3116">
        <f>IF(AND(E150="Historia",Personalización!$E$16="Historia (Local)"),20&amp;" "&amp;Personalización!$E$16,IF(E150=Personalización!$E$15,VLOOKUP(E150,Tablas!$L$136:$M$137,2,FALSE),IF(E150=Personalización!$E$16,VLOOKUP(E150,Tablas!$N$136:$O$137,2,FALSE),0)))</f>
        <v>0</v>
      </c>
      <c r="AI150" s="3116" t="b">
        <f>OR(ISNUMBER(FIND("(",AG150)),ISNUMBER(FIND("(",AH150)))</f>
        <v>0</v>
      </c>
      <c r="AJ150" s="3116" t="b">
        <f>AND(NOT(I150=""),OR(ISNUMBER(SEARCH(I150,AG150)),ISNUMBER(SEARCH(I150,AH150))))</f>
        <v>0</v>
      </c>
      <c r="AK150" s="3116"/>
      <c r="AL150" s="3096" t="e">
        <f t="shared" si="37"/>
        <v>#N/A</v>
      </c>
      <c r="AM150" s="3096"/>
      <c r="AN150" s="3096" t="e">
        <f t="shared" si="32"/>
        <v>#N/A</v>
      </c>
      <c r="AO150" s="3096"/>
      <c r="AP150" s="3096" t="e">
        <f t="shared" si="33"/>
        <v>#N/A</v>
      </c>
      <c r="AQ150" s="3085"/>
      <c r="AR150" s="3096" t="e">
        <f t="shared" si="34"/>
        <v>#N/A</v>
      </c>
      <c r="AS150" s="3085"/>
      <c r="AT150" s="3096" t="e">
        <f t="shared" si="35"/>
        <v>#N/A</v>
      </c>
      <c r="AU150" s="3085" t="str">
        <f t="shared" si="38"/>
        <v/>
      </c>
      <c r="AV150" s="3085"/>
    </row>
    <row r="151" spans="1:48" ht="12" customHeight="1" x14ac:dyDescent="0.2">
      <c r="A151" s="29"/>
      <c r="B151" s="819" t="str">
        <f t="shared" si="40"/>
        <v>Intelectuales</v>
      </c>
      <c r="C151" s="3627"/>
      <c r="D151" s="4100"/>
      <c r="E151" s="4007" t="s">
        <v>819</v>
      </c>
      <c r="F151" s="4008"/>
      <c r="G151" s="4008"/>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4">
        <f>Tablas!$K$1809</f>
        <v>0</v>
      </c>
      <c r="AE151" s="311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8">
        <f>IF(AF$126,IF(OR(Region="",ClaseSocial="",Personalización!$AN$9),0,IF(OR(AND(AI151,AJ151),AND(NOT(AI151),NOT(AJ151))),LEFT(AG151,2)+LEFT(AH151,2),IF(AND(AI151,NOT(AJ151)),LEFT(AH151,2),0))),0)</f>
        <v>0</v>
      </c>
      <c r="AG151" s="3084">
        <f>HLOOKUP(Region&amp;ClaseSocial,Tabla_RaicesCulturales,Tablas!F164,FALSE)</f>
        <v>0</v>
      </c>
      <c r="AH151" s="3116">
        <f>IF(AND(E151="Historia",Personalización!$E$16="Historia (Local)"),20&amp;" "&amp;Personalización!$E$16,IF(E151=Personalización!$E$15,VLOOKUP(E151,Tablas!$L$136:$M$137,2,FALSE),IF(E151=Personalización!$E$16,VLOOKUP(E151,Tablas!$N$136:$O$137,2,FALSE),0)))</f>
        <v>0</v>
      </c>
      <c r="AI151" s="3116" t="b">
        <f t="shared" si="41"/>
        <v>0</v>
      </c>
      <c r="AJ151" s="3116" t="b">
        <f t="shared" si="42"/>
        <v>0</v>
      </c>
      <c r="AK151" s="3116"/>
      <c r="AL151" s="3096" t="e">
        <f t="shared" si="37"/>
        <v>#N/A</v>
      </c>
      <c r="AM151" s="3096"/>
      <c r="AN151" s="3096" t="e">
        <f t="shared" si="32"/>
        <v>#N/A</v>
      </c>
      <c r="AO151" s="3096"/>
      <c r="AP151" s="3096" t="e">
        <f t="shared" si="33"/>
        <v>#N/A</v>
      </c>
      <c r="AQ151" s="3085"/>
      <c r="AR151" s="3096" t="e">
        <f t="shared" si="34"/>
        <v>#N/A</v>
      </c>
      <c r="AS151" s="3085"/>
      <c r="AT151" s="3096" t="e">
        <f t="shared" si="35"/>
        <v>#N/A</v>
      </c>
      <c r="AU151" s="3085" t="str">
        <f t="shared" si="38"/>
        <v/>
      </c>
      <c r="AV151" s="3085"/>
    </row>
    <row r="152" spans="1:48" ht="12" customHeight="1" x14ac:dyDescent="0.2">
      <c r="A152" s="29"/>
      <c r="B152" s="819" t="str">
        <f t="shared" si="40"/>
        <v>Intelectuales</v>
      </c>
      <c r="C152" s="3627"/>
      <c r="D152" s="4100"/>
      <c r="E152" s="4010" t="s">
        <v>1442</v>
      </c>
      <c r="F152" s="4011"/>
      <c r="G152" s="4011"/>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4">
        <f>Tablas!$K$1809</f>
        <v>0</v>
      </c>
      <c r="AE152" s="311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8">
        <f>IF(AF$126,IF(OR(Region="",ClaseSocial="",Personalización!$AN$9),0,IF(OR(AND(AI152,AJ152),AND(NOT(AI152),NOT(AJ152))),LEFT(AG152,2)+LEFT(AH152,2),IF(AND(AI152,NOT(AJ152)),LEFT(AH152,2),0))),0)</f>
        <v>0</v>
      </c>
      <c r="AG152" s="3084">
        <f>HLOOKUP(Region&amp;ClaseSocial,Tabla_RaicesCulturales,Tablas!F165,FALSE)</f>
        <v>0</v>
      </c>
      <c r="AH152" s="3116">
        <f>IF(AND(E152="Historia",Personalización!$E$16="Historia (Local)"),20&amp;" "&amp;Personalización!$E$16,IF(E152=Personalización!$E$15,VLOOKUP(E152,Tablas!$L$136:$M$137,2,FALSE),IF(E152=Personalización!$E$16,VLOOKUP(E152,Tablas!$N$136:$O$137,2,FALSE),0)))</f>
        <v>0</v>
      </c>
      <c r="AI152" s="3116" t="b">
        <f t="shared" si="41"/>
        <v>0</v>
      </c>
      <c r="AJ152" s="3116" t="b">
        <f t="shared" si="42"/>
        <v>0</v>
      </c>
      <c r="AK152" s="3116"/>
      <c r="AL152" s="3096" t="e">
        <f t="shared" si="37"/>
        <v>#N/A</v>
      </c>
      <c r="AM152" s="3096"/>
      <c r="AN152" s="3096" t="e">
        <f t="shared" si="32"/>
        <v>#N/A</v>
      </c>
      <c r="AO152" s="3096"/>
      <c r="AP152" s="3096" t="e">
        <f t="shared" si="33"/>
        <v>#N/A</v>
      </c>
      <c r="AQ152" s="3085"/>
      <c r="AR152" s="3096" t="e">
        <f t="shared" si="34"/>
        <v>#N/A</v>
      </c>
      <c r="AS152" s="3085"/>
      <c r="AT152" s="3096" t="e">
        <f t="shared" si="35"/>
        <v>#N/A</v>
      </c>
      <c r="AU152" s="3085" t="str">
        <f t="shared" si="38"/>
        <v/>
      </c>
      <c r="AV152" s="3085"/>
    </row>
    <row r="153" spans="1:48" ht="12" customHeight="1" x14ac:dyDescent="0.2">
      <c r="A153" s="29"/>
      <c r="B153" s="819" t="str">
        <f t="shared" si="40"/>
        <v>Intelectuales</v>
      </c>
      <c r="C153" s="3627"/>
      <c r="D153" s="4100"/>
      <c r="E153" s="4007" t="s">
        <v>1443</v>
      </c>
      <c r="F153" s="4008"/>
      <c r="G153" s="4008"/>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4">
        <f>Tablas!$K$1809</f>
        <v>0</v>
      </c>
      <c r="AE153" s="311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8">
        <f>IF(AF$126,IF(OR(Region="",ClaseSocial="",Personalización!$AN$9),0,IF(OR(AND(AI153,AJ153),AND(NOT(AI153),NOT(AJ153))),LEFT(AG153,2)+LEFT(AH153,2),IF(AND(AI153,NOT(AJ153)),LEFT(AH153,2),0))),0)</f>
        <v>0</v>
      </c>
      <c r="AG153" s="3084">
        <f>HLOOKUP(Region&amp;ClaseSocial,Tabla_RaicesCulturales,Tablas!F166,FALSE)</f>
        <v>0</v>
      </c>
      <c r="AH153" s="3116">
        <f>IF(AND(E153="Historia",Personalización!$E$16="Historia (Local)"),20&amp;" "&amp;Personalización!$E$16,IF(E153=Personalización!$E$15,VLOOKUP(E153,Tablas!$L$136:$M$137,2,FALSE),IF(E153=Personalización!$E$16,VLOOKUP(E153,Tablas!$N$136:$O$137,2,FALSE),0)))</f>
        <v>0</v>
      </c>
      <c r="AI153" s="3116" t="b">
        <f t="shared" si="41"/>
        <v>0</v>
      </c>
      <c r="AJ153" s="3116" t="b">
        <f t="shared" si="42"/>
        <v>0</v>
      </c>
      <c r="AK153" s="3116"/>
      <c r="AL153" s="3096" t="e">
        <f t="shared" si="37"/>
        <v>#N/A</v>
      </c>
      <c r="AM153" s="3096"/>
      <c r="AN153" s="3096" t="e">
        <f t="shared" si="32"/>
        <v>#N/A</v>
      </c>
      <c r="AO153" s="3096"/>
      <c r="AP153" s="3096" t="e">
        <f t="shared" si="33"/>
        <v>#N/A</v>
      </c>
      <c r="AQ153" s="3085"/>
      <c r="AR153" s="3096" t="e">
        <f t="shared" si="34"/>
        <v>#N/A</v>
      </c>
      <c r="AS153" s="3085"/>
      <c r="AT153" s="3096" t="e">
        <f t="shared" si="35"/>
        <v>#N/A</v>
      </c>
      <c r="AU153" s="3085" t="str">
        <f t="shared" si="38"/>
        <v/>
      </c>
      <c r="AV153" s="3085"/>
    </row>
    <row r="154" spans="1:48" ht="12" customHeight="1" x14ac:dyDescent="0.2">
      <c r="A154" s="29"/>
      <c r="B154" s="819" t="str">
        <f t="shared" si="40"/>
        <v>Intelectuales</v>
      </c>
      <c r="C154" s="3627"/>
      <c r="D154" s="4100"/>
      <c r="E154" s="4010" t="s">
        <v>1444</v>
      </c>
      <c r="F154" s="4011"/>
      <c r="G154" s="4011"/>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4">
        <f>Tablas!$K$1809</f>
        <v>0</v>
      </c>
      <c r="AE154" s="311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8">
        <f>IF(AF$126,IF(OR(Region="",ClaseSocial="",Personalización!$AN$9),0,IF(OR(AND(AI154,AJ154),AND(NOT(AI154),NOT(AJ154))),LEFT(AG154,2)+LEFT(AH154,2),IF(AND(AI154,NOT(AJ154)),LEFT(AH154,2),0))),0)</f>
        <v>0</v>
      </c>
      <c r="AG154" s="3084">
        <f>HLOOKUP(Region&amp;ClaseSocial,Tabla_RaicesCulturales,Tablas!F167,FALSE)</f>
        <v>0</v>
      </c>
      <c r="AH154" s="3116">
        <f>IF(AND(E154="Historia",Personalización!$E$16="Historia (Local)"),20&amp;" "&amp;Personalización!$E$16,IF(E154=Personalización!$E$15,VLOOKUP(E154,Tablas!$L$136:$M$137,2,FALSE),IF(E154=Personalización!$E$16,VLOOKUP(E154,Tablas!$N$136:$O$137,2,FALSE),0)))</f>
        <v>0</v>
      </c>
      <c r="AI154" s="3116" t="b">
        <f t="shared" si="41"/>
        <v>0</v>
      </c>
      <c r="AJ154" s="3116" t="b">
        <f t="shared" si="42"/>
        <v>0</v>
      </c>
      <c r="AK154" s="3116"/>
      <c r="AL154" s="3096" t="e">
        <f t="shared" si="37"/>
        <v>#N/A</v>
      </c>
      <c r="AM154" s="3096"/>
      <c r="AN154" s="3096" t="e">
        <f t="shared" si="32"/>
        <v>#N/A</v>
      </c>
      <c r="AO154" s="3096"/>
      <c r="AP154" s="3096" t="e">
        <f t="shared" si="33"/>
        <v>#N/A</v>
      </c>
      <c r="AQ154" s="3085"/>
      <c r="AR154" s="3096" t="e">
        <f t="shared" si="34"/>
        <v>#N/A</v>
      </c>
      <c r="AS154" s="3085"/>
      <c r="AT154" s="3096" t="e">
        <f t="shared" si="35"/>
        <v>#N/A</v>
      </c>
      <c r="AU154" s="3085" t="str">
        <f t="shared" si="38"/>
        <v/>
      </c>
      <c r="AV154" s="3085"/>
    </row>
    <row r="155" spans="1:48" ht="12" customHeight="1" x14ac:dyDescent="0.2">
      <c r="A155" s="29"/>
      <c r="B155" s="819" t="str">
        <f t="shared" si="40"/>
        <v>Intelectuales</v>
      </c>
      <c r="C155" s="3627"/>
      <c r="D155" s="4100"/>
      <c r="E155" s="4007" t="s">
        <v>1445</v>
      </c>
      <c r="F155" s="4008"/>
      <c r="G155" s="4008"/>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4">
        <f>Tablas!$K$1809+Tablas!$K$1859</f>
        <v>0</v>
      </c>
      <c r="AE155" s="3116"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8">
        <f>IF(AF$126,IF(OR(Region="",ClaseSocial="",Personalización!$AN$9),0,IF(OR(AND(AI155,AJ155),AND(NOT(AI155),NOT(AJ155))),LEFT(AG155,2)+LEFT(AH155,2),IF(AND(AI155,NOT(AJ155)),LEFT(AH155,2),0))),0)</f>
        <v>0</v>
      </c>
      <c r="AG155" s="3084">
        <f>HLOOKUP(Region&amp;ClaseSocial,Tabla_RaicesCulturales,Tablas!F168,FALSE)</f>
        <v>0</v>
      </c>
      <c r="AH155" s="3116">
        <f>IF(AND(E155="Historia",Personalización!$E$16="Historia (Local)"),20&amp;" "&amp;Personalización!$E$16,IF(E155=Personalización!$E$15,VLOOKUP(E155,Tablas!$L$136:$M$137,2,FALSE),IF(E155=Personalización!$E$16,VLOOKUP(E155,Tablas!$N$136:$O$137,2,FALSE),0)))</f>
        <v>0</v>
      </c>
      <c r="AI155" s="3116" t="b">
        <f t="shared" si="41"/>
        <v>0</v>
      </c>
      <c r="AJ155" s="3116" t="b">
        <f t="shared" si="42"/>
        <v>0</v>
      </c>
      <c r="AK155" s="3116"/>
      <c r="AL155" s="3096" t="e">
        <f t="shared" si="37"/>
        <v>#N/A</v>
      </c>
      <c r="AM155" s="3096"/>
      <c r="AN155" s="3096" t="e">
        <f t="shared" si="32"/>
        <v>#N/A</v>
      </c>
      <c r="AO155" s="3096"/>
      <c r="AP155" s="3096" t="e">
        <f t="shared" si="33"/>
        <v>#N/A</v>
      </c>
      <c r="AQ155" s="3085"/>
      <c r="AR155" s="3096" t="e">
        <f t="shared" si="34"/>
        <v>#N/A</v>
      </c>
      <c r="AS155" s="3085"/>
      <c r="AT155" s="3096" t="e">
        <f t="shared" si="35"/>
        <v>#N/A</v>
      </c>
      <c r="AU155" s="3085" t="str">
        <f t="shared" si="38"/>
        <v/>
      </c>
      <c r="AV155" s="3085"/>
    </row>
    <row r="156" spans="1:48" ht="12" customHeight="1" x14ac:dyDescent="0.2">
      <c r="A156" s="29"/>
      <c r="B156" s="819" t="str">
        <f t="shared" si="40"/>
        <v>Intelectuales</v>
      </c>
      <c r="C156" s="3627"/>
      <c r="D156" s="4100"/>
      <c r="E156" s="4010" t="s">
        <v>1446</v>
      </c>
      <c r="F156" s="4011"/>
      <c r="G156" s="4011"/>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4">
        <f>Tablas!$K$1809</f>
        <v>0</v>
      </c>
      <c r="AE156" s="311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8">
        <f>IF(AF$126,IF(OR(Region="",ClaseSocial="",Personalización!$AN$9),0,IF(OR(AND(AI156,AJ156),AND(NOT(AI156),NOT(AJ156))),LEFT(AG156,2)+LEFT(AH156,2),IF(AND(AI156,NOT(AJ156)),LEFT(AH156,2),0))),0)</f>
        <v>0</v>
      </c>
      <c r="AG156" s="3084">
        <f>HLOOKUP(Region&amp;ClaseSocial,Tabla_RaicesCulturales,Tablas!F169,FALSE)</f>
        <v>0</v>
      </c>
      <c r="AH156" s="3116">
        <f>IF(AND(E156="Historia",Personalización!$E$16="Historia (Local)"),20&amp;" "&amp;Personalización!$E$16,IF(E156=Personalización!$E$15,VLOOKUP(E156,Tablas!$L$136:$M$137,2,FALSE),IF(E156=Personalización!$E$16,VLOOKUP(E156,Tablas!$N$136:$O$137,2,FALSE),0)))</f>
        <v>0</v>
      </c>
      <c r="AI156" s="3116" t="b">
        <f t="shared" si="41"/>
        <v>0</v>
      </c>
      <c r="AJ156" s="3116" t="b">
        <f t="shared" si="42"/>
        <v>0</v>
      </c>
      <c r="AK156" s="3116"/>
      <c r="AL156" s="3096" t="e">
        <f t="shared" si="37"/>
        <v>#N/A</v>
      </c>
      <c r="AM156" s="3096"/>
      <c r="AN156" s="3096" t="e">
        <f t="shared" si="32"/>
        <v>#N/A</v>
      </c>
      <c r="AO156" s="3096"/>
      <c r="AP156" s="3096" t="e">
        <f t="shared" si="33"/>
        <v>#N/A</v>
      </c>
      <c r="AQ156" s="3085"/>
      <c r="AR156" s="3096" t="e">
        <f t="shared" si="34"/>
        <v>#N/A</v>
      </c>
      <c r="AS156" s="3085"/>
      <c r="AT156" s="3096" t="e">
        <f t="shared" si="35"/>
        <v>#N/A</v>
      </c>
      <c r="AU156" s="3085" t="str">
        <f t="shared" si="38"/>
        <v/>
      </c>
      <c r="AV156" s="3085"/>
    </row>
    <row r="157" spans="1:48" ht="12" customHeight="1" x14ac:dyDescent="0.2">
      <c r="A157" s="29"/>
      <c r="B157" s="819" t="str">
        <f t="shared" si="40"/>
        <v>Intelectuales</v>
      </c>
      <c r="C157" s="3627"/>
      <c r="D157" s="4101"/>
      <c r="E157" s="3987" t="s">
        <v>1447</v>
      </c>
      <c r="F157" s="3988"/>
      <c r="G157" s="3988"/>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4">
        <f>Tablas!$K$1809</f>
        <v>0</v>
      </c>
      <c r="AE157" s="3116"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8">
        <f>IF(AF$126,IF(OR(Region="",ClaseSocial="",Personalización!$AN$9),0,IF(OR(AND(AI157,AJ157),AND(NOT(AI157),NOT(AJ157))),LEFT(AG157,2)+LEFT(AH157,2),IF(AND(AI157,NOT(AJ157)),LEFT(AH157,2),0))),0)</f>
        <v>0</v>
      </c>
      <c r="AG157" s="3084">
        <f>HLOOKUP(Region&amp;ClaseSocial,Tabla_RaicesCulturales,Tablas!F170,FALSE)</f>
        <v>0</v>
      </c>
      <c r="AH157" s="3116">
        <f>IF(AND(E157="Historia",Personalización!$E$16="Historia (Local)"),20&amp;" "&amp;Personalización!$E$16,IF(E157=Personalización!$E$15,VLOOKUP(E157,Tablas!$L$136:$M$137,2,FALSE),IF(E157=Personalización!$E$16,VLOOKUP(E157,Tablas!$N$136:$O$137,2,FALSE),0)))</f>
        <v>0</v>
      </c>
      <c r="AI157" s="3116" t="b">
        <f t="shared" si="41"/>
        <v>0</v>
      </c>
      <c r="AJ157" s="3116" t="b">
        <f t="shared" si="42"/>
        <v>0</v>
      </c>
      <c r="AK157" s="3116"/>
      <c r="AL157" s="3096" t="e">
        <f t="shared" si="37"/>
        <v>#N/A</v>
      </c>
      <c r="AM157" s="3096"/>
      <c r="AN157" s="3096" t="e">
        <f t="shared" si="32"/>
        <v>#N/A</v>
      </c>
      <c r="AO157" s="3096"/>
      <c r="AP157" s="3096" t="e">
        <f t="shared" si="33"/>
        <v>#N/A</v>
      </c>
      <c r="AQ157" s="3085"/>
      <c r="AR157" s="3096" t="e">
        <f t="shared" si="34"/>
        <v>#N/A</v>
      </c>
      <c r="AS157" s="3085"/>
      <c r="AT157" s="3096" t="e">
        <f t="shared" si="35"/>
        <v>#N/A</v>
      </c>
      <c r="AU157" s="3085" t="str">
        <f t="shared" si="38"/>
        <v/>
      </c>
      <c r="AV157" s="3085"/>
    </row>
    <row r="158" spans="1:48" ht="12" customHeight="1" x14ac:dyDescent="0.2">
      <c r="A158" s="29"/>
      <c r="B158" s="819" t="str">
        <f>D158</f>
        <v>Vigor</v>
      </c>
      <c r="C158" s="3627"/>
      <c r="D158" s="4100" t="s">
        <v>1448</v>
      </c>
      <c r="E158" s="4010" t="s">
        <v>1449</v>
      </c>
      <c r="F158" s="4011"/>
      <c r="G158" s="4011"/>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4">
        <f>Tablas!$K$1872+Tablas!$K$1934+IF(Tablas!$G$374&gt;0,60,0)</f>
        <v>0</v>
      </c>
      <c r="AE158" s="3116"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8">
        <f>IF(AF$126,IF(OR(Region="",ClaseSocial="",Personalización!$AN$9),0,IF(OR(AND(AI158,AJ158),AND(NOT(AI158),NOT(AJ158))),LEFT(AG158,2)+LEFT(AH158,2),IF(AND(AI158,NOT(AJ158)),LEFT(AH158,2),0))),0)</f>
        <v>0</v>
      </c>
      <c r="AG158" s="3084">
        <f>HLOOKUP(Region&amp;ClaseSocial,Tabla_RaicesCulturales,Tablas!F171,FALSE)</f>
        <v>0</v>
      </c>
      <c r="AH158" s="3116">
        <f>IF(AND(E158="Historia",Personalización!$E$16="Historia (Local)"),20&amp;" "&amp;Personalización!$E$16,IF(E158=Personalización!$E$15,VLOOKUP(E158,Tablas!$L$136:$M$137,2,FALSE),IF(E158=Personalización!$E$16,VLOOKUP(E158,Tablas!$N$136:$O$137,2,FALSE),0)))</f>
        <v>0</v>
      </c>
      <c r="AI158" s="3116" t="b">
        <f t="shared" si="41"/>
        <v>0</v>
      </c>
      <c r="AJ158" s="3116" t="b">
        <f t="shared" si="42"/>
        <v>0</v>
      </c>
      <c r="AK158" s="3116"/>
      <c r="AL158" s="3096" t="e">
        <f t="shared" si="37"/>
        <v>#N/A</v>
      </c>
      <c r="AM158" s="3096"/>
      <c r="AN158" s="3096" t="e">
        <f t="shared" si="32"/>
        <v>#N/A</v>
      </c>
      <c r="AO158" s="3096"/>
      <c r="AP158" s="3096" t="e">
        <f t="shared" si="33"/>
        <v>#N/A</v>
      </c>
      <c r="AQ158" s="3085"/>
      <c r="AR158" s="3096" t="e">
        <f t="shared" si="34"/>
        <v>#N/A</v>
      </c>
      <c r="AS158" s="3085"/>
      <c r="AT158" s="3096" t="e">
        <f t="shared" si="35"/>
        <v>#N/A</v>
      </c>
      <c r="AU158" s="3085" t="str">
        <f t="shared" si="38"/>
        <v/>
      </c>
      <c r="AV158" s="3085"/>
    </row>
    <row r="159" spans="1:48" ht="12" customHeight="1" x14ac:dyDescent="0.2">
      <c r="A159" s="29"/>
      <c r="B159" s="819" t="str">
        <f>B158</f>
        <v>Vigor</v>
      </c>
      <c r="C159" s="3627"/>
      <c r="D159" s="4100"/>
      <c r="E159" s="4007" t="s">
        <v>1450</v>
      </c>
      <c r="F159" s="4008"/>
      <c r="G159" s="4008"/>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4"/>
      <c r="AE159" s="3116"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8">
        <f>IF(AF$126,IF(OR(Region="",ClaseSocial="",Personalización!$AN$9),0,IF(OR(AND(AI159,AJ159),AND(NOT(AI159),NOT(AJ159))),LEFT(AG159,2)+LEFT(AH159,2),IF(AND(AI159,NOT(AJ159)),LEFT(AH159,2),0))),0)</f>
        <v>0</v>
      </c>
      <c r="AG159" s="3084">
        <f>HLOOKUP(Region&amp;ClaseSocial,Tabla_RaicesCulturales,Tablas!F172,FALSE)</f>
        <v>0</v>
      </c>
      <c r="AH159" s="3116">
        <f>IF(AND(E159="Historia",Personalización!$E$16="Historia (Local)"),20&amp;" "&amp;Personalización!$E$16,IF(E159=Personalización!$E$15,VLOOKUP(E159,Tablas!$L$136:$M$137,2,FALSE),IF(E159=Personalización!$E$16,VLOOKUP(E159,Tablas!$N$136:$O$137,2,FALSE),0)))</f>
        <v>0</v>
      </c>
      <c r="AI159" s="3116" t="b">
        <f t="shared" si="41"/>
        <v>0</v>
      </c>
      <c r="AJ159" s="3116" t="b">
        <f t="shared" si="42"/>
        <v>0</v>
      </c>
      <c r="AK159" s="3116"/>
      <c r="AL159" s="3096" t="e">
        <f t="shared" si="37"/>
        <v>#N/A</v>
      </c>
      <c r="AM159" s="3096"/>
      <c r="AN159" s="3096" t="e">
        <f t="shared" si="32"/>
        <v>#N/A</v>
      </c>
      <c r="AO159" s="3096"/>
      <c r="AP159" s="3096" t="e">
        <f t="shared" si="33"/>
        <v>#N/A</v>
      </c>
      <c r="AQ159" s="3085"/>
      <c r="AR159" s="3096" t="e">
        <f t="shared" si="34"/>
        <v>#N/A</v>
      </c>
      <c r="AS159" s="3085"/>
      <c r="AT159" s="3096" t="e">
        <f t="shared" si="35"/>
        <v>#N/A</v>
      </c>
      <c r="AU159" s="3085" t="str">
        <f t="shared" si="38"/>
        <v/>
      </c>
      <c r="AV159" s="3085"/>
    </row>
    <row r="160" spans="1:48" ht="12" customHeight="1" x14ac:dyDescent="0.2">
      <c r="A160" s="29"/>
      <c r="B160" s="819" t="str">
        <f>B159</f>
        <v>Vigor</v>
      </c>
      <c r="C160" s="3627"/>
      <c r="D160" s="4100"/>
      <c r="E160" s="4010" t="s">
        <v>1453</v>
      </c>
      <c r="F160" s="4011"/>
      <c r="G160" s="4011"/>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4">
        <f>Tablas!$K$1934</f>
        <v>0</v>
      </c>
      <c r="AE160" s="3116"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8">
        <f>IF(AF$126,IF(OR(Region="",ClaseSocial="",Personalización!$AN$9),0,IF(OR(AND(AI160,AJ160),AND(NOT(AI160),NOT(AJ160))),LEFT(AG160,2)+LEFT(AH160,2),IF(AND(AI160,NOT(AJ160)),LEFT(AH160,2),0))),0)</f>
        <v>0</v>
      </c>
      <c r="AG160" s="3084">
        <f>HLOOKUP(Region&amp;ClaseSocial,Tabla_RaicesCulturales,Tablas!F173,FALSE)</f>
        <v>0</v>
      </c>
      <c r="AH160" s="3116">
        <f>IF(AND(E160="Historia",Personalización!$E$16="Historia (Local)"),20&amp;" "&amp;Personalización!$E$16,IF(E160=Personalización!$E$15,VLOOKUP(E160,Tablas!$L$136:$M$137,2,FALSE),IF(E160=Personalización!$E$16,VLOOKUP(E160,Tablas!$N$136:$O$137,2,FALSE),0)))</f>
        <v>0</v>
      </c>
      <c r="AI160" s="3116" t="b">
        <f t="shared" si="41"/>
        <v>0</v>
      </c>
      <c r="AJ160" s="3116" t="b">
        <f t="shared" si="42"/>
        <v>0</v>
      </c>
      <c r="AK160" s="3116"/>
      <c r="AL160" s="3096" t="e">
        <f t="shared" si="37"/>
        <v>#N/A</v>
      </c>
      <c r="AM160" s="3096"/>
      <c r="AN160" s="3096" t="e">
        <f t="shared" si="32"/>
        <v>#N/A</v>
      </c>
      <c r="AO160" s="3096"/>
      <c r="AP160" s="3096" t="e">
        <f t="shared" si="33"/>
        <v>#N/A</v>
      </c>
      <c r="AQ160" s="3085"/>
      <c r="AR160" s="3096" t="e">
        <f t="shared" si="34"/>
        <v>#N/A</v>
      </c>
      <c r="AS160" s="3085"/>
      <c r="AT160" s="3096" t="e">
        <f t="shared" si="35"/>
        <v>#N/A</v>
      </c>
      <c r="AU160" s="3085" t="str">
        <f t="shared" si="38"/>
        <v/>
      </c>
      <c r="AV160" s="3085"/>
    </row>
    <row r="161" spans="1:48" ht="12" customHeight="1" x14ac:dyDescent="0.2">
      <c r="A161" s="29"/>
      <c r="B161" s="819" t="str">
        <f>D161</f>
        <v>Subterfugio</v>
      </c>
      <c r="C161" s="3627"/>
      <c r="D161" s="4099" t="s">
        <v>1456</v>
      </c>
      <c r="E161" s="4142" t="s">
        <v>1457</v>
      </c>
      <c r="F161" s="4037"/>
      <c r="G161" s="4037"/>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4"/>
      <c r="AE161" s="311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8">
        <f>IF(AF$126,IF(OR(Region="",ClaseSocial="",Personalización!$AN$9),0,IF(OR(AND(AI161,AJ161),AND(NOT(AI161),NOT(AJ161))),LEFT(AG161,2)+LEFT(AH161,2),IF(AND(AI161,NOT(AJ161)),LEFT(AH161,2),0))),0)</f>
        <v>0</v>
      </c>
      <c r="AG161" s="3084">
        <f>HLOOKUP(Region&amp;ClaseSocial,Tabla_RaicesCulturales,Tablas!F174,FALSE)</f>
        <v>0</v>
      </c>
      <c r="AH161" s="3116">
        <f>IF(AND(E161="Historia",Personalización!$E$16="Historia (Local)"),20&amp;" "&amp;Personalización!$E$16,IF(E161=Personalización!$E$15,VLOOKUP(E161,Tablas!$L$136:$M$137,2,FALSE),IF(E161=Personalización!$E$16,VLOOKUP(E161,Tablas!$N$136:$O$137,2,FALSE),0)))</f>
        <v>0</v>
      </c>
      <c r="AI161" s="3116" t="b">
        <f t="shared" ref="AI161:AI179" si="45">OR(ISNUMBER(FIND("(",AG161)),ISNUMBER(FIND("(",AH161)))</f>
        <v>0</v>
      </c>
      <c r="AJ161" s="3116" t="b">
        <f t="shared" ref="AJ161:AJ179" si="46">AND(NOT(I161=""),OR(ISNUMBER(SEARCH(I161,AG161)),ISNUMBER(SEARCH(I161,AH161))))</f>
        <v>0</v>
      </c>
      <c r="AK161" s="3116"/>
      <c r="AL161" s="3096"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6"/>
      <c r="AN161" s="3096"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6"/>
      <c r="AP161" s="3096"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85"/>
      <c r="AR161" s="3096"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85"/>
      <c r="AT161" s="3096"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85" t="str">
        <f t="shared" si="38"/>
        <v/>
      </c>
      <c r="AV161" s="3085"/>
    </row>
    <row r="162" spans="1:48" ht="12" customHeight="1" x14ac:dyDescent="0.2">
      <c r="A162" s="29"/>
      <c r="B162" s="819" t="str">
        <f t="shared" ref="B162:B167" si="52">B161</f>
        <v>Subterfugio</v>
      </c>
      <c r="C162" s="3627"/>
      <c r="D162" s="4100"/>
      <c r="E162" s="4010" t="s">
        <v>1459</v>
      </c>
      <c r="F162" s="4011"/>
      <c r="G162" s="4011"/>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4"/>
      <c r="AE162" s="3116"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8">
        <f>IF(AF$126,IF(OR(Region="",ClaseSocial="",Personalización!$AN$9),0,IF(OR(AND(AI162,AJ162),AND(NOT(AI162),NOT(AJ162))),LEFT(AG162,2)+LEFT(AH162,2),IF(AND(AI162,NOT(AJ162)),LEFT(AH162,2),0))),0)</f>
        <v>0</v>
      </c>
      <c r="AG162" s="3084">
        <f>HLOOKUP(Region&amp;ClaseSocial,Tabla_RaicesCulturales,Tablas!F175,FALSE)</f>
        <v>0</v>
      </c>
      <c r="AH162" s="3116">
        <f>IF(AND(E162="Historia",Personalización!$E$16="Historia (Local)"),20&amp;" "&amp;Personalización!$E$16,IF(E162=Personalización!$E$15,VLOOKUP(E162,Tablas!$L$136:$M$137,2,FALSE),IF(E162=Personalización!$E$16,VLOOKUP(E162,Tablas!$N$136:$O$137,2,FALSE),0)))</f>
        <v>0</v>
      </c>
      <c r="AI162" s="3116" t="b">
        <f t="shared" si="45"/>
        <v>0</v>
      </c>
      <c r="AJ162" s="3116" t="b">
        <f t="shared" si="46"/>
        <v>0</v>
      </c>
      <c r="AK162" s="3116"/>
      <c r="AL162" s="3096" t="e">
        <f t="shared" si="47"/>
        <v>#N/A</v>
      </c>
      <c r="AM162" s="3096"/>
      <c r="AN162" s="3096" t="e">
        <f t="shared" si="48"/>
        <v>#N/A</v>
      </c>
      <c r="AO162" s="3096"/>
      <c r="AP162" s="3096" t="e">
        <f t="shared" si="49"/>
        <v>#N/A</v>
      </c>
      <c r="AQ162" s="3085"/>
      <c r="AR162" s="3096" t="e">
        <f t="shared" si="50"/>
        <v>#N/A</v>
      </c>
      <c r="AS162" s="3085"/>
      <c r="AT162" s="3096" t="e">
        <f t="shared" si="51"/>
        <v>#N/A</v>
      </c>
      <c r="AU162" s="3085" t="str">
        <f t="shared" si="38"/>
        <v/>
      </c>
      <c r="AV162" s="3085"/>
    </row>
    <row r="163" spans="1:48" ht="12" customHeight="1" x14ac:dyDescent="0.2">
      <c r="A163" s="29"/>
      <c r="B163" s="819" t="str">
        <f t="shared" si="52"/>
        <v>Subterfugio</v>
      </c>
      <c r="C163" s="3627"/>
      <c r="D163" s="4100"/>
      <c r="E163" s="4007" t="s">
        <v>1461</v>
      </c>
      <c r="F163" s="4008"/>
      <c r="G163" s="4008"/>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4"/>
      <c r="AE163" s="3116"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8">
        <f>IF(AF$126,IF(OR(Region="",ClaseSocial="",Personalización!$AN$9),0,IF(OR(AND(AI163,AJ163),AND(NOT(AI163),NOT(AJ163))),LEFT(AG163,2)+LEFT(AH163,2),IF(AND(AI163,NOT(AJ163)),LEFT(AH163,2),0))),0)</f>
        <v>0</v>
      </c>
      <c r="AG163" s="3084">
        <f>HLOOKUP(Region&amp;ClaseSocial,Tabla_RaicesCulturales,Tablas!F176,FALSE)</f>
        <v>0</v>
      </c>
      <c r="AH163" s="3116">
        <f>IF(AND(E163="Historia",Personalización!$E$16="Historia (Local)"),20&amp;" "&amp;Personalización!$E$16,IF(E163=Personalización!$E$15,VLOOKUP(E163,Tablas!$L$136:$M$137,2,FALSE),IF(E163=Personalización!$E$16,VLOOKUP(E163,Tablas!$N$136:$O$137,2,FALSE),0)))</f>
        <v>0</v>
      </c>
      <c r="AI163" s="3116" t="b">
        <f t="shared" si="45"/>
        <v>0</v>
      </c>
      <c r="AJ163" s="3116" t="b">
        <f t="shared" si="46"/>
        <v>0</v>
      </c>
      <c r="AK163" s="3116"/>
      <c r="AL163" s="3096" t="e">
        <f t="shared" si="47"/>
        <v>#N/A</v>
      </c>
      <c r="AM163" s="3096"/>
      <c r="AN163" s="3096" t="e">
        <f t="shared" si="48"/>
        <v>#N/A</v>
      </c>
      <c r="AO163" s="3096"/>
      <c r="AP163" s="3096" t="e">
        <f t="shared" si="49"/>
        <v>#N/A</v>
      </c>
      <c r="AQ163" s="3085"/>
      <c r="AR163" s="3096" t="e">
        <f t="shared" si="50"/>
        <v>#N/A</v>
      </c>
      <c r="AS163" s="3085"/>
      <c r="AT163" s="3096" t="e">
        <f t="shared" si="51"/>
        <v>#N/A</v>
      </c>
      <c r="AU163" s="3085" t="str">
        <f t="shared" si="38"/>
        <v/>
      </c>
      <c r="AV163" s="3085"/>
    </row>
    <row r="164" spans="1:48" ht="12" customHeight="1" x14ac:dyDescent="0.2">
      <c r="A164" s="29"/>
      <c r="B164" s="819" t="str">
        <f t="shared" si="52"/>
        <v>Subterfugio</v>
      </c>
      <c r="C164" s="3627"/>
      <c r="D164" s="4100"/>
      <c r="E164" s="4010" t="s">
        <v>1463</v>
      </c>
      <c r="F164" s="4011"/>
      <c r="G164" s="4011"/>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4"/>
      <c r="AE164" s="3116"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8">
        <f>IF(AF$126,IF(OR(Region="",ClaseSocial="",Personalización!$AN$9),0,IF(OR(AND(AI164,AJ164),AND(NOT(AI164),NOT(AJ164))),LEFT(AG164,2)+LEFT(AH164,2),IF(AND(AI164,NOT(AJ164)),LEFT(AH164,2),0))),0)</f>
        <v>0</v>
      </c>
      <c r="AG164" s="3084">
        <f>HLOOKUP(Region&amp;ClaseSocial,Tabla_RaicesCulturales,Tablas!F177,FALSE)</f>
        <v>0</v>
      </c>
      <c r="AH164" s="3116">
        <f>IF(AND(E164="Historia",Personalización!$E$16="Historia (Local)"),20&amp;" "&amp;Personalización!$E$16,IF(E164=Personalización!$E$15,VLOOKUP(E164,Tablas!$L$136:$M$137,2,FALSE),IF(E164=Personalización!$E$16,VLOOKUP(E164,Tablas!$N$136:$O$137,2,FALSE),0)))</f>
        <v>0</v>
      </c>
      <c r="AI164" s="3116" t="b">
        <f t="shared" si="45"/>
        <v>0</v>
      </c>
      <c r="AJ164" s="3116" t="b">
        <f t="shared" si="46"/>
        <v>0</v>
      </c>
      <c r="AK164" s="3116"/>
      <c r="AL164" s="3096" t="e">
        <f t="shared" si="47"/>
        <v>#N/A</v>
      </c>
      <c r="AM164" s="3096"/>
      <c r="AN164" s="3096" t="e">
        <f t="shared" si="48"/>
        <v>#N/A</v>
      </c>
      <c r="AO164" s="3096"/>
      <c r="AP164" s="3096" t="e">
        <f t="shared" si="49"/>
        <v>#N/A</v>
      </c>
      <c r="AQ164" s="3085"/>
      <c r="AR164" s="3096" t="e">
        <f t="shared" si="50"/>
        <v>#N/A</v>
      </c>
      <c r="AS164" s="3085"/>
      <c r="AT164" s="3096" t="e">
        <f t="shared" si="51"/>
        <v>#N/A</v>
      </c>
      <c r="AU164" s="3085" t="str">
        <f t="shared" si="38"/>
        <v/>
      </c>
      <c r="AV164" s="3085"/>
    </row>
    <row r="165" spans="1:48" ht="12" customHeight="1" x14ac:dyDescent="0.2">
      <c r="A165" s="29"/>
      <c r="B165" s="819" t="str">
        <f t="shared" si="52"/>
        <v>Subterfugio</v>
      </c>
      <c r="C165" s="3627"/>
      <c r="D165" s="4100"/>
      <c r="E165" s="4007" t="s">
        <v>1465</v>
      </c>
      <c r="F165" s="4008"/>
      <c r="G165" s="4008"/>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4"/>
      <c r="AE165" s="3116"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8">
        <f>IF(AF$126,IF(OR(Region="",ClaseSocial="",Personalización!$AN$9),0,IF(OR(AND(AI165,AJ165),AND(NOT(AI165),NOT(AJ165))),LEFT(AG165,2)+LEFT(AH165,2),IF(AND(AI165,NOT(AJ165)),LEFT(AH165,2),0))),0)</f>
        <v>0</v>
      </c>
      <c r="AG165" s="3084">
        <f>HLOOKUP(Region&amp;ClaseSocial,Tabla_RaicesCulturales,Tablas!F178,FALSE)</f>
        <v>0</v>
      </c>
      <c r="AH165" s="3116">
        <f>IF(AND(E165="Historia",Personalización!$E$16="Historia (Local)"),20&amp;" "&amp;Personalización!$E$16,IF(E165=Personalización!$E$15,VLOOKUP(E165,Tablas!$L$136:$M$137,2,FALSE),IF(E165=Personalización!$E$16,VLOOKUP(E165,Tablas!$N$136:$O$137,2,FALSE),0)))</f>
        <v>0</v>
      </c>
      <c r="AI165" s="3116" t="b">
        <f t="shared" si="45"/>
        <v>0</v>
      </c>
      <c r="AJ165" s="3116" t="b">
        <f t="shared" si="46"/>
        <v>0</v>
      </c>
      <c r="AK165" s="3116"/>
      <c r="AL165" s="3096" t="e">
        <f t="shared" si="47"/>
        <v>#N/A</v>
      </c>
      <c r="AM165" s="3096"/>
      <c r="AN165" s="3096" t="e">
        <f t="shared" si="48"/>
        <v>#N/A</v>
      </c>
      <c r="AO165" s="3096"/>
      <c r="AP165" s="3096" t="e">
        <f t="shared" si="49"/>
        <v>#N/A</v>
      </c>
      <c r="AQ165" s="3085"/>
      <c r="AR165" s="3096" t="e">
        <f t="shared" si="50"/>
        <v>#N/A</v>
      </c>
      <c r="AS165" s="3085"/>
      <c r="AT165" s="3096" t="e">
        <f t="shared" si="51"/>
        <v>#N/A</v>
      </c>
      <c r="AU165" s="3085" t="str">
        <f t="shared" si="38"/>
        <v/>
      </c>
      <c r="AV165" s="3085"/>
    </row>
    <row r="166" spans="1:48" ht="12" customHeight="1" x14ac:dyDescent="0.2">
      <c r="A166" s="29"/>
      <c r="B166" s="819" t="str">
        <f t="shared" si="52"/>
        <v>Subterfugio</v>
      </c>
      <c r="C166" s="3627"/>
      <c r="D166" s="4100"/>
      <c r="E166" s="4010" t="s">
        <v>1467</v>
      </c>
      <c r="F166" s="4011"/>
      <c r="G166" s="4011"/>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4"/>
      <c r="AE166" s="3116"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8">
        <f>IF(AF$126,IF(OR(Region="",ClaseSocial="",Personalización!$AN$9),0,IF(OR(AND(AI166,AJ166),AND(NOT(AI166),NOT(AJ166))),LEFT(AG166,2)+LEFT(AH166,2),IF(AND(AI166,NOT(AJ166)),LEFT(AH166,2),0))),0)</f>
        <v>0</v>
      </c>
      <c r="AG166" s="3084">
        <f>HLOOKUP(Region&amp;ClaseSocial,Tabla_RaicesCulturales,Tablas!F179,FALSE)</f>
        <v>0</v>
      </c>
      <c r="AH166" s="3116">
        <f>IF(AND(E166="Historia",Personalización!$E$16="Historia (Local)"),20&amp;" "&amp;Personalización!$E$16,IF(E166=Personalización!$E$15,VLOOKUP(E166,Tablas!$L$136:$M$137,2,FALSE),IF(E166=Personalización!$E$16,VLOOKUP(E166,Tablas!$N$136:$O$137,2,FALSE),0)))</f>
        <v>0</v>
      </c>
      <c r="AI166" s="3116" t="b">
        <f t="shared" si="45"/>
        <v>0</v>
      </c>
      <c r="AJ166" s="3116" t="b">
        <f t="shared" si="46"/>
        <v>0</v>
      </c>
      <c r="AK166" s="3116"/>
      <c r="AL166" s="3096" t="e">
        <f t="shared" si="47"/>
        <v>#N/A</v>
      </c>
      <c r="AM166" s="3096"/>
      <c r="AN166" s="3096" t="e">
        <f t="shared" si="48"/>
        <v>#N/A</v>
      </c>
      <c r="AO166" s="3096"/>
      <c r="AP166" s="3096" t="e">
        <f t="shared" si="49"/>
        <v>#N/A</v>
      </c>
      <c r="AQ166" s="3085"/>
      <c r="AR166" s="3096" t="e">
        <f t="shared" si="50"/>
        <v>#N/A</v>
      </c>
      <c r="AS166" s="3085"/>
      <c r="AT166" s="3096" t="e">
        <f t="shared" si="51"/>
        <v>#N/A</v>
      </c>
      <c r="AU166" s="3085" t="str">
        <f t="shared" si="38"/>
        <v/>
      </c>
      <c r="AV166" s="3085"/>
    </row>
    <row r="167" spans="1:48" ht="12" customHeight="1" x14ac:dyDescent="0.2">
      <c r="A167" s="29"/>
      <c r="B167" s="819" t="str">
        <f t="shared" si="52"/>
        <v>Subterfugio</v>
      </c>
      <c r="C167" s="3627"/>
      <c r="D167" s="4101"/>
      <c r="E167" s="3987" t="s">
        <v>1468</v>
      </c>
      <c r="F167" s="3988"/>
      <c r="G167" s="3988"/>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4"/>
      <c r="AE167" s="3116"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8">
        <f>IF(AF$126,IF(OR(Region="",ClaseSocial="",Personalización!$AN$9),0,IF(OR(AND(AI167,AJ167),AND(NOT(AI167),NOT(AJ167))),LEFT(AG167,2)+LEFT(AH167,2),IF(AND(AI167,NOT(AJ167)),LEFT(AH167,2),0))),0)</f>
        <v>0</v>
      </c>
      <c r="AG167" s="3084">
        <f>HLOOKUP(Region&amp;ClaseSocial,Tabla_RaicesCulturales,Tablas!F180,FALSE)</f>
        <v>0</v>
      </c>
      <c r="AH167" s="3116">
        <f>IF(AND(E167="Historia",Personalización!$E$16="Historia (Local)"),20&amp;" "&amp;Personalización!$E$16,IF(E167=Personalización!$E$15,VLOOKUP(E167,Tablas!$L$136:$M$137,2,FALSE),IF(E167=Personalización!$E$16,VLOOKUP(E167,Tablas!$N$136:$O$137,2,FALSE),0)))</f>
        <v>0</v>
      </c>
      <c r="AI167" s="3116" t="b">
        <f t="shared" si="45"/>
        <v>0</v>
      </c>
      <c r="AJ167" s="3116" t="b">
        <f t="shared" si="46"/>
        <v>0</v>
      </c>
      <c r="AK167" s="3116"/>
      <c r="AL167" s="3096" t="e">
        <f t="shared" si="47"/>
        <v>#N/A</v>
      </c>
      <c r="AM167" s="3096"/>
      <c r="AN167" s="3096" t="e">
        <f t="shared" si="48"/>
        <v>#N/A</v>
      </c>
      <c r="AO167" s="3096"/>
      <c r="AP167" s="3096" t="e">
        <f t="shared" si="49"/>
        <v>#N/A</v>
      </c>
      <c r="AQ167" s="3085"/>
      <c r="AR167" s="3096" t="e">
        <f t="shared" si="50"/>
        <v>#N/A</v>
      </c>
      <c r="AS167" s="3085"/>
      <c r="AT167" s="3096" t="e">
        <f t="shared" si="51"/>
        <v>#N/A</v>
      </c>
      <c r="AU167" s="3085" t="str">
        <f t="shared" si="38"/>
        <v/>
      </c>
      <c r="AV167" s="3085"/>
    </row>
    <row r="168" spans="1:48" ht="12" customHeight="1" x14ac:dyDescent="0.2">
      <c r="A168" s="29"/>
      <c r="B168" s="819" t="str">
        <f>D168</f>
        <v>Creativas</v>
      </c>
      <c r="C168" s="3627"/>
      <c r="D168" s="4100" t="s">
        <v>1469</v>
      </c>
      <c r="E168" s="4010" t="s">
        <v>1470</v>
      </c>
      <c r="F168" s="4011"/>
      <c r="G168" s="4011"/>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4">
        <f>Tablas!$K$1819</f>
        <v>0</v>
      </c>
      <c r="AE168" s="311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8">
        <f>IF(AF$126,IF(OR(Region="",ClaseSocial="",Personalización!$AN$9),0,IF(OR(AND(AI168,AJ168),AND(NOT(AI168),NOT(AJ168))),LEFT(AG168,2)+LEFT(AH168,2),IF(AND(AI168,NOT(AJ168)),LEFT(AH168,2),0))),0)</f>
        <v>0</v>
      </c>
      <c r="AG168" s="3084">
        <f>HLOOKUP(Region&amp;ClaseSocial,Tabla_RaicesCulturales,Tablas!F181,FALSE)</f>
        <v>0</v>
      </c>
      <c r="AH168" s="3116">
        <f>IF(AND(E168="Historia",Personalización!$E$16="Historia (Local)"),20&amp;" "&amp;Personalización!$E$16,IF(E168=Personalización!$E$15,VLOOKUP(E168,Tablas!$L$136:$M$137,2,FALSE),IF(E168=Personalización!$E$16,VLOOKUP(E168,Tablas!$N$136:$O$137,2,FALSE),0)))</f>
        <v>0</v>
      </c>
      <c r="AI168" s="3116" t="b">
        <f t="shared" si="45"/>
        <v>0</v>
      </c>
      <c r="AJ168" s="3116" t="b">
        <f t="shared" si="46"/>
        <v>0</v>
      </c>
      <c r="AK168" s="3116"/>
      <c r="AL168" s="3096" t="e">
        <f t="shared" si="47"/>
        <v>#N/A</v>
      </c>
      <c r="AM168" s="3096"/>
      <c r="AN168" s="3096" t="e">
        <f t="shared" si="48"/>
        <v>#N/A</v>
      </c>
      <c r="AO168" s="3096"/>
      <c r="AP168" s="3096" t="e">
        <f t="shared" si="49"/>
        <v>#N/A</v>
      </c>
      <c r="AQ168" s="3085"/>
      <c r="AR168" s="3096" t="e">
        <f t="shared" si="50"/>
        <v>#N/A</v>
      </c>
      <c r="AS168" s="3085"/>
      <c r="AT168" s="3096" t="e">
        <f t="shared" si="51"/>
        <v>#N/A</v>
      </c>
      <c r="AU168" s="3085" t="str">
        <f t="shared" si="38"/>
        <v/>
      </c>
      <c r="AV168" s="3085"/>
    </row>
    <row r="169" spans="1:48" ht="12" customHeight="1" x14ac:dyDescent="0.2">
      <c r="A169" s="29"/>
      <c r="B169" s="819" t="str">
        <f>B168</f>
        <v>Creativas</v>
      </c>
      <c r="C169" s="3627"/>
      <c r="D169" s="4100"/>
      <c r="E169" s="4007" t="s">
        <v>1471</v>
      </c>
      <c r="F169" s="4008"/>
      <c r="G169" s="4008"/>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4"/>
      <c r="AE169" s="311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8">
        <f>IF(AF$126,IF(OR(Region="",ClaseSocial="",Personalización!$AN$9),0,IF(OR(AND(AI169,AJ169),AND(NOT(AI169),NOT(AJ169))),LEFT(AG169,2)+LEFT(AH169,2),IF(AND(AI169,NOT(AJ169)),LEFT(AH169,2),0))),0)</f>
        <v>0</v>
      </c>
      <c r="AG169" s="3084">
        <f>HLOOKUP(Region&amp;ClaseSocial,Tabla_RaicesCulturales,Tablas!F182,FALSE)</f>
        <v>0</v>
      </c>
      <c r="AH169" s="3116">
        <f>IF(AND(E169="Historia",Personalización!$E$16="Historia (Local)"),20&amp;" "&amp;Personalización!$E$16,IF(E169=Personalización!$E$15,VLOOKUP(E169,Tablas!$L$136:$M$137,2,FALSE),IF(E169=Personalización!$E$16,VLOOKUP(E169,Tablas!$N$136:$O$137,2,FALSE),0)))</f>
        <v>0</v>
      </c>
      <c r="AI169" s="3116" t="b">
        <f t="shared" si="45"/>
        <v>0</v>
      </c>
      <c r="AJ169" s="3116" t="b">
        <f t="shared" si="46"/>
        <v>0</v>
      </c>
      <c r="AK169" s="3116"/>
      <c r="AL169" s="3096" t="e">
        <f t="shared" si="47"/>
        <v>#N/A</v>
      </c>
      <c r="AM169" s="3096"/>
      <c r="AN169" s="3096" t="e">
        <f t="shared" si="48"/>
        <v>#N/A</v>
      </c>
      <c r="AO169" s="3096"/>
      <c r="AP169" s="3096" t="e">
        <f t="shared" si="49"/>
        <v>#N/A</v>
      </c>
      <c r="AQ169" s="3085"/>
      <c r="AR169" s="3096" t="e">
        <f t="shared" si="50"/>
        <v>#N/A</v>
      </c>
      <c r="AS169" s="3085"/>
      <c r="AT169" s="3096" t="e">
        <f t="shared" si="51"/>
        <v>#N/A</v>
      </c>
      <c r="AU169" s="3085" t="str">
        <f t="shared" si="38"/>
        <v/>
      </c>
      <c r="AV169" s="3085"/>
    </row>
    <row r="170" spans="1:48" ht="12" customHeight="1" x14ac:dyDescent="0.2">
      <c r="A170" s="29"/>
      <c r="B170" s="819" t="str">
        <f t="shared" ref="B170:B179" si="53">B169</f>
        <v>Creativas</v>
      </c>
      <c r="C170" s="3627"/>
      <c r="D170" s="4100"/>
      <c r="E170" s="4010" t="s">
        <v>1472</v>
      </c>
      <c r="F170" s="4011"/>
      <c r="G170" s="4011"/>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4"/>
      <c r="AE170" s="311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8">
        <f>IF(AF$126,IF(OR(Region="",ClaseSocial="",Personalización!$AN$9),0,IF(OR(AND(AI170,AJ170),AND(NOT(AI170),NOT(AJ170))),LEFT(AG170,2)+LEFT(AH170,2),IF(AND(AI170,NOT(AJ170)),LEFT(AH170,2),0))),0)</f>
        <v>0</v>
      </c>
      <c r="AG170" s="3084">
        <f>HLOOKUP(Region&amp;ClaseSocial,Tabla_RaicesCulturales,Tablas!F183,FALSE)</f>
        <v>0</v>
      </c>
      <c r="AH170" s="3116">
        <f>IF(AND(E170="Historia",Personalización!$E$16="Historia (Local)"),20&amp;" "&amp;Personalización!$E$16,IF(E170=Personalización!$E$15,VLOOKUP(E170,Tablas!$L$136:$M$137,2,FALSE),IF(E170=Personalización!$E$16,VLOOKUP(E170,Tablas!$N$136:$O$137,2,FALSE),0)))</f>
        <v>0</v>
      </c>
      <c r="AI170" s="3116" t="b">
        <f t="shared" si="45"/>
        <v>0</v>
      </c>
      <c r="AJ170" s="3116" t="b">
        <f t="shared" si="46"/>
        <v>0</v>
      </c>
      <c r="AK170" s="3116"/>
      <c r="AL170" s="3096" t="e">
        <f t="shared" si="47"/>
        <v>#N/A</v>
      </c>
      <c r="AM170" s="3096"/>
      <c r="AN170" s="3096" t="e">
        <f t="shared" si="48"/>
        <v>#N/A</v>
      </c>
      <c r="AO170" s="3096"/>
      <c r="AP170" s="3096" t="e">
        <f t="shared" si="49"/>
        <v>#N/A</v>
      </c>
      <c r="AQ170" s="3085"/>
      <c r="AR170" s="3096" t="e">
        <f t="shared" si="50"/>
        <v>#N/A</v>
      </c>
      <c r="AS170" s="3085"/>
      <c r="AT170" s="3096" t="e">
        <f t="shared" si="51"/>
        <v>#N/A</v>
      </c>
      <c r="AU170" s="3085" t="str">
        <f t="shared" si="38"/>
        <v/>
      </c>
      <c r="AV170" s="3085"/>
    </row>
    <row r="171" spans="1:48" ht="12" customHeight="1" x14ac:dyDescent="0.2">
      <c r="A171" s="29"/>
      <c r="B171" s="819" t="str">
        <f t="shared" si="53"/>
        <v>Creativas</v>
      </c>
      <c r="C171" s="3627"/>
      <c r="D171" s="4100"/>
      <c r="E171" s="4007" t="s">
        <v>813</v>
      </c>
      <c r="F171" s="4008"/>
      <c r="G171" s="4008"/>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4"/>
      <c r="AE171" s="311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8">
        <f>IF(AF$126,IF(OR(Region="",ClaseSocial="",Personalización!$AN$9),0,IF(OR(AND(AI171,AJ171),AND(NOT(AI171),NOT(AJ171))),LEFT(AG171,2)+LEFT(AH171,2),IF(AND(AI171,NOT(AJ171)),LEFT(AH171,2),0))),0)</f>
        <v>0</v>
      </c>
      <c r="AG171" s="3084">
        <f>HLOOKUP(Region&amp;ClaseSocial,Tabla_RaicesCulturales,Tablas!F184,FALSE)</f>
        <v>0</v>
      </c>
      <c r="AH171" s="3116">
        <f>IF(AND(E171="Historia",Personalización!$E$16="Historia (Local)"),20&amp;" "&amp;Personalización!$E$16,IF(E171=Personalización!$E$15,VLOOKUP(E171,Tablas!$L$136:$M$137,2,FALSE),IF(E171=Personalización!$E$16,VLOOKUP(E171,Tablas!$N$136:$O$137,2,FALSE),0)))</f>
        <v>0</v>
      </c>
      <c r="AI171" s="3116" t="b">
        <f t="shared" si="45"/>
        <v>0</v>
      </c>
      <c r="AJ171" s="3116" t="b">
        <f t="shared" si="46"/>
        <v>0</v>
      </c>
      <c r="AK171" s="3116"/>
      <c r="AL171" s="3096" t="e">
        <f t="shared" si="47"/>
        <v>#N/A</v>
      </c>
      <c r="AM171" s="3096"/>
      <c r="AN171" s="3096" t="e">
        <f t="shared" si="48"/>
        <v>#N/A</v>
      </c>
      <c r="AO171" s="3096"/>
      <c r="AP171" s="3096" t="e">
        <f t="shared" si="49"/>
        <v>#N/A</v>
      </c>
      <c r="AQ171" s="3085"/>
      <c r="AR171" s="3096" t="e">
        <f t="shared" si="50"/>
        <v>#N/A</v>
      </c>
      <c r="AS171" s="3085"/>
      <c r="AT171" s="3096" t="e">
        <f t="shared" si="51"/>
        <v>#N/A</v>
      </c>
      <c r="AU171" s="3085" t="str">
        <f t="shared" si="38"/>
        <v/>
      </c>
      <c r="AV171" s="3085"/>
    </row>
    <row r="172" spans="1:48" ht="12" customHeight="1" x14ac:dyDescent="0.2">
      <c r="A172" s="29"/>
      <c r="B172" s="819" t="str">
        <f t="shared" si="53"/>
        <v>Creativas</v>
      </c>
      <c r="C172" s="3627"/>
      <c r="D172" s="4100"/>
      <c r="E172" s="4010" t="s">
        <v>814</v>
      </c>
      <c r="F172" s="4011"/>
      <c r="G172" s="4011"/>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4"/>
      <c r="AE172" s="311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8">
        <f>IF(AF$126,IF(OR(Region="",ClaseSocial="",Personalización!$AN$9),0,IF(OR(AND(AI172,AJ172),AND(NOT(AI172),NOT(AJ172))),LEFT(AG172,2)+LEFT(AH172,2),IF(AND(AI172,NOT(AJ172)),LEFT(AH172,2),0))),0)</f>
        <v>0</v>
      </c>
      <c r="AG172" s="3084">
        <f>HLOOKUP(Region&amp;ClaseSocial,Tabla_RaicesCulturales,Tablas!F185,FALSE)</f>
        <v>0</v>
      </c>
      <c r="AH172" s="3116">
        <f>IF(AND(E172="Historia",Personalización!$E$16="Historia (Local)"),20&amp;" "&amp;Personalización!$E$16,IF(E172=Personalización!$E$15,VLOOKUP(E172,Tablas!$L$136:$M$137,2,FALSE),IF(E172=Personalización!$E$16,VLOOKUP(E172,Tablas!$N$136:$O$137,2,FALSE),0)))</f>
        <v>0</v>
      </c>
      <c r="AI172" s="3116" t="b">
        <f>OR(ISNUMBER(FIND("(",AG172)),ISNUMBER(FIND("(",AH172)))</f>
        <v>0</v>
      </c>
      <c r="AJ172" s="3116" t="b">
        <f>AND(NOT(I172=""),OR(ISNUMBER(SEARCH(I172,AG172)),ISNUMBER(SEARCH(I172,AH172))))</f>
        <v>0</v>
      </c>
      <c r="AK172" s="3116"/>
      <c r="AL172" s="3096" t="e">
        <f t="shared" si="47"/>
        <v>#N/A</v>
      </c>
      <c r="AM172" s="3096"/>
      <c r="AN172" s="3096" t="e">
        <f t="shared" si="48"/>
        <v>#N/A</v>
      </c>
      <c r="AO172" s="3096"/>
      <c r="AP172" s="3096" t="e">
        <f t="shared" si="49"/>
        <v>#N/A</v>
      </c>
      <c r="AQ172" s="3085"/>
      <c r="AR172" s="3096" t="e">
        <f t="shared" si="50"/>
        <v>#N/A</v>
      </c>
      <c r="AS172" s="3085"/>
      <c r="AT172" s="3096" t="e">
        <f t="shared" si="51"/>
        <v>#N/A</v>
      </c>
      <c r="AU172" s="3085" t="str">
        <f t="shared" si="38"/>
        <v/>
      </c>
      <c r="AV172" s="3085"/>
    </row>
    <row r="173" spans="1:48" ht="12" customHeight="1" x14ac:dyDescent="0.2">
      <c r="A173" s="29"/>
      <c r="B173" s="819" t="str">
        <f t="shared" si="53"/>
        <v>Creativas</v>
      </c>
      <c r="C173" s="3627"/>
      <c r="D173" s="4100"/>
      <c r="E173" s="4007" t="s">
        <v>815</v>
      </c>
      <c r="F173" s="4008"/>
      <c r="G173" s="4008"/>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4"/>
      <c r="AE173" s="311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8">
        <f>IF(AF$126,IF(OR(Region="",ClaseSocial="",Personalización!$AN$9),0,IF(OR(AND(AI173,AJ173),AND(NOT(AI173),NOT(AJ173))),LEFT(AG173,2)+LEFT(AH173,2),IF(AND(AI173,NOT(AJ173)),LEFT(AH173,2),0))),0)</f>
        <v>0</v>
      </c>
      <c r="AG173" s="3084">
        <f>HLOOKUP(Region&amp;ClaseSocial,Tabla_RaicesCulturales,Tablas!F186,FALSE)</f>
        <v>0</v>
      </c>
      <c r="AH173" s="3116">
        <f>IF(AND(E173="Historia",Personalización!$E$16="Historia (Local)"),20&amp;" "&amp;Personalización!$E$16,IF(E173=Personalización!$E$15,VLOOKUP(E173,Tablas!$L$136:$M$137,2,FALSE),IF(E173=Personalización!$E$16,VLOOKUP(E173,Tablas!$N$136:$O$137,2,FALSE),0)))</f>
        <v>0</v>
      </c>
      <c r="AI173" s="3116" t="b">
        <f>OR(ISNUMBER(FIND("(",AG173)),ISNUMBER(FIND("(",AH173)))</f>
        <v>0</v>
      </c>
      <c r="AJ173" s="3116" t="b">
        <f>AND(NOT(I173=""),OR(ISNUMBER(SEARCH(I173,AG173)),ISNUMBER(SEARCH(I173,AH173))))</f>
        <v>0</v>
      </c>
      <c r="AK173" s="3116"/>
      <c r="AL173" s="3096" t="e">
        <f t="shared" si="47"/>
        <v>#N/A</v>
      </c>
      <c r="AM173" s="3096"/>
      <c r="AN173" s="3096" t="e">
        <f t="shared" si="48"/>
        <v>#N/A</v>
      </c>
      <c r="AO173" s="3096"/>
      <c r="AP173" s="3096" t="e">
        <f t="shared" si="49"/>
        <v>#N/A</v>
      </c>
      <c r="AQ173" s="3085"/>
      <c r="AR173" s="3096" t="e">
        <f t="shared" si="50"/>
        <v>#N/A</v>
      </c>
      <c r="AS173" s="3085"/>
      <c r="AT173" s="3096" t="e">
        <f t="shared" si="51"/>
        <v>#N/A</v>
      </c>
      <c r="AU173" s="3085" t="str">
        <f t="shared" si="38"/>
        <v/>
      </c>
      <c r="AV173" s="3085"/>
    </row>
    <row r="174" spans="1:48" ht="12" customHeight="1" x14ac:dyDescent="0.2">
      <c r="A174" s="29"/>
      <c r="B174" s="819" t="str">
        <f t="shared" si="53"/>
        <v>Creativas</v>
      </c>
      <c r="C174" s="3627"/>
      <c r="D174" s="4100"/>
      <c r="E174" s="4010" t="s">
        <v>1473</v>
      </c>
      <c r="F174" s="4011"/>
      <c r="G174" s="4011"/>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4">
        <f>Tablas!$K$1819</f>
        <v>0</v>
      </c>
      <c r="AE174" s="311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8">
        <f>IF(AF$126,IF(OR(Region="",ClaseSocial="",Personalización!$AN$9),0,IF(OR(AND(AI174,AJ174),AND(NOT(AI174),NOT(AJ174))),LEFT(AG174,2)+LEFT(AH174,2),IF(AND(AI174,NOT(AJ174)),LEFT(AH174,2),0))),0)</f>
        <v>0</v>
      </c>
      <c r="AG174" s="3084">
        <f>HLOOKUP(Region&amp;ClaseSocial,Tabla_RaicesCulturales,Tablas!F187,FALSE)</f>
        <v>0</v>
      </c>
      <c r="AH174" s="3116">
        <f>IF(AND(E174="Historia",Personalización!$E$16="Historia (Local)"),20&amp;" "&amp;Personalización!$E$16,IF(E174=Personalización!$E$15,VLOOKUP(E174,Tablas!$L$136:$M$137,2,FALSE),IF(E174=Personalización!$E$16,VLOOKUP(E174,Tablas!$N$136:$O$137,2,FALSE),0)))</f>
        <v>0</v>
      </c>
      <c r="AI174" s="3116" t="b">
        <f t="shared" si="45"/>
        <v>0</v>
      </c>
      <c r="AJ174" s="3116" t="b">
        <f t="shared" si="46"/>
        <v>0</v>
      </c>
      <c r="AK174" s="3116"/>
      <c r="AL174" s="3096" t="e">
        <f t="shared" si="47"/>
        <v>#N/A</v>
      </c>
      <c r="AM174" s="3096"/>
      <c r="AN174" s="3096" t="e">
        <f t="shared" si="48"/>
        <v>#N/A</v>
      </c>
      <c r="AO174" s="3096"/>
      <c r="AP174" s="3096" t="e">
        <f t="shared" si="49"/>
        <v>#N/A</v>
      </c>
      <c r="AQ174" s="3085"/>
      <c r="AR174" s="3096" t="e">
        <f t="shared" si="50"/>
        <v>#N/A</v>
      </c>
      <c r="AS174" s="3085"/>
      <c r="AT174" s="3096" t="e">
        <f t="shared" si="51"/>
        <v>#N/A</v>
      </c>
      <c r="AU174" s="3085" t="str">
        <f t="shared" si="38"/>
        <v/>
      </c>
      <c r="AV174" s="3085"/>
    </row>
    <row r="175" spans="1:48" ht="12" customHeight="1" x14ac:dyDescent="0.2">
      <c r="A175" s="29"/>
      <c r="B175" s="819" t="str">
        <f t="shared" si="53"/>
        <v>Creativas</v>
      </c>
      <c r="C175" s="3627"/>
      <c r="D175" s="4100"/>
      <c r="E175" s="4007" t="s">
        <v>1475</v>
      </c>
      <c r="F175" s="4008"/>
      <c r="G175" s="4008"/>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4">
        <f>IF(Tablas!$G$375&gt;0,30,0)</f>
        <v>0</v>
      </c>
      <c r="AE175" s="3116"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8">
        <f>IF(AF$126,IF(OR(Region="",ClaseSocial="",Personalización!$AN$9),0,IF(OR(AND(AI175,AJ175),AND(NOT(AI175),NOT(AJ175))),LEFT(AG175,2)+LEFT(AH175,2),IF(AND(AI175,NOT(AJ175)),LEFT(AH175,2),0))),0)</f>
        <v>0</v>
      </c>
      <c r="AG175" s="3084">
        <f>HLOOKUP(Region&amp;ClaseSocial,Tabla_RaicesCulturales,Tablas!F188,FALSE)</f>
        <v>0</v>
      </c>
      <c r="AH175" s="3116">
        <f>IF(AND(E175="Historia",Personalización!$E$16="Historia (Local)"),20&amp;" "&amp;Personalización!$E$16,IF(E175=Personalización!$E$15,VLOOKUP(E175,Tablas!$L$136:$M$137,2,FALSE),IF(E175=Personalización!$E$16,VLOOKUP(E175,Tablas!$N$136:$O$137,2,FALSE),0)))</f>
        <v>0</v>
      </c>
      <c r="AI175" s="3116" t="b">
        <f t="shared" si="45"/>
        <v>0</v>
      </c>
      <c r="AJ175" s="3116" t="b">
        <f t="shared" si="46"/>
        <v>0</v>
      </c>
      <c r="AK175" s="3116"/>
      <c r="AL175" s="3096" t="e">
        <f t="shared" si="47"/>
        <v>#N/A</v>
      </c>
      <c r="AM175" s="3096"/>
      <c r="AN175" s="3096" t="e">
        <f t="shared" si="48"/>
        <v>#N/A</v>
      </c>
      <c r="AO175" s="3096"/>
      <c r="AP175" s="3096" t="e">
        <f t="shared" si="49"/>
        <v>#N/A</v>
      </c>
      <c r="AQ175" s="3085"/>
      <c r="AR175" s="3096" t="e">
        <f t="shared" si="50"/>
        <v>#N/A</v>
      </c>
      <c r="AS175" s="3085"/>
      <c r="AT175" s="3096" t="e">
        <f t="shared" si="51"/>
        <v>#N/A</v>
      </c>
      <c r="AU175" s="3085" t="str">
        <f t="shared" si="38"/>
        <v/>
      </c>
      <c r="AV175" s="3085"/>
    </row>
    <row r="176" spans="1:48" ht="12" customHeight="1" x14ac:dyDescent="0.2">
      <c r="A176" s="29"/>
      <c r="B176" s="819" t="str">
        <f t="shared" si="53"/>
        <v>Creativas</v>
      </c>
      <c r="C176" s="3627"/>
      <c r="D176" s="4100"/>
      <c r="E176" s="4010" t="s">
        <v>6274</v>
      </c>
      <c r="F176" s="4011"/>
      <c r="G176" s="4011"/>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4"/>
      <c r="AE176" s="311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8">
        <f>IF(AF$126,IF(OR(Region="",ClaseSocial="",Personalización!$AN$9),0,IF(OR(AND(AI176,AJ176),AND(NOT(AI176),NOT(AJ176))),LEFT(AG176,2)+LEFT(AH176,2),IF(AND(AI176,NOT(AJ176)),LEFT(AH176,2),0))),0)</f>
        <v>0</v>
      </c>
      <c r="AG176" s="3084">
        <f>HLOOKUP(Region&amp;ClaseSocial,Tabla_RaicesCulturales,Tablas!F189,FALSE)</f>
        <v>0</v>
      </c>
      <c r="AH176" s="3116">
        <f>IF(AND(E176="Historia",Personalización!$E$16="Historia (Local)"),20&amp;" "&amp;Personalización!$E$16,IF(E176=Personalización!$E$15,VLOOKUP(E176,Tablas!$L$136:$M$137,2,FALSE),IF(E176=Personalización!$E$16,VLOOKUP(E176,Tablas!$N$136:$O$137,2,FALSE),0)))</f>
        <v>0</v>
      </c>
      <c r="AI176" s="3116" t="b">
        <f t="shared" si="45"/>
        <v>0</v>
      </c>
      <c r="AJ176" s="3116" t="b">
        <f t="shared" si="46"/>
        <v>0</v>
      </c>
      <c r="AK176" s="3116"/>
      <c r="AL176" s="3096" t="e">
        <f t="shared" si="47"/>
        <v>#N/A</v>
      </c>
      <c r="AM176" s="3096"/>
      <c r="AN176" s="3096" t="e">
        <f t="shared" si="48"/>
        <v>#N/A</v>
      </c>
      <c r="AO176" s="3096"/>
      <c r="AP176" s="3096" t="e">
        <f t="shared" si="49"/>
        <v>#N/A</v>
      </c>
      <c r="AQ176" s="3085"/>
      <c r="AR176" s="3096" t="e">
        <f t="shared" si="50"/>
        <v>#N/A</v>
      </c>
      <c r="AS176" s="3085"/>
      <c r="AT176" s="3096" t="e">
        <f t="shared" si="51"/>
        <v>#N/A</v>
      </c>
      <c r="AU176" s="3085" t="str">
        <f t="shared" si="38"/>
        <v/>
      </c>
      <c r="AV176" s="3085"/>
    </row>
    <row r="177" spans="1:48" ht="12" customHeight="1" x14ac:dyDescent="0.2">
      <c r="A177" s="29"/>
      <c r="B177" s="819" t="str">
        <f t="shared" si="53"/>
        <v>Creativas</v>
      </c>
      <c r="C177" s="3627"/>
      <c r="D177" s="4100"/>
      <c r="E177" s="4007" t="s">
        <v>6275</v>
      </c>
      <c r="F177" s="4008"/>
      <c r="G177" s="4008"/>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4"/>
      <c r="AE177" s="311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8">
        <f>IF(AF$126,IF(OR(Region="",ClaseSocial="",Personalización!$AN$9),0,IF(OR(AND(AI177,AJ177),AND(NOT(AI177),NOT(AJ177))),LEFT(AG177,2)+LEFT(AH177,2),IF(AND(AI177,NOT(AJ177)),LEFT(AH177,2),0))),0)</f>
        <v>0</v>
      </c>
      <c r="AG177" s="3084">
        <f>HLOOKUP(Region&amp;ClaseSocial,Tabla_RaicesCulturales,Tablas!F190,FALSE)</f>
        <v>0</v>
      </c>
      <c r="AH177" s="3116">
        <f>IF(AND(E177="Historia",Personalización!$E$16="Historia (Local)"),20&amp;" "&amp;Personalización!$E$16,IF(E177=Personalización!$E$15,VLOOKUP(E177,Tablas!$L$136:$M$137,2,FALSE),IF(E177=Personalización!$E$16,VLOOKUP(E177,Tablas!$N$136:$O$137,2,FALSE),0)))</f>
        <v>0</v>
      </c>
      <c r="AI177" s="3116" t="b">
        <f t="shared" si="45"/>
        <v>0</v>
      </c>
      <c r="AJ177" s="3116" t="b">
        <f t="shared" si="46"/>
        <v>0</v>
      </c>
      <c r="AK177" s="3116"/>
      <c r="AL177" s="3096" t="e">
        <f t="shared" si="47"/>
        <v>#N/A</v>
      </c>
      <c r="AM177" s="3096"/>
      <c r="AN177" s="3096" t="e">
        <f t="shared" si="48"/>
        <v>#N/A</v>
      </c>
      <c r="AO177" s="3096"/>
      <c r="AP177" s="3096" t="e">
        <f t="shared" si="49"/>
        <v>#N/A</v>
      </c>
      <c r="AQ177" s="3085"/>
      <c r="AR177" s="3096" t="e">
        <f t="shared" si="50"/>
        <v>#N/A</v>
      </c>
      <c r="AS177" s="3085"/>
      <c r="AT177" s="3096" t="e">
        <f t="shared" si="51"/>
        <v>#N/A</v>
      </c>
      <c r="AU177" s="3085" t="str">
        <f t="shared" si="38"/>
        <v/>
      </c>
      <c r="AV177" s="3085"/>
    </row>
    <row r="178" spans="1:48" ht="12" customHeight="1" x14ac:dyDescent="0.2">
      <c r="A178" s="29"/>
      <c r="B178" s="819" t="str">
        <f t="shared" si="53"/>
        <v>Creativas</v>
      </c>
      <c r="C178" s="3627"/>
      <c r="D178" s="4100"/>
      <c r="E178" s="4010" t="s">
        <v>6276</v>
      </c>
      <c r="F178" s="4011"/>
      <c r="G178" s="4011"/>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4"/>
      <c r="AE178" s="311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8">
        <f>IF(AF$126,IF(OR(Region="",ClaseSocial="",Personalización!$AN$9),0,IF(OR(AND(AI178,AJ178),AND(NOT(AI178),NOT(AJ178))),LEFT(AG178,2)+LEFT(AH178,2),IF(AND(AI178,NOT(AJ178)),LEFT(AH178,2),0))),0)</f>
        <v>0</v>
      </c>
      <c r="AG178" s="3084">
        <f>HLOOKUP(Region&amp;ClaseSocial,Tabla_RaicesCulturales,Tablas!F191,FALSE)</f>
        <v>0</v>
      </c>
      <c r="AH178" s="3116">
        <f>IF(AND(E178="Historia",Personalización!$E$16="Historia (Local)"),20&amp;" "&amp;Personalización!$E$16,IF(E178=Personalización!$E$15,VLOOKUP(E178,Tablas!$L$136:$M$137,2,FALSE),IF(E178=Personalización!$E$16,VLOOKUP(E178,Tablas!$N$136:$O$137,2,FALSE),0)))</f>
        <v>0</v>
      </c>
      <c r="AI178" s="3116" t="b">
        <f t="shared" si="45"/>
        <v>0</v>
      </c>
      <c r="AJ178" s="3116" t="b">
        <f t="shared" si="46"/>
        <v>0</v>
      </c>
      <c r="AK178" s="3116"/>
      <c r="AL178" s="3096" t="e">
        <f t="shared" si="47"/>
        <v>#N/A</v>
      </c>
      <c r="AM178" s="3096"/>
      <c r="AN178" s="3096" t="e">
        <f t="shared" si="48"/>
        <v>#N/A</v>
      </c>
      <c r="AO178" s="3096"/>
      <c r="AP178" s="3096" t="e">
        <f t="shared" si="49"/>
        <v>#N/A</v>
      </c>
      <c r="AQ178" s="3085"/>
      <c r="AR178" s="3096" t="e">
        <f t="shared" si="50"/>
        <v>#N/A</v>
      </c>
      <c r="AS178" s="3085"/>
      <c r="AT178" s="3096" t="e">
        <f t="shared" si="51"/>
        <v>#N/A</v>
      </c>
      <c r="AU178" s="3085" t="str">
        <f t="shared" si="38"/>
        <v/>
      </c>
      <c r="AV178" s="3085"/>
    </row>
    <row r="179" spans="1:48" ht="12" customHeight="1" x14ac:dyDescent="0.2">
      <c r="A179" s="29"/>
      <c r="B179" s="819" t="str">
        <f t="shared" si="53"/>
        <v>Creativas</v>
      </c>
      <c r="C179" s="3627"/>
      <c r="D179" s="4100"/>
      <c r="E179" s="4007" t="s">
        <v>6277</v>
      </c>
      <c r="F179" s="4008"/>
      <c r="G179" s="4008"/>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4"/>
      <c r="AE179" s="311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8">
        <f>IF(AF$126,IF(OR(Region="",ClaseSocial="",Personalización!$AN$9),0,IF(OR(AND(AI179,AJ179),AND(NOT(AI179),NOT(AJ179))),LEFT(AG179,2)+LEFT(AH179,2),IF(AND(AI179,NOT(AJ179)),LEFT(AH179,2),0))),0)</f>
        <v>0</v>
      </c>
      <c r="AG179" s="3084">
        <f>HLOOKUP(Region&amp;ClaseSocial,Tabla_RaicesCulturales,Tablas!F192,FALSE)</f>
        <v>0</v>
      </c>
      <c r="AH179" s="3116">
        <f>IF(AND(E179="Historia",Personalización!$E$16="Historia (Local)"),20&amp;" "&amp;Personalización!$E$16,IF(E179=Personalización!$E$15,VLOOKUP(E179,Tablas!$L$136:$M$137,2,FALSE),IF(E179=Personalización!$E$16,VLOOKUP(E179,Tablas!$N$136:$O$137,2,FALSE),0)))</f>
        <v>0</v>
      </c>
      <c r="AI179" s="3116" t="b">
        <f t="shared" si="45"/>
        <v>0</v>
      </c>
      <c r="AJ179" s="3116" t="b">
        <f t="shared" si="46"/>
        <v>0</v>
      </c>
      <c r="AK179" s="3116"/>
      <c r="AL179" s="3096" t="e">
        <f t="shared" si="47"/>
        <v>#N/A</v>
      </c>
      <c r="AM179" s="3096"/>
      <c r="AN179" s="3096" t="e">
        <f t="shared" si="48"/>
        <v>#N/A</v>
      </c>
      <c r="AO179" s="3096"/>
      <c r="AP179" s="3096" t="e">
        <f t="shared" si="49"/>
        <v>#N/A</v>
      </c>
      <c r="AQ179" s="3085"/>
      <c r="AR179" s="3096" t="e">
        <f t="shared" si="50"/>
        <v>#N/A</v>
      </c>
      <c r="AS179" s="3085"/>
      <c r="AT179" s="3096" t="e">
        <f t="shared" si="51"/>
        <v>#N/A</v>
      </c>
      <c r="AU179" s="3085" t="str">
        <f t="shared" si="38"/>
        <v/>
      </c>
      <c r="AV179" s="3085"/>
    </row>
    <row r="180" spans="1:48" ht="12" customHeight="1" x14ac:dyDescent="0.2">
      <c r="A180" s="29"/>
      <c r="B180" s="819">
        <f>IF(OR(U180="FUE",U180="CON",U180="DES",U180="AGI"),1,IF(OR(U180="INT",U180="POD",U180="VOL",U180="PER"),2,0))</f>
        <v>0</v>
      </c>
      <c r="C180" s="3627"/>
      <c r="D180" s="2415"/>
      <c r="E180" s="4128"/>
      <c r="F180" s="4129"/>
      <c r="G180" s="4129"/>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4"/>
      <c r="AE180" s="3108"/>
      <c r="AF180" s="3108"/>
      <c r="AG180" s="3116"/>
      <c r="AH180" s="3116" t="s">
        <v>1455</v>
      </c>
      <c r="AI180" s="3116"/>
      <c r="AJ180" s="3116"/>
      <c r="AK180" s="3116"/>
      <c r="AL180" s="3096"/>
      <c r="AM180" s="3096"/>
      <c r="AN180" s="3096"/>
      <c r="AO180" s="3096"/>
      <c r="AP180" s="3096"/>
      <c r="AQ180" s="3085"/>
      <c r="AR180" s="3085"/>
      <c r="AS180" s="3085"/>
      <c r="AT180" s="3085"/>
      <c r="AU180" s="3085"/>
      <c r="AV180" s="3085"/>
    </row>
    <row r="181" spans="1:48" ht="12" customHeight="1" x14ac:dyDescent="0.2">
      <c r="A181" s="29"/>
      <c r="B181" s="819">
        <f>IF(OR(U181="FUE",U181="CON",U181="DES",U181="AGI"),1,IF(OR(U181="INT",U181="POD",U181="VOL",U181="PER"),2,0))</f>
        <v>0</v>
      </c>
      <c r="C181" s="3627"/>
      <c r="D181" s="2416"/>
      <c r="E181" s="4130"/>
      <c r="F181" s="4131"/>
      <c r="G181" s="4131"/>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4"/>
      <c r="AE181" s="3116"/>
      <c r="AF181" s="3108"/>
      <c r="AG181" s="3116"/>
      <c r="AH181" s="3116" t="s">
        <v>7089</v>
      </c>
      <c r="AI181" s="3116" t="s">
        <v>1403</v>
      </c>
      <c r="AJ181" s="3116"/>
      <c r="AK181" s="3116"/>
      <c r="AL181" s="3096"/>
      <c r="AM181" s="3096"/>
      <c r="AN181" s="3096"/>
      <c r="AO181" s="3096"/>
      <c r="AP181" s="3096"/>
      <c r="AQ181" s="3085"/>
      <c r="AR181" s="3085"/>
      <c r="AS181" s="3085"/>
      <c r="AT181" s="3085"/>
      <c r="AU181" s="3085"/>
      <c r="AV181" s="3085"/>
    </row>
    <row r="182" spans="1:48" ht="12" customHeight="1" x14ac:dyDescent="0.2">
      <c r="A182" s="9"/>
      <c r="B182" s="819">
        <f>IF(OR(U182="FUE",U182="CON",U182="DES",U182="AGI"),1,IF(OR(U182="INT",U182="POD",U182="VOL",U182="PER"),2,0))</f>
        <v>0</v>
      </c>
      <c r="C182" s="3627"/>
      <c r="D182" s="2417"/>
      <c r="E182" s="4132"/>
      <c r="F182" s="4133"/>
      <c r="G182" s="4133"/>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4"/>
      <c r="AE182" s="3116"/>
      <c r="AF182" s="3108"/>
      <c r="AG182" s="3116"/>
      <c r="AH182" s="3116" t="s">
        <v>7085</v>
      </c>
      <c r="AI182" s="3116" t="s">
        <v>1421</v>
      </c>
      <c r="AJ182" s="3116"/>
      <c r="AK182" s="3116"/>
      <c r="AL182" s="3096"/>
      <c r="AM182" s="3096"/>
      <c r="AN182" s="3096"/>
      <c r="AO182" s="3096"/>
      <c r="AP182" s="3096"/>
      <c r="AQ182" s="3085"/>
      <c r="AR182" s="3085"/>
      <c r="AS182" s="3085"/>
      <c r="AT182" s="3085"/>
      <c r="AU182" s="3085"/>
      <c r="AV182" s="3085"/>
    </row>
    <row r="183" spans="1:48" ht="12" customHeight="1" x14ac:dyDescent="0.2">
      <c r="A183" s="9"/>
      <c r="B183" s="819">
        <f>IF(OR(U183="FUE",U183="CON",U183="DES",U183="AGI"),1,IF(OR(U183="INT",U183="POD",U183="VOL",U183="PER"),2,0))</f>
        <v>0</v>
      </c>
      <c r="C183" s="3627"/>
      <c r="D183" s="2416"/>
      <c r="E183" s="4130"/>
      <c r="F183" s="4131"/>
      <c r="G183" s="4131"/>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4"/>
      <c r="AE183" s="3116"/>
      <c r="AF183" s="3108"/>
      <c r="AG183" s="3116"/>
      <c r="AH183" s="3116" t="s">
        <v>7090</v>
      </c>
      <c r="AI183" s="3116" t="s">
        <v>7072</v>
      </c>
      <c r="AJ183" s="3116"/>
      <c r="AK183" s="3116"/>
      <c r="AL183" s="3096"/>
      <c r="AM183" s="3096"/>
      <c r="AN183" s="3096"/>
      <c r="AO183" s="3096"/>
      <c r="AP183" s="3096"/>
      <c r="AQ183" s="3085"/>
      <c r="AR183" s="3085"/>
      <c r="AS183" s="3085"/>
      <c r="AT183" s="3085"/>
      <c r="AU183" s="3085"/>
      <c r="AV183" s="3085"/>
    </row>
    <row r="184" spans="1:48" ht="12" customHeight="1" x14ac:dyDescent="0.2">
      <c r="A184" s="9"/>
      <c r="B184" s="819">
        <f>IF(OR(U184="FUE",U184="CON",U184="DES",U184="AGI"),1,IF(OR(U184="INT",U184="POD",U184="VOL",U184="PER"),2,0))</f>
        <v>0</v>
      </c>
      <c r="C184" s="3627"/>
      <c r="D184" s="2418"/>
      <c r="E184" s="4143"/>
      <c r="F184" s="4144"/>
      <c r="G184" s="4144"/>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4"/>
      <c r="AE184" s="3116"/>
      <c r="AF184" s="3108"/>
      <c r="AG184" s="3116"/>
      <c r="AH184" s="3116" t="s">
        <v>7086</v>
      </c>
      <c r="AI184" s="3116" t="s">
        <v>1434</v>
      </c>
      <c r="AJ184" s="3116"/>
      <c r="AK184" s="3116"/>
      <c r="AL184" s="3096"/>
      <c r="AM184" s="3096"/>
      <c r="AN184" s="3096"/>
      <c r="AO184" s="3096"/>
      <c r="AP184" s="3096"/>
      <c r="AQ184" s="3085"/>
      <c r="AR184" s="3085"/>
      <c r="AS184" s="3085"/>
      <c r="AT184" s="3085"/>
      <c r="AU184" s="3085"/>
      <c r="AV184" s="3085"/>
    </row>
    <row r="185" spans="1:48" ht="12" customHeight="1" thickBot="1" x14ac:dyDescent="0.25">
      <c r="A185" s="9"/>
      <c r="B185" s="819"/>
      <c r="C185" s="3627"/>
      <c r="D185" s="3853" t="str">
        <f>IF($AF$126,"Raíces culturales ("&amp;IF(General!$I$26&lt;&gt;"",General!$I$26&amp;" ","#Región ")&amp;IF(General!$N$26&lt;&gt;"",General!$N$26,"#Clase social")&amp;") aplicadas:","")</f>
        <v/>
      </c>
      <c r="E185" s="3854"/>
      <c r="F185" s="3854"/>
      <c r="G185" s="3854"/>
      <c r="H185" s="3854"/>
      <c r="I185" s="3854"/>
      <c r="J185" s="3854"/>
      <c r="K185" s="3854"/>
      <c r="L185" s="3854"/>
      <c r="M185" s="3854"/>
      <c r="N185" s="3854"/>
      <c r="O185" s="3854"/>
      <c r="P185" s="3854"/>
      <c r="Q185" s="3854"/>
      <c r="R185" s="3854"/>
      <c r="S185" s="3854"/>
      <c r="T185" s="3852" t="s">
        <v>1539</v>
      </c>
      <c r="U185" s="3852"/>
      <c r="V185" s="3852"/>
      <c r="W185" s="3852"/>
      <c r="X185" s="3852"/>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85" t="str">
        <f>LEFT(AA185,FIND("+",AA185)-2)</f>
        <v>1</v>
      </c>
      <c r="AE185" s="311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8"/>
      <c r="AG185" s="3116"/>
      <c r="AH185" s="3116" t="s">
        <v>1448</v>
      </c>
      <c r="AI185" s="3116" t="s">
        <v>1448</v>
      </c>
      <c r="AJ185" s="3116"/>
      <c r="AK185" s="3116"/>
      <c r="AL185" s="3096"/>
      <c r="AM185" s="3096"/>
      <c r="AN185" s="3096"/>
      <c r="AO185" s="3096"/>
      <c r="AP185" s="3096"/>
      <c r="AQ185" s="3085"/>
      <c r="AR185" s="3085"/>
      <c r="AS185" s="3085"/>
      <c r="AT185" s="3085"/>
      <c r="AU185" s="3085"/>
      <c r="AV185" s="3085"/>
    </row>
    <row r="186" spans="1:48" ht="12" customHeight="1" x14ac:dyDescent="0.2">
      <c r="A186" s="9"/>
      <c r="B186" s="819"/>
      <c r="C186" s="3627"/>
      <c r="D186" s="4139" t="str">
        <f>IF(AE185="","",LEFT(AE185,LEN(AE185)-2))</f>
        <v/>
      </c>
      <c r="E186" s="4140"/>
      <c r="F186" s="4140"/>
      <c r="G186" s="4140"/>
      <c r="H186" s="4140"/>
      <c r="I186" s="4140"/>
      <c r="J186" s="4140"/>
      <c r="K186" s="4140"/>
      <c r="L186" s="4140"/>
      <c r="M186" s="4140"/>
      <c r="N186" s="4140"/>
      <c r="O186" s="4140"/>
      <c r="P186" s="4140"/>
      <c r="Q186" s="4140"/>
      <c r="R186" s="4140"/>
      <c r="S186" s="4140"/>
      <c r="T186" s="3907" t="s">
        <v>1541</v>
      </c>
      <c r="U186" s="3907"/>
      <c r="V186" s="3907"/>
      <c r="W186" s="3907"/>
      <c r="X186" s="3907"/>
      <c r="Y186" s="74">
        <f>SUM($X129:$X184)</f>
        <v>0</v>
      </c>
      <c r="Z186" s="73" t="s">
        <v>1540</v>
      </c>
      <c r="AA186" s="500">
        <f>IF(Nivel_Total=0,5,Nivel_Total*5)</f>
        <v>5</v>
      </c>
      <c r="AB186" s="1727" t="str">
        <f>RIGHT(Y185,LEN(Y185)-FIND("+",Y185)-1)</f>
        <v>0</v>
      </c>
      <c r="AC186" s="841"/>
      <c r="AD186" s="3085" t="str">
        <f>RIGHT(AA185,LEN(AA185)-FIND("+",AA185)-1)</f>
        <v>1</v>
      </c>
      <c r="AE186" s="3116"/>
      <c r="AF186" s="3108"/>
      <c r="AG186" s="3116"/>
      <c r="AH186" s="3116" t="s">
        <v>7087</v>
      </c>
      <c r="AI186" s="3116" t="s">
        <v>1456</v>
      </c>
      <c r="AJ186" s="3116"/>
      <c r="AK186" s="3116"/>
      <c r="AL186" s="3096"/>
      <c r="AM186" s="3096"/>
      <c r="AN186" s="3096"/>
      <c r="AO186" s="3096"/>
      <c r="AP186" s="3096"/>
      <c r="AQ186" s="3085"/>
      <c r="AR186" s="3085"/>
      <c r="AS186" s="3085"/>
      <c r="AT186" s="3085"/>
      <c r="AU186" s="3085"/>
      <c r="AV186" s="3085"/>
    </row>
    <row r="187" spans="1:48" ht="12" customHeight="1" x14ac:dyDescent="0.2">
      <c r="A187" s="9"/>
      <c r="B187" s="819"/>
      <c r="C187" s="3627"/>
      <c r="D187" s="4141"/>
      <c r="E187" s="3179"/>
      <c r="F187" s="3179"/>
      <c r="G187" s="3179"/>
      <c r="H187" s="3179"/>
      <c r="I187" s="3179"/>
      <c r="J187" s="3179"/>
      <c r="K187" s="3179"/>
      <c r="L187" s="3179"/>
      <c r="M187" s="3179"/>
      <c r="N187" s="3179"/>
      <c r="O187" s="3179"/>
      <c r="P187" s="3179"/>
      <c r="Q187" s="3179"/>
      <c r="R187" s="3179"/>
      <c r="S187" s="3179"/>
      <c r="T187" s="3846" t="s">
        <v>1542</v>
      </c>
      <c r="U187" s="3846"/>
      <c r="V187" s="3846"/>
      <c r="W187" s="3846"/>
      <c r="X187" s="3846"/>
      <c r="Y187" s="75">
        <f>SUM($Y129:$Y184)</f>
        <v>0</v>
      </c>
      <c r="Z187" s="76" t="s">
        <v>1540</v>
      </c>
      <c r="AA187" s="501">
        <f>SUM(AF6:AF10)</f>
        <v>0</v>
      </c>
      <c r="AB187" s="1733"/>
      <c r="AC187" s="841"/>
      <c r="AD187" s="3084"/>
      <c r="AE187" s="3116"/>
      <c r="AF187" s="3108"/>
      <c r="AG187" s="3116"/>
      <c r="AH187" s="3116" t="s">
        <v>7088</v>
      </c>
      <c r="AI187" s="3116" t="s">
        <v>1469</v>
      </c>
      <c r="AJ187" s="3116"/>
      <c r="AK187" s="3116"/>
      <c r="AL187" s="3096"/>
      <c r="AM187" s="3096"/>
      <c r="AN187" s="3096"/>
      <c r="AO187" s="3096"/>
      <c r="AP187" s="3096"/>
      <c r="AQ187" s="3085"/>
      <c r="AR187" s="3085"/>
      <c r="AS187" s="3085"/>
      <c r="AT187" s="3085"/>
      <c r="AU187" s="3085"/>
      <c r="AV187" s="3085"/>
    </row>
    <row r="188" spans="1:48" ht="12" customHeight="1" x14ac:dyDescent="0.2">
      <c r="A188" s="9"/>
      <c r="B188" s="819"/>
      <c r="C188" s="3627"/>
      <c r="D188" s="4137" t="s">
        <v>1543</v>
      </c>
      <c r="E188" s="4124" t="str">
        <f>IF(Acumulacion="Sí","Múltiplos de Acumulación","Múltiplos de Vida")</f>
        <v>Múltiplos de Vida</v>
      </c>
      <c r="F188" s="4125"/>
      <c r="G188" s="4125"/>
      <c r="H188" s="4125"/>
      <c r="I188" s="4126"/>
      <c r="J188" s="4134">
        <f>IF(Acumulacion="Sí","X",IF(Categoría_1=0,0,VLOOKUP(Categoría_1,Tabla_Categorías,4,FALSE)))</f>
        <v>0</v>
      </c>
      <c r="K188" s="4103"/>
      <c r="L188" s="4134">
        <f>IF(Acumulacion="Sí","X",IF(Categoría_2=0,0,VLOOKUP(Categoría_2,Tabla_Categorías,4,FALSE)))</f>
        <v>0</v>
      </c>
      <c r="M188" s="4103"/>
      <c r="N188" s="4134">
        <f>IF(Acumulacion="Sí","X",IF(Categoría_3=0,0,VLOOKUP(Categoría_3,Tabla_Categorías,4,FALSE)))</f>
        <v>0</v>
      </c>
      <c r="O188" s="4103"/>
      <c r="P188" s="4134">
        <f>IF(Acumulacion="Sí","X",IF(Categoría_4=0,0,VLOOKUP(Categoría_4,Tabla_Categorías,4,FALSE)))</f>
        <v>0</v>
      </c>
      <c r="Q188" s="4103"/>
      <c r="R188" s="4134">
        <f>IF(Acumulacion="Sí","X",IF(Categoría_5=0,0,VLOOKUP(Categoría_5,Tabla_Categorías,4,FALSE)))</f>
        <v>0</v>
      </c>
      <c r="S188" s="4103"/>
      <c r="T188" s="4120">
        <f>IF(Acumulacion="Sí",IF(Tablas!$S$1739&gt;0,Tablas!$S$1739,VLOOKUP(Tamaño,Tabla_CreaciónSeres,5)),IF(J188=0,0,TRUNC((K188/J188),0))+IF(L188=0,0,TRUNC((M188/L188),0))+IF(N188=0,0,TRUNC((O188/N188),0))+IF(P188=0,0,TRUNC((Q188/P188),0))+IF(R188=0,0,TRUNC((S188/R188),0)))</f>
        <v>0</v>
      </c>
      <c r="U188" s="4097">
        <f>20+CON*10+Bono_Con</f>
        <v>20</v>
      </c>
      <c r="V188" s="4097">
        <f>(HLOOKUP("PV",Bonos_Cat_Base,2,FALSE)+(10*Tablas!$G$356+20*Tablas!$G$357+30*Tablas!$G$358)*Nivel_Total)*IF(Acumulacion="Sí",IF(Tablas!$S$1739&gt;0,Tablas!$S$1739,VLOOKUP(Tamaño,Tabla_CreaciónSeres,5)),1)</f>
        <v>0</v>
      </c>
      <c r="W188" s="4122">
        <f>IF(Acumulacion="Sí",T188*(K188+M188+O188+Q188+S188),T188*CON)</f>
        <v>0</v>
      </c>
      <c r="X188" s="4112"/>
      <c r="Y188" s="4113"/>
      <c r="Z188" s="4116">
        <f>U188+W188+V188+X188</f>
        <v>20</v>
      </c>
      <c r="AA188" s="4117"/>
      <c r="AB188" s="1727"/>
      <c r="AC188" s="841"/>
      <c r="AD188" s="3084"/>
      <c r="AE188" s="3116"/>
      <c r="AF188" s="3108"/>
      <c r="AG188" s="3116"/>
      <c r="AH188" s="3116"/>
      <c r="AI188" s="3116"/>
      <c r="AJ188" s="3116"/>
      <c r="AK188" s="3116"/>
      <c r="AL188" s="3096"/>
      <c r="AM188" s="3096"/>
      <c r="AN188" s="3096"/>
      <c r="AO188" s="3096"/>
      <c r="AP188" s="3096"/>
      <c r="AQ188" s="3085"/>
      <c r="AR188" s="3085"/>
      <c r="AS188" s="3085"/>
      <c r="AT188" s="3085"/>
      <c r="AU188" s="3085"/>
      <c r="AV188" s="3085"/>
    </row>
    <row r="189" spans="1:48" ht="12" customHeight="1" thickBot="1" x14ac:dyDescent="0.25">
      <c r="A189" s="9"/>
      <c r="B189" s="819"/>
      <c r="C189" s="3627"/>
      <c r="D189" s="4138"/>
      <c r="E189" s="4121"/>
      <c r="F189" s="4098"/>
      <c r="G189" s="4098"/>
      <c r="H189" s="4098"/>
      <c r="I189" s="4127"/>
      <c r="J189" s="4135"/>
      <c r="K189" s="4104"/>
      <c r="L189" s="4135"/>
      <c r="M189" s="4104"/>
      <c r="N189" s="4135"/>
      <c r="O189" s="4104"/>
      <c r="P189" s="4135"/>
      <c r="Q189" s="4104"/>
      <c r="R189" s="4135"/>
      <c r="S189" s="4104"/>
      <c r="T189" s="4121"/>
      <c r="U189" s="4098"/>
      <c r="V189" s="4098"/>
      <c r="W189" s="4123"/>
      <c r="X189" s="4114"/>
      <c r="Y189" s="4115"/>
      <c r="Z189" s="4118"/>
      <c r="AA189" s="4119"/>
      <c r="AB189" s="1734"/>
      <c r="AC189" s="841"/>
      <c r="AD189" s="3084"/>
      <c r="AE189" s="3116"/>
      <c r="AF189" s="3108"/>
      <c r="AG189" s="3116"/>
      <c r="AH189" s="3116"/>
      <c r="AI189" s="3116"/>
      <c r="AJ189" s="3116"/>
      <c r="AK189" s="3116"/>
      <c r="AL189" s="3096"/>
      <c r="AM189" s="3096"/>
      <c r="AN189" s="3096"/>
      <c r="AO189" s="3096"/>
      <c r="AP189" s="3096"/>
      <c r="AQ189" s="3085"/>
      <c r="AR189" s="3085"/>
      <c r="AS189" s="3085"/>
      <c r="AT189" s="3085"/>
      <c r="AU189" s="3085"/>
      <c r="AV189" s="3085"/>
    </row>
    <row r="190" spans="1:48" ht="12" customHeight="1" x14ac:dyDescent="0.2">
      <c r="A190" s="9"/>
      <c r="B190" s="921"/>
      <c r="C190" s="3627"/>
      <c r="D190" s="3999" t="s">
        <v>10000</v>
      </c>
      <c r="E190" s="3999"/>
      <c r="F190" s="3999"/>
      <c r="G190" s="3999"/>
      <c r="H190" s="3999"/>
      <c r="I190" s="4052"/>
      <c r="J190" s="3985">
        <f>$T$7</f>
        <v>400</v>
      </c>
      <c r="K190" s="4111">
        <f>K188+SUM(K129:K184)</f>
        <v>0</v>
      </c>
      <c r="L190" s="3985">
        <f>IF(Categoría_2=0,0,$T$9)</f>
        <v>0</v>
      </c>
      <c r="M190" s="4111">
        <f>(M188+SUM(M129:M184))*IF(Categoría_2=0,0,1)</f>
        <v>0</v>
      </c>
      <c r="N190" s="3985">
        <f>IF(Categoría_3=0,0,$T$11)</f>
        <v>0</v>
      </c>
      <c r="O190" s="4111">
        <f>(O188+SUM(O129:O184))*IF(Categoría_3=0,0,1)</f>
        <v>0</v>
      </c>
      <c r="P190" s="3985">
        <f>IF(Categoría_4=0,0,$T$13)</f>
        <v>0</v>
      </c>
      <c r="Q190" s="4111">
        <f>(Q188+SUM(Q129:Q184))*IF(Categoría_4=0,0,1)</f>
        <v>0</v>
      </c>
      <c r="R190" s="3985">
        <f>IF(Categoría_5=0,0,$T$15)</f>
        <v>0</v>
      </c>
      <c r="S190" s="4111">
        <f>(S188+SUM(S129:S184))*IF(Categoría_5=0,0,1)</f>
        <v>0</v>
      </c>
      <c r="T190" s="3872"/>
      <c r="U190" s="3873"/>
      <c r="V190" s="3873"/>
      <c r="W190" s="3873"/>
      <c r="X190" s="3873"/>
      <c r="Y190" s="3873"/>
      <c r="Z190" s="3873"/>
      <c r="AA190" s="3874"/>
      <c r="AB190" s="1727"/>
      <c r="AC190" s="841"/>
      <c r="AD190" s="3084"/>
      <c r="AE190" s="3116"/>
      <c r="AF190" s="3108"/>
      <c r="AG190" s="3116"/>
      <c r="AH190" s="3116"/>
      <c r="AI190" s="3116"/>
      <c r="AJ190" s="3116"/>
      <c r="AK190" s="3116"/>
      <c r="AL190" s="3096"/>
      <c r="AM190" s="3096"/>
      <c r="AN190" s="3096"/>
      <c r="AO190" s="3096"/>
      <c r="AP190" s="3096"/>
      <c r="AQ190" s="3085"/>
      <c r="AR190" s="3085"/>
      <c r="AS190" s="3085"/>
      <c r="AT190" s="3085"/>
      <c r="AU190" s="3085"/>
      <c r="AV190" s="3085"/>
    </row>
    <row r="191" spans="1:48" ht="12" customHeight="1" thickBot="1" x14ac:dyDescent="0.25">
      <c r="A191" s="9"/>
      <c r="B191" s="921"/>
      <c r="C191" s="3628"/>
      <c r="D191" s="4002"/>
      <c r="E191" s="4002"/>
      <c r="F191" s="4002"/>
      <c r="G191" s="4002"/>
      <c r="H191" s="4002"/>
      <c r="I191" s="4053"/>
      <c r="J191" s="3986"/>
      <c r="K191" s="3957"/>
      <c r="L191" s="3986"/>
      <c r="M191" s="3957"/>
      <c r="N191" s="3986"/>
      <c r="O191" s="3957"/>
      <c r="P191" s="3986"/>
      <c r="Q191" s="3957"/>
      <c r="R191" s="3986"/>
      <c r="S191" s="3957"/>
      <c r="T191" s="3875"/>
      <c r="U191" s="3876"/>
      <c r="V191" s="3876"/>
      <c r="W191" s="3876"/>
      <c r="X191" s="3876"/>
      <c r="Y191" s="3876"/>
      <c r="Z191" s="3876"/>
      <c r="AA191" s="3877"/>
      <c r="AB191" s="1727"/>
      <c r="AC191" s="841"/>
      <c r="AD191" s="3084"/>
      <c r="AE191" s="3116"/>
      <c r="AF191" s="3108"/>
      <c r="AG191" s="3116"/>
      <c r="AH191" s="3116"/>
      <c r="AI191" s="3116"/>
      <c r="AJ191" s="3116"/>
      <c r="AK191" s="3116"/>
      <c r="AL191" s="3096"/>
      <c r="AM191" s="3096"/>
      <c r="AN191" s="3096"/>
      <c r="AO191" s="3096"/>
      <c r="AP191" s="3096"/>
      <c r="AQ191" s="3085"/>
      <c r="AR191" s="3085"/>
      <c r="AS191" s="3085"/>
      <c r="AT191" s="3085"/>
      <c r="AU191" s="3085"/>
      <c r="AV191" s="3085"/>
    </row>
    <row r="192" spans="1:48" ht="12" customHeight="1" x14ac:dyDescent="0.2">
      <c r="A192" s="9"/>
      <c r="B192" s="921"/>
      <c r="AB192" s="1727"/>
      <c r="AC192" s="841"/>
      <c r="AD192" s="3084"/>
      <c r="AE192" s="3116"/>
      <c r="AF192" s="3108"/>
      <c r="AG192" s="3116"/>
      <c r="AH192" s="3116"/>
      <c r="AI192" s="3116"/>
      <c r="AJ192" s="3116"/>
      <c r="AK192" s="3116"/>
      <c r="AL192" s="3096"/>
      <c r="AM192" s="3096"/>
      <c r="AN192" s="3096"/>
      <c r="AO192" s="3096"/>
      <c r="AP192" s="3096"/>
      <c r="AQ192" s="3085"/>
      <c r="AR192" s="3085"/>
      <c r="AS192" s="3085"/>
      <c r="AT192" s="3085"/>
      <c r="AU192" s="3085"/>
      <c r="AV192" s="3085"/>
    </row>
    <row r="193" spans="1:48" ht="12" customHeight="1" thickBot="1" x14ac:dyDescent="0.25">
      <c r="A193" s="9"/>
      <c r="B193" s="819"/>
      <c r="AB193" s="1727"/>
      <c r="AC193" s="841"/>
      <c r="AD193" s="3084"/>
      <c r="AE193" s="3116"/>
      <c r="AF193" s="3108"/>
      <c r="AG193" s="3116"/>
      <c r="AH193" s="3116"/>
      <c r="AI193" s="3116"/>
      <c r="AJ193" s="3116"/>
      <c r="AK193" s="3116"/>
      <c r="AL193" s="3096"/>
      <c r="AM193" s="3096"/>
      <c r="AN193" s="3096"/>
      <c r="AO193" s="3096"/>
      <c r="AP193" s="3096"/>
      <c r="AQ193" s="3085"/>
      <c r="AR193" s="3085"/>
      <c r="AS193" s="3085"/>
      <c r="AT193" s="3085"/>
      <c r="AU193" s="3085"/>
      <c r="AV193" s="3085"/>
    </row>
    <row r="194" spans="1:48" ht="12" customHeight="1" x14ac:dyDescent="0.2">
      <c r="A194" s="9"/>
      <c r="B194" s="819"/>
      <c r="C194" s="3998" t="s">
        <v>1544</v>
      </c>
      <c r="D194" s="3999"/>
      <c r="E194" s="3999"/>
      <c r="F194" s="3999"/>
      <c r="G194" s="3999"/>
      <c r="H194" s="3999"/>
      <c r="I194" s="4052"/>
      <c r="J194" s="3985">
        <f>$T$7</f>
        <v>400</v>
      </c>
      <c r="K194" s="4111">
        <f>M86+M104+M120+K190+Z7+W20</f>
        <v>0</v>
      </c>
      <c r="L194" s="3985">
        <f>IF(Categoría_2=0,0,$T$9)</f>
        <v>0</v>
      </c>
      <c r="M194" s="3956">
        <f>IF(Categoría_2="",0,O86+O104+O120+M190+IF(Limite_Primarias_Individual,0,-1)*(M86+M104+M120)+AA7+Z9+X20)</f>
        <v>0</v>
      </c>
      <c r="N194" s="3985">
        <f>IF(Categoría_3=0,0,$T$11)</f>
        <v>0</v>
      </c>
      <c r="O194" s="3956">
        <f>IF(Categoría_3="",0,Q86+Q104+Q120+O190+IF(Limite_Primarias_Individual,0,-1)*(O86+O104+O120)+AA9+Z11+Y20)</f>
        <v>0</v>
      </c>
      <c r="P194" s="3985">
        <f>IF(Categoría_4=0,0,$T$13)</f>
        <v>0</v>
      </c>
      <c r="Q194" s="3956">
        <f>IF(Categoría_4="",0,S86+S104+S120+Q190+IF(Limite_Primarias_Individual,0,-1)*(Q86+Q104+Q120)+AA11+Z13+Z20)</f>
        <v>0</v>
      </c>
      <c r="R194" s="3985">
        <f>$T$15</f>
        <v>0</v>
      </c>
      <c r="S194" s="4109">
        <f>IF(Categoría_4="",0,U86+U104+U120+S190+IF(Limite_Primarias_Individual,0,-1)*(S86+S104+S120)+AA13+AA20)</f>
        <v>0</v>
      </c>
      <c r="T194" s="3872" t="str">
        <f>IF(AA194&gt;Z194,"Exceso de PDs gastados",IF(OR(K194&gt;J194,M194&gt;L194,O194&gt;N194,Q194&gt;P194,S194&gt;R194),"Límite por Categoría excedido",""))</f>
        <v/>
      </c>
      <c r="U194" s="3873"/>
      <c r="V194" s="3873"/>
      <c r="W194" s="3874"/>
      <c r="X194" s="4105" t="s">
        <v>3182</v>
      </c>
      <c r="Y194" s="4106"/>
      <c r="Z194" s="3878">
        <f>J194+L194+N194+P194+R194</f>
        <v>400</v>
      </c>
      <c r="AA194" s="3880">
        <f>K194+M194+O194+Q194+S194</f>
        <v>0</v>
      </c>
      <c r="AB194" s="1727"/>
      <c r="AC194" s="841"/>
      <c r="AD194" s="3084"/>
      <c r="AE194" s="3116"/>
      <c r="AF194" s="3108"/>
      <c r="AG194" s="3116"/>
      <c r="AH194" s="3116"/>
      <c r="AI194" s="3116"/>
      <c r="AJ194" s="3116"/>
      <c r="AK194" s="3116"/>
      <c r="AL194" s="3096"/>
      <c r="AM194" s="3096"/>
      <c r="AN194" s="3096"/>
      <c r="AO194" s="3096"/>
      <c r="AP194" s="3096"/>
      <c r="AQ194" s="3085"/>
      <c r="AR194" s="3085"/>
      <c r="AS194" s="3085"/>
      <c r="AT194" s="3085"/>
      <c r="AU194" s="3085"/>
      <c r="AV194" s="3085"/>
    </row>
    <row r="195" spans="1:48" ht="12" customHeight="1" thickBot="1" x14ac:dyDescent="0.25">
      <c r="A195" s="9"/>
      <c r="B195" s="819"/>
      <c r="C195" s="4001"/>
      <c r="D195" s="4002"/>
      <c r="E195" s="4002"/>
      <c r="F195" s="4002"/>
      <c r="G195" s="4002"/>
      <c r="H195" s="4002"/>
      <c r="I195" s="4053"/>
      <c r="J195" s="3986"/>
      <c r="K195" s="3957"/>
      <c r="L195" s="3986"/>
      <c r="M195" s="3957"/>
      <c r="N195" s="3986"/>
      <c r="O195" s="3957"/>
      <c r="P195" s="3986"/>
      <c r="Q195" s="3957"/>
      <c r="R195" s="3986"/>
      <c r="S195" s="4110"/>
      <c r="T195" s="3875"/>
      <c r="U195" s="3876"/>
      <c r="V195" s="3876"/>
      <c r="W195" s="3877"/>
      <c r="X195" s="4107"/>
      <c r="Y195" s="4108"/>
      <c r="Z195" s="3879"/>
      <c r="AA195" s="3881"/>
      <c r="AB195" s="1727"/>
      <c r="AC195" s="841"/>
      <c r="AD195" s="3084"/>
      <c r="AE195" s="3116"/>
      <c r="AF195" s="3108"/>
      <c r="AG195" s="3116"/>
      <c r="AH195" s="3116"/>
      <c r="AI195" s="3116"/>
      <c r="AJ195" s="3116"/>
      <c r="AK195" s="3116"/>
      <c r="AL195" s="3096"/>
      <c r="AM195" s="3096"/>
      <c r="AN195" s="3096"/>
      <c r="AO195" s="3096"/>
      <c r="AP195" s="3096"/>
      <c r="AQ195" s="3085"/>
      <c r="AR195" s="3085"/>
      <c r="AS195" s="3085"/>
      <c r="AT195" s="3085"/>
      <c r="AU195" s="3085"/>
      <c r="AV195" s="3085"/>
    </row>
    <row r="196" spans="1:48" ht="12" customHeight="1" thickBot="1" x14ac:dyDescent="0.25">
      <c r="A196" s="29"/>
      <c r="B196" s="819"/>
      <c r="AB196" s="1727"/>
      <c r="AC196" s="841"/>
      <c r="AD196" s="3084"/>
      <c r="AE196" s="3116"/>
      <c r="AF196" s="3108"/>
      <c r="AG196" s="3116"/>
      <c r="AH196" s="3116"/>
      <c r="AI196" s="3116"/>
      <c r="AJ196" s="3116"/>
      <c r="AK196" s="3116"/>
      <c r="AL196" s="3096"/>
      <c r="AM196" s="3096"/>
      <c r="AN196" s="3096"/>
      <c r="AO196" s="3096"/>
      <c r="AP196" s="3096"/>
      <c r="AQ196" s="3085"/>
      <c r="AR196" s="3085"/>
      <c r="AS196" s="3085"/>
      <c r="AT196" s="3085"/>
      <c r="AU196" s="3085"/>
      <c r="AV196" s="3085"/>
    </row>
    <row r="197" spans="1:48" ht="12" customHeight="1" x14ac:dyDescent="0.2">
      <c r="A197" s="29"/>
      <c r="B197" s="819"/>
      <c r="C197" s="3799" t="s">
        <v>9608</v>
      </c>
      <c r="D197" s="3802"/>
      <c r="E197" s="3803"/>
      <c r="F197" s="3803"/>
      <c r="G197" s="3803"/>
      <c r="H197" s="3803"/>
      <c r="I197" s="3803"/>
      <c r="J197" s="3803"/>
      <c r="K197" s="3803"/>
      <c r="L197" s="3803"/>
      <c r="M197" s="3803"/>
      <c r="N197" s="3803"/>
      <c r="O197" s="3803"/>
      <c r="P197" s="3803"/>
      <c r="Q197" s="3803"/>
      <c r="R197" s="3803"/>
      <c r="S197" s="3803"/>
      <c r="T197" s="3803"/>
      <c r="U197" s="3803"/>
      <c r="V197" s="3803"/>
      <c r="W197" s="3803"/>
      <c r="X197" s="3803"/>
      <c r="Y197" s="3803"/>
      <c r="Z197" s="3803"/>
      <c r="AA197" s="3804"/>
      <c r="AB197" s="1727"/>
      <c r="AC197" s="841"/>
      <c r="AD197" s="3084"/>
      <c r="AE197" s="3116"/>
      <c r="AF197" s="3108"/>
      <c r="AG197" s="3116"/>
      <c r="AH197" s="3116"/>
      <c r="AI197" s="3116"/>
      <c r="AJ197" s="3116"/>
      <c r="AK197" s="3116"/>
      <c r="AL197" s="3096"/>
      <c r="AM197" s="3096"/>
      <c r="AN197" s="3096"/>
      <c r="AO197" s="3096"/>
      <c r="AP197" s="3096"/>
      <c r="AQ197" s="3085"/>
      <c r="AR197" s="3085"/>
      <c r="AS197" s="3085"/>
      <c r="AT197" s="3085"/>
      <c r="AU197" s="3085"/>
      <c r="AV197" s="3085"/>
    </row>
    <row r="198" spans="1:48" ht="12" customHeight="1" x14ac:dyDescent="0.2">
      <c r="A198" s="29"/>
      <c r="B198" s="819"/>
      <c r="C198" s="3800"/>
      <c r="D198" s="3805"/>
      <c r="E198" s="3806"/>
      <c r="F198" s="3806"/>
      <c r="G198" s="3806"/>
      <c r="H198" s="3806"/>
      <c r="I198" s="3806"/>
      <c r="J198" s="3806"/>
      <c r="K198" s="3806"/>
      <c r="L198" s="3806"/>
      <c r="M198" s="3806"/>
      <c r="N198" s="3806"/>
      <c r="O198" s="3806"/>
      <c r="P198" s="3806"/>
      <c r="Q198" s="3806"/>
      <c r="R198" s="3806"/>
      <c r="S198" s="3806"/>
      <c r="T198" s="3806"/>
      <c r="U198" s="3806"/>
      <c r="V198" s="3806"/>
      <c r="W198" s="3806"/>
      <c r="X198" s="3806"/>
      <c r="Y198" s="3806"/>
      <c r="Z198" s="3806"/>
      <c r="AA198" s="3807"/>
      <c r="AB198" s="1727"/>
      <c r="AC198" s="841"/>
      <c r="AD198" s="3084"/>
      <c r="AE198" s="3116"/>
      <c r="AF198" s="3108"/>
      <c r="AG198" s="3116"/>
      <c r="AH198" s="3116"/>
      <c r="AI198" s="3116"/>
      <c r="AJ198" s="3116"/>
      <c r="AK198" s="3116"/>
      <c r="AL198" s="3096"/>
      <c r="AM198" s="3096"/>
      <c r="AN198" s="3096"/>
      <c r="AO198" s="3096"/>
      <c r="AP198" s="3096"/>
      <c r="AQ198" s="3085"/>
      <c r="AR198" s="3085"/>
      <c r="AS198" s="3085"/>
      <c r="AT198" s="3085"/>
      <c r="AU198" s="3085"/>
      <c r="AV198" s="3085"/>
    </row>
    <row r="199" spans="1:48" ht="12" customHeight="1" x14ac:dyDescent="0.2">
      <c r="A199" s="29"/>
      <c r="B199" s="819"/>
      <c r="C199" s="3800"/>
      <c r="D199" s="3805"/>
      <c r="E199" s="3806"/>
      <c r="F199" s="3806"/>
      <c r="G199" s="3806"/>
      <c r="H199" s="3806"/>
      <c r="I199" s="3806"/>
      <c r="J199" s="3806"/>
      <c r="K199" s="3806"/>
      <c r="L199" s="3806"/>
      <c r="M199" s="3806"/>
      <c r="N199" s="3806"/>
      <c r="O199" s="3806"/>
      <c r="P199" s="3806"/>
      <c r="Q199" s="3806"/>
      <c r="R199" s="3806"/>
      <c r="S199" s="3806"/>
      <c r="T199" s="3806"/>
      <c r="U199" s="3806"/>
      <c r="V199" s="3806"/>
      <c r="W199" s="3806"/>
      <c r="X199" s="3806"/>
      <c r="Y199" s="3806"/>
      <c r="Z199" s="3806"/>
      <c r="AA199" s="3807"/>
      <c r="AB199" s="1727"/>
      <c r="AC199" s="841"/>
      <c r="AD199" s="3084"/>
      <c r="AE199" s="3116"/>
      <c r="AF199" s="3108"/>
      <c r="AG199" s="3116"/>
      <c r="AH199" s="3116"/>
      <c r="AI199" s="3116"/>
      <c r="AJ199" s="3116"/>
      <c r="AK199" s="3116"/>
      <c r="AL199" s="3096"/>
      <c r="AM199" s="3096"/>
      <c r="AN199" s="3096"/>
      <c r="AO199" s="3096"/>
      <c r="AP199" s="3096"/>
      <c r="AQ199" s="3085"/>
      <c r="AR199" s="3085"/>
      <c r="AS199" s="3085"/>
      <c r="AT199" s="3085"/>
      <c r="AU199" s="3085"/>
      <c r="AV199" s="3085"/>
    </row>
    <row r="200" spans="1:48" ht="12" customHeight="1" thickBot="1" x14ac:dyDescent="0.25">
      <c r="A200" s="29"/>
      <c r="B200" s="819"/>
      <c r="C200" s="3801"/>
      <c r="D200" s="3808"/>
      <c r="E200" s="3809"/>
      <c r="F200" s="3809"/>
      <c r="G200" s="3809"/>
      <c r="H200" s="3809"/>
      <c r="I200" s="3809"/>
      <c r="J200" s="3809"/>
      <c r="K200" s="3809"/>
      <c r="L200" s="3809"/>
      <c r="M200" s="3809"/>
      <c r="N200" s="3809"/>
      <c r="O200" s="3809"/>
      <c r="P200" s="3809"/>
      <c r="Q200" s="3809"/>
      <c r="R200" s="3809"/>
      <c r="S200" s="3809"/>
      <c r="T200" s="3809"/>
      <c r="U200" s="3809"/>
      <c r="V200" s="3809"/>
      <c r="W200" s="3809"/>
      <c r="X200" s="3809"/>
      <c r="Y200" s="3809"/>
      <c r="Z200" s="3809"/>
      <c r="AA200" s="3810"/>
      <c r="AB200" s="1727"/>
      <c r="AC200" s="841"/>
      <c r="AD200" s="3084"/>
      <c r="AE200" s="3116"/>
      <c r="AF200" s="3108"/>
      <c r="AG200" s="3116"/>
      <c r="AH200" s="3116"/>
      <c r="AI200" s="3116"/>
      <c r="AJ200" s="3116"/>
      <c r="AK200" s="3116"/>
      <c r="AL200" s="3096"/>
      <c r="AM200" s="3096"/>
      <c r="AN200" s="3096"/>
      <c r="AO200" s="3096"/>
      <c r="AP200" s="3096"/>
      <c r="AQ200" s="3085"/>
      <c r="AR200" s="3085"/>
      <c r="AS200" s="3085"/>
      <c r="AT200" s="3085"/>
      <c r="AU200" s="3085"/>
      <c r="AV200" s="3085"/>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4"/>
      <c r="AE201" s="3116"/>
      <c r="AF201" s="3108"/>
      <c r="AG201" s="3116"/>
      <c r="AH201" s="3116"/>
      <c r="AI201" s="3116"/>
      <c r="AJ201" s="3116"/>
      <c r="AK201" s="3116"/>
      <c r="AL201" s="3096"/>
      <c r="AM201" s="3096"/>
      <c r="AN201" s="3096"/>
      <c r="AO201" s="3096"/>
      <c r="AP201" s="3096"/>
      <c r="AQ201" s="3085"/>
      <c r="AR201" s="3085"/>
      <c r="AS201" s="3085"/>
      <c r="AT201" s="3085"/>
      <c r="AU201" s="3085"/>
      <c r="AV201" s="3085"/>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4"/>
      <c r="AE202" s="3116"/>
      <c r="AF202" s="3108"/>
      <c r="AG202" s="3116"/>
      <c r="AH202" s="3116"/>
      <c r="AI202" s="3116"/>
      <c r="AJ202" s="3116"/>
      <c r="AK202" s="3116"/>
      <c r="AL202" s="3096"/>
      <c r="AM202" s="3096"/>
      <c r="AN202" s="3096"/>
      <c r="AO202" s="3096"/>
      <c r="AP202" s="3096"/>
      <c r="AQ202" s="3085"/>
      <c r="AR202" s="3085"/>
      <c r="AS202" s="3085"/>
      <c r="AT202" s="3085"/>
      <c r="AU202" s="3085"/>
      <c r="AV202" s="3085"/>
    </row>
  </sheetData>
  <sheetProtection sheet="1" scenarios="1"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59" width="13.85546875" style="575" customWidth="1"/>
    <col min="60" max="16384" width="5.7109375" style="21"/>
  </cols>
  <sheetData>
    <row r="1" spans="1:59"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4" t="s">
        <v>8736</v>
      </c>
      <c r="AU1" s="3085"/>
      <c r="AV1" s="3085"/>
      <c r="AW1" s="3085"/>
      <c r="AX1" s="3085"/>
      <c r="AY1" s="3085"/>
      <c r="AZ1" s="3118"/>
      <c r="BA1" s="3085"/>
      <c r="BB1" s="3085"/>
      <c r="BC1" s="3085"/>
      <c r="BD1" s="3085"/>
      <c r="BE1" s="3085"/>
      <c r="BF1" s="3085"/>
      <c r="BG1" s="3085"/>
    </row>
    <row r="2" spans="1:59"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85"/>
      <c r="AU2" s="3085"/>
      <c r="AV2" s="3085"/>
      <c r="AW2" s="3085"/>
      <c r="AX2" s="3085"/>
      <c r="AY2" s="3085"/>
      <c r="AZ2" s="3118"/>
      <c r="BA2" s="3085"/>
      <c r="BB2" s="3085"/>
      <c r="BC2" s="3085"/>
      <c r="BD2" s="3085"/>
      <c r="BE2" s="3085"/>
      <c r="BF2" s="3085"/>
      <c r="BG2" s="3085"/>
    </row>
    <row r="3" spans="1:59" ht="12" customHeight="1" x14ac:dyDescent="0.2">
      <c r="A3" s="9"/>
      <c r="B3" s="1157"/>
      <c r="C3" s="4347" t="s">
        <v>10159</v>
      </c>
      <c r="D3" s="4348"/>
      <c r="E3" s="4348"/>
      <c r="F3" s="4348"/>
      <c r="G3" s="4348"/>
      <c r="H3" s="4348"/>
      <c r="I3" s="4348"/>
      <c r="J3" s="6"/>
      <c r="K3" s="6"/>
      <c r="L3" s="6"/>
      <c r="M3" s="6"/>
      <c r="N3" s="6"/>
      <c r="O3" s="6"/>
      <c r="P3" s="6"/>
      <c r="Q3" s="6"/>
      <c r="R3" s="6"/>
      <c r="S3" s="6"/>
      <c r="T3" s="6"/>
      <c r="U3" s="6"/>
      <c r="V3" s="6"/>
      <c r="W3" s="788"/>
      <c r="X3" s="1130"/>
      <c r="Y3" s="9"/>
      <c r="Z3" s="9"/>
      <c r="AA3" s="1129"/>
      <c r="AB3" s="4347" t="s">
        <v>10159</v>
      </c>
      <c r="AC3" s="4348"/>
      <c r="AD3" s="4348"/>
      <c r="AE3" s="4348"/>
      <c r="AF3" s="4348"/>
      <c r="AG3" s="4348"/>
      <c r="AH3" s="4348"/>
      <c r="AI3" s="6"/>
      <c r="AJ3" s="6"/>
      <c r="AK3" s="6"/>
      <c r="AL3" s="6"/>
      <c r="AM3" s="6"/>
      <c r="AN3" s="6"/>
      <c r="AO3" s="6"/>
      <c r="AP3" s="6"/>
      <c r="AQ3" s="7"/>
      <c r="AR3" s="1196"/>
      <c r="AS3" s="1151"/>
      <c r="AT3" s="3085"/>
      <c r="AU3" s="3096" t="s">
        <v>9945</v>
      </c>
      <c r="AV3" s="3085"/>
      <c r="AW3" s="3085"/>
      <c r="AX3" s="3085"/>
      <c r="AY3" s="3085"/>
      <c r="AZ3" s="3085"/>
      <c r="BA3" s="3085"/>
      <c r="BB3" s="3085"/>
      <c r="BC3" s="3085"/>
      <c r="BD3" s="3085"/>
      <c r="BE3" s="3085"/>
      <c r="BF3" s="3085"/>
      <c r="BG3" s="3085"/>
    </row>
    <row r="4" spans="1:59" ht="12" customHeight="1" x14ac:dyDescent="0.2">
      <c r="A4" s="9"/>
      <c r="B4" s="1157"/>
      <c r="C4" s="4349"/>
      <c r="D4" s="4350"/>
      <c r="E4" s="4350"/>
      <c r="F4" s="4350"/>
      <c r="G4" s="4350"/>
      <c r="H4" s="4350"/>
      <c r="I4" s="4350"/>
      <c r="J4" s="9"/>
      <c r="K4" s="4295" t="s">
        <v>1323</v>
      </c>
      <c r="L4" s="4295"/>
      <c r="M4" s="4353" t="str">
        <f>IF(OR(General!$F$22="",General!$F$22=0),"",General!$F$22)</f>
        <v/>
      </c>
      <c r="N4" s="4353"/>
      <c r="O4" s="4353"/>
      <c r="P4" s="4353"/>
      <c r="Q4" s="4353"/>
      <c r="R4" s="2247"/>
      <c r="S4" s="2247"/>
      <c r="T4" s="2247"/>
      <c r="U4" s="2247"/>
      <c r="V4" s="786"/>
      <c r="W4" s="10"/>
      <c r="X4" s="1130"/>
      <c r="Y4" s="9"/>
      <c r="Z4" s="9"/>
      <c r="AA4" s="1129"/>
      <c r="AB4" s="4349"/>
      <c r="AC4" s="4350"/>
      <c r="AD4" s="4350"/>
      <c r="AE4" s="4350"/>
      <c r="AF4" s="4350"/>
      <c r="AG4" s="4350"/>
      <c r="AH4" s="4350"/>
      <c r="AI4" s="9"/>
      <c r="AJ4" s="4295" t="s">
        <v>1323</v>
      </c>
      <c r="AK4" s="4295"/>
      <c r="AL4" s="4353" t="str">
        <f>IF(OR(General!$F$22="",General!$F$22=0),"",General!$F$22)</f>
        <v/>
      </c>
      <c r="AM4" s="4353"/>
      <c r="AN4" s="4353"/>
      <c r="AO4" s="4353"/>
      <c r="AP4" s="4353"/>
      <c r="AQ4" s="10"/>
      <c r="AR4" s="1196"/>
      <c r="AS4" s="1151"/>
      <c r="AT4" s="3085"/>
      <c r="AU4" s="3096" t="s">
        <v>1971</v>
      </c>
      <c r="AV4" s="3096" t="s">
        <v>9946</v>
      </c>
      <c r="AW4" s="3096" t="s">
        <v>7282</v>
      </c>
      <c r="AX4" s="3085"/>
      <c r="AY4" s="3096" t="s">
        <v>2438</v>
      </c>
      <c r="AZ4" s="3096"/>
      <c r="BA4" s="3085"/>
      <c r="BB4" s="3085"/>
      <c r="BC4" s="3085"/>
      <c r="BD4" s="3085"/>
      <c r="BE4" s="3085"/>
      <c r="BF4" s="3085"/>
      <c r="BG4" s="3085"/>
    </row>
    <row r="5" spans="1:59" ht="12" customHeight="1" x14ac:dyDescent="0.2">
      <c r="A5" s="9"/>
      <c r="B5" s="1157"/>
      <c r="C5" s="4349"/>
      <c r="D5" s="4350"/>
      <c r="E5" s="4350"/>
      <c r="F5" s="4350"/>
      <c r="G5" s="4350"/>
      <c r="H5" s="4350"/>
      <c r="I5" s="4350"/>
      <c r="J5" s="9"/>
      <c r="K5" s="4326" t="s">
        <v>1324</v>
      </c>
      <c r="L5" s="4326"/>
      <c r="M5" s="3184" t="str">
        <f>IF(LEN(PDs!$E$11)&lt;=General!$AO$5,PDs!$E$11,"… /"&amp;RIGHT(PDs!$E$11,General!$AO$5-FIND("/",RIGHT(PDs!$E$11,General!$AO$5))))</f>
        <v/>
      </c>
      <c r="N5" s="3184"/>
      <c r="O5" s="3184"/>
      <c r="P5" s="2245" t="s">
        <v>1325</v>
      </c>
      <c r="Q5" s="2237" t="str">
        <f>Principal!$O$6</f>
        <v>0</v>
      </c>
      <c r="R5" s="2248"/>
      <c r="S5" s="2248"/>
      <c r="T5" s="2245" t="s">
        <v>8739</v>
      </c>
      <c r="U5" s="2249" t="str">
        <f>IF(Arma_Desarrollada="","Ninguna",Arma_Desarrollada)</f>
        <v>Desarmado</v>
      </c>
      <c r="V5" s="9"/>
      <c r="W5" s="11"/>
      <c r="X5" s="1130"/>
      <c r="Y5" s="9"/>
      <c r="Z5" s="9"/>
      <c r="AA5" s="1129"/>
      <c r="AB5" s="4349"/>
      <c r="AC5" s="4350"/>
      <c r="AD5" s="4350"/>
      <c r="AE5" s="4350"/>
      <c r="AF5" s="4350"/>
      <c r="AG5" s="4350"/>
      <c r="AH5" s="4350"/>
      <c r="AI5" s="9"/>
      <c r="AJ5" s="4326" t="s">
        <v>1324</v>
      </c>
      <c r="AK5" s="4326"/>
      <c r="AL5" s="3184" t="str">
        <f>IF(LEN(PDs!$E$11)&lt;=General!$AO$5,PDs!$E$11,"… /"&amp;RIGHT(PDs!$E$11,General!$AO$5-FIND("/",RIGHT(PDs!$E$11,General!$AO$5))))</f>
        <v/>
      </c>
      <c r="AM5" s="3184"/>
      <c r="AN5" s="3184"/>
      <c r="AO5" s="2245" t="s">
        <v>1325</v>
      </c>
      <c r="AP5" s="2237" t="str">
        <f>Principal!$O$6</f>
        <v>0</v>
      </c>
      <c r="AQ5" s="11"/>
      <c r="AR5" s="1196"/>
      <c r="AS5" s="1151"/>
      <c r="AT5" s="3085"/>
      <c r="AU5" s="3096">
        <f>IF(OR(Principal!$P$16="",Principal!$P$16&gt;4),0,IF(Principal!$P$16=0,-120,-10*2^(4-Principal!$P$16)))</f>
        <v>0</v>
      </c>
      <c r="AV5" s="3096">
        <f>IF(OR(Incansable,Ki!H59="-"),0,IF(Tablas!$G$533&gt;0,IF(OR(Tablas!$G$334&gt;0,Ki!$P$57="-"),1,2),IF(AND(Tablas!$G$334&gt;0,Ki!$P$57="-"),1/3,IF(OR(Tablas!$G$334&gt;0,Ki!$P$57="-"),1/2,1))))</f>
        <v>1</v>
      </c>
      <c r="AW5" s="3096">
        <f>TRUNC(AU5*AV5)</f>
        <v>0</v>
      </c>
      <c r="AX5" s="3085"/>
      <c r="AY5" s="3096">
        <f>IF(AND(Tablas!G535&gt;0,Principal!P11&lt;&gt;"",Principal!$P$11&lt;AY6/3),-30,0)</f>
        <v>0</v>
      </c>
      <c r="AZ5" s="3096"/>
      <c r="BA5" s="3085"/>
      <c r="BB5" s="3085"/>
      <c r="BC5" s="3085"/>
      <c r="BD5" s="3085"/>
      <c r="BE5" s="3085"/>
      <c r="BF5" s="3085"/>
      <c r="BG5" s="3085"/>
    </row>
    <row r="6" spans="1:59" ht="12" customHeight="1" x14ac:dyDescent="0.2">
      <c r="A6" s="9"/>
      <c r="B6" s="1157"/>
      <c r="C6" s="4349"/>
      <c r="D6" s="4350"/>
      <c r="E6" s="4350"/>
      <c r="F6" s="4350"/>
      <c r="G6" s="4350"/>
      <c r="H6" s="4350"/>
      <c r="I6" s="4350"/>
      <c r="J6" s="9"/>
      <c r="K6" s="4355" t="s">
        <v>1545</v>
      </c>
      <c r="L6" s="4355"/>
      <c r="M6" s="4355"/>
      <c r="N6" s="4355"/>
      <c r="O6" s="4355"/>
      <c r="P6" s="4355"/>
      <c r="Q6" s="4355"/>
      <c r="R6" s="9"/>
      <c r="S6" s="9"/>
      <c r="T6" s="9"/>
      <c r="U6" s="4354"/>
      <c r="V6" s="4354"/>
      <c r="W6" s="11"/>
      <c r="X6" s="1130"/>
      <c r="Y6" s="9"/>
      <c r="Z6" s="9"/>
      <c r="AA6" s="1129"/>
      <c r="AB6" s="4349"/>
      <c r="AC6" s="4350"/>
      <c r="AD6" s="4350"/>
      <c r="AE6" s="4350"/>
      <c r="AF6" s="4350"/>
      <c r="AG6" s="4350"/>
      <c r="AH6" s="4350"/>
      <c r="AI6" s="9"/>
      <c r="AJ6" s="4355" t="s">
        <v>1546</v>
      </c>
      <c r="AK6" s="4355"/>
      <c r="AL6" s="4355"/>
      <c r="AM6" s="4355"/>
      <c r="AN6" s="4355"/>
      <c r="AO6" s="4355"/>
      <c r="AP6" s="4355"/>
      <c r="AQ6" s="11"/>
      <c r="AR6" s="1196"/>
      <c r="AS6" s="1151"/>
      <c r="AT6" s="3085"/>
      <c r="AU6" s="3085"/>
      <c r="AV6" s="3085"/>
      <c r="AW6" s="3855" t="s">
        <v>9994</v>
      </c>
      <c r="AX6" s="3855"/>
      <c r="AY6" s="3085">
        <f>20+Principal!AQ12*10+IF(Principal!AQ12&lt;1,0,VLOOKUP(Principal!AQ12,Tablas!$C$14:$D$33,2))+PDs!V188+IF(Acumulacion="Sí",PDs!T188*(PDs!K188+PDs!M188+PDs!O188+PDs!Q188+PDs!S188),PDs!T188*Principal!AQ12)+PDs!X188</f>
        <v>20</v>
      </c>
      <c r="AZ6" s="3118"/>
      <c r="BA6" s="3085"/>
      <c r="BB6" s="3085"/>
      <c r="BC6" s="3085"/>
      <c r="BD6" s="3085"/>
      <c r="BE6" s="3085"/>
      <c r="BF6" s="3085"/>
      <c r="BG6" s="3085"/>
    </row>
    <row r="7" spans="1:59" ht="12" customHeight="1" x14ac:dyDescent="0.2">
      <c r="A7" s="9"/>
      <c r="B7" s="1157"/>
      <c r="C7" s="4349"/>
      <c r="D7" s="4350"/>
      <c r="E7" s="4350"/>
      <c r="F7" s="4350"/>
      <c r="G7" s="4350"/>
      <c r="H7" s="4350"/>
      <c r="I7" s="4350"/>
      <c r="J7" s="9"/>
      <c r="K7" s="4355"/>
      <c r="L7" s="4355"/>
      <c r="M7" s="4355"/>
      <c r="N7" s="4355"/>
      <c r="O7" s="4355"/>
      <c r="P7" s="4355"/>
      <c r="Q7" s="4355"/>
      <c r="R7" s="9"/>
      <c r="S7" s="9"/>
      <c r="T7" s="9"/>
      <c r="U7" s="4354"/>
      <c r="V7" s="4354"/>
      <c r="W7" s="11"/>
      <c r="X7" s="1130"/>
      <c r="Y7" s="9"/>
      <c r="Z7" s="9"/>
      <c r="AA7" s="1129"/>
      <c r="AB7" s="4349"/>
      <c r="AC7" s="4350"/>
      <c r="AD7" s="4350"/>
      <c r="AE7" s="4350"/>
      <c r="AF7" s="4350"/>
      <c r="AG7" s="4350"/>
      <c r="AH7" s="4350"/>
      <c r="AI7" s="9"/>
      <c r="AJ7" s="4355"/>
      <c r="AK7" s="4355"/>
      <c r="AL7" s="4355"/>
      <c r="AM7" s="4355"/>
      <c r="AN7" s="4355"/>
      <c r="AO7" s="4355"/>
      <c r="AP7" s="4355"/>
      <c r="AQ7" s="11"/>
      <c r="AR7" s="1196"/>
      <c r="AS7" s="1151"/>
      <c r="AT7" s="3085"/>
      <c r="AU7" s="3085"/>
      <c r="AV7" s="3084"/>
      <c r="AW7" s="3096" t="s">
        <v>9995</v>
      </c>
      <c r="AX7" s="3119"/>
      <c r="AY7" s="3085"/>
      <c r="AZ7" s="3118"/>
      <c r="BA7" s="3085"/>
      <c r="BB7" s="3085"/>
      <c r="BC7" s="3085"/>
      <c r="BD7" s="3085"/>
      <c r="BE7" s="3085"/>
      <c r="BF7" s="3085"/>
      <c r="BG7" s="3085"/>
    </row>
    <row r="8" spans="1:59" ht="12" customHeight="1" thickBot="1" x14ac:dyDescent="0.25">
      <c r="A8" s="9"/>
      <c r="B8" s="1157"/>
      <c r="C8" s="4351"/>
      <c r="D8" s="4352"/>
      <c r="E8" s="4352"/>
      <c r="F8" s="4352"/>
      <c r="G8" s="4352"/>
      <c r="H8" s="4352"/>
      <c r="I8" s="4352"/>
      <c r="J8" s="12"/>
      <c r="K8" s="12"/>
      <c r="L8" s="12"/>
      <c r="M8" s="12"/>
      <c r="N8" s="12"/>
      <c r="O8" s="12"/>
      <c r="P8" s="12"/>
      <c r="Q8" s="12"/>
      <c r="R8" s="12"/>
      <c r="S8" s="12"/>
      <c r="T8" s="12"/>
      <c r="U8" s="12"/>
      <c r="V8" s="12"/>
      <c r="W8" s="1813" t="s">
        <v>9620</v>
      </c>
      <c r="X8" s="1130"/>
      <c r="Y8" s="9"/>
      <c r="Z8" s="9"/>
      <c r="AA8" s="1129"/>
      <c r="AB8" s="4351"/>
      <c r="AC8" s="4352"/>
      <c r="AD8" s="4352"/>
      <c r="AE8" s="4352"/>
      <c r="AF8" s="4352"/>
      <c r="AG8" s="4352"/>
      <c r="AH8" s="4352"/>
      <c r="AI8" s="12"/>
      <c r="AJ8" s="12"/>
      <c r="AK8" s="12"/>
      <c r="AL8" s="12"/>
      <c r="AM8" s="12"/>
      <c r="AN8" s="12"/>
      <c r="AO8" s="12"/>
      <c r="AP8" s="12"/>
      <c r="AQ8" s="13"/>
      <c r="AR8" s="1196"/>
      <c r="AS8" s="1151"/>
      <c r="AT8" s="3085"/>
      <c r="AU8" s="3085"/>
      <c r="AV8" s="3085"/>
      <c r="AW8" s="3085"/>
      <c r="AX8" s="3085"/>
      <c r="AY8" s="3085"/>
      <c r="AZ8" s="3118"/>
      <c r="BA8" s="3085"/>
      <c r="BB8" s="3085"/>
      <c r="BC8" s="3085"/>
      <c r="BD8" s="3085"/>
      <c r="BE8" s="3085"/>
      <c r="BF8" s="3085"/>
      <c r="BG8" s="3085"/>
    </row>
    <row r="9" spans="1:59"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85"/>
      <c r="AU9" s="3085"/>
      <c r="AV9" s="3085"/>
      <c r="AW9" s="3120" t="s">
        <v>7220</v>
      </c>
      <c r="AX9" s="3120"/>
      <c r="AY9" s="3120">
        <f t="shared" ref="AY9:BE9" si="0">IF(AY12&gt;AY13,AY12+TRUNC(AY13/2),AY13+TRUNC(AY12/2))+TRUNC(AY14/2)</f>
        <v>0</v>
      </c>
      <c r="AZ9" s="3120">
        <f t="shared" si="0"/>
        <v>0</v>
      </c>
      <c r="BA9" s="3120">
        <f t="shared" si="0"/>
        <v>0</v>
      </c>
      <c r="BB9" s="3120">
        <f t="shared" si="0"/>
        <v>0</v>
      </c>
      <c r="BC9" s="3120">
        <f t="shared" si="0"/>
        <v>0</v>
      </c>
      <c r="BD9" s="3120">
        <f t="shared" si="0"/>
        <v>0</v>
      </c>
      <c r="BE9" s="3120">
        <f t="shared" si="0"/>
        <v>0</v>
      </c>
      <c r="BF9" s="3085"/>
      <c r="BG9" s="3085"/>
    </row>
    <row r="10" spans="1:59" ht="12" customHeight="1" thickBot="1" x14ac:dyDescent="0.25">
      <c r="A10" s="9"/>
      <c r="B10" s="1157"/>
      <c r="C10" s="4328" t="s">
        <v>1547</v>
      </c>
      <c r="D10" s="4329"/>
      <c r="E10" s="4329"/>
      <c r="F10" s="4329"/>
      <c r="G10" s="4329"/>
      <c r="H10" s="4329"/>
      <c r="I10" s="4329"/>
      <c r="J10" s="4329"/>
      <c r="K10" s="4329"/>
      <c r="L10" s="4329"/>
      <c r="M10" s="4329"/>
      <c r="N10" s="4329"/>
      <c r="O10" s="4329"/>
      <c r="P10" s="4329"/>
      <c r="Q10" s="4329"/>
      <c r="R10" s="4329"/>
      <c r="S10" s="4330"/>
      <c r="U10" s="3350" t="s">
        <v>8675</v>
      </c>
      <c r="V10" s="3351"/>
      <c r="W10" s="3352"/>
      <c r="X10" s="1130"/>
      <c r="Y10" s="9"/>
      <c r="Z10" s="9"/>
      <c r="AA10" s="1129"/>
      <c r="AB10" s="4344" t="s">
        <v>1397</v>
      </c>
      <c r="AC10" s="4385" t="s">
        <v>9289</v>
      </c>
      <c r="AD10" s="4386"/>
      <c r="AE10" s="4402" t="s">
        <v>9290</v>
      </c>
      <c r="AF10" s="4403"/>
      <c r="AG10" s="575"/>
      <c r="AH10" s="3676" t="s">
        <v>1501</v>
      </c>
      <c r="AI10" s="3676"/>
      <c r="AJ10" s="3676"/>
      <c r="AK10" s="3676"/>
      <c r="AL10" s="4374" t="s">
        <v>1548</v>
      </c>
      <c r="AM10" s="4374"/>
      <c r="AN10" s="4374"/>
      <c r="AO10" s="4374"/>
      <c r="AP10" s="4374"/>
      <c r="AQ10" s="4374"/>
      <c r="AR10" s="1196"/>
      <c r="AS10" s="1151"/>
      <c r="AT10" s="3118"/>
      <c r="AU10" s="3118"/>
      <c r="AV10" s="3085"/>
      <c r="AW10" s="3120" t="s">
        <v>1559</v>
      </c>
      <c r="AX10" s="3118"/>
      <c r="AY10" s="3118">
        <f t="array" ref="AY10">IF(AY17&gt;LARGE(IF($AX$17:$AX$27="Natural",AY$17:AY$27,0),1),AY17+TRUNC(LARGE(IF($AX$17:$AX$27="Natural",AY$17:AY$27,0),1)/2),LARGE(IF($AX$17:$AX$27="Natural",AY$17:AY$27,0),1)+TRUNC(AY17/2))+TRUNC(LARGE(IF($AX$17:$AX$27="Natural",AY$17:AY$27,0),2)/2)</f>
        <v>0</v>
      </c>
      <c r="AZ10" s="3118">
        <f t="array" ref="AZ10">IF(AZ17&gt;LARGE(IF($AX$17:$AX$27="Natural",AZ$17:AZ$27,0),1),AZ17+TRUNC(LARGE(IF($AX$17:$AX$27="Natural",AZ$17:AZ$27,0),1)/2),LARGE(IF($AX$17:$AX$27="Natural",AZ$17:AZ$27,0),1)+TRUNC(AZ17/2))+TRUNC(LARGE(IF($AX$17:$AX$27="Natural",AZ$17:AZ$27,0),2)/2)</f>
        <v>0</v>
      </c>
      <c r="BA10" s="3118">
        <f t="array" ref="BA10">IF(BA17&gt;LARGE(IF($AX$17:$AX$27="Natural",BA$17:BA$27,0),1),BA17+TRUNC(LARGE(IF($AX$17:$AX$27="Natural",BA$17:BA$27,0),1)/2),LARGE(IF($AX$17:$AX$27="Natural",BA$17:BA$27,0),1)+TRUNC(BA17/2))+TRUNC(LARGE(IF($AX$17:$AX$27="Natural",BA$17:BA$27,0),2)/2)</f>
        <v>0</v>
      </c>
      <c r="BB10" s="3118">
        <f t="array" ref="BB10">IF(BB17&gt;LARGE(IF($AX$17:$AX$27="Natural",BB$17:BB$27,0),1),BB17+TRUNC(LARGE(IF($AX$17:$AX$27="Natural",BB$17:BB$27,0),1)/2),LARGE(IF($AX$17:$AX$27="Natural",BB$17:BB$27,0),1)+TRUNC(BB17/2))+TRUNC(LARGE(IF($AX$17:$AX$27="Natural",BB$17:BB$27,0),2)/2)</f>
        <v>0</v>
      </c>
      <c r="BC10" s="3118">
        <f t="array" ref="BC10">IF(BC17&gt;LARGE(IF($AX$17:$AX$27="Natural",BC$17:BC$27,0),1),BC17+TRUNC(LARGE(IF($AX$17:$AX$27="Natural",BC$17:BC$27,0),1)/2),LARGE(IF($AX$17:$AX$27="Natural",BC$17:BC$27,0),1)+TRUNC(BC17/2))+TRUNC(LARGE(IF($AX$17:$AX$27="Natural",BC$17:BC$27,0),2)/2)</f>
        <v>0</v>
      </c>
      <c r="BD10" s="3118">
        <f t="array" ref="BD10">IF(BD17&gt;LARGE(IF($AX$17:$AX$27="Natural",BD$17:BD$27,0),1),BD17+TRUNC(LARGE(IF($AX$17:$AX$27="Natural",BD$17:BD$27,0),1)/2),LARGE(IF($AX$17:$AX$27="Natural",BD$17:BD$27,0),1)+TRUNC(BD17/2))+TRUNC(LARGE(IF($AX$17:$AX$27="Natural",BD$17:BD$27,0),2)/2)</f>
        <v>0</v>
      </c>
      <c r="BE10" s="3118">
        <f t="array" ref="BE10">IF(BE17&gt;LARGE(IF($AX$17:$AX$27="Natural",BE$17:BE$27,0),1),BE17+TRUNC(LARGE(IF($AX$17:$AX$27="Natural",BE$17:BE$27,0),1)/2),LARGE(IF($AX$17:$AX$27="Natural",BE$17:BE$27,0),1)+TRUNC(BE17/2))+TRUNC(LARGE(IF($AX$17:$AX$27="Natural",BE$17:BE$27,0),2)/2)</f>
        <v>0</v>
      </c>
      <c r="BF10" s="3085"/>
      <c r="BG10" s="3085"/>
    </row>
    <row r="11" spans="1:59" ht="12" customHeight="1" thickBot="1" x14ac:dyDescent="0.25">
      <c r="A11" s="9"/>
      <c r="B11" s="1157"/>
      <c r="C11" s="4333" t="s">
        <v>1547</v>
      </c>
      <c r="D11" s="4334"/>
      <c r="E11" s="4334"/>
      <c r="F11" s="4335" t="s">
        <v>1328</v>
      </c>
      <c r="G11" s="4335"/>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45"/>
      <c r="AC11" s="4387"/>
      <c r="AD11" s="4388"/>
      <c r="AE11" s="4404"/>
      <c r="AF11" s="4405"/>
      <c r="AH11" s="4257" t="str">
        <f>IF(PDs!$E43=0,"",PDs!$E43)</f>
        <v/>
      </c>
      <c r="AI11" s="4257"/>
      <c r="AJ11" s="4257"/>
      <c r="AK11" s="4257"/>
      <c r="AL11" s="4401" t="str">
        <f>IF(PDs!$AD43=0,"",PDs!$V43&amp;" ")&amp;IF(PDs!$AD43=0,"",IF(PDs!$Y43=0,"",PDs!$Y43))</f>
        <v xml:space="preserve"> </v>
      </c>
      <c r="AM11" s="4401"/>
      <c r="AN11" s="4401"/>
      <c r="AO11" s="4401"/>
      <c r="AP11" s="4401"/>
      <c r="AQ11" s="4401"/>
      <c r="AR11" s="1196"/>
      <c r="AS11" s="1151"/>
      <c r="AT11" s="3118"/>
      <c r="AU11" s="3118"/>
      <c r="AV11" s="3085"/>
      <c r="AW11" s="3085"/>
      <c r="AX11" s="3085"/>
      <c r="AY11" s="3085"/>
      <c r="AZ11" s="3085"/>
      <c r="BA11" s="3085"/>
      <c r="BB11" s="3085"/>
      <c r="BC11" s="3085"/>
      <c r="BD11" s="3085"/>
      <c r="BE11" s="3085"/>
      <c r="BF11" s="3085"/>
      <c r="BG11" s="3085"/>
    </row>
    <row r="12" spans="1:59" ht="12" customHeight="1" thickBot="1" x14ac:dyDescent="0.25">
      <c r="A12" s="9"/>
      <c r="B12" s="1157"/>
      <c r="C12" s="4340"/>
      <c r="D12" s="4341"/>
      <c r="E12" s="4341"/>
      <c r="F12" s="4342" t="str">
        <f>IF(C12=0,"",VLOOKUP(C12,Tabla_Armaduras,7,FALSE))</f>
        <v/>
      </c>
      <c r="G12" s="4343"/>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83"/>
      <c r="V12" s="4285"/>
      <c r="W12" s="4331">
        <f>CEILING(U12/10,1)*V12/10</f>
        <v>0</v>
      </c>
      <c r="X12" s="577"/>
      <c r="Y12" s="9"/>
      <c r="Z12" s="9"/>
      <c r="AA12" s="1129"/>
      <c r="AB12" s="4345"/>
      <c r="AC12" s="4356" t="s">
        <v>9291</v>
      </c>
      <c r="AD12" s="4357"/>
      <c r="AE12" s="4356" t="s">
        <v>9292</v>
      </c>
      <c r="AF12" s="4406"/>
      <c r="AH12" s="4231" t="str">
        <f>IF(PDs!$E44=0,"",PDs!$E44)</f>
        <v/>
      </c>
      <c r="AI12" s="4231"/>
      <c r="AJ12" s="4231"/>
      <c r="AK12" s="4231"/>
      <c r="AL12" s="4327" t="str">
        <f>IF(PDs!$AD44=0,"",PDs!$V44&amp;" ")&amp;IF(PDs!$AD44=0,"",IF(PDs!$Y44=0,"",PDs!$Y44))</f>
        <v xml:space="preserve"> </v>
      </c>
      <c r="AM12" s="4327"/>
      <c r="AN12" s="4327"/>
      <c r="AO12" s="4327"/>
      <c r="AP12" s="4327"/>
      <c r="AQ12" s="4327"/>
      <c r="AR12" s="1196"/>
      <c r="AS12" s="1151"/>
      <c r="AT12" s="3118"/>
      <c r="AU12" s="3118"/>
      <c r="AV12" s="3085"/>
      <c r="AW12" s="3120" t="s">
        <v>9621</v>
      </c>
      <c r="AX12" s="3120"/>
      <c r="AY12" s="3118">
        <f t="array" ref="AY12">LARGE(IF($AX$18:$AX$27="Dura",AY$18:AY$27,0),1)</f>
        <v>0</v>
      </c>
      <c r="AZ12" s="3118">
        <f t="array" ref="AZ12">LARGE(IF($AX$18:$AX$27="Dura",AZ$18:AZ$27,0),1)</f>
        <v>0</v>
      </c>
      <c r="BA12" s="3118">
        <f t="array" ref="BA12">LARGE(IF($AX$18:$AX$27="Dura",BA$18:BA$27,0),1)</f>
        <v>0</v>
      </c>
      <c r="BB12" s="3118">
        <f t="array" ref="BB12">LARGE(IF($AX$18:$AX$27="Dura",BB$18:BB$27,0),1)</f>
        <v>0</v>
      </c>
      <c r="BC12" s="3118">
        <f t="array" ref="BC12">LARGE(IF($AX$18:$AX$27="Dura",BC$18:BC$27,0),1)</f>
        <v>0</v>
      </c>
      <c r="BD12" s="3118">
        <f t="array" ref="BD12">LARGE(IF($AX$18:$AX$27="Dura",BD$18:BD$27,0),1)</f>
        <v>0</v>
      </c>
      <c r="BE12" s="3118">
        <f t="array" ref="BE12">LARGE(IF($AX$18:$AX$27="Dura",BE$18:BE$27,0),1)</f>
        <v>0</v>
      </c>
      <c r="BF12" s="3085"/>
      <c r="BG12" s="3085"/>
    </row>
    <row r="13" spans="1:59" ht="12" customHeight="1" thickBot="1" x14ac:dyDescent="0.25">
      <c r="A13" s="9"/>
      <c r="B13" s="1157"/>
      <c r="C13" s="4336"/>
      <c r="D13" s="4337"/>
      <c r="E13" s="4337"/>
      <c r="F13" s="4338" t="str">
        <f>IF(C13=0,"",VLOOKUP(C13,Tabla_Armaduras,7,FALSE))</f>
        <v/>
      </c>
      <c r="G13" s="4339"/>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83"/>
      <c r="V13" s="4285"/>
      <c r="W13" s="4332"/>
      <c r="X13" s="577"/>
      <c r="Y13" s="9"/>
      <c r="Z13" s="9"/>
      <c r="AA13" s="1129"/>
      <c r="AB13" s="4345"/>
      <c r="AC13" s="4356"/>
      <c r="AD13" s="4357"/>
      <c r="AE13" s="4356"/>
      <c r="AF13" s="4406"/>
      <c r="AH13" s="4231" t="str">
        <f>IF(PDs!$E45=0,"",PDs!$E45)</f>
        <v/>
      </c>
      <c r="AI13" s="4231"/>
      <c r="AJ13" s="4231"/>
      <c r="AK13" s="4231"/>
      <c r="AL13" s="4327" t="str">
        <f>IF(PDs!$AD45=0,"",PDs!$V45&amp;" ")&amp;IF(PDs!$AD45=0,"",IF(PDs!$Y45=0,"",PDs!$Y45))</f>
        <v xml:space="preserve"> </v>
      </c>
      <c r="AM13" s="4327"/>
      <c r="AN13" s="4327"/>
      <c r="AO13" s="4327"/>
      <c r="AP13" s="4327"/>
      <c r="AQ13" s="4327"/>
      <c r="AR13" s="1196"/>
      <c r="AS13" s="1151"/>
      <c r="AT13" s="3118"/>
      <c r="AU13" s="3118"/>
      <c r="AV13" s="3085"/>
      <c r="AW13" s="3120" t="s">
        <v>9624</v>
      </c>
      <c r="AX13" s="3120"/>
      <c r="AY13" s="3118">
        <f t="array" ref="AY13">LARGE(IF($AX$18:$AX$27&lt;&gt;"Dura",AY$18:AY$27,0),1)</f>
        <v>0</v>
      </c>
      <c r="AZ13" s="3118">
        <f t="array" ref="AZ13">LARGE(IF($AX$18:$AX$27&lt;&gt;"Dura",AZ$18:AZ$27,0),1)</f>
        <v>0</v>
      </c>
      <c r="BA13" s="3118">
        <f t="array" ref="BA13">LARGE(IF($AX$18:$AX$27&lt;&gt;"Dura",BA$18:BA$27,0),1)</f>
        <v>0</v>
      </c>
      <c r="BB13" s="3118">
        <f t="array" ref="BB13">LARGE(IF($AX$18:$AX$27&lt;&gt;"Dura",BB$18:BB$27,0),1)</f>
        <v>0</v>
      </c>
      <c r="BC13" s="3118">
        <f t="array" ref="BC13">LARGE(IF($AX$18:$AX$27&lt;&gt;"Dura",BC$18:BC$27,0),1)</f>
        <v>0</v>
      </c>
      <c r="BD13" s="3118">
        <f t="array" ref="BD13">LARGE(IF($AX$18:$AX$27&lt;&gt;"Dura",BD$18:BD$27,0),1)</f>
        <v>0</v>
      </c>
      <c r="BE13" s="3118">
        <f t="array" ref="BE13">LARGE(IF($AX$18:$AX$27&lt;&gt;"Dura",BE$18:BE$27,0),1)</f>
        <v>0</v>
      </c>
      <c r="BF13" s="3085"/>
      <c r="BG13" s="3085"/>
    </row>
    <row r="14" spans="1:59" ht="12" customHeight="1" thickBot="1" x14ac:dyDescent="0.25">
      <c r="A14" s="9"/>
      <c r="B14" s="1157"/>
      <c r="C14" s="4293"/>
      <c r="D14" s="4294"/>
      <c r="E14" s="4294"/>
      <c r="F14" s="4282" t="str">
        <f>IF(C14=0,"",VLOOKUP(C14,Tabla_Armaduras,7,FALSE))</f>
        <v/>
      </c>
      <c r="G14" s="4282"/>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83"/>
      <c r="V14" s="4285"/>
      <c r="W14" s="4331">
        <f>CEILING(U14/10,1)*V14/10</f>
        <v>0</v>
      </c>
      <c r="X14" s="577"/>
      <c r="Y14" s="9"/>
      <c r="Z14" s="9"/>
      <c r="AA14" s="1129"/>
      <c r="AB14" s="4345"/>
      <c r="AC14" s="1967" t="s">
        <v>1417</v>
      </c>
      <c r="AD14" s="2185"/>
      <c r="AE14" s="1967" t="s">
        <v>1417</v>
      </c>
      <c r="AF14" s="2291"/>
      <c r="AH14" s="4231" t="str">
        <f>IF(PDs!$E46=0,"",PDs!$E46)</f>
        <v/>
      </c>
      <c r="AI14" s="4231"/>
      <c r="AJ14" s="4231"/>
      <c r="AK14" s="4231"/>
      <c r="AL14" s="4327" t="str">
        <f>IF(PDs!$AD46=0,"",PDs!$V46&amp;" ")&amp;IF(PDs!$AD46=0,"",IF(PDs!$Y46=0,"",PDs!$Y46))</f>
        <v xml:space="preserve"> </v>
      </c>
      <c r="AM14" s="4327"/>
      <c r="AN14" s="4327"/>
      <c r="AO14" s="4327"/>
      <c r="AP14" s="4327"/>
      <c r="AQ14" s="4327"/>
      <c r="AR14" s="1196"/>
      <c r="AS14" s="1151"/>
      <c r="AT14" s="3118"/>
      <c r="AU14" s="3118"/>
      <c r="AV14" s="3085"/>
      <c r="AW14" s="3120" t="s">
        <v>9623</v>
      </c>
      <c r="AX14" s="3120"/>
      <c r="AY14" s="3118">
        <f t="array" ref="AY14">LARGE(IF($AX$18:$AX$27&lt;&gt;"Dura",AY$18:AY$27,0),2)</f>
        <v>0</v>
      </c>
      <c r="AZ14" s="3118">
        <f t="array" ref="AZ14">LARGE(IF($AX$18:$AX$27&lt;&gt;"Dura",AZ$18:AZ$27,0),2)</f>
        <v>0</v>
      </c>
      <c r="BA14" s="3118">
        <f t="array" ref="BA14">LARGE(IF($AX$18:$AX$27&lt;&gt;"Dura",BA$18:BA$27,0),2)</f>
        <v>0</v>
      </c>
      <c r="BB14" s="3118">
        <f t="array" ref="BB14">LARGE(IF($AX$18:$AX$27&lt;&gt;"Dura",BB$18:BB$27,0),2)</f>
        <v>0</v>
      </c>
      <c r="BC14" s="3118">
        <f t="array" ref="BC14">LARGE(IF($AX$18:$AX$27&lt;&gt;"Dura",BC$18:BC$27,0),2)</f>
        <v>0</v>
      </c>
      <c r="BD14" s="3118">
        <f t="array" ref="BD14">LARGE(IF($AX$18:$AX$27&lt;&gt;"Dura",BD$18:BD$27,0),2)</f>
        <v>0</v>
      </c>
      <c r="BE14" s="3118">
        <f t="array" ref="BE14">LARGE(IF($AX$18:$AX$27&lt;&gt;"Dura",BE$18:BE$27,0),2)</f>
        <v>0</v>
      </c>
      <c r="BF14" s="3085"/>
      <c r="BG14" s="3085"/>
    </row>
    <row r="15" spans="1:59" ht="12" customHeight="1" thickBot="1" x14ac:dyDescent="0.25">
      <c r="A15" s="9"/>
      <c r="B15" s="1157"/>
      <c r="C15" s="4287"/>
      <c r="D15" s="4288"/>
      <c r="E15" s="4289"/>
      <c r="F15" s="4302" t="s">
        <v>1559</v>
      </c>
      <c r="G15" s="4302"/>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83"/>
      <c r="V15" s="4285"/>
      <c r="W15" s="4332"/>
      <c r="X15" s="577"/>
      <c r="Y15" s="9"/>
      <c r="Z15" s="9"/>
      <c r="AA15" s="1129"/>
      <c r="AB15" s="4345"/>
      <c r="AC15" s="4383" t="s">
        <v>1349</v>
      </c>
      <c r="AD15" s="4379">
        <f>AW5+AD14+AY5</f>
        <v>0</v>
      </c>
      <c r="AE15" s="4383" t="s">
        <v>1349</v>
      </c>
      <c r="AF15" s="4381">
        <f>S16+AF14</f>
        <v>0</v>
      </c>
      <c r="AH15" s="4231" t="str">
        <f>IF(PDs!$E47=0,"",PDs!$E47)</f>
        <v/>
      </c>
      <c r="AI15" s="4231"/>
      <c r="AJ15" s="4231"/>
      <c r="AK15" s="4231"/>
      <c r="AL15" s="4327" t="str">
        <f>IF(PDs!$AD47=0,"",PDs!$V47&amp;" ")&amp;IF(PDs!$AD47=0,"",IF(PDs!$Y47=0,"",PDs!$Y47))</f>
        <v xml:space="preserve"> </v>
      </c>
      <c r="AM15" s="4327"/>
      <c r="AN15" s="4327"/>
      <c r="AO15" s="4327"/>
      <c r="AP15" s="4327"/>
      <c r="AQ15" s="4327"/>
      <c r="AR15" s="1196"/>
      <c r="AS15" s="1151"/>
      <c r="AT15" s="3118"/>
      <c r="AU15" s="3118"/>
      <c r="AV15" s="3085"/>
      <c r="AW15" s="3118" t="s">
        <v>7222</v>
      </c>
      <c r="AX15" s="3118"/>
      <c r="AY15" s="3118"/>
      <c r="AZ15" s="3118"/>
      <c r="BA15" s="3118"/>
      <c r="BB15" s="3118"/>
      <c r="BC15" s="3118"/>
      <c r="BD15" s="3118"/>
      <c r="BE15" s="3118"/>
      <c r="BF15" s="3085"/>
      <c r="BG15" s="3085"/>
    </row>
    <row r="16" spans="1:59" ht="12" customHeight="1" thickBot="1" x14ac:dyDescent="0.25">
      <c r="A16" s="9"/>
      <c r="B16" s="1157"/>
      <c r="C16" s="4303" t="s">
        <v>1560</v>
      </c>
      <c r="D16" s="4304"/>
      <c r="E16" s="4307">
        <f>MAX(0,R12+R13+R14-MAX(0,TRUNC((LlevarArmadura_final-H16)/50,0)))</f>
        <v>0</v>
      </c>
      <c r="F16" s="4309" t="s">
        <v>1561</v>
      </c>
      <c r="G16" s="4309"/>
      <c r="H16" s="1756">
        <f>SUM(BF17:BF20)</f>
        <v>0</v>
      </c>
      <c r="I16" s="4310">
        <f t="shared" ref="I16:O16" si="2">AY$9</f>
        <v>0</v>
      </c>
      <c r="J16" s="4292">
        <f t="shared" si="2"/>
        <v>0</v>
      </c>
      <c r="K16" s="4292">
        <f t="shared" si="2"/>
        <v>0</v>
      </c>
      <c r="L16" s="4292">
        <f t="shared" si="2"/>
        <v>0</v>
      </c>
      <c r="M16" s="4292">
        <f t="shared" si="2"/>
        <v>0</v>
      </c>
      <c r="N16" s="4292">
        <f t="shared" si="2"/>
        <v>0</v>
      </c>
      <c r="O16" s="4222">
        <f t="shared" si="2"/>
        <v>0</v>
      </c>
      <c r="P16" s="4299" t="s">
        <v>8351</v>
      </c>
      <c r="Q16" s="4300"/>
      <c r="R16" s="4300"/>
      <c r="S16" s="1159">
        <f>IF(H16=0,0,MIN(LlevarArmadura_final-H16,0))</f>
        <v>0</v>
      </c>
      <c r="U16" s="4283"/>
      <c r="V16" s="4285"/>
      <c r="W16" s="4331">
        <f>CEILING(U16/10,1)*V16/10</f>
        <v>0</v>
      </c>
      <c r="X16" s="577"/>
      <c r="Y16" s="9"/>
      <c r="Z16" s="9"/>
      <c r="AA16" s="1129"/>
      <c r="AB16" s="4346"/>
      <c r="AC16" s="4384"/>
      <c r="AD16" s="4380"/>
      <c r="AE16" s="4384"/>
      <c r="AF16" s="4382"/>
      <c r="AH16" s="4229" t="str">
        <f>IF(PDs!$E48=0,"",PDs!$E48)</f>
        <v/>
      </c>
      <c r="AI16" s="4229"/>
      <c r="AJ16" s="4229"/>
      <c r="AK16" s="4229"/>
      <c r="AL16" s="4378" t="str">
        <f>IF(PDs!$AD48=0,"",PDs!$V48&amp;" ")&amp;IF(PDs!$AD48=0,"",IF(PDs!$Y48=0,"",PDs!$Y48))</f>
        <v xml:space="preserve"> </v>
      </c>
      <c r="AM16" s="4378"/>
      <c r="AN16" s="4378"/>
      <c r="AO16" s="4378"/>
      <c r="AP16" s="4378"/>
      <c r="AQ16" s="4378"/>
      <c r="AR16" s="1196"/>
      <c r="AS16" s="1151"/>
      <c r="AT16" s="3096" t="s">
        <v>9561</v>
      </c>
      <c r="AU16" s="3096"/>
      <c r="AV16" s="3085"/>
      <c r="AW16" s="3118"/>
      <c r="AX16" s="3118" t="s">
        <v>9622</v>
      </c>
      <c r="AY16" s="3118" t="str">
        <f t="shared" ref="AY16:BE16" si="3">I11</f>
        <v>FIL</v>
      </c>
      <c r="AZ16" s="3118" t="str">
        <f t="shared" si="3"/>
        <v>CON</v>
      </c>
      <c r="BA16" s="3118" t="str">
        <f t="shared" si="3"/>
        <v>PEN</v>
      </c>
      <c r="BB16" s="3118" t="str">
        <f t="shared" si="3"/>
        <v>CAL</v>
      </c>
      <c r="BC16" s="3118" t="str">
        <f t="shared" si="3"/>
        <v>ELE</v>
      </c>
      <c r="BD16" s="3118" t="str">
        <f t="shared" si="3"/>
        <v>FRI</v>
      </c>
      <c r="BE16" s="3118" t="str">
        <f t="shared" si="3"/>
        <v>ENE</v>
      </c>
      <c r="BF16" s="3085" t="s">
        <v>10053</v>
      </c>
      <c r="BG16" s="3085" t="s">
        <v>10054</v>
      </c>
    </row>
    <row r="17" spans="1:59" ht="12" customHeight="1" thickBot="1" x14ac:dyDescent="0.25">
      <c r="A17" s="9"/>
      <c r="B17" s="1324"/>
      <c r="C17" s="4305"/>
      <c r="D17" s="4306"/>
      <c r="E17" s="4308"/>
      <c r="F17" s="4291" t="s">
        <v>1562</v>
      </c>
      <c r="G17" s="4291"/>
      <c r="H17" s="453">
        <f>SUM(BG18:BG20)</f>
        <v>0</v>
      </c>
      <c r="I17" s="4311"/>
      <c r="J17" s="4108"/>
      <c r="K17" s="4108"/>
      <c r="L17" s="4108"/>
      <c r="M17" s="4108"/>
      <c r="N17" s="4108"/>
      <c r="O17" s="4298"/>
      <c r="P17" s="4290" t="s">
        <v>8345</v>
      </c>
      <c r="Q17" s="3295"/>
      <c r="R17" s="3295"/>
      <c r="S17" s="1313">
        <f>MIN(MAX(LlevarArmadura_final-H16,0)+H17,0)+MAX(MIN(-20*IF(OR(C12=0,AX18="Natural"),0,1)-20*IF(OR(C13=0,AX19="Natural"),0,1)-20*IF(OR(C14=0,AX20="Natural"),0,1)+20,0),-40)</f>
        <v>0</v>
      </c>
      <c r="U17" s="4284"/>
      <c r="V17" s="4286"/>
      <c r="W17" s="4332"/>
      <c r="X17" s="1130"/>
      <c r="Y17" s="9"/>
      <c r="Z17" s="9"/>
      <c r="AA17" s="1129"/>
      <c r="AM17" s="21"/>
      <c r="AN17" s="21"/>
      <c r="AO17" s="21"/>
      <c r="AP17" s="21"/>
      <c r="AQ17" s="21"/>
      <c r="AR17" s="1196"/>
      <c r="AS17" s="1151"/>
      <c r="AT17" s="3855">
        <f>HA_final-PDs!$X$25-IF(C20="Desarmado",IF(C21="Conocida",0,60),0)+MIN(PDs!$X$25+F24,50)+BonoMaestro_HA-IF(Tablas!$H$526&lt;&gt;0,IF(Arma_Desarrollada="Desarmado",0,30),0)</f>
        <v>0</v>
      </c>
      <c r="AU17" s="3855"/>
      <c r="AV17" s="3085"/>
      <c r="AW17" s="3085" t="s">
        <v>9625</v>
      </c>
      <c r="AX17" s="3085" t="s">
        <v>9626</v>
      </c>
      <c r="AY17" s="3084">
        <f>IF($C15=0,0,$H15/5+VLOOKUP($C15,Tabla_Yelmos,Tablas!H$1,FALSE))</f>
        <v>0</v>
      </c>
      <c r="AZ17" s="3084">
        <f>IF($C15=0,0,$H15/5+VLOOKUP($C15,Tabla_Yelmos,Tablas!I$1,FALSE))</f>
        <v>0</v>
      </c>
      <c r="BA17" s="3084">
        <f>IF($C15=0,0,$H15/5+VLOOKUP($C15,Tabla_Yelmos,Tablas!J$1,FALSE))</f>
        <v>0</v>
      </c>
      <c r="BB17" s="3084">
        <f>IF($C15=0,0,$H15/5+VLOOKUP($C15,Tabla_Yelmos,Tablas!K$1,FALSE))</f>
        <v>0</v>
      </c>
      <c r="BC17" s="3084">
        <f>IF($C15=0,0,$H15/5+VLOOKUP($C15,Tabla_Yelmos,Tablas!L$1,FALSE))</f>
        <v>0</v>
      </c>
      <c r="BD17" s="3084">
        <f>IF($C15=0,0,$H15/5+VLOOKUP($C15,Tabla_Yelmos,Tablas!M$1,FALSE))</f>
        <v>0</v>
      </c>
      <c r="BE17" s="3084">
        <f>IF($C15=0,0,IF(S15="Sí",$H15/5,0)+VLOOKUP($C15,Tabla_Yelmos,Tablas!N$1,FALSE))</f>
        <v>0</v>
      </c>
      <c r="BF17" s="3085">
        <f>IFERROR(MAX(0,VLOOKUP(C15,Tabla_Yelmos,2,FALSE)-H15),0)</f>
        <v>0</v>
      </c>
      <c r="BG17" s="3085"/>
    </row>
    <row r="18" spans="1:59" ht="12" customHeight="1" thickBot="1" x14ac:dyDescent="0.25">
      <c r="A18" s="9"/>
      <c r="B18" s="1157"/>
      <c r="C18" s="4301" t="str">
        <f>IF(COUNTIF(AY21:BE27,"&gt;0")&gt;0,"Armaduras especiales aplicadas:","")</f>
        <v/>
      </c>
      <c r="D18" s="4301"/>
      <c r="E18" s="4301"/>
      <c r="F18" s="4301"/>
      <c r="G18" s="4301"/>
      <c r="H18" s="4358" t="str">
        <f>BF23&amp;BG23&amp;BF24&amp;BG24&amp;BF25&amp;BG25&amp;BF26&amp;BG26&amp;BF27</f>
        <v/>
      </c>
      <c r="I18" s="4358"/>
      <c r="J18" s="4358"/>
      <c r="K18" s="4358"/>
      <c r="L18" s="4358"/>
      <c r="M18" s="4358"/>
      <c r="N18" s="4358"/>
      <c r="O18" s="4358"/>
      <c r="P18" s="4358"/>
      <c r="Q18" s="4358"/>
      <c r="R18" s="4358"/>
      <c r="S18" s="4358"/>
      <c r="T18" s="34"/>
      <c r="X18" s="1130"/>
      <c r="Y18" s="9"/>
      <c r="Z18" s="9"/>
      <c r="AA18" s="1129"/>
      <c r="AB18" s="3676" t="s">
        <v>1502</v>
      </c>
      <c r="AC18" s="3676"/>
      <c r="AD18" s="3676"/>
      <c r="AE18" s="3676"/>
      <c r="AF18" s="3676"/>
      <c r="AG18" s="3676"/>
      <c r="AH18" s="4374" t="s">
        <v>1548</v>
      </c>
      <c r="AI18" s="4374"/>
      <c r="AJ18" s="4374"/>
      <c r="AK18" s="4374"/>
      <c r="AL18" s="4374"/>
      <c r="AM18" s="4374"/>
      <c r="AN18" s="4374"/>
      <c r="AO18" s="4374"/>
      <c r="AP18" s="4374"/>
      <c r="AQ18" s="4374"/>
      <c r="AR18" s="1196"/>
      <c r="AS18" s="1151"/>
      <c r="AT18" s="3096" t="s">
        <v>8293</v>
      </c>
      <c r="AU18" s="3096"/>
      <c r="AV18" s="3085"/>
      <c r="AW18" s="3118" t="s">
        <v>7202</v>
      </c>
      <c r="AX18" s="3118">
        <f>IF(C12=0,0,VLOOKUP($C12,Tabla_Armaduras,8,FALSE))</f>
        <v>0</v>
      </c>
      <c r="AY18" s="3118">
        <f t="shared" ref="AY18:BE18" si="4">I$12</f>
        <v>0</v>
      </c>
      <c r="AZ18" s="3118">
        <f t="shared" si="4"/>
        <v>0</v>
      </c>
      <c r="BA18" s="3118">
        <f t="shared" si="4"/>
        <v>0</v>
      </c>
      <c r="BB18" s="3118">
        <f t="shared" si="4"/>
        <v>0</v>
      </c>
      <c r="BC18" s="3118">
        <f t="shared" si="4"/>
        <v>0</v>
      </c>
      <c r="BD18" s="3118">
        <f t="shared" si="4"/>
        <v>0</v>
      </c>
      <c r="BE18" s="3118">
        <f t="shared" si="4"/>
        <v>0</v>
      </c>
      <c r="BF18" s="3085">
        <f>IFERROR(MAX(0,VLOOKUP(C12,Tabla_Armaduras,2,FALSE)-H12),0)</f>
        <v>0</v>
      </c>
      <c r="BG18" s="3085">
        <f>IFERROR(MIN(0,VLOOKUP(C12,Tabla_Armaduras,3,FALSE)+H12),0)</f>
        <v>0</v>
      </c>
    </row>
    <row r="19" spans="1:59" ht="12" customHeight="1" thickBot="1" x14ac:dyDescent="0.25">
      <c r="A19" s="9"/>
      <c r="B19" s="3021"/>
      <c r="O19" s="14"/>
      <c r="X19" s="577"/>
      <c r="Y19" s="9"/>
      <c r="Z19" s="9"/>
      <c r="AA19" s="1129"/>
      <c r="AB19" s="4370" t="str">
        <f>IF(PDs!$E49="","",PDs!$E49&amp;IF(AND(PDs!AD49=1,PDs!M49/PDs!L49+PDs!O49/PDs!N49+PDs!Q49/PDs!P49+PDs!S49/PDs!R49+PDs!U49/PDs!T49&gt;1)," ("&amp;PDs!M49/PDs!L49+PDs!O49/PDs!N49+PDs!Q49/PDs!P49+PDs!S49/PDs!R49+PDs!U49/PDs!T49&amp;")",""))</f>
        <v/>
      </c>
      <c r="AC19" s="4370"/>
      <c r="AD19" s="4370"/>
      <c r="AE19" s="4370"/>
      <c r="AF19" s="4370"/>
      <c r="AG19" s="4370"/>
      <c r="AH19" s="4261" t="str">
        <f>IF(PDs!$V49=0,"",PDs!$V49)</f>
        <v/>
      </c>
      <c r="AI19" s="4261"/>
      <c r="AJ19" s="4261"/>
      <c r="AK19" s="4261"/>
      <c r="AL19" s="4261"/>
      <c r="AM19" s="4261"/>
      <c r="AN19" s="4261"/>
      <c r="AO19" s="4261"/>
      <c r="AP19" s="4261"/>
      <c r="AQ19" s="4261"/>
      <c r="AR19" s="1196"/>
      <c r="AS19" s="1151"/>
      <c r="AT19" s="3855">
        <f>HP_final-PDs!$X$26-IF(C20="Desarmado",IF(C21="Conocida",0,60),0)+MIN(PDs!$X$26+H24,50)+BonoMaestro_HD-IF(Tablas!$H$526&lt;&gt;0,IF(Arma_Desarrollada="Desarmado",0,30),0)</f>
        <v>0</v>
      </c>
      <c r="AU19" s="3855"/>
      <c r="AV19" s="3085"/>
      <c r="AW19" s="3118" t="s">
        <v>7203</v>
      </c>
      <c r="AX19" s="3118">
        <f>IF(C13=0,0,VLOOKUP($C13,Tabla_Armaduras,8,FALSE))</f>
        <v>0</v>
      </c>
      <c r="AY19" s="3118">
        <f t="shared" ref="AY19:BE19" si="5">I$13</f>
        <v>0</v>
      </c>
      <c r="AZ19" s="3118">
        <f t="shared" si="5"/>
        <v>0</v>
      </c>
      <c r="BA19" s="3118">
        <f t="shared" si="5"/>
        <v>0</v>
      </c>
      <c r="BB19" s="3118">
        <f t="shared" si="5"/>
        <v>0</v>
      </c>
      <c r="BC19" s="3118">
        <f t="shared" si="5"/>
        <v>0</v>
      </c>
      <c r="BD19" s="3118">
        <f t="shared" si="5"/>
        <v>0</v>
      </c>
      <c r="BE19" s="3118">
        <f t="shared" si="5"/>
        <v>0</v>
      </c>
      <c r="BF19" s="3085">
        <f>IFERROR(MAX(0,VLOOKUP(C13,Tabla_Armaduras,2,FALSE)-H13),0)</f>
        <v>0</v>
      </c>
      <c r="BG19" s="3085">
        <f>IFERROR(MIN(0,VLOOKUP(C13,Tabla_Armaduras,3,FALSE)+H13),0)</f>
        <v>0</v>
      </c>
    </row>
    <row r="20" spans="1:59" ht="12" customHeight="1" thickBot="1" x14ac:dyDescent="0.25">
      <c r="A20" s="9"/>
      <c r="B20" s="1157"/>
      <c r="C20" s="4312" t="str">
        <f>IF(COUNTA(PDs!$E$59:$E$77)&gt;0,"Artes Marciales","Desarmado")</f>
        <v>Desarmado</v>
      </c>
      <c r="D20" s="4313"/>
      <c r="E20" s="4314"/>
      <c r="F20" s="4314"/>
      <c r="G20" s="4314"/>
      <c r="H20" s="1777" t="s">
        <v>1392</v>
      </c>
      <c r="I20" s="1778" t="s">
        <v>1563</v>
      </c>
      <c r="J20" s="4239" t="s">
        <v>1564</v>
      </c>
      <c r="K20" s="4239"/>
      <c r="L20" s="1779" t="s">
        <v>1565</v>
      </c>
      <c r="N20" s="4375" t="s">
        <v>8648</v>
      </c>
      <c r="O20" s="4376"/>
      <c r="P20" s="4377"/>
      <c r="R20" s="3158" t="s">
        <v>8694</v>
      </c>
      <c r="S20" s="3159"/>
      <c r="T20" s="3159"/>
      <c r="U20" s="3159"/>
      <c r="V20" s="3159"/>
      <c r="W20" s="3160"/>
      <c r="X20" s="577"/>
      <c r="Y20" s="9"/>
      <c r="Z20" s="9"/>
      <c r="AA20" s="1129"/>
      <c r="AB20" s="4370" t="str">
        <f>IF(PDs!$E50="","",PDs!$E50&amp;IF(AND(PDs!AD50=1,PDs!M50/PDs!L50+PDs!O50/PDs!N50+PDs!Q50/PDs!P50+PDs!S50/PDs!R50+PDs!U50/PDs!T50&gt;1)," ("&amp;PDs!M50/PDs!L50+PDs!O50/PDs!N50+PDs!Q50/PDs!P50+PDs!S50/PDs!R50+PDs!U50/PDs!T50&amp;")",""))</f>
        <v/>
      </c>
      <c r="AC20" s="4371"/>
      <c r="AD20" s="4371"/>
      <c r="AE20" s="4371"/>
      <c r="AF20" s="4371"/>
      <c r="AG20" s="4372"/>
      <c r="AH20" s="4261" t="str">
        <f>IF(PDs!$V50=0,"",PDs!$V50)</f>
        <v/>
      </c>
      <c r="AI20" s="4261"/>
      <c r="AJ20" s="4261"/>
      <c r="AK20" s="4261"/>
      <c r="AL20" s="4261"/>
      <c r="AM20" s="4261"/>
      <c r="AN20" s="4261"/>
      <c r="AO20" s="4261"/>
      <c r="AP20" s="4261"/>
      <c r="AQ20" s="4261"/>
      <c r="AR20" s="1196"/>
      <c r="AS20" s="1151"/>
      <c r="AT20" s="3096" t="s">
        <v>8294</v>
      </c>
      <c r="AU20" s="3096"/>
      <c r="AV20" s="3085"/>
      <c r="AW20" s="3118" t="s">
        <v>7204</v>
      </c>
      <c r="AX20" s="3118">
        <f>IF(C14=0,0,VLOOKUP($C14,Tabla_Armaduras,8,FALSE))</f>
        <v>0</v>
      </c>
      <c r="AY20" s="3118">
        <f t="shared" ref="AY20:BE20" si="6">I$14</f>
        <v>0</v>
      </c>
      <c r="AZ20" s="3118">
        <f t="shared" si="6"/>
        <v>0</v>
      </c>
      <c r="BA20" s="3118">
        <f t="shared" si="6"/>
        <v>0</v>
      </c>
      <c r="BB20" s="3118">
        <f t="shared" si="6"/>
        <v>0</v>
      </c>
      <c r="BC20" s="3118">
        <f t="shared" si="6"/>
        <v>0</v>
      </c>
      <c r="BD20" s="3118">
        <f t="shared" si="6"/>
        <v>0</v>
      </c>
      <c r="BE20" s="3118">
        <f t="shared" si="6"/>
        <v>0</v>
      </c>
      <c r="BF20" s="3085">
        <f>IFERROR(MAX(0,VLOOKUP(C14,Tabla_Armaduras,2,FALSE)-H14),0)</f>
        <v>0</v>
      </c>
      <c r="BG20" s="3085">
        <f>IFERROR(MIN(0,VLOOKUP(C14,Tabla_Armaduras,3,FALSE)+H14),0)</f>
        <v>0</v>
      </c>
    </row>
    <row r="21" spans="1:59" ht="12" customHeight="1" x14ac:dyDescent="0.2">
      <c r="A21" s="9"/>
      <c r="B21" s="1157"/>
      <c r="C21" s="4296" t="str">
        <f>IF(C20="Artes Marciales","Conocida",VLOOKUP(C20,Tabla_ArmasyEscudos,9,FALSE))</f>
        <v>Conocida</v>
      </c>
      <c r="D21" s="4297"/>
      <c r="E21" s="4316" t="str">
        <f>IF(OR(Tablas!$O$940&gt;0,Tablas!$P$940&gt;0),"B.Maestro: "&amp;IF(Tablas!$O$940&gt;0,Tablas!$O$940&amp;"HA","")&amp;IF(AND(Tablas!$O$940&gt;0,Tablas!$P$940&gt;0),", ","")&amp;IF(Tablas!$P$940,Tablas!$P$940&amp;"HD",""),"")</f>
        <v/>
      </c>
      <c r="F21" s="4317"/>
      <c r="G21" s="4318"/>
      <c r="H21" s="3760">
        <f>Turno_Nat_final+Combate!D24+Personalización!Y7+IFERROR(VLOOKUP(E20,Tabla_EquipoArtesMarciales,3,FALSE),0)+MIN(0,I23)</f>
        <v>40</v>
      </c>
      <c r="I21" s="4315">
        <f>MAX(HA_SinArmas+Personalización!Y8+IFERROR(VLOOKUP(E20,Tabla_EquipoArtesMarciales,4,FALSE),0))</f>
        <v>0</v>
      </c>
      <c r="J21" s="4200">
        <f>MAX(HP_SinArmas_final,HE_SinArmas_final)</f>
        <v>0</v>
      </c>
      <c r="K21" s="4222" t="str">
        <f>IF(HP_SinArmas&gt;=HE_SinArmas,"Par","Esq")</f>
        <v>Par</v>
      </c>
      <c r="L21" s="4208">
        <f>MAX(0,IF(C20="Desarmado",VLOOKUP(Tamaño,Tabla_CreaciónSeres,7,TRUE)+Bono_Fue,ArtesM_Daño)+L24+Personalización!Y10)</f>
        <v>5</v>
      </c>
      <c r="N21" s="4276" t="str">
        <f>IF(AU64,AU63,"")&amp;IF(AV65,", ","")&amp;IF(AV64,AV63,"")&amp;IF(AW65,", ","")&amp;IF(AW64,AW63,"")&amp;IF(AX65,", ","")&amp;IF(AX64,AX63,"")&amp;IF(AY65,", ","")&amp;IF(AY64,AY63,"")&amp;IF(AZ65,", ","")&amp;IF(AZ64,AZ63,"")</f>
        <v/>
      </c>
      <c r="O21" s="4277"/>
      <c r="P21" s="4278"/>
      <c r="R21" s="4322" t="s">
        <v>8695</v>
      </c>
      <c r="S21" s="4323"/>
      <c r="T21" s="4323"/>
      <c r="U21" s="4323" t="s">
        <v>8696</v>
      </c>
      <c r="V21" s="4323"/>
      <c r="W21" s="4359"/>
      <c r="X21" s="577"/>
      <c r="Y21" s="9"/>
      <c r="Z21" s="9"/>
      <c r="AA21" s="1129"/>
      <c r="AB21" s="4370" t="str">
        <f>IF(PDs!$E51="","",PDs!$E51&amp;IF(AND(PDs!AD51=1,PDs!M51/PDs!L51+PDs!O51/PDs!N51+PDs!Q51/PDs!P51+PDs!S51/PDs!R51+PDs!U51/PDs!T51&gt;1)," ("&amp;PDs!M51/PDs!L51+PDs!O51/PDs!N51+PDs!Q51/PDs!P51+PDs!S51/PDs!R51+PDs!U51/PDs!T51&amp;")",""))</f>
        <v/>
      </c>
      <c r="AC21" s="4371"/>
      <c r="AD21" s="4371"/>
      <c r="AE21" s="4371"/>
      <c r="AF21" s="4371"/>
      <c r="AG21" s="4372"/>
      <c r="AH21" s="4261" t="str">
        <f>IF(PDs!$V51=0,"",PDs!$V51)</f>
        <v/>
      </c>
      <c r="AI21" s="4261"/>
      <c r="AJ21" s="4261"/>
      <c r="AK21" s="4261"/>
      <c r="AL21" s="4261"/>
      <c r="AM21" s="4261"/>
      <c r="AN21" s="4261"/>
      <c r="AO21" s="4261"/>
      <c r="AP21" s="4261"/>
      <c r="AQ21" s="4261"/>
      <c r="AR21" s="1196"/>
      <c r="AS21" s="1151"/>
      <c r="AT21" s="3855">
        <f>HE_final-PDs!$X$27+MIN(PDs!$X$27+J24,50)+BonoMaestro_HD</f>
        <v>0</v>
      </c>
      <c r="AU21" s="3855"/>
      <c r="AV21" s="3085"/>
      <c r="AW21" s="3118" t="s">
        <v>7205</v>
      </c>
      <c r="AX21" s="3118" t="s">
        <v>1971</v>
      </c>
      <c r="AY21" s="3118">
        <f>2*Tablas!$G$329</f>
        <v>0</v>
      </c>
      <c r="AZ21" s="3118">
        <f>2*Tablas!$G$329</f>
        <v>0</v>
      </c>
      <c r="BA21" s="3118">
        <f>2*Tablas!$G$329</f>
        <v>0</v>
      </c>
      <c r="BB21" s="3118">
        <f>2*Tablas!$G$329</f>
        <v>0</v>
      </c>
      <c r="BC21" s="3118">
        <f>2*Tablas!$G$329</f>
        <v>0</v>
      </c>
      <c r="BD21" s="3118">
        <f>2*Tablas!$G$329</f>
        <v>0</v>
      </c>
      <c r="BE21" s="3118">
        <f>4*Tablas!G330</f>
        <v>0</v>
      </c>
      <c r="BF21" s="3085"/>
      <c r="BG21" s="3085"/>
    </row>
    <row r="22" spans="1:59" ht="12" customHeight="1" thickBot="1" x14ac:dyDescent="0.25">
      <c r="A22" s="9"/>
      <c r="B22" s="1157"/>
      <c r="C22" s="452" t="s">
        <v>1567</v>
      </c>
      <c r="D22" s="70" t="s">
        <v>1568</v>
      </c>
      <c r="E22" s="73" t="s">
        <v>1556</v>
      </c>
      <c r="F22" s="73" t="s">
        <v>1569</v>
      </c>
      <c r="G22" s="73" t="s">
        <v>1557</v>
      </c>
      <c r="H22" s="4220"/>
      <c r="I22" s="4220"/>
      <c r="J22" s="4200"/>
      <c r="K22" s="4222"/>
      <c r="L22" s="4209"/>
      <c r="N22" s="4279"/>
      <c r="O22" s="4280"/>
      <c r="P22" s="4281"/>
      <c r="R22" s="4324"/>
      <c r="S22" s="4325"/>
      <c r="T22" s="4325"/>
      <c r="U22" s="4319"/>
      <c r="V22" s="4320"/>
      <c r="W22" s="4321"/>
      <c r="X22" s="577"/>
      <c r="Y22" s="9"/>
      <c r="Z22" s="9"/>
      <c r="AA22" s="1129"/>
      <c r="AB22" s="4370" t="str">
        <f>IF(PDs!$E52="","",PDs!$E52&amp;IF(AND(PDs!AD52=1,PDs!M52/PDs!L52+PDs!O52/PDs!N52+PDs!Q52/PDs!P52+PDs!S52/PDs!R52+PDs!U52/PDs!T52&gt;1)," ("&amp;PDs!M52/PDs!L52+PDs!O52/PDs!N52+PDs!Q52/PDs!P52+PDs!S52/PDs!R52+PDs!U52/PDs!T52&amp;")",""))</f>
        <v/>
      </c>
      <c r="AC22" s="4371"/>
      <c r="AD22" s="4371"/>
      <c r="AE22" s="4371"/>
      <c r="AF22" s="4371"/>
      <c r="AG22" s="4372"/>
      <c r="AH22" s="4261" t="str">
        <f>IF(PDs!$V52=0,"",PDs!$V52)</f>
        <v/>
      </c>
      <c r="AI22" s="4261"/>
      <c r="AJ22" s="4261"/>
      <c r="AK22" s="4261"/>
      <c r="AL22" s="4261"/>
      <c r="AM22" s="4261"/>
      <c r="AN22" s="4261"/>
      <c r="AO22" s="4261"/>
      <c r="AP22" s="4261"/>
      <c r="AQ22" s="4261"/>
      <c r="AR22" s="1196"/>
      <c r="AS22" s="1151"/>
      <c r="AT22" s="3096" t="s">
        <v>9562</v>
      </c>
      <c r="AU22" s="3096"/>
      <c r="AV22" s="3085"/>
      <c r="AW22" s="3118" t="s">
        <v>7206</v>
      </c>
      <c r="AX22" s="3118" t="s">
        <v>1971</v>
      </c>
      <c r="AY22" s="3118">
        <f>Tablas!S$1508</f>
        <v>0</v>
      </c>
      <c r="AZ22" s="3118">
        <f>Tablas!S$1509</f>
        <v>0</v>
      </c>
      <c r="BA22" s="3118">
        <f>Tablas!S$1510</f>
        <v>0</v>
      </c>
      <c r="BB22" s="3118">
        <f>Tablas!S$1511</f>
        <v>0</v>
      </c>
      <c r="BC22" s="3118">
        <f>Tablas!S$1512</f>
        <v>0</v>
      </c>
      <c r="BD22" s="3118">
        <f>Tablas!S$1513</f>
        <v>0</v>
      </c>
      <c r="BE22" s="3118">
        <f>Tablas!S$1514</f>
        <v>0</v>
      </c>
      <c r="BF22" s="3085"/>
      <c r="BG22" s="3085"/>
    </row>
    <row r="23" spans="1:59" ht="12" customHeight="1" thickBot="1" x14ac:dyDescent="0.25">
      <c r="A23" s="9"/>
      <c r="B23" s="1157"/>
      <c r="C23" s="1057" t="s">
        <v>1497</v>
      </c>
      <c r="D23" s="2477"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265" t="str">
        <f>IF(OR(I23=0,E20=""),"","TA defensor:")</f>
        <v/>
      </c>
      <c r="K23" s="4265"/>
      <c r="L23" s="1468" t="str">
        <f>IF(J23="TA defensor:",I23/(-5),"")</f>
        <v/>
      </c>
      <c r="N23" s="3350" t="s">
        <v>8499</v>
      </c>
      <c r="O23" s="3351"/>
      <c r="P23" s="3352"/>
      <c r="R23" s="4368"/>
      <c r="S23" s="4361"/>
      <c r="T23" s="4361"/>
      <c r="U23" s="4360"/>
      <c r="V23" s="4361"/>
      <c r="W23" s="4362"/>
      <c r="X23" s="577"/>
      <c r="Y23" s="9"/>
      <c r="Z23" s="9"/>
      <c r="AA23" s="1129"/>
      <c r="AB23" s="4370" t="str">
        <f>IF(PDs!$E53="","",PDs!$E53&amp;IF(AND(PDs!AD53=1,PDs!M53/PDs!L53+PDs!O53/PDs!N53+PDs!Q53/PDs!P53+PDs!S53/PDs!R53+PDs!U53/PDs!T53&gt;1)," ("&amp;PDs!M53/PDs!L53+PDs!O53/PDs!N53+PDs!Q53/PDs!P53+PDs!S53/PDs!R53+PDs!U53/PDs!T53&amp;")",""))</f>
        <v/>
      </c>
      <c r="AC23" s="4371"/>
      <c r="AD23" s="4371"/>
      <c r="AE23" s="4371"/>
      <c r="AF23" s="4371"/>
      <c r="AG23" s="4372"/>
      <c r="AH23" s="4261" t="str">
        <f>IF(PDs!$V53=0,"",PDs!$V53)</f>
        <v/>
      </c>
      <c r="AI23" s="4261"/>
      <c r="AJ23" s="4261"/>
      <c r="AK23" s="4261"/>
      <c r="AL23" s="4261"/>
      <c r="AM23" s="4261"/>
      <c r="AN23" s="4261"/>
      <c r="AO23" s="4261"/>
      <c r="AP23" s="4261"/>
      <c r="AQ23" s="4261"/>
      <c r="AR23" s="1196"/>
      <c r="AS23" s="1151"/>
      <c r="AT23" s="3855">
        <f>MAX(HP_SinArmas,HE_SinArmas)</f>
        <v>0</v>
      </c>
      <c r="AU23" s="3855"/>
      <c r="AV23" s="3085"/>
      <c r="AW23" s="3118" t="s">
        <v>7208</v>
      </c>
      <c r="AX23" s="3118" t="s">
        <v>1971</v>
      </c>
      <c r="AY23" s="3118">
        <f t="shared" ref="AY23:BE23" si="7">IF(Acumulacion="Sí",VLOOKUP(Tamaño,Tabla_CreaciónSeres,6),0)</f>
        <v>0</v>
      </c>
      <c r="AZ23" s="3118">
        <f t="shared" si="7"/>
        <v>0</v>
      </c>
      <c r="BA23" s="3118">
        <f t="shared" si="7"/>
        <v>0</v>
      </c>
      <c r="BB23" s="3118">
        <f t="shared" si="7"/>
        <v>0</v>
      </c>
      <c r="BC23" s="3118">
        <f t="shared" si="7"/>
        <v>0</v>
      </c>
      <c r="BD23" s="3118">
        <f t="shared" si="7"/>
        <v>0</v>
      </c>
      <c r="BE23" s="3118">
        <f t="shared" si="7"/>
        <v>0</v>
      </c>
      <c r="BF23" s="3085" t="str">
        <f>IF(COUNTIF(AY21:BE23,"&gt;0")&gt;0,"Armadura natural","")</f>
        <v/>
      </c>
      <c r="BG23" s="3085" t="str">
        <f>IF(AND(BF23&lt;&gt;"",COUNTIF(BF24:BF27,"?*")&gt;0),", ","")</f>
        <v/>
      </c>
    </row>
    <row r="24" spans="1:59" ht="12" customHeight="1" thickBot="1" x14ac:dyDescent="0.25">
      <c r="A24" s="9"/>
      <c r="B24" s="1157"/>
      <c r="C24" s="3264" t="s">
        <v>1570</v>
      </c>
      <c r="D24" s="4268">
        <f>Tablas!$K$940</f>
        <v>0</v>
      </c>
      <c r="E24" s="4270" t="s">
        <v>1571</v>
      </c>
      <c r="F24" s="4268">
        <f>MIN(Tablas!$H$940,50)</f>
        <v>0</v>
      </c>
      <c r="G24" s="4270" t="s">
        <v>1572</v>
      </c>
      <c r="H24" s="4274">
        <f>MIN(Tablas!$J$940,50)</f>
        <v>0</v>
      </c>
      <c r="I24" s="4266" t="s">
        <v>1573</v>
      </c>
      <c r="J24" s="4274">
        <f>MIN(Tablas!$I$940,50)</f>
        <v>0</v>
      </c>
      <c r="K24" s="4266" t="s">
        <v>1574</v>
      </c>
      <c r="L24" s="4272">
        <f>IF(Extensióndelauraalarma,10,0)+IF(DañoIncrementado,10,0)+IF($C$20="Artes Marciales",Tablas!F940,0)+Tablas!$K$1780+IFERROR(VLOOKUP(E20,Tabla_EquipoArtesMarciales,2,FALSE)+I23*2,0)</f>
        <v>0</v>
      </c>
      <c r="N24" s="4276" t="str">
        <f>IF(AU59,AU58,"")&amp;IF(AV60,", ","")&amp;IF(AV59,AV58,"")&amp;IF(AW60,", ","")&amp;IF(AW59,AW58,"")&amp;IF(AX60,", ","")&amp;IF(AX59,AX58,"")&amp;IF(AX58="CON"," (+10 Daño armas CON)","")</f>
        <v/>
      </c>
      <c r="O24" s="4277"/>
      <c r="P24" s="4278"/>
      <c r="R24" s="4324"/>
      <c r="S24" s="4325"/>
      <c r="T24" s="4325"/>
      <c r="U24" s="4363"/>
      <c r="V24" s="4325"/>
      <c r="W24" s="4364"/>
      <c r="X24" s="577"/>
      <c r="Y24" s="9"/>
      <c r="Z24" s="9"/>
      <c r="AA24" s="1129"/>
      <c r="AB24" s="4370" t="str">
        <f>IF(PDs!$E54="","",PDs!$E54&amp;IF(AND(PDs!AD54=1,PDs!M54/PDs!L54+PDs!O54/PDs!N54+PDs!Q54/PDs!P54+PDs!S54/PDs!R54+PDs!U54/PDs!T54&gt;1)," ("&amp;PDs!M54/PDs!L54+PDs!O54/PDs!N54+PDs!Q54/PDs!P54+PDs!S54/PDs!R54+PDs!U54/PDs!T54&amp;")",""))</f>
        <v/>
      </c>
      <c r="AC24" s="4371"/>
      <c r="AD24" s="4371"/>
      <c r="AE24" s="4371"/>
      <c r="AF24" s="4371"/>
      <c r="AG24" s="4372"/>
      <c r="AH24" s="4261" t="str">
        <f>IF(PDs!$V54=0,"",PDs!$V54)</f>
        <v/>
      </c>
      <c r="AI24" s="4261"/>
      <c r="AJ24" s="4261"/>
      <c r="AK24" s="4261"/>
      <c r="AL24" s="4261"/>
      <c r="AM24" s="4261"/>
      <c r="AN24" s="4261"/>
      <c r="AO24" s="4261"/>
      <c r="AP24" s="4261"/>
      <c r="AQ24" s="4261"/>
      <c r="AR24" s="1196"/>
      <c r="AS24" s="1151"/>
      <c r="AT24" s="3096" t="s">
        <v>10083</v>
      </c>
      <c r="AU24" s="3096"/>
      <c r="AV24" s="3085"/>
      <c r="AW24" s="3118" t="s">
        <v>7207</v>
      </c>
      <c r="AX24" s="3118" t="s">
        <v>1971</v>
      </c>
      <c r="AY24" s="3118">
        <f>MAX(3*Tablas!$Y$928,6*Tablas!$Y$929)</f>
        <v>0</v>
      </c>
      <c r="AZ24" s="3118">
        <f>MAX(3*Tablas!$Y$928,6*Tablas!$Y$929)</f>
        <v>0</v>
      </c>
      <c r="BA24" s="3118">
        <f>MAX(3*Tablas!$Y$928,6*Tablas!$Y$929)</f>
        <v>0</v>
      </c>
      <c r="BB24" s="3118">
        <f>MAX(3*Tablas!$Y$928,6*Tablas!$Y$929)</f>
        <v>0</v>
      </c>
      <c r="BC24" s="3118">
        <f>MAX(3*Tablas!$Y$928,6*Tablas!$Y$929)</f>
        <v>0</v>
      </c>
      <c r="BD24" s="3118">
        <f>MAX(3*Tablas!$Y$928,6*Tablas!$Y$929)</f>
        <v>0</v>
      </c>
      <c r="BE24" s="3118">
        <f>MAX(3*Tablas!$Y$928,6*Tablas!$Y$929)</f>
        <v>0</v>
      </c>
      <c r="BF24" s="3085" t="str">
        <f>IF(COUNTIF(AY24:BE24,"&gt;0")&gt;0,"Rex frame","")</f>
        <v/>
      </c>
      <c r="BG24" s="3085" t="str">
        <f>IF(AND(BF24&lt;&gt;"",COUNTIF(BF25:BF27,"?*")&gt;0),", ","")</f>
        <v/>
      </c>
    </row>
    <row r="25" spans="1:59" ht="12" customHeight="1" thickBot="1" x14ac:dyDescent="0.25">
      <c r="A25" s="9"/>
      <c r="B25" s="1157"/>
      <c r="C25" s="3265"/>
      <c r="D25" s="4269"/>
      <c r="E25" s="4267"/>
      <c r="F25" s="4269"/>
      <c r="G25" s="4267"/>
      <c r="H25" s="4269"/>
      <c r="I25" s="4267"/>
      <c r="J25" s="4275"/>
      <c r="K25" s="4271"/>
      <c r="L25" s="4273"/>
      <c r="M25" s="34"/>
      <c r="N25" s="4279"/>
      <c r="O25" s="4280"/>
      <c r="P25" s="4281"/>
      <c r="R25" s="4369"/>
      <c r="S25" s="4366"/>
      <c r="T25" s="4366"/>
      <c r="U25" s="4365"/>
      <c r="V25" s="4366"/>
      <c r="W25" s="4367"/>
      <c r="X25" s="1130"/>
      <c r="Y25" s="9"/>
      <c r="Z25" s="9"/>
      <c r="AA25" s="1129"/>
      <c r="AB25" s="4370" t="str">
        <f>IF(PDs!$E55="","",PDs!$E55&amp;IF(AND(PDs!AD55=1,PDs!M55/PDs!L55+PDs!O55/PDs!N55+PDs!Q55/PDs!P55+PDs!S55/PDs!R55+PDs!U55/PDs!T55&gt;1)," ("&amp;PDs!M55/PDs!L55+PDs!O55/PDs!N55+PDs!Q55/PDs!P55+PDs!S55/PDs!R55+PDs!U55/PDs!T55&amp;")",""))</f>
        <v/>
      </c>
      <c r="AC25" s="4371"/>
      <c r="AD25" s="4371"/>
      <c r="AE25" s="4371"/>
      <c r="AF25" s="4371"/>
      <c r="AG25" s="4372"/>
      <c r="AH25" s="4261" t="str">
        <f>IF(PDs!$V55=0,"",PDs!$V55)</f>
        <v/>
      </c>
      <c r="AI25" s="4261"/>
      <c r="AJ25" s="4261"/>
      <c r="AK25" s="4261"/>
      <c r="AL25" s="4261"/>
      <c r="AM25" s="4261"/>
      <c r="AN25" s="4261"/>
      <c r="AO25" s="4261"/>
      <c r="AP25" s="4261"/>
      <c r="AQ25" s="4261"/>
      <c r="AR25" s="1196"/>
      <c r="AS25" s="1151"/>
      <c r="AT25" s="3855">
        <f>HP_SinArmas+Personalización!Y9+IFERROR(VLOOKUP(E20,Tabla_EquipoArtesMarciales,4,FALSE),0)</f>
        <v>0</v>
      </c>
      <c r="AU25" s="3855"/>
      <c r="AV25" s="3085"/>
      <c r="AW25" s="3118" t="s">
        <v>7197</v>
      </c>
      <c r="AX25" s="3118" t="s">
        <v>1971</v>
      </c>
      <c r="AY25" s="3121">
        <f>'Tablas psiquica'!$AH$23</f>
        <v>0</v>
      </c>
      <c r="AZ25" s="3121">
        <f>'Tablas psiquica'!$AH$23</f>
        <v>0</v>
      </c>
      <c r="BA25" s="3121">
        <f>'Tablas psiquica'!$AH$23</f>
        <v>0</v>
      </c>
      <c r="BB25" s="3121">
        <f>'Tablas psiquica'!$AH$23</f>
        <v>0</v>
      </c>
      <c r="BC25" s="3121">
        <f>'Tablas psiquica'!$AH$23</f>
        <v>0</v>
      </c>
      <c r="BD25" s="3121">
        <f>'Tablas psiquica'!$AH$23</f>
        <v>0</v>
      </c>
      <c r="BE25" s="3121">
        <v>0</v>
      </c>
      <c r="BF25" s="3085" t="str">
        <f>IF(COUNTIF(AY25:BE25,"&gt;0")&gt;0,"Armadura telequinética","")</f>
        <v/>
      </c>
      <c r="BG25" s="3085" t="str">
        <f>IF(AND(BF25&lt;&gt;"",COUNTIF(BF26:BF27,"?*")&gt;0),", ","")</f>
        <v/>
      </c>
    </row>
    <row r="26" spans="1:59"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370" t="str">
        <f>IF(PDs!$E56="","",PDs!$E56&amp;IF(AND(PDs!AD56=1,PDs!M56/PDs!L56+PDs!O56/PDs!N56+PDs!Q56/PDs!P56+PDs!S56/PDs!R56+PDs!U56/PDs!T56&gt;1)," ("&amp;PDs!M56/PDs!L56+PDs!O56/PDs!N56+PDs!Q56/PDs!P56+PDs!S56/PDs!R56+PDs!U56/PDs!T56&amp;")",""))</f>
        <v/>
      </c>
      <c r="AC26" s="4371"/>
      <c r="AD26" s="4371"/>
      <c r="AE26" s="4371"/>
      <c r="AF26" s="4371"/>
      <c r="AG26" s="4372"/>
      <c r="AH26" s="4261" t="str">
        <f>IF(PDs!$V56=0,"",PDs!$V56)</f>
        <v/>
      </c>
      <c r="AI26" s="4261"/>
      <c r="AJ26" s="4261"/>
      <c r="AK26" s="4261"/>
      <c r="AL26" s="4261"/>
      <c r="AM26" s="4261"/>
      <c r="AN26" s="4261"/>
      <c r="AO26" s="4261"/>
      <c r="AP26" s="4261"/>
      <c r="AQ26" s="4261"/>
      <c r="AR26" s="1196"/>
      <c r="AS26" s="1151"/>
      <c r="AT26" s="3096" t="s">
        <v>10084</v>
      </c>
      <c r="AU26" s="3118"/>
      <c r="AV26" s="3085"/>
      <c r="AW26" s="3120" t="s">
        <v>1452</v>
      </c>
      <c r="AX26" s="3118" t="s">
        <v>1971</v>
      </c>
      <c r="AY26" s="3120">
        <f>IF(Nephilim="Nephilim Turak",1)+IF(Raza="Turak",IF(COUNTIF(Cercanía_Dragón,"Escamas de metal")&gt;0,3,2),0)</f>
        <v>0</v>
      </c>
      <c r="AZ26" s="3120">
        <f>IF(Nephilim="Nephilim Turak",1)+IF(Raza="Turak",IF(COUNTIF(Cercanía_Dragón,"Escamas de metal")&gt;0,3,2),0)</f>
        <v>0</v>
      </c>
      <c r="BA26" s="3120">
        <f>IF(Nephilim="Nephilim Turak",1)+IF(Raza="Turak",IF(COUNTIF(Cercanía_Dragón,"Escamas de metal")&gt;0,3,2),0)</f>
        <v>0</v>
      </c>
      <c r="BB26" s="3120">
        <f>IF(Nephilim="Nephilim Turak",1)+IF(Raza="Turak",IF(COUNTIF(Cercanía_Dragón,"Escamas de metal")&gt;0,3,2),0)</f>
        <v>0</v>
      </c>
      <c r="BC26" s="3120">
        <v>0</v>
      </c>
      <c r="BD26" s="3120">
        <v>0</v>
      </c>
      <c r="BE26" s="3120">
        <v>0</v>
      </c>
      <c r="BF26" s="3085" t="str">
        <f>IF(COUNTIF(AY26:BE26,"&gt;0")&gt;0,"Armadura Turak","")</f>
        <v/>
      </c>
      <c r="BG26" s="3085" t="str">
        <f>IF(AND(BF26&lt;&gt;"",COUNTIF(BF27,"?*")&gt;0),", ","")</f>
        <v/>
      </c>
    </row>
    <row r="27" spans="1:59"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370" t="str">
        <f>IF(PDs!$E57="","",PDs!$E57&amp;IF(AND(PDs!AD57=1,PDs!M57/PDs!L57+PDs!O57/PDs!N57+PDs!Q57/PDs!P57+PDs!S57/PDs!R57+PDs!U57/PDs!T57&gt;1)," ("&amp;PDs!M57/PDs!L57+PDs!O57/PDs!N57+PDs!Q57/PDs!P57+PDs!S57/PDs!R57+PDs!U57/PDs!T57&amp;")",""))</f>
        <v/>
      </c>
      <c r="AC27" s="4371"/>
      <c r="AD27" s="4371"/>
      <c r="AE27" s="4371"/>
      <c r="AF27" s="4371"/>
      <c r="AG27" s="4372"/>
      <c r="AH27" s="4261" t="str">
        <f>IF(PDs!$V57=0,"",PDs!$V57)</f>
        <v/>
      </c>
      <c r="AI27" s="4261"/>
      <c r="AJ27" s="4261"/>
      <c r="AK27" s="4261"/>
      <c r="AL27" s="4261"/>
      <c r="AM27" s="4261"/>
      <c r="AN27" s="4261"/>
      <c r="AO27" s="4261"/>
      <c r="AP27" s="4261"/>
      <c r="AQ27" s="4261"/>
      <c r="AR27" s="1196"/>
      <c r="AS27" s="1151"/>
      <c r="AT27" s="3855">
        <f>HE_SinArmas+Personalización!Y9+IFERROR(VLOOKUP(E20,Tabla_EquipoArtesMarciales,4,FALSE),0)</f>
        <v>0</v>
      </c>
      <c r="AU27" s="3855"/>
      <c r="AV27" s="3085"/>
      <c r="AW27" s="3120" t="s">
        <v>2821</v>
      </c>
      <c r="AX27" s="3118" t="s">
        <v>1971</v>
      </c>
      <c r="AY27" s="3120">
        <v>0</v>
      </c>
      <c r="AZ27" s="3118">
        <v>0</v>
      </c>
      <c r="BA27" s="3118">
        <v>0</v>
      </c>
      <c r="BB27" s="3118">
        <v>0</v>
      </c>
      <c r="BC27" s="3118">
        <v>0</v>
      </c>
      <c r="BD27" s="3118">
        <v>0</v>
      </c>
      <c r="BE27" s="3118">
        <f>MAX(IF(ArmaduradeEnergia,2,0),IF(ArmaduraArcana,4,0))</f>
        <v>0</v>
      </c>
      <c r="BF27" s="3085" t="str">
        <f>IF(BE27&gt;0,"Armadura de Energía por Ki","")</f>
        <v/>
      </c>
      <c r="BG27" s="3085"/>
    </row>
    <row r="28" spans="1:59" ht="12" customHeight="1" thickBot="1" x14ac:dyDescent="0.25">
      <c r="A28" s="9"/>
      <c r="B28" s="1157"/>
      <c r="C28" s="4234" t="s">
        <v>8666</v>
      </c>
      <c r="D28" s="4235"/>
      <c r="E28" s="4236"/>
      <c r="F28" s="4237"/>
      <c r="G28" s="4238"/>
      <c r="H28" s="1777" t="s">
        <v>1392</v>
      </c>
      <c r="I28" s="1778" t="s">
        <v>1563</v>
      </c>
      <c r="J28" s="4239" t="s">
        <v>1564</v>
      </c>
      <c r="K28" s="4239"/>
      <c r="L28" s="1779" t="s">
        <v>1565</v>
      </c>
      <c r="M28" s="1498" t="str">
        <f ca="1">IF(C28=INDEX(Lista_ManosArma,2),Lista_A2Manos,Lista_A1Mano)</f>
        <v>Tablas!$AF$639:$AF$758</v>
      </c>
      <c r="N28" s="4234" t="s">
        <v>8666</v>
      </c>
      <c r="O28" s="4235"/>
      <c r="P28" s="4236"/>
      <c r="Q28" s="4237"/>
      <c r="R28" s="4238"/>
      <c r="S28" s="1777" t="s">
        <v>1392</v>
      </c>
      <c r="T28" s="1778" t="s">
        <v>1563</v>
      </c>
      <c r="U28" s="4239" t="s">
        <v>1564</v>
      </c>
      <c r="V28" s="4239"/>
      <c r="W28" s="1779" t="s">
        <v>1565</v>
      </c>
      <c r="X28" s="1498" t="str">
        <f ca="1">IF(N28=INDEX(Lista_ManosArma,2),Lista_A2Manos,Lista_A1Mano)</f>
        <v>Tablas!$AF$639:$AF$758</v>
      </c>
      <c r="Y28" s="9"/>
      <c r="Z28" s="9"/>
      <c r="AA28" s="1129"/>
      <c r="AB28" s="4397" t="str">
        <f>IF(PDs!$E58="","",PDs!$E58&amp;IF(AND(PDs!AD58=1,PDs!M58/PDs!L58+PDs!O58/PDs!N58+PDs!Q58/PDs!P58+PDs!S58/PDs!R58+PDs!U58/PDs!T58&gt;1)," ("&amp;PDs!M58/PDs!L58+PDs!O58/PDs!N58+PDs!Q58/PDs!P58+PDs!S58/PDs!R58+PDs!U58/PDs!T58&amp;")",""))</f>
        <v/>
      </c>
      <c r="AC28" s="4398"/>
      <c r="AD28" s="4398"/>
      <c r="AE28" s="4398"/>
      <c r="AF28" s="4398"/>
      <c r="AG28" s="4399"/>
      <c r="AH28" s="4256" t="str">
        <f>IF(PDs!$V58=0,"",PDs!$V58)</f>
        <v/>
      </c>
      <c r="AI28" s="4256"/>
      <c r="AJ28" s="4256"/>
      <c r="AK28" s="4256"/>
      <c r="AL28" s="4256"/>
      <c r="AM28" s="4256"/>
      <c r="AN28" s="4256"/>
      <c r="AO28" s="4256"/>
      <c r="AP28" s="4256"/>
      <c r="AQ28" s="4256"/>
      <c r="AR28" s="1196"/>
      <c r="AS28" s="1151"/>
      <c r="AT28" s="3085"/>
      <c r="AU28" s="3085"/>
      <c r="AV28" s="3085"/>
      <c r="AW28" s="3085" t="e">
        <f t="array" aca="1" ref="AW28" ca="1">INDEX(Tabla_Combate,$AT$43,LEFT(C27,LEN(C27)-1))</f>
        <v>#N/A</v>
      </c>
      <c r="AX28" s="3085" t="e">
        <f t="array" aca="1" ref="AX28" ca="1">INDEX(Tabla_Combate,$AT$44,LEFT(C41,LEN(C41)-1))</f>
        <v>#N/A</v>
      </c>
      <c r="AY28" s="3085"/>
      <c r="AZ28" s="3085"/>
      <c r="BA28" s="3085"/>
      <c r="BB28" s="3085"/>
      <c r="BC28" s="3085"/>
      <c r="BD28" s="3085"/>
      <c r="BE28" s="3085"/>
      <c r="BF28" s="3085"/>
      <c r="BG28" s="3085"/>
    </row>
    <row r="29" spans="1:59" ht="12" customHeight="1" thickBot="1" x14ac:dyDescent="0.25">
      <c r="A29" s="9"/>
      <c r="B29" s="1157"/>
      <c r="C29" s="4210" t="str">
        <f>IF(E28=0,"",VLOOKUP(E28,Tabla_ArmasyEscudos,9,FALSE))</f>
        <v/>
      </c>
      <c r="D29" s="4211"/>
      <c r="E29" s="1780" t="s">
        <v>1575</v>
      </c>
      <c r="F29" s="4212" t="s">
        <v>1576</v>
      </c>
      <c r="G29" s="4213"/>
      <c r="H29" s="4223">
        <f ca="1">IFERROR(INDEX(Tabla_Combate,$AT$41,LEFT(C27,LEN(C27)-1)),0)</f>
        <v>0</v>
      </c>
      <c r="I29" s="4220">
        <f ca="1">IFERROR(INDEX(Tabla_Combate,$AT$42,LEFT(C27,LEN(C27)-1)),0)</f>
        <v>0</v>
      </c>
      <c r="J29" s="4199">
        <f ca="1">IF(K29="-",0,IF(K29="Par",INDEX(Tabla_Combate,$AT$43,LEFT(C27,LEN(C27)-1)),INDEX(Tabla_Combate,$AT$44,LEFT(C27,LEN(C27)-1))))</f>
        <v>0</v>
      </c>
      <c r="K29" s="3760" t="str">
        <f ca="1">IF(IFERROR(VLOOKUP(INDEX(Tabla_Combate,$AT$30,LEFT(C27,LEN(C27)-1)),Tablas!$AI$829:$AU$838,12,0),FALSE),"-",IFERROR(IF(INDEX(Tabla_Combate,$AT$43,LEFT(C27,LEN(C27)-1))&gt;INDEX(Tabla_Combate,$AT$44,LEFT(C27,LEN(C27)-1)),"Par","Esq"),"-"))</f>
        <v>-</v>
      </c>
      <c r="L29" s="4208">
        <f ca="1">IFERROR(INDEX(Tabla_Combate,$AT$46,LEFT(C27,LEN(C27)-1)),0)</f>
        <v>0</v>
      </c>
      <c r="M29" s="737"/>
      <c r="N29" s="4210" t="str">
        <f>IF(P28=0,"",VLOOKUP(P28,Tabla_ArmasyEscudos,9,FALSE))</f>
        <v/>
      </c>
      <c r="O29" s="4211"/>
      <c r="P29" s="1780" t="s">
        <v>1575</v>
      </c>
      <c r="Q29" s="4212" t="s">
        <v>1576</v>
      </c>
      <c r="R29" s="4213"/>
      <c r="S29" s="4223">
        <f ca="1">IFERROR(INDEX(Tabla_Combate,$AT$41,LEFT(N27,LEN(N27)-1)),0)</f>
        <v>0</v>
      </c>
      <c r="T29" s="4220">
        <f ca="1">IFERROR(INDEX(Tabla_Combate,$AT$42,LEFT(N27,LEN(N27)-1)),0)</f>
        <v>0</v>
      </c>
      <c r="U29" s="4199">
        <f ca="1">IF(V29="-",0,IF(V29="Par",INDEX(Tabla_Combate,$AT$43,LEFT(N27,LEN(N27)-1)),INDEX(Tabla_Combate,$AT$44,LEFT(N27,LEN(N27)-1))))</f>
        <v>0</v>
      </c>
      <c r="V29" s="3760" t="str">
        <f ca="1">IF(IFERROR(VLOOKUP(INDEX(Tabla_Combate,$AT$30,LEFT(N27,LEN(N27)-1)),Tablas!$AI$829:$AU$838,12,0),FALSE),"-",IFERROR(IF(INDEX(Tabla_Combate,$AT$43,LEFT(N27,LEN(N27)-1))&gt;INDEX(Tabla_Combate,$AT$44,LEFT(N27,LEN(N27)-1)),"Par","Esq"),"-"))</f>
        <v>-</v>
      </c>
      <c r="W29" s="4208">
        <f ca="1">IFERROR(INDEX(Tabla_Combate,$AT$46,LEFT(N27,LEN(N27)-1)),0)</f>
        <v>0</v>
      </c>
      <c r="X29" s="737"/>
      <c r="Y29" s="9"/>
      <c r="Z29" s="9"/>
      <c r="AA29" s="1129"/>
      <c r="AM29" s="21"/>
      <c r="AN29" s="21"/>
      <c r="AO29" s="21"/>
      <c r="AP29" s="21"/>
      <c r="AQ29" s="21"/>
      <c r="AR29" s="1196"/>
      <c r="AS29" s="1151"/>
      <c r="AT29" s="3085"/>
      <c r="AU29" s="3085"/>
      <c r="AV29" s="3084" t="s">
        <v>2108</v>
      </c>
      <c r="AW29" s="3084">
        <v>1</v>
      </c>
      <c r="AX29" s="3084">
        <v>2</v>
      </c>
      <c r="AY29" s="3084">
        <v>3</v>
      </c>
      <c r="AZ29" s="3084">
        <v>4</v>
      </c>
      <c r="BA29" s="3084">
        <v>5</v>
      </c>
      <c r="BB29" s="3084">
        <v>6</v>
      </c>
      <c r="BC29" s="3084">
        <v>7</v>
      </c>
      <c r="BD29" s="3084">
        <v>8</v>
      </c>
      <c r="BE29" s="3084">
        <v>9</v>
      </c>
      <c r="BF29" s="3084">
        <v>10</v>
      </c>
      <c r="BG29" s="3085"/>
    </row>
    <row r="30" spans="1:59" ht="12" customHeight="1" thickBot="1" x14ac:dyDescent="0.25">
      <c r="A30" s="9"/>
      <c r="B30" s="1157"/>
      <c r="C30" s="1056" t="s">
        <v>1567</v>
      </c>
      <c r="D30" s="73" t="s">
        <v>1568</v>
      </c>
      <c r="E30" s="73" t="s">
        <v>1556</v>
      </c>
      <c r="F30" s="73" t="s">
        <v>1569</v>
      </c>
      <c r="G30" s="73" t="s">
        <v>1557</v>
      </c>
      <c r="H30" s="4223"/>
      <c r="I30" s="4221"/>
      <c r="J30" s="4200"/>
      <c r="K30" s="4222"/>
      <c r="L30" s="4209"/>
      <c r="M30" s="737"/>
      <c r="N30" s="1056" t="s">
        <v>1567</v>
      </c>
      <c r="O30" s="73" t="s">
        <v>1568</v>
      </c>
      <c r="P30" s="73" t="s">
        <v>1556</v>
      </c>
      <c r="Q30" s="73" t="s">
        <v>1569</v>
      </c>
      <c r="R30" s="73" t="s">
        <v>1557</v>
      </c>
      <c r="S30" s="4223"/>
      <c r="T30" s="4221"/>
      <c r="U30" s="4200"/>
      <c r="V30" s="4222"/>
      <c r="W30" s="4209"/>
      <c r="X30" s="737"/>
      <c r="Y30" s="9"/>
      <c r="Z30" s="9"/>
      <c r="AA30" s="1129"/>
      <c r="AB30" s="4389" t="s">
        <v>1503</v>
      </c>
      <c r="AC30" s="4390"/>
      <c r="AD30" s="4390"/>
      <c r="AE30" s="4391"/>
      <c r="AF30" s="4392" t="s">
        <v>1548</v>
      </c>
      <c r="AG30" s="4393"/>
      <c r="AH30" s="4393"/>
      <c r="AI30" s="4393"/>
      <c r="AJ30" s="4393"/>
      <c r="AK30" s="4393"/>
      <c r="AL30" s="4393"/>
      <c r="AM30" s="4393"/>
      <c r="AN30" s="4393"/>
      <c r="AO30" s="4393"/>
      <c r="AP30" s="4394"/>
      <c r="AQ30" s="1448" t="s">
        <v>1499</v>
      </c>
      <c r="AR30" s="1196"/>
      <c r="AS30" s="1151"/>
      <c r="AT30" s="3096">
        <v>1</v>
      </c>
      <c r="AU30" s="3096" t="s">
        <v>1414</v>
      </c>
      <c r="AV30" s="3084"/>
      <c r="AW30" s="3084">
        <f>E28</f>
        <v>0</v>
      </c>
      <c r="AX30" s="3084">
        <f>P28</f>
        <v>0</v>
      </c>
      <c r="AY30" s="3084">
        <f>E35</f>
        <v>0</v>
      </c>
      <c r="AZ30" s="3084">
        <f>P35</f>
        <v>0</v>
      </c>
      <c r="BA30" s="3084">
        <f>E42</f>
        <v>0</v>
      </c>
      <c r="BB30" s="3084">
        <f>P42</f>
        <v>0</v>
      </c>
      <c r="BC30" s="3084">
        <f>E49</f>
        <v>0</v>
      </c>
      <c r="BD30" s="3084">
        <f>P49</f>
        <v>0</v>
      </c>
      <c r="BE30" s="3084">
        <f>E58</f>
        <v>0</v>
      </c>
      <c r="BF30" s="3084">
        <f>P58</f>
        <v>0</v>
      </c>
      <c r="BG30" s="3085"/>
    </row>
    <row r="31" spans="1:59"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218" t="s">
        <v>8668</v>
      </c>
      <c r="I31" s="4219"/>
      <c r="J31" s="1505"/>
      <c r="K31" s="4242" t="str">
        <f ca="1">IFERROR(IF(ISNUMBER(SEARCH("Escudo",VLOOKUP(E28,Tabla_ArmasyEscudos,8,0))),"Turno esp: ","Turno base: ")&amp;VLOOKUP(E28,Tabla_ArmasyEscudos,3,FALSE)+IFERROR(IF(Tamaño&lt;VLOOKUP(F29,Tabla_ArmasEnormes,3,FALSE),-40,0),0),"")</f>
        <v/>
      </c>
      <c r="L31" s="4243"/>
      <c r="M31" s="737"/>
      <c r="N31" s="1057" t="str">
        <f>IF(P28=0,"",VLOOKUP(P28,Tabla_ArmasyEscudos,6,FALSE))</f>
        <v/>
      </c>
      <c r="O31" s="2744" t="str">
        <f>IF(P28=0,"",VLOOKUP(P28,Tabla_ArmasyEscudos,7,FALSE))</f>
        <v/>
      </c>
      <c r="P31" s="2744" t="str">
        <f>IFERROR(IF(P28=0,"",MAX(0,IF(Extensióndelauraalarma,10,0)+U31*2+VLOOKUP(P28,Tabla_ArmasyEscudos,10,FALSE)+IF(Q29=0,0,VLOOKUP(Q29,Tabla_ArmasEnormes,6,FALSE)))+IF(Tabla_Desvío,DES,0)),"-")</f>
        <v/>
      </c>
      <c r="Q31" s="2744"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218" t="s">
        <v>8668</v>
      </c>
      <c r="T31" s="4219"/>
      <c r="U31" s="1505"/>
      <c r="V31" s="4242" t="str">
        <f ca="1">IFERROR(IF(ISNUMBER(SEARCH("Escudo",VLOOKUP(P28,Tabla_ArmasyEscudos,8,0))),"Turno esp: ","Turno base: ")&amp;VLOOKUP(P28,Tabla_ArmasyEscudos,3,FALSE)+IF(Tamaño&lt;VLOOKUP(Q29,Tabla_ArmasEnormes,3,FALSE),IF(OR(Q29="Enorme",Q29="Gigante"),-40,0),0),"")</f>
        <v/>
      </c>
      <c r="W31" s="4243"/>
      <c r="X31" s="737"/>
      <c r="Y31" s="9"/>
      <c r="Z31" s="9"/>
      <c r="AA31" s="1129"/>
      <c r="AB31" s="4395" t="str">
        <f>IF(PDs!$AD59=0,"",PDs!$AD59)</f>
        <v/>
      </c>
      <c r="AC31" s="4396"/>
      <c r="AD31" s="4396"/>
      <c r="AE31" s="4396"/>
      <c r="AF31" s="4246" t="str">
        <f t="shared" ref="AF31:AF49" si="8">IFERROR(VLOOKUP(AB31,Tabla_ArtesMarciales,11,FALSE),"")</f>
        <v/>
      </c>
      <c r="AG31" s="4373"/>
      <c r="AH31" s="4373"/>
      <c r="AI31" s="4373"/>
      <c r="AJ31" s="4373"/>
      <c r="AK31" s="4373"/>
      <c r="AL31" s="4373"/>
      <c r="AM31" s="4373"/>
      <c r="AN31" s="4373"/>
      <c r="AO31" s="4373"/>
      <c r="AP31" s="4248"/>
      <c r="AQ31" s="1501">
        <f>IF(AB31="",0,VLOOKUP(AB31,Tablas!$D$850:$G$939,4,FALSE))</f>
        <v>0</v>
      </c>
      <c r="AR31" s="1196"/>
      <c r="AS31" s="1151"/>
      <c r="AT31" s="3096">
        <v>2</v>
      </c>
      <c r="AU31" s="3096" t="s">
        <v>1549</v>
      </c>
      <c r="AV31" s="3084"/>
      <c r="AW31" s="3084">
        <f>J31</f>
        <v>0</v>
      </c>
      <c r="AX31" s="3084">
        <f>U31</f>
        <v>0</v>
      </c>
      <c r="AY31" s="3084">
        <f>J38</f>
        <v>0</v>
      </c>
      <c r="AZ31" s="3084">
        <f>U38</f>
        <v>0</v>
      </c>
      <c r="BA31" s="3084">
        <f>J45</f>
        <v>0</v>
      </c>
      <c r="BB31" s="3084">
        <f>U45</f>
        <v>0</v>
      </c>
      <c r="BC31" s="3084">
        <f>J52</f>
        <v>0</v>
      </c>
      <c r="BD31" s="3084">
        <f>U52</f>
        <v>0</v>
      </c>
      <c r="BE31" s="3084">
        <f>J61</f>
        <v>0</v>
      </c>
      <c r="BF31" s="3084">
        <f>U61</f>
        <v>0</v>
      </c>
      <c r="BG31" s="3096"/>
    </row>
    <row r="32" spans="1:59" ht="12" customHeight="1" thickBot="1" x14ac:dyDescent="0.25">
      <c r="A32" s="9"/>
      <c r="B32" s="1157"/>
      <c r="C32" s="4244" t="str">
        <f>IF(E28=0,"",E33)</f>
        <v/>
      </c>
      <c r="D32" s="4245"/>
      <c r="E32" s="4245"/>
      <c r="F32" s="4245"/>
      <c r="G32" s="4245"/>
      <c r="H32" s="4245"/>
      <c r="I32" s="1463"/>
      <c r="J32" s="1464" t="str">
        <f>IF(F29=0,IF(J31&lt;=0,"","TA defensor: -"&amp;J31/5),IF(Tamaño&lt;VLOOKUP(F29,Tabla_ArmasEnormes,2,FALSE),"Tam. excesivo",IF(J31&lt;=0,"","TA defensor: -"&amp;J31/5)))</f>
        <v/>
      </c>
      <c r="K32" s="4216" t="str">
        <f ca="1">IFERROR("FUE min: "&amp;VLOOKUP(E28,Tabla_ArmasyEscudos,IF(C28="A dos manos",5,4),FALSE)+IFERROR(VLOOKUP(F29,Tabla_ArmasEnormes,4,FALSE),0),"")</f>
        <v/>
      </c>
      <c r="L32" s="4217"/>
      <c r="M32" s="737"/>
      <c r="N32" s="4244" t="str">
        <f>IF(P28=0,"",P33)</f>
        <v/>
      </c>
      <c r="O32" s="4245"/>
      <c r="P32" s="4245"/>
      <c r="Q32" s="4245"/>
      <c r="R32" s="4245"/>
      <c r="S32" s="4245"/>
      <c r="T32" s="1463"/>
      <c r="U32" s="1464" t="str">
        <f>IF(Q29=0,IF(U31&lt;=0,"","TA defensor: -"&amp;U31/5),IF(Tamaño&lt;VLOOKUP(Q29,Tabla_ArmasEnormes,2,FALSE),"Tam. excesivo",IF(U31&lt;=0,"","TA defensor: -"&amp;U31/5)))</f>
        <v/>
      </c>
      <c r="V32" s="4216" t="str">
        <f ca="1">IFERROR("FUE min: "&amp;VLOOKUP(P28,Tabla_ArmasyEscudos,IF(N28="A dos manos",5,4),FALSE)+IFERROR(VLOOKUP(Q29,Tabla_ArmasEnormes,4,FALSE),0),"")</f>
        <v/>
      </c>
      <c r="W32" s="4217"/>
      <c r="X32" s="737"/>
      <c r="Y32" s="9"/>
      <c r="Z32" s="9"/>
      <c r="AA32" s="1129"/>
      <c r="AB32" s="4400" t="str">
        <f>IF(PDs!$AD60=0,"",PDs!$AD60)</f>
        <v/>
      </c>
      <c r="AC32" s="4373"/>
      <c r="AD32" s="4373"/>
      <c r="AE32" s="4373"/>
      <c r="AF32" s="4246" t="str">
        <f t="shared" si="8"/>
        <v/>
      </c>
      <c r="AG32" s="4373"/>
      <c r="AH32" s="4373"/>
      <c r="AI32" s="4373"/>
      <c r="AJ32" s="4373"/>
      <c r="AK32" s="4373"/>
      <c r="AL32" s="4373"/>
      <c r="AM32" s="4373"/>
      <c r="AN32" s="4373"/>
      <c r="AO32" s="4373"/>
      <c r="AP32" s="4248"/>
      <c r="AQ32" s="1502">
        <f>IF(AB32="",0,VLOOKUP(AB32,Tablas!$D$850:$G$939,4,FALSE))</f>
        <v>0</v>
      </c>
      <c r="AR32" s="1196"/>
      <c r="AS32" s="1151"/>
      <c r="AT32" s="3096">
        <v>3</v>
      </c>
      <c r="AU32" s="3096" t="s">
        <v>8697</v>
      </c>
      <c r="AV32" s="3084"/>
      <c r="AW32" s="3084" t="str">
        <f>C29</f>
        <v/>
      </c>
      <c r="AX32" s="3084" t="str">
        <f>N29</f>
        <v/>
      </c>
      <c r="AY32" s="3084" t="str">
        <f>C36</f>
        <v/>
      </c>
      <c r="AZ32" s="3084" t="str">
        <f>N36</f>
        <v/>
      </c>
      <c r="BA32" s="3084" t="str">
        <f>C43</f>
        <v/>
      </c>
      <c r="BB32" s="3084" t="str">
        <f>N43</f>
        <v/>
      </c>
      <c r="BC32" s="3084" t="str">
        <f>C51</f>
        <v/>
      </c>
      <c r="BD32" s="3084" t="str">
        <f>N51</f>
        <v/>
      </c>
      <c r="BE32" s="3084" t="str">
        <f>C60</f>
        <v/>
      </c>
      <c r="BF32" s="3084" t="str">
        <f>N60</f>
        <v/>
      </c>
      <c r="BG32" s="3096"/>
    </row>
    <row r="33" spans="1:59"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400" t="str">
        <f>IF(PDs!$AD61=0,"",PDs!$AD61)</f>
        <v/>
      </c>
      <c r="AC33" s="4373"/>
      <c r="AD33" s="4373"/>
      <c r="AE33" s="4373"/>
      <c r="AF33" s="4246" t="str">
        <f t="shared" si="8"/>
        <v/>
      </c>
      <c r="AG33" s="4247"/>
      <c r="AH33" s="4247"/>
      <c r="AI33" s="4247"/>
      <c r="AJ33" s="4247"/>
      <c r="AK33" s="4247"/>
      <c r="AL33" s="4247"/>
      <c r="AM33" s="4247"/>
      <c r="AN33" s="4247"/>
      <c r="AO33" s="4247"/>
      <c r="AP33" s="4248"/>
      <c r="AQ33" s="1502">
        <f>IF(AB33="",0,VLOOKUP(AB33,Tablas!$D$850:$G$939,4,FALSE))</f>
        <v>0</v>
      </c>
      <c r="AR33" s="1196"/>
      <c r="AS33" s="1151"/>
      <c r="AT33" s="3096">
        <v>4</v>
      </c>
      <c r="AU33" s="3096" t="s">
        <v>1900</v>
      </c>
      <c r="AV33" s="3084"/>
      <c r="AW33" s="3084" t="str">
        <f>F29</f>
        <v>Normal</v>
      </c>
      <c r="AX33" s="3084" t="str">
        <f>Q29</f>
        <v>Normal</v>
      </c>
      <c r="AY33" s="3084" t="str">
        <f>F36</f>
        <v>Normal</v>
      </c>
      <c r="AZ33" s="3084" t="str">
        <f>Q36</f>
        <v>Normal</v>
      </c>
      <c r="BA33" s="3084" t="str">
        <f>F43</f>
        <v>Normal</v>
      </c>
      <c r="BB33" s="3084" t="str">
        <f>Q43</f>
        <v>Normal</v>
      </c>
      <c r="BC33" s="3084" t="str">
        <f>F51</f>
        <v>Normal</v>
      </c>
      <c r="BD33" s="3084" t="str">
        <f>Q51</f>
        <v>Normal</v>
      </c>
      <c r="BE33" s="3084" t="str">
        <f>F60</f>
        <v>Normal</v>
      </c>
      <c r="BF33" s="3084" t="str">
        <f>Q60</f>
        <v>Normal</v>
      </c>
      <c r="BG33" s="3096"/>
    </row>
    <row r="34" spans="1:59"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400" t="str">
        <f>IF(PDs!$AD62=0,"",PDs!$AD62)</f>
        <v/>
      </c>
      <c r="AC34" s="4373"/>
      <c r="AD34" s="4373"/>
      <c r="AE34" s="4373"/>
      <c r="AF34" s="4246" t="str">
        <f t="shared" si="8"/>
        <v/>
      </c>
      <c r="AG34" s="4247"/>
      <c r="AH34" s="4247"/>
      <c r="AI34" s="4247"/>
      <c r="AJ34" s="4247"/>
      <c r="AK34" s="4247"/>
      <c r="AL34" s="4247"/>
      <c r="AM34" s="4247"/>
      <c r="AN34" s="4247"/>
      <c r="AO34" s="4247"/>
      <c r="AP34" s="4248"/>
      <c r="AQ34" s="1502">
        <f>IF(AB34="",0,VLOOKUP(AB34,Tablas!$D$850:$G$939,4,FALSE))</f>
        <v>0</v>
      </c>
      <c r="AR34" s="1196"/>
      <c r="AS34" s="1151"/>
      <c r="AT34" s="3096">
        <v>5</v>
      </c>
      <c r="AU34" s="3096" t="s">
        <v>1579</v>
      </c>
      <c r="AV34" s="3085"/>
      <c r="AW34" s="3085" t="s">
        <v>1455</v>
      </c>
      <c r="AX34" s="3085" t="s">
        <v>1455</v>
      </c>
      <c r="AY34" s="3085" t="s">
        <v>1455</v>
      </c>
      <c r="AZ34" s="3085" t="s">
        <v>1455</v>
      </c>
      <c r="BA34" s="3085" t="s">
        <v>1455</v>
      </c>
      <c r="BB34" s="3085" t="s">
        <v>1455</v>
      </c>
      <c r="BC34" s="3084">
        <f>E50</f>
        <v>0</v>
      </c>
      <c r="BD34" s="3084">
        <f>P50</f>
        <v>0</v>
      </c>
      <c r="BE34" s="3084">
        <f>E59</f>
        <v>0</v>
      </c>
      <c r="BF34" s="3084">
        <f>P59</f>
        <v>0</v>
      </c>
      <c r="BG34" s="3096"/>
    </row>
    <row r="35" spans="1:59" ht="12" customHeight="1" x14ac:dyDescent="0.2">
      <c r="A35" s="9"/>
      <c r="B35" s="1157"/>
      <c r="C35" s="4234" t="s">
        <v>8666</v>
      </c>
      <c r="D35" s="4235"/>
      <c r="E35" s="4236"/>
      <c r="F35" s="4237"/>
      <c r="G35" s="4238"/>
      <c r="H35" s="1777" t="s">
        <v>1392</v>
      </c>
      <c r="I35" s="1778" t="s">
        <v>1563</v>
      </c>
      <c r="J35" s="4239" t="s">
        <v>1564</v>
      </c>
      <c r="K35" s="4239"/>
      <c r="L35" s="1779" t="s">
        <v>1565</v>
      </c>
      <c r="M35" s="1498" t="str">
        <f ca="1">IF(C35=INDEX(Lista_ManosArma,2),Lista_A2Manos,Lista_A1Mano)</f>
        <v>Tablas!$AF$639:$AF$758</v>
      </c>
      <c r="N35" s="4234" t="s">
        <v>8666</v>
      </c>
      <c r="O35" s="4235"/>
      <c r="P35" s="4236"/>
      <c r="Q35" s="4237"/>
      <c r="R35" s="4238"/>
      <c r="S35" s="1777" t="s">
        <v>1392</v>
      </c>
      <c r="T35" s="1778" t="s">
        <v>1563</v>
      </c>
      <c r="U35" s="4239" t="s">
        <v>1564</v>
      </c>
      <c r="V35" s="4239"/>
      <c r="W35" s="1779" t="s">
        <v>1565</v>
      </c>
      <c r="X35" s="1498" t="str">
        <f ca="1">IF(N35=INDEX(Lista_ManosArma,2),Lista_A2Manos,Lista_A1Mano)</f>
        <v>Tablas!$AF$639:$AF$758</v>
      </c>
      <c r="Y35" s="9"/>
      <c r="Z35" s="9"/>
      <c r="AA35" s="1129"/>
      <c r="AB35" s="4400" t="str">
        <f>IF(PDs!$AD63=0,"",PDs!$AD63)</f>
        <v/>
      </c>
      <c r="AC35" s="4373"/>
      <c r="AD35" s="4373"/>
      <c r="AE35" s="4373"/>
      <c r="AF35" s="4246" t="str">
        <f t="shared" si="8"/>
        <v/>
      </c>
      <c r="AG35" s="4247"/>
      <c r="AH35" s="4247"/>
      <c r="AI35" s="4247"/>
      <c r="AJ35" s="4247"/>
      <c r="AK35" s="4247"/>
      <c r="AL35" s="4247"/>
      <c r="AM35" s="4247"/>
      <c r="AN35" s="4247"/>
      <c r="AO35" s="4247"/>
      <c r="AP35" s="4248"/>
      <c r="AQ35" s="1502">
        <f>IF(AB35="",0,VLOOKUP(AB35,Tablas!$D$850:$G$939,4,FALSE))</f>
        <v>0</v>
      </c>
      <c r="AR35" s="1196"/>
      <c r="AS35" s="1151"/>
      <c r="AT35" s="3096">
        <v>6</v>
      </c>
      <c r="AU35" s="3096" t="s">
        <v>8733</v>
      </c>
      <c r="AV35" s="3084"/>
      <c r="AW35" s="3084" t="s">
        <v>1455</v>
      </c>
      <c r="AX35" s="3084" t="s">
        <v>1455</v>
      </c>
      <c r="AY35" s="3084" t="s">
        <v>1455</v>
      </c>
      <c r="AZ35" s="3084" t="s">
        <v>1455</v>
      </c>
      <c r="BA35" s="3084" t="s">
        <v>1455</v>
      </c>
      <c r="BB35" s="3084" t="s">
        <v>1455</v>
      </c>
      <c r="BC35" s="3084">
        <f>J53</f>
        <v>0</v>
      </c>
      <c r="BD35" s="3084">
        <f>U53</f>
        <v>0</v>
      </c>
      <c r="BE35" s="3084">
        <f>J62</f>
        <v>0</v>
      </c>
      <c r="BF35" s="3084">
        <f>U62</f>
        <v>0</v>
      </c>
      <c r="BG35" s="3096"/>
    </row>
    <row r="36" spans="1:59" ht="12" customHeight="1" x14ac:dyDescent="0.2">
      <c r="A36" s="9"/>
      <c r="B36" s="1157"/>
      <c r="C36" s="4210" t="str">
        <f>IF(E35=0,"",VLOOKUP(E35,Tabla_ArmasyEscudos,9,FALSE))</f>
        <v/>
      </c>
      <c r="D36" s="4211"/>
      <c r="E36" s="1780" t="s">
        <v>1575</v>
      </c>
      <c r="F36" s="4212" t="s">
        <v>1576</v>
      </c>
      <c r="G36" s="4213"/>
      <c r="H36" s="4223">
        <f ca="1">IFERROR(INDEX(Tabla_Combate,$AT$41,LEFT(C34,LEN(C34)-1)),0)</f>
        <v>0</v>
      </c>
      <c r="I36" s="4220">
        <f ca="1">IFERROR(INDEX(Tabla_Combate,$AT$42,LEFT(C34,LEN(C34)-1)),0)</f>
        <v>0</v>
      </c>
      <c r="J36" s="4199">
        <f ca="1">IF(K36="-",0,IF(K36="Par",INDEX(Tabla_Combate,$AT$43,LEFT(C34,LEN(C34)-1)),INDEX(Tabla_Combate,$AT$44,LEFT(C34,LEN(C34)-1))))</f>
        <v>0</v>
      </c>
      <c r="K36" s="3760" t="str">
        <f ca="1">IF(IFERROR(VLOOKUP(INDEX(Tabla_Combate,$AT$30,LEFT(C34,LEN(C34)-1)),Tablas!$AI$829:$AU$838,12,0),FALSE),"-",IFERROR(IF(INDEX(Tabla_Combate,$AT$43,LEFT(C34,LEN(C34)-1))&gt;INDEX(Tabla_Combate,$AT$44,LEFT(C34,LEN(C34)-1)),"Par","Esq"),"-"))</f>
        <v>-</v>
      </c>
      <c r="L36" s="4208">
        <f ca="1">IFERROR(INDEX(Tabla_Combate,$AT$46,LEFT(C34,LEN(C34)-1)),0)</f>
        <v>0</v>
      </c>
      <c r="M36" s="737"/>
      <c r="N36" s="4210" t="str">
        <f>IF(P35=0,"",VLOOKUP(P35,Tabla_ArmasyEscudos,9,FALSE))</f>
        <v/>
      </c>
      <c r="O36" s="4211"/>
      <c r="P36" s="1780" t="s">
        <v>1575</v>
      </c>
      <c r="Q36" s="4212" t="s">
        <v>1576</v>
      </c>
      <c r="R36" s="4213"/>
      <c r="S36" s="4223">
        <f ca="1">IFERROR(INDEX(Tabla_Combate,$AT$41,LEFT(N34,LEN(N34)-1)),0)</f>
        <v>0</v>
      </c>
      <c r="T36" s="4220">
        <f ca="1">IFERROR(INDEX(Tabla_Combate,$AT$42,LEFT(N34,LEN(N34)-1)),0)</f>
        <v>0</v>
      </c>
      <c r="U36" s="4199">
        <f ca="1">IF(V36="-",0,IF(V36="Par",INDEX(Tabla_Combate,$AT$43,LEFT(N34,LEN(N34)-1)),INDEX(Tabla_Combate,$AT$44,LEFT(N34,LEN(N34)-1))))</f>
        <v>0</v>
      </c>
      <c r="V36" s="3760" t="str">
        <f ca="1">IF(IFERROR(VLOOKUP(INDEX(Tabla_Combate,$AT$30,LEFT(N34,LEN(N34)-1)),Tablas!$AI$829:$AU$838,12,0),FALSE),"-",IFERROR(IF(INDEX(Tabla_Combate,$AT$43,LEFT(N34,LEN(N34)-1))&gt;INDEX(Tabla_Combate,$AT$44,LEFT(N34,LEN(N34)-1)),"Par","Esq"),"-"))</f>
        <v>-</v>
      </c>
      <c r="W36" s="4208">
        <f ca="1">IFERROR(INDEX(Tabla_Combate,$AT$46,LEFT(N34,LEN(N34)-1)),0)</f>
        <v>0</v>
      </c>
      <c r="X36" s="737"/>
      <c r="Y36" s="9"/>
      <c r="Z36" s="9"/>
      <c r="AA36" s="1129"/>
      <c r="AB36" s="4400" t="str">
        <f>IF(PDs!$AD64=0,"",PDs!$AD64)</f>
        <v/>
      </c>
      <c r="AC36" s="4373"/>
      <c r="AD36" s="4373"/>
      <c r="AE36" s="4373"/>
      <c r="AF36" s="4246" t="str">
        <f t="shared" si="8"/>
        <v/>
      </c>
      <c r="AG36" s="4247"/>
      <c r="AH36" s="4247"/>
      <c r="AI36" s="4247"/>
      <c r="AJ36" s="4247"/>
      <c r="AK36" s="4247"/>
      <c r="AL36" s="4247"/>
      <c r="AM36" s="4247"/>
      <c r="AN36" s="4247"/>
      <c r="AO36" s="4247"/>
      <c r="AP36" s="4248"/>
      <c r="AQ36" s="1502">
        <f>IF(AB36="",0,VLOOKUP(AB36,Tablas!$D$850:$G$939,4,FALSE))</f>
        <v>0</v>
      </c>
      <c r="AR36" s="1196"/>
      <c r="AS36" s="1151"/>
      <c r="AT36" s="3096">
        <v>7</v>
      </c>
      <c r="AU36" s="3096" t="s">
        <v>9616</v>
      </c>
      <c r="AV36" s="3096"/>
      <c r="AW36" s="3096" t="str">
        <f>IF($C31="","","("&amp;$C31&amp;IF(AND($C31&lt;&gt;"ENE",OR(Extrusióndevacío,Tablas!$R$1370)),", ENE","")&amp;IF($D31="-",""," / "&amp;$D31)&amp;")")</f>
        <v/>
      </c>
      <c r="AX36" s="3096" t="str">
        <f>IF($N31="","","("&amp;$N31&amp;IF(AND($N31&lt;&gt;"ENE",OR(Extrusióndevacío,Tablas!$R$1370)),", ENE","")&amp;IF($O31="-",""," / "&amp;$O31)&amp;")")</f>
        <v/>
      </c>
      <c r="AY36" s="3096" t="str">
        <f>IF($C38="","","("&amp;$C38&amp;IF(AND($C38&lt;&gt;"ENE",OR(Extrusióndevacío,Tablas!$R$1370)),", ENE","")&amp;IF($D38="-",""," / "&amp;$D38)&amp;")")</f>
        <v/>
      </c>
      <c r="AZ36" s="3096" t="str">
        <f>IF($N38="","","("&amp;$N38&amp;IF(AND($N38&lt;&gt;"ENE",OR(Extrusióndevacío,Tablas!$R$1370)),", ENE","")&amp;IF($O38="-",""," / "&amp;$O38)&amp;")")</f>
        <v/>
      </c>
      <c r="BA36" s="3096" t="str">
        <f>IF($C45="","","("&amp;$C45&amp;IF(AND($C45&lt;&gt;"ENE",OR(Extrusióndevacío,Tablas!$R$1370)),", ENE","")&amp;IF($D45="-",""," / "&amp;$D45)&amp;")")</f>
        <v/>
      </c>
      <c r="BB36" s="3096" t="str">
        <f>IF($N45="","","("&amp;$N45&amp;IF(AND($N45&lt;&gt;"ENE",OR(Extrusióndevacío,Tablas!$R$1370)),", ENE","")&amp;IF($O45="-",""," / "&amp;$O45)&amp;")")</f>
        <v/>
      </c>
      <c r="BC36" s="3096" t="str">
        <f>IF($C53="","","("&amp;$C53&amp;IF(AND($C53&lt;&gt;"ENE",OR(Extrusióndevacío,Tablas!$R$1370)),", ENE","")&amp;IF($D53="-",""," / "&amp;$D53)&amp;")")</f>
        <v/>
      </c>
      <c r="BD36" s="3096" t="str">
        <f>IF($N53="","","("&amp;$N53&amp;IF(AND($N53&lt;&gt;"ENE",OR(Extrusióndevacío,Tablas!$R$1370)),", ENE","")&amp;IF($O53="-",""," / "&amp;$O53)&amp;")")</f>
        <v/>
      </c>
      <c r="BE36" s="3096" t="str">
        <f>IF($C62="","","("&amp;$C62&amp;IF(AND($C62&lt;&gt;"ENE",OR(Extrusióndevacío,Tablas!$R$1370)),", ENE","")&amp;IF($D62="-",""," / "&amp;$D62)&amp;")")</f>
        <v/>
      </c>
      <c r="BF36" s="3096" t="str">
        <f>IF($N62="","","("&amp;$N62&amp;IF(AND($N62&lt;&gt;"ENE",OR(Extrusióndevacío,Tablas!$R$1370)),", ENE","")&amp;IF($O62="-",""," / "&amp;$O62)&amp;")")</f>
        <v/>
      </c>
      <c r="BG36" s="3096"/>
    </row>
    <row r="37" spans="1:59" ht="12" customHeight="1" x14ac:dyDescent="0.2">
      <c r="A37" s="9"/>
      <c r="B37" s="1157"/>
      <c r="C37" s="1056" t="s">
        <v>1567</v>
      </c>
      <c r="D37" s="73" t="s">
        <v>1568</v>
      </c>
      <c r="E37" s="73" t="s">
        <v>1556</v>
      </c>
      <c r="F37" s="73" t="s">
        <v>1569</v>
      </c>
      <c r="G37" s="73" t="s">
        <v>1557</v>
      </c>
      <c r="H37" s="4223"/>
      <c r="I37" s="4221"/>
      <c r="J37" s="4200"/>
      <c r="K37" s="4222"/>
      <c r="L37" s="4209"/>
      <c r="M37" s="737"/>
      <c r="N37" s="1056" t="s">
        <v>1567</v>
      </c>
      <c r="O37" s="73" t="s">
        <v>1568</v>
      </c>
      <c r="P37" s="73" t="s">
        <v>1556</v>
      </c>
      <c r="Q37" s="73" t="s">
        <v>1569</v>
      </c>
      <c r="R37" s="73" t="s">
        <v>1557</v>
      </c>
      <c r="S37" s="4223"/>
      <c r="T37" s="4221"/>
      <c r="U37" s="4200"/>
      <c r="V37" s="4222"/>
      <c r="W37" s="4209"/>
      <c r="X37" s="737"/>
      <c r="Y37" s="9"/>
      <c r="Z37" s="9"/>
      <c r="AA37" s="1129"/>
      <c r="AB37" s="4249" t="str">
        <f>IF(PDs!$AD65=0,"",PDs!$AD65)</f>
        <v/>
      </c>
      <c r="AC37" s="4250"/>
      <c r="AD37" s="4250"/>
      <c r="AE37" s="4250"/>
      <c r="AF37" s="4246" t="str">
        <f t="shared" si="8"/>
        <v/>
      </c>
      <c r="AG37" s="4247"/>
      <c r="AH37" s="4247"/>
      <c r="AI37" s="4247"/>
      <c r="AJ37" s="4247"/>
      <c r="AK37" s="4247"/>
      <c r="AL37" s="4247"/>
      <c r="AM37" s="4247"/>
      <c r="AN37" s="4247"/>
      <c r="AO37" s="4247"/>
      <c r="AP37" s="4248"/>
      <c r="AQ37" s="1502">
        <f>IF(AB37="",0,VLOOKUP(AB37,Tablas!$D$850:$G$939,4,FALSE))</f>
        <v>0</v>
      </c>
      <c r="AR37" s="1196"/>
      <c r="AS37" s="1151"/>
      <c r="AT37" s="3096">
        <v>8</v>
      </c>
      <c r="AU37" s="3096" t="s">
        <v>8698</v>
      </c>
      <c r="AV37" s="3084"/>
      <c r="AW37" s="3084" t="str">
        <f>C28</f>
        <v>A una mano</v>
      </c>
      <c r="AX37" s="3084" t="str">
        <f>N28</f>
        <v>A una mano</v>
      </c>
      <c r="AY37" s="3084" t="str">
        <f>C35</f>
        <v>A una mano</v>
      </c>
      <c r="AZ37" s="3084" t="str">
        <f>N35</f>
        <v>A una mano</v>
      </c>
      <c r="BA37" s="3084" t="str">
        <f>C42</f>
        <v>A una mano</v>
      </c>
      <c r="BB37" s="3084" t="str">
        <f>N42</f>
        <v>A una mano</v>
      </c>
      <c r="BC37" s="3084" t="str">
        <f>C49</f>
        <v>A una mano</v>
      </c>
      <c r="BD37" s="3084" t="str">
        <f>N49</f>
        <v>A una mano</v>
      </c>
      <c r="BE37" s="3084" t="str">
        <f>C58</f>
        <v>A dos manos</v>
      </c>
      <c r="BF37" s="3084" t="str">
        <f>N58</f>
        <v>A dos manos</v>
      </c>
      <c r="BG37" s="3096"/>
    </row>
    <row r="38" spans="1:59" ht="12" customHeight="1" x14ac:dyDescent="0.2">
      <c r="A38" s="9"/>
      <c r="B38" s="1157"/>
      <c r="C38" s="1057" t="str">
        <f>IF(E35=0,"",VLOOKUP(E35,Tabla_ArmasyEscudos,6,FALSE))</f>
        <v/>
      </c>
      <c r="D38" s="2744" t="str">
        <f>IF(E35=0,"",VLOOKUP(E35,Tabla_ArmasyEscudos,7,FALSE))</f>
        <v/>
      </c>
      <c r="E38" s="2744" t="str">
        <f>IFERROR(IF(E35=0,"",MAX(0,IF(Extensióndelauraalarma,10,0)+J38*2+VLOOKUP(E35,Tabla_ArmasyEscudos,10,FALSE)+IF(F36=0,0,VLOOKUP(F36,Tabla_ArmasEnormes,6,FALSE)))+IF(Tabla_Desvío,DES,0)),"-")</f>
        <v/>
      </c>
      <c r="F38" s="2744"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218" t="s">
        <v>8668</v>
      </c>
      <c r="I38" s="4219"/>
      <c r="J38" s="1505"/>
      <c r="K38" s="4242" t="str">
        <f ca="1">IFERROR(IF(ISNUMBER(SEARCH("Escudo",VLOOKUP(E35,Tabla_ArmasyEscudos,8,0))),"Turno esp: ","Turno base: ")&amp;VLOOKUP(E35,Tabla_ArmasyEscudos,3,FALSE)+IF(Tamaño&lt;VLOOKUP(F36,Tabla_ArmasEnormes,3,FALSE),IF(OR(F36="Enorme",F36="Gigante"),-40,0),0),"")</f>
        <v/>
      </c>
      <c r="L38" s="4243"/>
      <c r="M38" s="737"/>
      <c r="N38" s="1057" t="str">
        <f>IF(P35=0,"",VLOOKUP(P35,Tabla_ArmasyEscudos,6,FALSE))</f>
        <v/>
      </c>
      <c r="O38" s="2744" t="str">
        <f>IF(P35=0,"",VLOOKUP(P35,Tabla_ArmasyEscudos,7,FALSE))</f>
        <v/>
      </c>
      <c r="P38" s="2744" t="str">
        <f>IFERROR(IF(P35=0,"",MAX(0,IF(Extensióndelauraalarma,10,0)+U38*2+VLOOKUP(P35,Tabla_ArmasyEscudos,10,FALSE)+IF(Q36=0,0,VLOOKUP(Q36,Tabla_ArmasEnormes,6,FALSE)))+IF(Tabla_Desvío,DES,0)),"-")</f>
        <v/>
      </c>
      <c r="Q38" s="2744"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218" t="s">
        <v>8668</v>
      </c>
      <c r="T38" s="4219"/>
      <c r="U38" s="1505"/>
      <c r="V38" s="4242" t="str">
        <f ca="1">IFERROR(IF(ISNUMBER(SEARCH("Escudo",VLOOKUP(P35,Tabla_ArmasyEscudos,8,0))),"Turno esp: ","Turno base: ")&amp;VLOOKUP(P35,Tabla_ArmasyEscudos,3,FALSE)+IFERROR(IF(Tamaño&lt;VLOOKUP(Q36,Tabla_ArmasEnormes,3,FALSE),-40,0),0),"")</f>
        <v/>
      </c>
      <c r="W38" s="4243"/>
      <c r="X38" s="737"/>
      <c r="Y38" s="9"/>
      <c r="Z38" s="9"/>
      <c r="AA38" s="1129"/>
      <c r="AB38" s="4249" t="str">
        <f>IF(PDs!$AD66=0,"",PDs!$AD66)</f>
        <v/>
      </c>
      <c r="AC38" s="4250"/>
      <c r="AD38" s="4250"/>
      <c r="AE38" s="4250"/>
      <c r="AF38" s="4246" t="str">
        <f t="shared" si="8"/>
        <v/>
      </c>
      <c r="AG38" s="4247"/>
      <c r="AH38" s="4247"/>
      <c r="AI38" s="4247"/>
      <c r="AJ38" s="4247"/>
      <c r="AK38" s="4247"/>
      <c r="AL38" s="4247"/>
      <c r="AM38" s="4247"/>
      <c r="AN38" s="4247"/>
      <c r="AO38" s="4247"/>
      <c r="AP38" s="4248"/>
      <c r="AQ38" s="1502">
        <f>IF(AB38="",0,VLOOKUP(AB38,Tablas!$D$850:$G$939,4,FALSE))</f>
        <v>0</v>
      </c>
      <c r="AR38" s="1196"/>
      <c r="AS38" s="1151"/>
      <c r="AT38" s="3096">
        <v>9</v>
      </c>
      <c r="AU38" s="3096" t="s">
        <v>8699</v>
      </c>
      <c r="AV38" s="3084"/>
      <c r="AW38" s="3084" t="str">
        <f>IF(COUNTIF($R$22:$T$25,Tablas!A$1&amp;". "&amp;AW30)&gt;0,"Hábil",IF(COUNTIF($U$22:$W$25,Tablas!A$1&amp;". "&amp;AW30)&gt;0,"Torpe","Única"))</f>
        <v>Única</v>
      </c>
      <c r="AX38" s="3084" t="str">
        <f>IF(COUNTIF($R$22:$T$25,Tablas!B$1&amp;". "&amp;AX30)&gt;0,"Hábil",IF(COUNTIF($U$22:$W$25,Tablas!B$1&amp;". "&amp;AX30)&gt;0,"Torpe","Única"))</f>
        <v>Única</v>
      </c>
      <c r="AY38" s="3084" t="str">
        <f>IF(COUNTIF($R$22:$T$25,Tablas!C$1&amp;". "&amp;AY30)&gt;0,"Hábil",IF(COUNTIF($U$22:$W$25,Tablas!C$1&amp;". "&amp;AY30)&gt;0,"Torpe","Única"))</f>
        <v>Única</v>
      </c>
      <c r="AZ38" s="3084" t="str">
        <f>IF(COUNTIF($R$22:$T$25,Tablas!D$1&amp;". "&amp;AZ30)&gt;0,"Hábil",IF(COUNTIF($U$22:$W$25,Tablas!D$1&amp;". "&amp;AZ30)&gt;0,"Torpe","Única"))</f>
        <v>Única</v>
      </c>
      <c r="BA38" s="3084" t="str">
        <f>IF(COUNTIF($R$22:$T$25,Tablas!E$1&amp;". "&amp;BA30)&gt;0,"Hábil",IF(COUNTIF($U$22:$W$25,Tablas!E$1&amp;". "&amp;BA30)&gt;0,"Torpe","Única"))</f>
        <v>Única</v>
      </c>
      <c r="BB38" s="3084" t="str">
        <f>IF(COUNTIF($R$22:$T$25,Tablas!F$1&amp;". "&amp;BB30)&gt;0,"Hábil",IF(COUNTIF($U$22:$W$25,Tablas!F$1&amp;". "&amp;BB30)&gt;0,"Torpe","Única"))</f>
        <v>Única</v>
      </c>
      <c r="BC38" s="3084" t="str">
        <f>IF(COUNTIF($R$22:$T$25,Tablas!G$1&amp;". "&amp;BC30)&gt;0,"Hábil",IF(COUNTIF($U$22:$W$25,Tablas!G$1&amp;". "&amp;BC30)&gt;0,"Torpe","Única"))</f>
        <v>Única</v>
      </c>
      <c r="BD38" s="3084" t="str">
        <f>IF(COUNTIF($R$22:$T$25,Tablas!H$1&amp;". "&amp;BD30)&gt;0,"Hábil",IF(COUNTIF($U$22:$W$25,Tablas!H$1&amp;". "&amp;BD30)&gt;0,"Torpe","Única"))</f>
        <v>Única</v>
      </c>
      <c r="BE38" s="3084" t="str">
        <f>IF(COUNTIF($R$22:$T$25,Tablas!I$1&amp;". "&amp;BE30)&gt;0,"Hábil",IF(COUNTIF($U$22:$W$25,Tablas!I$1&amp;". "&amp;BE30)&gt;0,"Torpe","Única"))</f>
        <v>Única</v>
      </c>
      <c r="BF38" s="3084" t="str">
        <f>IF(COUNTIF($R$22:$T$25,Tablas!J$1&amp;". "&amp;BF30)&gt;0,"Hábil",IF(COUNTIF($U$22:$W$25,Tablas!J$1&amp;". "&amp;BF30)&gt;0,"Torpe","Única"))</f>
        <v>Única</v>
      </c>
      <c r="BG38" s="3096"/>
    </row>
    <row r="39" spans="1:59" ht="12" customHeight="1" thickBot="1" x14ac:dyDescent="0.25">
      <c r="A39" s="9"/>
      <c r="B39" s="1157"/>
      <c r="C39" s="4244" t="str">
        <f>IF(E35=0,"",E40)</f>
        <v/>
      </c>
      <c r="D39" s="4245"/>
      <c r="E39" s="4245"/>
      <c r="F39" s="4245"/>
      <c r="G39" s="4245"/>
      <c r="H39" s="4245"/>
      <c r="I39" s="1463"/>
      <c r="J39" s="1464" t="str">
        <f>IF(F36=0,IF(J38&lt;=0,"","TA defensor: -"&amp;J38/5),IF(Tamaño&lt;VLOOKUP(F36,Tabla_ArmasEnormes,2,FALSE),"Tam. excesivo",IF(J38&lt;=0,"","TA defensor: -"&amp;J38/5)))</f>
        <v/>
      </c>
      <c r="K39" s="4216" t="str">
        <f ca="1">IFERROR("FUE min: "&amp;VLOOKUP(E35,Tabla_ArmasyEscudos,IF(C35="A dos manos",5,4),FALSE)+IFERROR(VLOOKUP(F36,Tabla_ArmasEnormes,4,FALSE),0),"")</f>
        <v/>
      </c>
      <c r="L39" s="4217"/>
      <c r="M39" s="737"/>
      <c r="N39" s="4244" t="str">
        <f>IF(P35=0,"",P40)</f>
        <v/>
      </c>
      <c r="O39" s="4245"/>
      <c r="P39" s="4245"/>
      <c r="Q39" s="4245"/>
      <c r="R39" s="4245"/>
      <c r="S39" s="4245"/>
      <c r="T39" s="1463"/>
      <c r="U39" s="1464" t="str">
        <f>IF(Q36=0,IF(U38&lt;=0,"","TA defensor: -"&amp;U38/5),IF(Tamaño&lt;VLOOKUP(Q36,Tabla_ArmasEnormes,2,FALSE),"Tam. excesivo",IF(U38&lt;=0,"","TA defensor: -"&amp;U38/5)))</f>
        <v/>
      </c>
      <c r="V39" s="4216" t="str">
        <f ca="1">IFERROR("FUE min: "&amp;VLOOKUP(P35,Tabla_ArmasyEscudos,IF(N35="A dos manos",5,4),FALSE)+IFERROR(VLOOKUP(Q36,Tabla_ArmasEnormes,4,FALSE),0),"")</f>
        <v/>
      </c>
      <c r="W39" s="4217"/>
      <c r="X39" s="737"/>
      <c r="Y39" s="9"/>
      <c r="Z39" s="9"/>
      <c r="AA39" s="1129"/>
      <c r="AB39" s="4249" t="str">
        <f>IF(PDs!$AD67=0,"",PDs!$AD67)</f>
        <v/>
      </c>
      <c r="AC39" s="4250"/>
      <c r="AD39" s="4250"/>
      <c r="AE39" s="4250"/>
      <c r="AF39" s="4246" t="str">
        <f t="shared" si="8"/>
        <v/>
      </c>
      <c r="AG39" s="4247"/>
      <c r="AH39" s="4247"/>
      <c r="AI39" s="4247"/>
      <c r="AJ39" s="4247"/>
      <c r="AK39" s="4247"/>
      <c r="AL39" s="4247"/>
      <c r="AM39" s="4247"/>
      <c r="AN39" s="4247"/>
      <c r="AO39" s="4247"/>
      <c r="AP39" s="4248"/>
      <c r="AQ39" s="1502">
        <f>IF(AB39="",0,VLOOKUP(AB39,Tablas!$D$850:$G$939,4,FALSE))</f>
        <v>0</v>
      </c>
      <c r="AR39" s="1196"/>
      <c r="AS39" s="1151"/>
      <c r="AT39" s="3096">
        <v>10</v>
      </c>
      <c r="AU39" s="3096" t="s">
        <v>8679</v>
      </c>
      <c r="AV39" s="3084"/>
      <c r="AW39" s="3084" t="str">
        <f>IFERROR(LEFT(VLOOKUP(Tablas!A$1&amp;". "&amp;AW$30,$R$22:$W$25,4,FALSE),SEARCH(".",VLOOKUP(Tablas!A$1&amp;". "&amp;AW$30,$R$22:$W$25,4,FALSE))-1),"-")</f>
        <v>-</v>
      </c>
      <c r="AX39" s="3084" t="str">
        <f>IFERROR(LEFT(VLOOKUP(Tablas!B$1&amp;". "&amp;AX$30,$R$22:$W$25,4,FALSE),SEARCH(".",VLOOKUP(Tablas!B$1&amp;". "&amp;AX$30,$R$22:$W$25,4,FALSE))-1),"-")</f>
        <v>-</v>
      </c>
      <c r="AY39" s="3084" t="str">
        <f>IFERROR(LEFT(VLOOKUP(Tablas!C$1&amp;". "&amp;AY$30,$R$22:$W$25,4,FALSE),SEARCH(".",VLOOKUP(Tablas!C$1&amp;". "&amp;AY$30,$R$22:$W$25,4,FALSE))-1),"-")</f>
        <v>-</v>
      </c>
      <c r="AZ39" s="3084" t="str">
        <f>IFERROR(LEFT(VLOOKUP(Tablas!D$1&amp;". "&amp;AZ$30,$R$22:$W$25,4,FALSE),SEARCH(".",VLOOKUP(Tablas!D$1&amp;". "&amp;AZ$30,$R$22:$W$25,4,FALSE))-1),"-")</f>
        <v>-</v>
      </c>
      <c r="BA39" s="3084" t="str">
        <f>IFERROR(LEFT(VLOOKUP(Tablas!E$1&amp;". "&amp;BA$30,$R$22:$W$25,4,FALSE),SEARCH(".",VLOOKUP(Tablas!E$1&amp;". "&amp;BA$30,$R$22:$W$25,4,FALSE))-1),"-")</f>
        <v>-</v>
      </c>
      <c r="BB39" s="3084" t="str">
        <f>IFERROR(LEFT(VLOOKUP(Tablas!F$1&amp;". "&amp;BB$30,$R$22:$W$25,4,FALSE),SEARCH(".",VLOOKUP(Tablas!F$1&amp;". "&amp;BB$30,$R$22:$W$25,4,FALSE))-1),"-")</f>
        <v>-</v>
      </c>
      <c r="BC39" s="3084" t="str">
        <f>IFERROR(LEFT(VLOOKUP(Tablas!G$1&amp;". "&amp;BC$30,$R$22:$W$25,4,FALSE),SEARCH(".",VLOOKUP(Tablas!G$1&amp;". "&amp;BC$30,$R$22:$W$25,4,FALSE))-1),"-")</f>
        <v>-</v>
      </c>
      <c r="BD39" s="3084" t="str">
        <f>IFERROR(LEFT(VLOOKUP(Tablas!H$1&amp;". "&amp;BD$30,$R$22:$W$25,4,FALSE),SEARCH(".",VLOOKUP(Tablas!H$1&amp;". "&amp;BD$30,$R$22:$W$25,4,FALSE))-1),"-")</f>
        <v>-</v>
      </c>
      <c r="BE39" s="3084" t="str">
        <f>IFERROR(LEFT(VLOOKUP(Tablas!I$1&amp;". "&amp;BE$30,$R$22:$W$25,4,FALSE),SEARCH(".",VLOOKUP(Tablas!I$1&amp;". "&amp;BE$30,$R$22:$W$25,4,FALSE))-1),"-")</f>
        <v>-</v>
      </c>
      <c r="BF39" s="3084" t="str">
        <f>IFERROR(LEFT(VLOOKUP(Tablas!J$1&amp;". "&amp;BF$30,$R$22:$W$25,4,FALSE),SEARCH(".",VLOOKUP(Tablas!J$1&amp;". "&amp;BF$30,$R$22:$W$25,4,FALSE))-1),"-")</f>
        <v>-</v>
      </c>
      <c r="BG39" s="3096"/>
    </row>
    <row r="40" spans="1:59"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249" t="str">
        <f>IF(PDs!$AD68=0,"",PDs!$AD68)</f>
        <v/>
      </c>
      <c r="AC40" s="4250"/>
      <c r="AD40" s="4250"/>
      <c r="AE40" s="4250"/>
      <c r="AF40" s="4246" t="str">
        <f t="shared" si="8"/>
        <v/>
      </c>
      <c r="AG40" s="4247"/>
      <c r="AH40" s="4247"/>
      <c r="AI40" s="4247"/>
      <c r="AJ40" s="4247"/>
      <c r="AK40" s="4247"/>
      <c r="AL40" s="4247"/>
      <c r="AM40" s="4247"/>
      <c r="AN40" s="4247"/>
      <c r="AO40" s="4247"/>
      <c r="AP40" s="4248"/>
      <c r="AQ40" s="1450">
        <f>IF(AB40="",0,VLOOKUP(AB40,Tablas!$D$850:$G$939,4,FALSE))</f>
        <v>0</v>
      </c>
      <c r="AR40" s="1196"/>
      <c r="AS40" s="1151"/>
      <c r="AT40" s="3096">
        <v>11</v>
      </c>
      <c r="AU40" s="3096" t="s">
        <v>8700</v>
      </c>
      <c r="AV40" s="3084"/>
      <c r="AW40" s="3084" t="e">
        <f ca="1">Turno_Nat_final+IF(ISNUMBER(SEARCH("Escudo",VLOOKUP(AW30,Tabla_ArmasyEscudos,8,0))),0,-20)+AW$31+VLOOKUP(AW$30,Tabla_ArmasyEscudos,3,FALSE)+IF(AW$33=0,0,IF(Tamaño&lt;VLOOKUP(AW$33,Tabla_ArmasEnormes,3,FALSE),-40,0))+INDEX(Personalización!$AA$7:$AJ$15,IF(ISEVEN(AW29),6,1),IF(ISEVEN(AW29),AW29-1,AW29))</f>
        <v>#N/A</v>
      </c>
      <c r="AX40" s="3084" t="e">
        <f ca="1">Turno_Nat_final+IF(ISNUMBER(SEARCH("Escudo",VLOOKUP(AX30,Tabla_ArmasyEscudos,8,0))),0,-20)+AX$31+VLOOKUP(AX$30,Tabla_ArmasyEscudos,3,FALSE)+IF(AX$33=0,0,IF(Tamaño&lt;VLOOKUP(AX$33,Tabla_ArmasEnormes,3,FALSE),-40,0))+INDEX(Personalización!$AA$7:$AJ$15,IF(ISEVEN(AX29),6,1),IF(ISEVEN(AX29),AX29-1,AX29))</f>
        <v>#N/A</v>
      </c>
      <c r="AY40" s="3084" t="e">
        <f ca="1">Turno_Nat_final+IF(ISNUMBER(SEARCH("Escudo",VLOOKUP(AY30,Tabla_ArmasyEscudos,8,0))),0,-20)+AY$31+VLOOKUP(AY$30,Tabla_ArmasyEscudos,3,FALSE)+IF(AY$33=0,0,IF(Tamaño&lt;VLOOKUP(AY$33,Tabla_ArmasEnormes,3,FALSE),-40,0))+INDEX(Personalización!$AA$7:$AJ$15,IF(ISEVEN(AY29),6,1),IF(ISEVEN(AY29),AY29-1,AY29))</f>
        <v>#N/A</v>
      </c>
      <c r="AZ40" s="3084" t="e">
        <f ca="1">Turno_Nat_final+IF(ISNUMBER(SEARCH("Escudo",VLOOKUP(AZ30,Tabla_ArmasyEscudos,8,0))),0,-20)+AZ$31+VLOOKUP(AZ$30,Tabla_ArmasyEscudos,3,FALSE)+IF(AZ$33=0,0,IF(Tamaño&lt;VLOOKUP(AZ$33,Tabla_ArmasEnormes,3,FALSE),-40,0))+INDEX(Personalización!$AA$7:$AJ$15,IF(ISEVEN(AZ29),6,1),IF(ISEVEN(AZ29),AZ29-1,AZ29))</f>
        <v>#N/A</v>
      </c>
      <c r="BA40" s="3084" t="e">
        <f ca="1">Turno_Nat_final+IF(ISNUMBER(SEARCH("Escudo",VLOOKUP(BA30,Tabla_ArmasyEscudos,8,0))),0,-20)+BA$31+VLOOKUP(BA$30,Tabla_ArmasyEscudos,3,FALSE)+IF(BA$33=0,0,IF(Tamaño&lt;VLOOKUP(BA$33,Tabla_ArmasEnormes,3,FALSE),-40,0))+INDEX(Personalización!$AA$7:$AJ$15,IF(ISEVEN(BA29),6,1),IF(ISEVEN(BA29),BA29-1,BA29))</f>
        <v>#N/A</v>
      </c>
      <c r="BB40" s="3084" t="e">
        <f ca="1">Turno_Nat_final+IF(ISNUMBER(SEARCH("Escudo",VLOOKUP(BB30,Tabla_ArmasyEscudos,8,0))),0,-20)+BB$31+VLOOKUP(BB$30,Tabla_ArmasyEscudos,3,FALSE)+IF(BB$33=0,0,IF(Tamaño&lt;VLOOKUP(BB$33,Tabla_ArmasEnormes,3,FALSE),-40,0))+INDEX(Personalización!$AA$7:$AJ$15,IF(ISEVEN(BB29),6,1),IF(ISEVEN(BB29),BB29-1,BB29))</f>
        <v>#N/A</v>
      </c>
      <c r="BC40" s="3084" t="e">
        <f ca="1">Turno_Nat_final+IF(ISNUMBER(SEARCH("Escudo",VLOOKUP(BC30,Tabla_ArmasyEscudos,8,0))),0,-20)+BC$31+VLOOKUP(BC$30,Tabla_ArmasyEscudos,3,FALSE)+IF(BC$33=0,0,IF(Tamaño&lt;VLOOKUP(BC$33,Tabla_ArmasEnormes,3,FALSE),-40,0))+INDEX(Personalización!$AA$7:$AJ$15,IF(ISEVEN(BC29),6,1),IF(ISEVEN(BC29),BC29-1,BC29))</f>
        <v>#N/A</v>
      </c>
      <c r="BD40" s="3084" t="e">
        <f ca="1">Turno_Nat_final+IF(ISNUMBER(SEARCH("Escudo",VLOOKUP(BD30,Tabla_ArmasyEscudos,8,0))),0,-20)+BD$31+VLOOKUP(BD$30,Tabla_ArmasyEscudos,3,FALSE)+IF(BD$33=0,0,IF(Tamaño&lt;VLOOKUP(BD$33,Tabla_ArmasEnormes,3,FALSE),-40,0))+INDEX(Personalización!$AA$7:$AJ$15,IF(ISEVEN(BD29),6,1),IF(ISEVEN(BD29),BD29-1,BD29))</f>
        <v>#N/A</v>
      </c>
      <c r="BE40" s="3084" t="e">
        <f ca="1">Turno_Nat_final+IF(ISNUMBER(SEARCH("Escudo",VLOOKUP(BE30,Tabla_ArmasyEscudos,8,0))),0,-20)+BE$31+VLOOKUP(BE$30,Tabla_ArmasyEscudos,3,FALSE)+IF(BE$33=0,0,IF(Tamaño&lt;VLOOKUP(BE$33,Tabla_ArmasEnormes,3,FALSE),-40,0))+INDEX(Personalización!$AA$7:$AJ$15,IF(ISEVEN(BE29),6,1),IF(ISEVEN(BE29),BE29-1,BE29))</f>
        <v>#N/A</v>
      </c>
      <c r="BF40" s="3084" t="e">
        <f ca="1">Turno_Nat_final+IF(ISNUMBER(SEARCH("Escudo",VLOOKUP(BF30,Tabla_ArmasyEscudos,8,0))),0,-20)+BF$31+VLOOKUP(BF$30,Tabla_ArmasyEscudos,3,FALSE)+IF(BF$33=0,0,IF(Tamaño&lt;VLOOKUP(BF$33,Tabla_ArmasEnormes,3,FALSE),-40,0))+INDEX(Personalización!$AA$7:$AJ$15,IF(ISEVEN(BF29),6,1),IF(ISEVEN(BF29),BF29-1,BF29))</f>
        <v>#N/A</v>
      </c>
      <c r="BG40" s="3096"/>
    </row>
    <row r="41" spans="1:59"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249" t="str">
        <f>IF(PDs!$AD69=0,"",PDs!$AD69)</f>
        <v/>
      </c>
      <c r="AC41" s="4250"/>
      <c r="AD41" s="4250"/>
      <c r="AE41" s="4250"/>
      <c r="AF41" s="4246" t="str">
        <f t="shared" si="8"/>
        <v/>
      </c>
      <c r="AG41" s="4247"/>
      <c r="AH41" s="4247"/>
      <c r="AI41" s="4247"/>
      <c r="AJ41" s="4247"/>
      <c r="AK41" s="4247"/>
      <c r="AL41" s="4247"/>
      <c r="AM41" s="4247"/>
      <c r="AN41" s="4247"/>
      <c r="AO41" s="4247"/>
      <c r="AP41" s="4248"/>
      <c r="AQ41" s="1450">
        <f>IF(AB41="",0,VLOOKUP(AB41,Tablas!$D$850:$G$939,4,FALSE))</f>
        <v>0</v>
      </c>
      <c r="AR41" s="1196"/>
      <c r="AS41" s="1151"/>
      <c r="AT41" s="3096">
        <v>12</v>
      </c>
      <c r="AU41" s="3096" t="s">
        <v>8681</v>
      </c>
      <c r="AV41" s="3084"/>
      <c r="AW41" s="3084"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4" t="e">
        <f t="shared" ca="1" si="9"/>
        <v>#N/A</v>
      </c>
      <c r="AY41" s="3084" t="e">
        <f t="shared" ca="1" si="9"/>
        <v>#N/A</v>
      </c>
      <c r="AZ41" s="3084" t="e">
        <f t="shared" ca="1" si="9"/>
        <v>#N/A</v>
      </c>
      <c r="BA41" s="3084" t="e">
        <f t="shared" ca="1" si="9"/>
        <v>#N/A</v>
      </c>
      <c r="BB41" s="3084" t="e">
        <f t="shared" ca="1" si="9"/>
        <v>#N/A</v>
      </c>
      <c r="BC41" s="3084" t="e">
        <f t="shared" ca="1" si="9"/>
        <v>#N/A</v>
      </c>
      <c r="BD41" s="3084" t="e">
        <f t="shared" ca="1" si="9"/>
        <v>#N/A</v>
      </c>
      <c r="BE41" s="3084" t="e">
        <f t="shared" ca="1" si="9"/>
        <v>#N/A</v>
      </c>
      <c r="BF41" s="3084" t="e">
        <f t="shared" ca="1" si="9"/>
        <v>#N/A</v>
      </c>
      <c r="BG41" s="3096"/>
    </row>
    <row r="42" spans="1:59" ht="12" customHeight="1" x14ac:dyDescent="0.2">
      <c r="A42" s="9"/>
      <c r="B42" s="1157"/>
      <c r="C42" s="4234" t="s">
        <v>8666</v>
      </c>
      <c r="D42" s="4235"/>
      <c r="E42" s="4236"/>
      <c r="F42" s="4237"/>
      <c r="G42" s="4238"/>
      <c r="H42" s="1777" t="s">
        <v>1392</v>
      </c>
      <c r="I42" s="1778" t="s">
        <v>1563</v>
      </c>
      <c r="J42" s="4239" t="s">
        <v>1564</v>
      </c>
      <c r="K42" s="4239"/>
      <c r="L42" s="1779" t="s">
        <v>1565</v>
      </c>
      <c r="M42" s="1498" t="str">
        <f ca="1">IF(C42=INDEX(Lista_ManosArma,2),Lista_A2Manos,Lista_A1Mano)</f>
        <v>Tablas!$AF$639:$AF$758</v>
      </c>
      <c r="N42" s="4234" t="s">
        <v>8666</v>
      </c>
      <c r="O42" s="4235"/>
      <c r="P42" s="4236"/>
      <c r="Q42" s="4237"/>
      <c r="R42" s="4238"/>
      <c r="S42" s="1777" t="s">
        <v>1392</v>
      </c>
      <c r="T42" s="1778" t="s">
        <v>1563</v>
      </c>
      <c r="U42" s="4239" t="s">
        <v>1564</v>
      </c>
      <c r="V42" s="4239"/>
      <c r="W42" s="1779" t="s">
        <v>1565</v>
      </c>
      <c r="X42" s="1498" t="str">
        <f ca="1">IF(N42=INDEX(Lista_ManosArma,2),Lista_A2Manos,Lista_A1Mano)</f>
        <v>Tablas!$AF$639:$AF$758</v>
      </c>
      <c r="Y42" s="9"/>
      <c r="Z42" s="9"/>
      <c r="AA42" s="1129"/>
      <c r="AB42" s="4249" t="str">
        <f>IF(PDs!$AD70=0,"",PDs!$AD70)</f>
        <v/>
      </c>
      <c r="AC42" s="4250"/>
      <c r="AD42" s="4250"/>
      <c r="AE42" s="4250"/>
      <c r="AF42" s="4246" t="str">
        <f t="shared" si="8"/>
        <v/>
      </c>
      <c r="AG42" s="4247"/>
      <c r="AH42" s="4247"/>
      <c r="AI42" s="4247"/>
      <c r="AJ42" s="4247"/>
      <c r="AK42" s="4247"/>
      <c r="AL42" s="4247"/>
      <c r="AM42" s="4247"/>
      <c r="AN42" s="4247"/>
      <c r="AO42" s="4247"/>
      <c r="AP42" s="4248"/>
      <c r="AQ42" s="1450">
        <f>IF(AB42="",0,VLOOKUP(AB42,Tablas!$D$850:$G$939,4,FALSE))</f>
        <v>0</v>
      </c>
      <c r="AR42" s="1196"/>
      <c r="AS42" s="1151"/>
      <c r="AT42" s="3096">
        <v>13</v>
      </c>
      <c r="AU42" s="3096" t="s">
        <v>10303</v>
      </c>
      <c r="AV42" s="3084"/>
      <c r="AW42" s="3084"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4"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4"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4"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4"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4"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4"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4"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4"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4"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6"/>
    </row>
    <row r="43" spans="1:59" ht="12" customHeight="1" x14ac:dyDescent="0.2">
      <c r="A43" s="9"/>
      <c r="B43" s="1157"/>
      <c r="C43" s="4210" t="str">
        <f>IF(E42=0,"",VLOOKUP(E42,Tabla_ArmasyEscudos,9,FALSE))</f>
        <v/>
      </c>
      <c r="D43" s="4211"/>
      <c r="E43" s="1780" t="s">
        <v>1575</v>
      </c>
      <c r="F43" s="4212" t="s">
        <v>1576</v>
      </c>
      <c r="G43" s="4213"/>
      <c r="H43" s="4223">
        <f ca="1">IFERROR(INDEX(Tabla_Combate,$AT$41,LEFT(C41,LEN(C41)-1)),0)</f>
        <v>0</v>
      </c>
      <c r="I43" s="4220">
        <f ca="1">IFERROR(INDEX(Tabla_Combate,$AT$42,LEFT(C41,LEN(C41)-1)),0)</f>
        <v>0</v>
      </c>
      <c r="J43" s="4199">
        <f ca="1">IF(K43="-",0,IF(K43="Par",INDEX(Tabla_Combate,$AT$43,LEFT(C41,LEN(C41)-1)),INDEX(Tabla_Combate,$AT$44,LEFT(C41,LEN(C41)-1))))</f>
        <v>0</v>
      </c>
      <c r="K43" s="3760" t="str">
        <f ca="1">IF(IFERROR(VLOOKUP(INDEX(Tabla_Combate,$AT$30,LEFT(C41,LEN(C41)-1)),Tablas!$AI$829:$AU$838,12,0),FALSE),"-",IFERROR(IF(INDEX(Tabla_Combate,$AT$43,LEFT(C41,LEN(C41)-1))&gt;INDEX(Tabla_Combate,$AT$44,LEFT(C41,LEN(C41)-1)),"Par","Esq"),"-"))</f>
        <v>-</v>
      </c>
      <c r="L43" s="4208">
        <f ca="1">IFERROR(INDEX(Tabla_Combate,$AT$46,LEFT(C41,LEN(C41)-1)),0)</f>
        <v>0</v>
      </c>
      <c r="M43" s="737"/>
      <c r="N43" s="4210" t="str">
        <f>IF(P42=0,"",VLOOKUP(P42,Tabla_ArmasyEscudos,9,FALSE))</f>
        <v/>
      </c>
      <c r="O43" s="4211"/>
      <c r="P43" s="1780" t="s">
        <v>1575</v>
      </c>
      <c r="Q43" s="4212" t="s">
        <v>1576</v>
      </c>
      <c r="R43" s="4213"/>
      <c r="S43" s="4223">
        <f ca="1">IFERROR(INDEX(Tabla_Combate,$AT$41,LEFT(N41,LEN(N41)-1)),0)</f>
        <v>0</v>
      </c>
      <c r="T43" s="4220">
        <f ca="1">IFERROR(INDEX(Tabla_Combate,$AT$42,LEFT(N41,LEN(N41)-1)),0)</f>
        <v>0</v>
      </c>
      <c r="U43" s="4199">
        <f ca="1">IF(V43="-",0,IF(V43="Par",INDEX(Tabla_Combate,$AT$43,LEFT(N41,LEN(N41)-1)),INDEX(Tabla_Combate,$AT$44,LEFT(N41,LEN(N41)-1))))</f>
        <v>0</v>
      </c>
      <c r="V43" s="3760" t="str">
        <f ca="1">IF(IFERROR(VLOOKUP(INDEX(Tabla_Combate,$AT$30,LEFT(N41,LEN(N41)-1)),Tablas!$AI$829:$AU$838,12,0),FALSE),"-",IFERROR(IF(INDEX(Tabla_Combate,$AT$43,LEFT(N41,LEN(N41)-1))&gt;INDEX(Tabla_Combate,$AT$44,LEFT(N41,LEN(N41)-1)),"Par","Esq"),"-"))</f>
        <v>-</v>
      </c>
      <c r="W43" s="4208">
        <f ca="1">IFERROR(INDEX(Tabla_Combate,$AT$46,LEFT(N41,LEN(N41)-1)),0)</f>
        <v>0</v>
      </c>
      <c r="X43" s="737"/>
      <c r="Y43" s="9"/>
      <c r="Z43" s="9"/>
      <c r="AA43" s="1129"/>
      <c r="AB43" s="4249" t="str">
        <f>IF(PDs!$AD71=0,"",PDs!$AD71)</f>
        <v/>
      </c>
      <c r="AC43" s="4250"/>
      <c r="AD43" s="4250"/>
      <c r="AE43" s="4250"/>
      <c r="AF43" s="4246" t="str">
        <f t="shared" si="8"/>
        <v/>
      </c>
      <c r="AG43" s="4247"/>
      <c r="AH43" s="4247"/>
      <c r="AI43" s="4247"/>
      <c r="AJ43" s="4247"/>
      <c r="AK43" s="4247"/>
      <c r="AL43" s="4247"/>
      <c r="AM43" s="4247"/>
      <c r="AN43" s="4247"/>
      <c r="AO43" s="4247"/>
      <c r="AP43" s="4248"/>
      <c r="AQ43" s="1450">
        <f>IF(AB43="",0,VLOOKUP(AB43,Tablas!$D$850:$G$939,4,FALSE))</f>
        <v>0</v>
      </c>
      <c r="AR43" s="1196"/>
      <c r="AS43" s="1151"/>
      <c r="AT43" s="3096">
        <v>14</v>
      </c>
      <c r="AU43" s="3096" t="s">
        <v>8702</v>
      </c>
      <c r="AV43" s="3084"/>
      <c r="AW43" s="3084"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4"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4"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4"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4"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4"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4"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4"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4"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4"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6"/>
    </row>
    <row r="44" spans="1:59" ht="12" customHeight="1" x14ac:dyDescent="0.2">
      <c r="A44" s="9"/>
      <c r="B44" s="1157"/>
      <c r="C44" s="1056" t="s">
        <v>1567</v>
      </c>
      <c r="D44" s="73" t="s">
        <v>1568</v>
      </c>
      <c r="E44" s="73" t="s">
        <v>1556</v>
      </c>
      <c r="F44" s="73" t="s">
        <v>1569</v>
      </c>
      <c r="G44" s="73" t="s">
        <v>1557</v>
      </c>
      <c r="H44" s="4223"/>
      <c r="I44" s="4221"/>
      <c r="J44" s="4200"/>
      <c r="K44" s="4222"/>
      <c r="L44" s="4209"/>
      <c r="M44" s="737"/>
      <c r="N44" s="1056" t="s">
        <v>1567</v>
      </c>
      <c r="O44" s="73" t="s">
        <v>1568</v>
      </c>
      <c r="P44" s="73" t="s">
        <v>1556</v>
      </c>
      <c r="Q44" s="73" t="s">
        <v>1569</v>
      </c>
      <c r="R44" s="73" t="s">
        <v>1557</v>
      </c>
      <c r="S44" s="4223"/>
      <c r="T44" s="4221"/>
      <c r="U44" s="4200"/>
      <c r="V44" s="4222"/>
      <c r="W44" s="4209"/>
      <c r="X44" s="737"/>
      <c r="Y44" s="9"/>
      <c r="Z44" s="9"/>
      <c r="AA44" s="1129"/>
      <c r="AB44" s="4249" t="str">
        <f>IF(PDs!$AD72=0,"",PDs!$AD72)</f>
        <v/>
      </c>
      <c r="AC44" s="4250"/>
      <c r="AD44" s="4250"/>
      <c r="AE44" s="4250"/>
      <c r="AF44" s="4246" t="str">
        <f t="shared" si="8"/>
        <v/>
      </c>
      <c r="AG44" s="4247"/>
      <c r="AH44" s="4247"/>
      <c r="AI44" s="4247"/>
      <c r="AJ44" s="4247"/>
      <c r="AK44" s="4247"/>
      <c r="AL44" s="4247"/>
      <c r="AM44" s="4247"/>
      <c r="AN44" s="4247"/>
      <c r="AO44" s="4247"/>
      <c r="AP44" s="4248"/>
      <c r="AQ44" s="1450">
        <f>IF(AB44="",0,VLOOKUP(AB44,Tablas!$D$850:$G$939,4,FALSE))</f>
        <v>0</v>
      </c>
      <c r="AR44" s="1196"/>
      <c r="AS44" s="1151"/>
      <c r="AT44" s="3096">
        <v>15</v>
      </c>
      <c r="AU44" s="3096" t="s">
        <v>8701</v>
      </c>
      <c r="AV44" s="3084"/>
      <c r="AW44" s="3084" t="e">
        <f ca="1">HE_final-PDs!$X$27+MIN(50,PDs!$X$27+SUMPRODUCT(--ISNUMBER(SEARCH(AW30,ArmasAM)),ArmasAM_HE))+VLOOKUP(AW30,Tabla_ArmasyEscudos,14,FALSE)+INDEX(Personalización!$AA$7:$AJ$15,IF(ISEVEN(AW$29),8,3),IF(ISEVEN(AW$29),AW$29-1,AW$29))</f>
        <v>#N/A</v>
      </c>
      <c r="AX44" s="3084" t="e">
        <f ca="1">HE_final-PDs!$X$27+MIN(50,PDs!$X$27+SUMPRODUCT(--ISNUMBER(SEARCH(AX30,ArmasAM)),ArmasAM_HE))+VLOOKUP(AX30,Tabla_ArmasyEscudos,14,FALSE)+INDEX(Personalización!$AA$7:$AJ$15,IF(ISEVEN(AX$29),8,3),IF(ISEVEN(AX$29),AX$29-1,AX$29))</f>
        <v>#N/A</v>
      </c>
      <c r="AY44" s="3084" t="e">
        <f ca="1">HE_final-PDs!$X$27+MIN(50,PDs!$X$27+SUMPRODUCT(--ISNUMBER(SEARCH(AY30,ArmasAM)),ArmasAM_HE))+VLOOKUP(AY30,Tabla_ArmasyEscudos,14,FALSE)+INDEX(Personalización!$AA$7:$AJ$15,IF(ISEVEN(AY$29),8,3),IF(ISEVEN(AY$29),AY$29-1,AY$29))</f>
        <v>#N/A</v>
      </c>
      <c r="AZ44" s="3084" t="e">
        <f ca="1">HE_final-PDs!$X$27+MIN(50,PDs!$X$27+SUMPRODUCT(--ISNUMBER(SEARCH(AZ30,ArmasAM)),ArmasAM_HE))+VLOOKUP(AZ30,Tabla_ArmasyEscudos,14,FALSE)+INDEX(Personalización!$AA$7:$AJ$15,IF(ISEVEN(AZ$29),8,3),IF(ISEVEN(AZ$29),AZ$29-1,AZ$29))</f>
        <v>#N/A</v>
      </c>
      <c r="BA44" s="3084" t="e">
        <f ca="1">HE_final-PDs!$X$27+MIN(50,PDs!$X$27+SUMPRODUCT(--ISNUMBER(SEARCH(BA30,ArmasAM)),ArmasAM_HE))+VLOOKUP(BA30,Tabla_ArmasyEscudos,14,FALSE)+INDEX(Personalización!$AA$7:$AJ$15,IF(ISEVEN(BA$29),8,3),IF(ISEVEN(BA$29),BA$29-1,BA$29))</f>
        <v>#N/A</v>
      </c>
      <c r="BB44" s="3084" t="e">
        <f ca="1">HE_final-PDs!$X$27+MIN(50,PDs!$X$27+SUMPRODUCT(--ISNUMBER(SEARCH(BB30,ArmasAM)),ArmasAM_HE))+VLOOKUP(BB30,Tabla_ArmasyEscudos,14,FALSE)+INDEX(Personalización!$AA$7:$AJ$15,IF(ISEVEN(BB$29),8,3),IF(ISEVEN(BB$29),BB$29-1,BB$29))</f>
        <v>#N/A</v>
      </c>
      <c r="BC44" s="3084" t="e">
        <f ca="1">HE_final-PDs!$X$27+MIN(50,PDs!$X$27+SUMPRODUCT(--ISNUMBER(SEARCH(BC30,ArmasAM)),ArmasAM_HE))+VLOOKUP(BC30,Tabla_ArmasyEscudos,14,FALSE)+INDEX(Personalización!$AA$7:$AJ$15,IF(ISEVEN(BC$29),8,3),IF(ISEVEN(BC$29),BC$29-1,BC$29))</f>
        <v>#N/A</v>
      </c>
      <c r="BD44" s="3084" t="e">
        <f ca="1">HE_final-PDs!$X$27+MIN(50,PDs!$X$27+SUMPRODUCT(--ISNUMBER(SEARCH(BD30,ArmasAM)),ArmasAM_HE))+VLOOKUP(BD30,Tabla_ArmasyEscudos,14,FALSE)+INDEX(Personalización!$AA$7:$AJ$15,IF(ISEVEN(BD$29),8,3),IF(ISEVEN(BD$29),BD$29-1,BD$29))</f>
        <v>#N/A</v>
      </c>
      <c r="BE44" s="3084" t="e">
        <f ca="1">HE_final-PDs!$X$27+MIN(50,PDs!$X$27+SUMPRODUCT(--ISNUMBER(SEARCH(BE30,ArmasAM)),ArmasAM_HE))+VLOOKUP(BE30,Tabla_ArmasyEscudos,14,FALSE)+INDEX(Personalización!$AA$7:$AJ$15,IF(ISEVEN(BE$29),8,3),IF(ISEVEN(BE$29),BE$29-1,BE$29))</f>
        <v>#N/A</v>
      </c>
      <c r="BF44" s="3084" t="e">
        <f ca="1">HE_final-PDs!$X$27+MIN(50,PDs!$X$27+SUMPRODUCT(--ISNUMBER(SEARCH(BF30,ArmasAM)),ArmasAM_HE))+VLOOKUP(BF30,Tabla_ArmasyEscudos,14,FALSE)+INDEX(Personalización!$AA$7:$AJ$15,IF(ISEVEN(BF$29),8,3),IF(ISEVEN(BF$29),BF$29-1,BF$29))</f>
        <v>#N/A</v>
      </c>
      <c r="BG44" s="3096"/>
    </row>
    <row r="45" spans="1:59" ht="12" customHeight="1" x14ac:dyDescent="0.2">
      <c r="A45" s="9"/>
      <c r="B45" s="1157"/>
      <c r="C45" s="1057" t="str">
        <f>IF(E42=0,"",VLOOKUP(E42,Tabla_ArmasyEscudos,6,FALSE))</f>
        <v/>
      </c>
      <c r="D45" s="2744" t="str">
        <f>IF(E42=0,"",VLOOKUP(E42,Tabla_ArmasyEscudos,7,FALSE))</f>
        <v/>
      </c>
      <c r="E45" s="2744" t="str">
        <f>IFERROR(IF(E42=0,"",MAX(0,IF(Extensióndelauraalarma,10,0)+J45*2+VLOOKUP(E42,Tabla_ArmasyEscudos,10,FALSE)+IF(F43=0,0,VLOOKUP(F43,Tabla_ArmasEnormes,6,FALSE)))+IF(Tabla_Desvío,DES,0)),"-")</f>
        <v/>
      </c>
      <c r="F45" s="2744"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218" t="s">
        <v>8668</v>
      </c>
      <c r="I45" s="4219"/>
      <c r="J45" s="1505"/>
      <c r="K45" s="4242" t="str">
        <f ca="1">IFERROR(IF(ISNUMBER(SEARCH("Escudo",VLOOKUP(E42,Tabla_ArmasyEscudos,8,0))),"Turno esp: ","Turno base: ")&amp;VLOOKUP(E42,Tabla_ArmasyEscudos,3,FALSE)+IF(Tamaño&lt;VLOOKUP(F43,Tabla_ArmasEnormes,3,FALSE),IF(OR(F43="Enorme",F43="Gigante"),-40,0),0),"")</f>
        <v/>
      </c>
      <c r="L45" s="4243"/>
      <c r="M45" s="737"/>
      <c r="N45" s="1057" t="str">
        <f>IF(P42=0,"",VLOOKUP(P42,Tabla_ArmasyEscudos,6,FALSE))</f>
        <v/>
      </c>
      <c r="O45" s="2744" t="str">
        <f>IF(P42=0,"",VLOOKUP(P42,Tabla_ArmasyEscudos,7,FALSE))</f>
        <v/>
      </c>
      <c r="P45" s="2744" t="str">
        <f>IFERROR(IF(P42=0,"",MAX(0,IF(Extensióndelauraalarma,10,0)+U45*2+VLOOKUP(P42,Tabla_ArmasyEscudos,10,FALSE)+IF(Q43=0,0,VLOOKUP(Q43,Tabla_ArmasEnormes,6,FALSE)))+IF(Tabla_Desvío,DES,0)),"-")</f>
        <v/>
      </c>
      <c r="Q45" s="2744"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218" t="s">
        <v>8668</v>
      </c>
      <c r="T45" s="4219"/>
      <c r="U45" s="1505"/>
      <c r="V45" s="4242" t="str">
        <f ca="1">IFERROR(IF(ISNUMBER(SEARCH("Escudo",VLOOKUP(P42,Tabla_ArmasyEscudos,8,0))),"Turno esp: ","Turno base: ")&amp;VLOOKUP(P42,Tabla_ArmasyEscudos,3,FALSE)+IF(Tamaño&lt;VLOOKUP(Q43,Tabla_ArmasEnormes,3,FALSE),IF(OR(Q43="Enorme",Q43="Gigante"),-40,0),0),"")</f>
        <v/>
      </c>
      <c r="W45" s="4243"/>
      <c r="X45" s="737"/>
      <c r="Y45" s="9"/>
      <c r="Z45" s="9"/>
      <c r="AA45" s="1129"/>
      <c r="AB45" s="4249" t="str">
        <f>IF(PDs!$AD73=0,"",PDs!$AD73)</f>
        <v/>
      </c>
      <c r="AC45" s="4250"/>
      <c r="AD45" s="4250"/>
      <c r="AE45" s="4250"/>
      <c r="AF45" s="4246" t="str">
        <f t="shared" si="8"/>
        <v/>
      </c>
      <c r="AG45" s="4247"/>
      <c r="AH45" s="4247"/>
      <c r="AI45" s="4247"/>
      <c r="AJ45" s="4247"/>
      <c r="AK45" s="4247"/>
      <c r="AL45" s="4247"/>
      <c r="AM45" s="4247"/>
      <c r="AN45" s="4247"/>
      <c r="AO45" s="4247"/>
      <c r="AP45" s="4248"/>
      <c r="AQ45" s="1450">
        <f>IF(AB45="",0,VLOOKUP(AB45,Tablas!$D$850:$G$939,4,FALSE))</f>
        <v>0</v>
      </c>
      <c r="AR45" s="1196"/>
      <c r="AS45" s="1151"/>
      <c r="AT45" s="3096">
        <v>16</v>
      </c>
      <c r="AU45" s="3096" t="s">
        <v>10452</v>
      </c>
      <c r="AV45" s="3085"/>
      <c r="AW45" s="3084" t="e">
        <f t="shared" ref="AW45:BF45" ca="1" si="10">VLOOKUP(AW30,Tabla_ArmasyEscudos,18,FALSE)</f>
        <v>#N/A</v>
      </c>
      <c r="AX45" s="3084" t="e">
        <f t="shared" ca="1" si="10"/>
        <v>#N/A</v>
      </c>
      <c r="AY45" s="3084" t="e">
        <f t="shared" ca="1" si="10"/>
        <v>#N/A</v>
      </c>
      <c r="AZ45" s="3084" t="e">
        <f t="shared" ca="1" si="10"/>
        <v>#N/A</v>
      </c>
      <c r="BA45" s="3084" t="e">
        <f t="shared" ca="1" si="10"/>
        <v>#N/A</v>
      </c>
      <c r="BB45" s="3084" t="e">
        <f t="shared" ca="1" si="10"/>
        <v>#N/A</v>
      </c>
      <c r="BC45" s="3084" t="e">
        <f t="shared" ca="1" si="10"/>
        <v>#N/A</v>
      </c>
      <c r="BD45" s="3084" t="e">
        <f t="shared" ca="1" si="10"/>
        <v>#N/A</v>
      </c>
      <c r="BE45" s="3084" t="e">
        <f t="shared" ca="1" si="10"/>
        <v>#N/A</v>
      </c>
      <c r="BF45" s="3084" t="e">
        <f t="shared" ca="1" si="10"/>
        <v>#N/A</v>
      </c>
      <c r="BG45" s="3085"/>
    </row>
    <row r="46" spans="1:59" ht="12" customHeight="1" thickBot="1" x14ac:dyDescent="0.25">
      <c r="A46" s="9"/>
      <c r="B46" s="1157"/>
      <c r="C46" s="4244" t="str">
        <f>IF(E42=0,"",E47)</f>
        <v/>
      </c>
      <c r="D46" s="4245"/>
      <c r="E46" s="4245"/>
      <c r="F46" s="4245"/>
      <c r="G46" s="4245"/>
      <c r="H46" s="4245"/>
      <c r="I46" s="1463"/>
      <c r="J46" s="1464" t="str">
        <f>IF(F43=0,IF(J45&lt;=0,"","TA defensor: -"&amp;J45/5),IF(Tamaño&lt;VLOOKUP(F43,Tabla_ArmasEnormes,2,FALSE),"Tam. excesivo",IF(J45&lt;=0,"","TA defensor: -"&amp;J45/5)))</f>
        <v/>
      </c>
      <c r="K46" s="4216" t="str">
        <f ca="1">IFERROR("FUE min: "&amp;VLOOKUP(E42,Tabla_ArmasyEscudos,IF(C42="A dos manos",5,4),FALSE)+IFERROR(VLOOKUP(F43,Tabla_ArmasEnormes,4,FALSE),0),"")</f>
        <v/>
      </c>
      <c r="L46" s="4217"/>
      <c r="M46" s="737"/>
      <c r="N46" s="4244" t="str">
        <f>IF(P42=0,"",P47)</f>
        <v/>
      </c>
      <c r="O46" s="4245"/>
      <c r="P46" s="4245"/>
      <c r="Q46" s="4245"/>
      <c r="R46" s="4245"/>
      <c r="S46" s="4245"/>
      <c r="T46" s="1463"/>
      <c r="U46" s="1464" t="str">
        <f>IF(Q43=0,IF(U45&lt;=0,"","TA defensor: -"&amp;U45/5),IF(Tamaño&lt;VLOOKUP(Q43,Tabla_ArmasEnormes,2,FALSE),"Tam. excesivo",IF(U45&lt;=0,"","TA defensor: -"&amp;U45/5)))</f>
        <v/>
      </c>
      <c r="V46" s="4216" t="str">
        <f ca="1">IFERROR("FUE min: "&amp;VLOOKUP(P42,Tabla_ArmasyEscudos,IF(N42="A dos manos",5,4),FALSE)+IFERROR(VLOOKUP(Q43,Tabla_ArmasEnormes,4,FALSE),0),"")</f>
        <v/>
      </c>
      <c r="W46" s="4217"/>
      <c r="X46" s="737"/>
      <c r="Y46" s="9"/>
      <c r="Z46" s="9"/>
      <c r="AA46" s="1129"/>
      <c r="AB46" s="4249" t="str">
        <f>IF(PDs!$AD74=0,"",PDs!$AD74)</f>
        <v/>
      </c>
      <c r="AC46" s="4250"/>
      <c r="AD46" s="4250"/>
      <c r="AE46" s="4250"/>
      <c r="AF46" s="4246" t="str">
        <f t="shared" si="8"/>
        <v/>
      </c>
      <c r="AG46" s="4247"/>
      <c r="AH46" s="4247"/>
      <c r="AI46" s="4247"/>
      <c r="AJ46" s="4247"/>
      <c r="AK46" s="4247"/>
      <c r="AL46" s="4247"/>
      <c r="AM46" s="4247"/>
      <c r="AN46" s="4247"/>
      <c r="AO46" s="4247"/>
      <c r="AP46" s="4248"/>
      <c r="AQ46" s="1502">
        <f>IF(AB46="",0,VLOOKUP(AB46,Tablas!$D$850:$G$939,4,FALSE))</f>
        <v>0</v>
      </c>
      <c r="AR46" s="1196"/>
      <c r="AS46" s="1151"/>
      <c r="AT46" s="3096">
        <v>17</v>
      </c>
      <c r="AU46" s="3096" t="s">
        <v>8734</v>
      </c>
      <c r="AV46" s="3084"/>
      <c r="AW46" s="3084"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4"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4"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4"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4"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4"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4"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4"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4"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4"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85"/>
    </row>
    <row r="47" spans="1:59"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249" t="str">
        <f>IF(PDs!$AD75=0,"",PDs!$AD75)</f>
        <v/>
      </c>
      <c r="AC47" s="4250"/>
      <c r="AD47" s="4250"/>
      <c r="AE47" s="4250"/>
      <c r="AF47" s="4246" t="str">
        <f t="shared" si="8"/>
        <v/>
      </c>
      <c r="AG47" s="4247"/>
      <c r="AH47" s="4247"/>
      <c r="AI47" s="4247"/>
      <c r="AJ47" s="4247"/>
      <c r="AK47" s="4247"/>
      <c r="AL47" s="4247"/>
      <c r="AM47" s="4247"/>
      <c r="AN47" s="4247"/>
      <c r="AO47" s="4247"/>
      <c r="AP47" s="4248"/>
      <c r="AQ47" s="1502">
        <f>IF(AB47="",0,VLOOKUP(AB47,Tablas!$D$850:$G$939,4,FALSE))</f>
        <v>0</v>
      </c>
      <c r="AR47" s="1196"/>
      <c r="AS47" s="1151"/>
      <c r="AT47" s="3085"/>
      <c r="AU47" s="3096" t="s">
        <v>8707</v>
      </c>
      <c r="AV47" s="3085"/>
      <c r="AW47" s="3116" t="str">
        <f t="shared" ref="AW47:BF47" si="11">AW29&amp;". "&amp;IF(AW30=0,"",AW30)</f>
        <v xml:space="preserve">1. </v>
      </c>
      <c r="AX47" s="3116" t="str">
        <f t="shared" si="11"/>
        <v xml:space="preserve">2. </v>
      </c>
      <c r="AY47" s="3116" t="str">
        <f t="shared" si="11"/>
        <v xml:space="preserve">3. </v>
      </c>
      <c r="AZ47" s="3116" t="str">
        <f t="shared" si="11"/>
        <v xml:space="preserve">4. </v>
      </c>
      <c r="BA47" s="3116" t="str">
        <f t="shared" si="11"/>
        <v xml:space="preserve">5. </v>
      </c>
      <c r="BB47" s="3116" t="str">
        <f t="shared" si="11"/>
        <v xml:space="preserve">6. </v>
      </c>
      <c r="BC47" s="3116" t="str">
        <f t="shared" si="11"/>
        <v xml:space="preserve">7. </v>
      </c>
      <c r="BD47" s="3116" t="str">
        <f t="shared" si="11"/>
        <v xml:space="preserve">8. </v>
      </c>
      <c r="BE47" s="3116" t="str">
        <f t="shared" si="11"/>
        <v xml:space="preserve">9. </v>
      </c>
      <c r="BF47" s="3116" t="str">
        <f t="shared" si="11"/>
        <v xml:space="preserve">10. </v>
      </c>
      <c r="BG47" s="3096" t="s">
        <v>8586</v>
      </c>
    </row>
    <row r="48" spans="1:59"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249" t="str">
        <f>IF(PDs!$AD76=0,"",PDs!$AD76)</f>
        <v/>
      </c>
      <c r="AC48" s="4250"/>
      <c r="AD48" s="4250"/>
      <c r="AE48" s="4250"/>
      <c r="AF48" s="4246" t="str">
        <f t="shared" si="8"/>
        <v/>
      </c>
      <c r="AG48" s="4247"/>
      <c r="AH48" s="4247"/>
      <c r="AI48" s="4247"/>
      <c r="AJ48" s="4247"/>
      <c r="AK48" s="4247"/>
      <c r="AL48" s="4247"/>
      <c r="AM48" s="4247"/>
      <c r="AN48" s="4247"/>
      <c r="AO48" s="4247"/>
      <c r="AP48" s="4248"/>
      <c r="AQ48" s="1502">
        <f>IF(AB48="",0,VLOOKUP(AB48,Tablas!$D$850:$G$939,4,FALSE))</f>
        <v>0</v>
      </c>
      <c r="AR48" s="1196"/>
      <c r="AS48" s="1151"/>
      <c r="AT48" s="3085"/>
      <c r="AU48" s="3096" t="s">
        <v>8704</v>
      </c>
      <c r="AV48" s="3096" t="str">
        <f>Turno_SinArmas_final&amp;" "&amp;IF(AND(Resumen!$AN$29="No",C20="Desarmado"),"Natural",$C$20)</f>
        <v>40 Desarmado</v>
      </c>
      <c r="AW48" s="3096" t="str">
        <f ca="1">IFERROR(IF(AW$38="Torpe","",IF(COUNTIF($AV48:AV48,"")=Tablas!A$1,"",", ")&amp;AW41&amp;" "&amp;AW$30&amp;IF(AW$31&lt;=0,""," +"&amp;AW$31)&amp;IF(AW$39="-",""," y "&amp;INDEX(Tabla_Combate,1,AW$39)&amp;IF(INDEX(Tabla_Combate,2,AW$39)&lt;=0,""," +"&amp;INDEX(Tabla_Combate,2,AW$39)))),"")</f>
        <v/>
      </c>
      <c r="AX48" s="3096" t="str">
        <f ca="1">IFERROR(IF(AX$38="Torpe","",IF(COUNTIF($AV48:AW48,"")=Tablas!B$1,"",", ")&amp;AX41&amp;" "&amp;AX$30&amp;IF(AX$31&lt;=0,""," +"&amp;AX$31)&amp;IF(AX$39="-",""," y "&amp;INDEX(Tabla_Combate,1,AX$39)&amp;IF(INDEX(Tabla_Combate,2,AX$39)&lt;=0,""," +"&amp;INDEX(Tabla_Combate,2,AX$39)))),"")</f>
        <v/>
      </c>
      <c r="AY48" s="3096" t="str">
        <f ca="1">IFERROR(IF(AY$38="Torpe","",IF(COUNTIF($AV48:AX48,"")=Tablas!C$1,"",", ")&amp;AY41&amp;" "&amp;AY$30&amp;IF(AY$31&lt;=0,""," +"&amp;AY$31)&amp;IF(AY$39="-",""," y "&amp;INDEX(Tabla_Combate,1,AY$39)&amp;IF(INDEX(Tabla_Combate,2,AY$39)&lt;=0,""," +"&amp;INDEX(Tabla_Combate,2,AY$39)))),"")</f>
        <v/>
      </c>
      <c r="AZ48" s="3096" t="str">
        <f ca="1">IFERROR(IF(AZ$38="Torpe","",IF(COUNTIF($AV48:AY48,"")=Tablas!D$1,"",", ")&amp;AZ41&amp;" "&amp;AZ$30&amp;IF(AZ$31&lt;=0,""," +"&amp;AZ$31)&amp;IF(AZ$39="-",""," y "&amp;INDEX(Tabla_Combate,1,AZ$39)&amp;IF(INDEX(Tabla_Combate,2,AZ$39)&lt;=0,""," +"&amp;INDEX(Tabla_Combate,2,AZ$39)))),"")</f>
        <v/>
      </c>
      <c r="BA48" s="3096" t="str">
        <f ca="1">IFERROR(IF(BA$38="Torpe","",IF(COUNTIF($AV48:AZ48,"")=Tablas!E$1,"",", ")&amp;BA41&amp;" "&amp;BA$30&amp;IF(BA$31&lt;=0,""," +"&amp;BA$31)&amp;IF(BA$39="-",""," y "&amp;INDEX(Tabla_Combate,1,BA$39)&amp;IF(INDEX(Tabla_Combate,2,BA$39)&lt;=0,""," +"&amp;INDEX(Tabla_Combate,2,BA$39)))),"")</f>
        <v/>
      </c>
      <c r="BB48" s="3096" t="str">
        <f ca="1">IFERROR(IF(BB$38="Torpe","",IF(COUNTIF($AV48:BA48,"")=Tablas!F$1,"",", ")&amp;BB41&amp;" "&amp;BB$30&amp;IF(BB$31&lt;=0,""," +"&amp;BB$31)&amp;IF(BB$39="-",""," y "&amp;INDEX(Tabla_Combate,1,BB$39)&amp;IF(INDEX(Tabla_Combate,2,BB$39)&lt;=0,""," +"&amp;INDEX(Tabla_Combate,2,BB$39)))),"")</f>
        <v/>
      </c>
      <c r="BC48" s="3096" t="str">
        <f ca="1">IFERROR(IF(BC$38="Torpe","",IF(COUNTIF($AV48:BB48,"")=Tablas!G$1,"",", ")&amp;BC41&amp;" "&amp;BC$30&amp;IF(BC$31&lt;=0,""," +"&amp;BC$31)&amp;IF(BC$39="-",""," y "&amp;INDEX(Tabla_Combate,1,BC$39)&amp;IF(INDEX(Tabla_Combate,2,BC$39)&lt;=0,""," +"&amp;INDEX(Tabla_Combate,2,BC$39)))),"")</f>
        <v/>
      </c>
      <c r="BD48" s="3096" t="str">
        <f ca="1">IFERROR(IF(BD$38="Torpe","",IF(COUNTIF($AV48:BC48,"")=Tablas!H$1,"",", ")&amp;BD41&amp;" "&amp;BD$30&amp;IF(BD$31&lt;=0,""," +"&amp;BD$31)&amp;IF(BD$39="-",""," y "&amp;INDEX(Tabla_Combate,1,BD$39)&amp;IF(INDEX(Tabla_Combate,2,BD$39)&lt;=0,""," +"&amp;INDEX(Tabla_Combate,2,BD$39)))),"")</f>
        <v/>
      </c>
      <c r="BE48" s="3096" t="str">
        <f ca="1">IFERROR(IF(BE$38="Torpe","",IF(COUNTIF($AV48:BD48,"")=Tablas!I$1,"",", ")&amp;BE41&amp;" "&amp;BE$30&amp;IF(BE$31&lt;=0,""," +"&amp;BE$31)&amp;IF(BE$39="-",""," y "&amp;INDEX(Tabla_Combate,1,BE$39)&amp;IF(INDEX(Tabla_Combate,2,BE$39)&lt;=0,""," +"&amp;INDEX(Tabla_Combate,2,BE$39)))),"")</f>
        <v/>
      </c>
      <c r="BF48" s="3096" t="str">
        <f ca="1">IFERROR(IF(BF$38="Torpe","",IF(COUNTIF($AV48:BE48,"")=Tablas!J$1,"",", ")&amp;BF41&amp;" "&amp;BF$30&amp;IF(BF$31&lt;=0,""," +"&amp;BF$31)&amp;IF(BF$39="-",""," y "&amp;INDEX(Tabla_Combate,1,BF$39)&amp;IF(INDEX(Tabla_Combate,2,BF$39)&lt;=0,""," +"&amp;INDEX(Tabla_Combate,2,BF$39)))),"")</f>
        <v/>
      </c>
      <c r="BG48" s="3096" t="str">
        <f>IF(Personalización!AT3&lt;&gt;"",IF(COUNTIF(Combate!AV48:BF48,"?*")&gt;0,", ","")&amp;IF(Personalización!AT3="","",Personalización!AT3),"")</f>
        <v/>
      </c>
    </row>
    <row r="49" spans="1:59" ht="12" customHeight="1" x14ac:dyDescent="0.2">
      <c r="A49" s="9"/>
      <c r="B49" s="1157"/>
      <c r="C49" s="4234" t="s">
        <v>8666</v>
      </c>
      <c r="D49" s="4235"/>
      <c r="E49" s="4236"/>
      <c r="F49" s="4237"/>
      <c r="G49" s="4238"/>
      <c r="H49" s="1777" t="s">
        <v>1392</v>
      </c>
      <c r="I49" s="1778" t="s">
        <v>1563</v>
      </c>
      <c r="J49" s="4239" t="s">
        <v>1564</v>
      </c>
      <c r="K49" s="4239"/>
      <c r="L49" s="1779" t="s">
        <v>1565</v>
      </c>
      <c r="M49" s="1498" t="str">
        <f ca="1">IF(C49=INDEX(Lista_ManosArma,2),Lista_ProyA2manos,Lista_ProyA1Mano)</f>
        <v>Tablas!$AP$639:$AP$654</v>
      </c>
      <c r="N49" s="4234" t="s">
        <v>8666</v>
      </c>
      <c r="O49" s="4235"/>
      <c r="P49" s="4236"/>
      <c r="Q49" s="4237"/>
      <c r="R49" s="4238"/>
      <c r="S49" s="1777" t="s">
        <v>1392</v>
      </c>
      <c r="T49" s="1778" t="s">
        <v>1563</v>
      </c>
      <c r="U49" s="4239" t="s">
        <v>1564</v>
      </c>
      <c r="V49" s="4239"/>
      <c r="W49" s="1779" t="s">
        <v>1565</v>
      </c>
      <c r="X49" s="1498" t="str">
        <f ca="1">IF(N49=INDEX(Lista_ManosArma,2),Lista_ProyA2manos,Lista_ProyA1Mano)</f>
        <v>Tablas!$AP$639:$AP$654</v>
      </c>
      <c r="Y49" s="9"/>
      <c r="Z49" s="9"/>
      <c r="AA49" s="1129"/>
      <c r="AB49" s="4251" t="str">
        <f>IF(PDs!$AD77=0,"",PDs!$AD77)</f>
        <v/>
      </c>
      <c r="AC49" s="4252"/>
      <c r="AD49" s="4252"/>
      <c r="AE49" s="4252"/>
      <c r="AF49" s="4253" t="str">
        <f t="shared" si="8"/>
        <v/>
      </c>
      <c r="AG49" s="4254"/>
      <c r="AH49" s="4254"/>
      <c r="AI49" s="4254"/>
      <c r="AJ49" s="4254"/>
      <c r="AK49" s="4254"/>
      <c r="AL49" s="4254"/>
      <c r="AM49" s="4254"/>
      <c r="AN49" s="4254"/>
      <c r="AO49" s="4254"/>
      <c r="AP49" s="4255"/>
      <c r="AQ49" s="1502">
        <f>IF(AB49="",0,VLOOKUP(AB49,Tablas!$D$850:$G$939,4,FALSE))</f>
        <v>0</v>
      </c>
      <c r="AR49" s="1196"/>
      <c r="AS49" s="1151"/>
      <c r="AT49" s="3085"/>
      <c r="AU49" s="3096" t="s">
        <v>8705</v>
      </c>
      <c r="AV49" s="3096" t="str">
        <f>IF(AND(Resumen!$AN$29="No",C20="Desarmado"),"",HA_SinArmas_final&amp;" "&amp;$C$20)</f>
        <v>0 Desarmado</v>
      </c>
      <c r="AW49" s="3096" t="str">
        <f ca="1">IFERROR(IF(AW$38="Torpe","",IF(COUNTIF($AV49:AV49,"")=Tablas!A$1,"",", ")&amp;AW42&amp;" "&amp;AW$30&amp;IF(AW$31&lt;=0,""," +"&amp;AW$31)&amp;IF(AW$39="-",""," y "&amp;INDEX(Tabla_Combate,$AT$42,AW$39)&amp;" "&amp;INDEX(Tabla_Combate,1,AW$39)&amp;IF(INDEX(Tabla_Combate,2,AW$39)&lt;=0,""," +"&amp;INDEX(Tabla_Combate,2,AW$39)))),"")</f>
        <v/>
      </c>
      <c r="AX49" s="3096" t="str">
        <f ca="1">IFERROR(IF(AX$38="Torpe","",IF(COUNTIF($AV49:AW49,"")=Tablas!B$1,"",", ")&amp;AX42&amp;" "&amp;AX$30&amp;IF(AX$31&lt;=0,""," +"&amp;AX$31)&amp;IF(AX$39="-",""," y "&amp;INDEX(Tabla_Combate,$AT$42,AX$39)&amp;" "&amp;INDEX(Tabla_Combate,1,AX$39)&amp;IF(INDEX(Tabla_Combate,2,AX$39)&lt;=0,""," +"&amp;INDEX(Tabla_Combate,2,AX$39)))),"")</f>
        <v/>
      </c>
      <c r="AY49" s="3096" t="str">
        <f ca="1">IFERROR(IF(AY$38="Torpe","",IF(COUNTIF($AV49:AX49,"")=Tablas!C$1,"",", ")&amp;AY42&amp;" "&amp;AY$30&amp;IF(AY$31&lt;=0,""," +"&amp;AY$31)&amp;IF(AY$39="-",""," y "&amp;INDEX(Tabla_Combate,$AT$42,AY$39)&amp;" "&amp;INDEX(Tabla_Combate,1,AY$39)&amp;IF(INDEX(Tabla_Combate,2,AY$39)&lt;=0,""," +"&amp;INDEX(Tabla_Combate,2,AY$39)))),"")</f>
        <v/>
      </c>
      <c r="AZ49" s="3096" t="str">
        <f ca="1">IFERROR(IF(AZ$38="Torpe","",IF(COUNTIF($AV49:AY49,"")=Tablas!D$1,"",", ")&amp;AZ42&amp;" "&amp;AZ$30&amp;IF(AZ$31&lt;=0,""," +"&amp;AZ$31)&amp;IF(AZ$39="-",""," y "&amp;INDEX(Tabla_Combate,$AT$42,AZ$39)&amp;" "&amp;INDEX(Tabla_Combate,1,AZ$39)&amp;IF(INDEX(Tabla_Combate,2,AZ$39)&lt;=0,""," +"&amp;INDEX(Tabla_Combate,2,AZ$39)))),"")</f>
        <v/>
      </c>
      <c r="BA49" s="3096" t="str">
        <f ca="1">IFERROR(IF(BA$38="Torpe","",IF(COUNTIF($AV49:AZ49,"")=Tablas!E$1,"",", ")&amp;BA42&amp;" "&amp;BA$30&amp;IF(BA$31&lt;=0,""," +"&amp;BA$31)&amp;IF(BA$39="-",""," y "&amp;INDEX(Tabla_Combate,$AT$42,BA$39)&amp;" "&amp;INDEX(Tabla_Combate,1,BA$39)&amp;IF(INDEX(Tabla_Combate,2,BA$39)&lt;=0,""," +"&amp;INDEX(Tabla_Combate,2,BA$39)))),"")</f>
        <v/>
      </c>
      <c r="BB49" s="3096" t="str">
        <f ca="1">IFERROR(IF(BB$38="Torpe","",IF(COUNTIF($AV49:BA49,"")=Tablas!F$1,"",", ")&amp;BB42&amp;" "&amp;BB$30&amp;IF(BB$31&lt;=0,""," +"&amp;BB$31)&amp;IF(BB$39="-",""," y "&amp;INDEX(Tabla_Combate,$AT$42,BB$39)&amp;" "&amp;INDEX(Tabla_Combate,1,BB$39)&amp;IF(INDEX(Tabla_Combate,2,BB$39)&lt;=0,""," +"&amp;INDEX(Tabla_Combate,2,BB$39)))),"")</f>
        <v/>
      </c>
      <c r="BC49" s="3096" t="str">
        <f ca="1">IFERROR(IF(BC$38="Torpe","",IF(COUNTIF($AV49:BB49,"")=Tablas!G$1,"",", ")&amp;BC42&amp;" "&amp;BC$30&amp;IF(BC$31&lt;=0,""," +"&amp;BC$31)&amp;IF(BC$39="-",""," y "&amp;INDEX(Tabla_Combate,$AT$42,BC$39)&amp;" "&amp;INDEX(Tabla_Combate,1,BC$39)&amp;IF(INDEX(Tabla_Combate,2,BC$39)&lt;=0,""," +"&amp;INDEX(Tabla_Combate,2,BC$39)))),"")</f>
        <v/>
      </c>
      <c r="BD49" s="3096" t="str">
        <f ca="1">IFERROR(IF(BD$38="Torpe","",IF(COUNTIF($AV49:BC49,"")=Tablas!H$1,"",", ")&amp;BD42&amp;" "&amp;BD$30&amp;IF(BD$31&lt;=0,""," +"&amp;BD$31)&amp;IF(BD$39="-",""," y "&amp;INDEX(Tabla_Combate,$AT$42,BD$39)&amp;" "&amp;INDEX(Tabla_Combate,1,BD$39)&amp;IF(INDEX(Tabla_Combate,2,BD$39)&lt;=0,""," +"&amp;INDEX(Tabla_Combate,2,BD$39)))),"")</f>
        <v/>
      </c>
      <c r="BE49" s="3096" t="str">
        <f ca="1">IFERROR(IF(BE$38="Torpe","",IF(COUNTIF($AV49:BD49,"")=Tablas!I$1,"",", ")&amp;BE42&amp;" "&amp;BE$30&amp;IF(BE$31&lt;=0,""," +"&amp;BE$31)&amp;IF(BE$39="-",""," y "&amp;INDEX(Tabla_Combate,$AT$42,BE$39)&amp;" "&amp;INDEX(Tabla_Combate,1,BE$39)&amp;IF(INDEX(Tabla_Combate,2,BE$39)&lt;=0,""," +"&amp;INDEX(Tabla_Combate,2,BE$39)))),"")</f>
        <v/>
      </c>
      <c r="BF49" s="3096" t="str">
        <f ca="1">IFERROR(IF(BF$38="Torpe","",IF(COUNTIF($AV49:BE49,"")=Tablas!J$1,"",", ")&amp;BF42&amp;" "&amp;BF$30&amp;IF(BF$31&lt;=0,""," +"&amp;BF$31)&amp;IF(BF$39="-",""," y "&amp;INDEX(Tabla_Combate,$AT$42,BF$39)&amp;" "&amp;INDEX(Tabla_Combate,1,BF$39)&amp;IF(INDEX(Tabla_Combate,2,BF$39)&lt;=0,""," +"&amp;INDEX(Tabla_Combate,2,BF$39)))),"")</f>
        <v/>
      </c>
      <c r="BG49" s="3096" t="str">
        <f>IF(Personalización!AT4&lt;&gt;"",IF(COUNTIF(Combate!AV49:BF49,"?*")&gt;0,", ","")&amp;IF(Personalización!AT4="","",Personalización!AT4),"")</f>
        <v/>
      </c>
    </row>
    <row r="50" spans="1:59" ht="12" customHeight="1" x14ac:dyDescent="0.2">
      <c r="A50" s="9"/>
      <c r="B50" s="1157"/>
      <c r="C50" s="4240" t="s">
        <v>1579</v>
      </c>
      <c r="D50" s="4241"/>
      <c r="E50" s="4214"/>
      <c r="F50" s="4214"/>
      <c r="G50" s="4215"/>
      <c r="H50" s="4223">
        <f ca="1">IFERROR(INDEX(Tabla_Combate,$AT$41,LEFT(C48,LEN(C48)-1)),0)</f>
        <v>0</v>
      </c>
      <c r="I50" s="4220">
        <f ca="1">IFERROR(INDEX(Tabla_Combate,$AT$42,LEFT(C48,LEN(C48)-1)),0)</f>
        <v>0</v>
      </c>
      <c r="J50" s="4199">
        <f ca="1">IF(K50="-",0,IF(K50="Par",INDEX(Tabla_Combate,$AT$43,LEFT(C48,LEN(C48)-1)),INDEX(Tabla_Combate,$AT$44,LEFT(C48,LEN(C48)-1))))</f>
        <v>0</v>
      </c>
      <c r="K50" s="3760" t="str">
        <f ca="1">IFERROR(IF(INDEX(Tabla_Combate,$AT$43,LEFT(C48,LEN(C48)-1))&gt;INDEX(Tabla_Combate,$AT$44,LEFT(C48,LEN(C48)-1)),"Par","Esq"),"-")</f>
        <v>-</v>
      </c>
      <c r="L50" s="4208">
        <f ca="1">IFERROR(INDEX(Tabla_Combate,$AT$46,LEFT(C48,LEN(C48)-1)),0)</f>
        <v>0</v>
      </c>
      <c r="M50" s="737"/>
      <c r="N50" s="4240" t="s">
        <v>1579</v>
      </c>
      <c r="O50" s="4241"/>
      <c r="P50" s="4214"/>
      <c r="Q50" s="4214"/>
      <c r="R50" s="4215"/>
      <c r="S50" s="4223">
        <f ca="1">IFERROR(INDEX(Tabla_Combate,$AT$41,LEFT(N48,LEN(N48)-1)),0)</f>
        <v>0</v>
      </c>
      <c r="T50" s="4220">
        <f ca="1">IFERROR(INDEX(Tabla_Combate,$AT$42,LEFT(N48,LEN(N48)-1)),0)</f>
        <v>0</v>
      </c>
      <c r="U50" s="4199">
        <f ca="1">IF(V50="-",0,IF(V50="Par",INDEX(Tabla_Combate,$AT$43,LEFT(N48,LEN(N48)-1)),INDEX(Tabla_Combate,$AT$44,LEFT(N48,LEN(N48)-1))))</f>
        <v>0</v>
      </c>
      <c r="V50" s="3760" t="str">
        <f ca="1">IFERROR(IF(INDEX(Tabla_Combate,$AT$43,LEFT(N48,LEN(N48)-1))&gt;INDEX(Tabla_Combate,$AT$44,LEFT(N48,LEN(N48)-1)),"Par","Esq"),"-")</f>
        <v>-</v>
      </c>
      <c r="W50" s="4208">
        <f ca="1">IFERROR(INDEX(Tabla_Combate,$AT$46,LEFT(N48,LEN(N48)-1)),0)</f>
        <v>0</v>
      </c>
      <c r="X50" s="737"/>
      <c r="Y50" s="9"/>
      <c r="Z50" s="9"/>
      <c r="AA50" s="1129"/>
      <c r="AB50" s="4262" t="str">
        <f>IF(PDs!$E78=0,"",PDs!$E78)</f>
        <v/>
      </c>
      <c r="AC50" s="4262"/>
      <c r="AD50" s="4262"/>
      <c r="AE50" s="4262"/>
      <c r="AF50" s="4262"/>
      <c r="AG50" s="4262"/>
      <c r="AH50" s="4259" t="str">
        <f>IF($AB50="","",IF(PDs!$V78="FALTAN REQUISITOS",PDs!$V78,VLOOKUP(AB50,Tabla_AM_Armas,5,FALSE)))</f>
        <v/>
      </c>
      <c r="AI50" s="4259"/>
      <c r="AJ50" s="4259"/>
      <c r="AK50" s="4259"/>
      <c r="AL50" s="4259"/>
      <c r="AM50" s="4259"/>
      <c r="AN50" s="4259"/>
      <c r="AO50" s="4259"/>
      <c r="AP50" s="4259"/>
      <c r="AQ50" s="4259"/>
      <c r="AR50" s="1196"/>
      <c r="AS50" s="1151"/>
      <c r="AT50" s="3085"/>
      <c r="AU50" s="3096" t="s">
        <v>8703</v>
      </c>
      <c r="AV50" s="3096" t="str">
        <f>IF(AV$52="Par",AV$53,IF(AV$52="Esq",AV$54&amp;AW54&amp;AX54&amp;AY54&amp;AZ54&amp;BA54&amp;BB54&amp;BC54&amp;BD54&amp;BE54&amp;BF54&amp;IF(COUNTIF(AW54:BF54,"")=10,"",")"),""))</f>
        <v>0 Desarmado (Parada)</v>
      </c>
      <c r="AW50" s="3096" t="str">
        <f ca="1">IF(AW$52="Par",IF(COUNTIF($AV$53:AV$53,AW$53)&gt;0,"",AW$53),"")</f>
        <v/>
      </c>
      <c r="AX50" s="3096" t="str">
        <f ca="1">IF(AX$52="Par",IF(COUNTIF($AV$53:AW$53,AX$53)&gt;0,"",AX$53),"")</f>
        <v/>
      </c>
      <c r="AY50" s="3096" t="str">
        <f ca="1">IF(AY$52="Par",IF(COUNTIF($AV$53:AX$53,AY$53)&gt;0,"",AY$53),"")</f>
        <v/>
      </c>
      <c r="AZ50" s="3096" t="str">
        <f ca="1">IF(AZ$52="Par",IF(COUNTIF($AV$53:AY$53,AZ$53)&gt;0,"",AZ$53),"")</f>
        <v/>
      </c>
      <c r="BA50" s="3096" t="str">
        <f ca="1">IF(BA$52="Par",IF(COUNTIF($AV$53:AZ$53,BA$53)&gt;0,"",BA$53),"")</f>
        <v/>
      </c>
      <c r="BB50" s="3096" t="str">
        <f ca="1">IF(BB$52="Par",IF(COUNTIF($AV$53:BA$53,BB$53)&gt;0,"",BB$53),"")</f>
        <v/>
      </c>
      <c r="BC50" s="3096" t="str">
        <f ca="1">IF(BC$52="Par",IF(COUNTIF($AV$53:BB$53,BC$53)&gt;0,"",BC$53),"")</f>
        <v/>
      </c>
      <c r="BD50" s="3096" t="str">
        <f ca="1">IF(BD$52="Par",IF(COUNTIF($AV$53:BC$53,BD$53)&gt;0,"",BD$53),"")</f>
        <v/>
      </c>
      <c r="BE50" s="3096" t="str">
        <f ca="1">IF(BE$52="Par",IF(COUNTIF($AV$53:BD$53,BE$53)&gt;0,"",BE$53),"")</f>
        <v/>
      </c>
      <c r="BF50" s="3096" t="str">
        <f ca="1">IF(BF$52="Par",IF(COUNTIF($AV$53:BE$53,BF$53)&gt;0,"",BF$53),"")</f>
        <v/>
      </c>
      <c r="BG50" s="3096" t="str">
        <f>IF(Personalización!AT5&lt;&gt;"",IF(COUNTIF(Combate!AV50:BF50,"?*")&gt;0,", ","")&amp;IF(Personalización!AT5="","",Personalización!AT5),"")</f>
        <v/>
      </c>
    </row>
    <row r="51" spans="1:59" ht="12" customHeight="1" x14ac:dyDescent="0.2">
      <c r="A51" s="9"/>
      <c r="B51" s="1157"/>
      <c r="C51" s="4210" t="str">
        <f>IF(E49=0,"",VLOOKUP(E49,Tabla_ArmasyEscudos,9,FALSE))</f>
        <v/>
      </c>
      <c r="D51" s="4211"/>
      <c r="E51" s="1780" t="s">
        <v>1575</v>
      </c>
      <c r="F51" s="4212" t="s">
        <v>1576</v>
      </c>
      <c r="G51" s="4213"/>
      <c r="H51" s="4223"/>
      <c r="I51" s="4221"/>
      <c r="J51" s="4200"/>
      <c r="K51" s="4222"/>
      <c r="L51" s="4209"/>
      <c r="M51" s="737"/>
      <c r="N51" s="4210" t="str">
        <f>IF(P49=0,"",VLOOKUP(P49,Tabla_ArmasyEscudos,9,FALSE))</f>
        <v/>
      </c>
      <c r="O51" s="4211"/>
      <c r="P51" s="1780" t="s">
        <v>1575</v>
      </c>
      <c r="Q51" s="4212" t="s">
        <v>1576</v>
      </c>
      <c r="R51" s="4213"/>
      <c r="S51" s="4223"/>
      <c r="T51" s="4221"/>
      <c r="U51" s="4200"/>
      <c r="V51" s="4222"/>
      <c r="W51" s="4209"/>
      <c r="X51" s="737"/>
      <c r="Y51" s="9"/>
      <c r="Z51" s="9"/>
      <c r="AA51" s="1129"/>
      <c r="AB51" s="4263" t="str">
        <f>IF(PDs!$E79=0,"",PDs!$E79)</f>
        <v/>
      </c>
      <c r="AC51" s="4263"/>
      <c r="AD51" s="4263"/>
      <c r="AE51" s="4263"/>
      <c r="AF51" s="4263"/>
      <c r="AG51" s="4263"/>
      <c r="AH51" s="4261" t="str">
        <f>IF($AB51="","",IF(PDs!$V79="FALTAN REQUISITOS",PDs!$V79,VLOOKUP(AB51,Tabla_AM_Armas,5,FALSE)))</f>
        <v/>
      </c>
      <c r="AI51" s="4261"/>
      <c r="AJ51" s="4261"/>
      <c r="AK51" s="4261"/>
      <c r="AL51" s="4261"/>
      <c r="AM51" s="4261"/>
      <c r="AN51" s="4261"/>
      <c r="AO51" s="4261"/>
      <c r="AP51" s="4261"/>
      <c r="AQ51" s="4261"/>
      <c r="AR51" s="1196"/>
      <c r="AS51" s="1151"/>
      <c r="AT51" s="3085"/>
      <c r="AU51" s="3096" t="s">
        <v>8706</v>
      </c>
      <c r="AV51" s="3096" t="str">
        <f>IF(AND(Resumen!$AN$29="No",C20="Desarmado"),"",L21&amp;" "&amp;$C$20&amp;" ("&amp;C23&amp;IF(N21="","",", "&amp;N21)&amp;IF(N24="",""," / "&amp;N24)&amp;")")</f>
        <v>5 Desarmado (CON)</v>
      </c>
      <c r="AW51" s="3096"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6"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6"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6"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6"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6"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6"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6"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6"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6"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6" t="str">
        <f>IF(Personalización!AT6&lt;&gt;"",IF(COUNTIF(Combate!AV51:BF51,"?*")&gt;0,", ","")&amp;IF(Personalización!AT6="","",Personalización!AT6),"")</f>
        <v/>
      </c>
    </row>
    <row r="52" spans="1:59" ht="12" customHeight="1" thickBot="1" x14ac:dyDescent="0.25">
      <c r="A52" s="9"/>
      <c r="B52" s="1157"/>
      <c r="C52" s="1400" t="s">
        <v>1567</v>
      </c>
      <c r="D52" s="1401" t="s">
        <v>1568</v>
      </c>
      <c r="E52" s="1401" t="s">
        <v>1556</v>
      </c>
      <c r="F52" s="1401" t="s">
        <v>1569</v>
      </c>
      <c r="G52" s="277" t="s">
        <v>1557</v>
      </c>
      <c r="H52" s="4218" t="s">
        <v>8668</v>
      </c>
      <c r="I52" s="4219"/>
      <c r="J52" s="1505"/>
      <c r="K52" s="4232" t="str">
        <f>IF(Tablas!$G$507&gt;0,"-50 a puntería","")</f>
        <v/>
      </c>
      <c r="L52" s="4233"/>
      <c r="M52" s="737"/>
      <c r="N52" s="1400" t="s">
        <v>1567</v>
      </c>
      <c r="O52" s="1401" t="s">
        <v>1568</v>
      </c>
      <c r="P52" s="1401" t="s">
        <v>1556</v>
      </c>
      <c r="Q52" s="1401" t="s">
        <v>1569</v>
      </c>
      <c r="R52" s="277" t="s">
        <v>1557</v>
      </c>
      <c r="S52" s="4218" t="s">
        <v>8668</v>
      </c>
      <c r="T52" s="4219"/>
      <c r="U52" s="1505"/>
      <c r="V52" s="4232" t="str">
        <f>IF(Tablas!$G$507&gt;0,"-50 a puntería","")</f>
        <v/>
      </c>
      <c r="W52" s="4233"/>
      <c r="X52" s="737"/>
      <c r="Y52" s="9"/>
      <c r="Z52" s="9"/>
      <c r="AA52" s="1129"/>
      <c r="AB52" s="4260" t="str">
        <f>IF(PDs!$E80=0,"",PDs!$E80)</f>
        <v/>
      </c>
      <c r="AC52" s="4260"/>
      <c r="AD52" s="4260"/>
      <c r="AE52" s="4260"/>
      <c r="AF52" s="4260"/>
      <c r="AG52" s="4260"/>
      <c r="AH52" s="4256" t="str">
        <f>IF($AB52="","",IF(PDs!$V80="FALTAN REQUISITOS",PDs!$V80,VLOOKUP(AB52,Tabla_AM_Armas,5,FALSE)))</f>
        <v/>
      </c>
      <c r="AI52" s="4256"/>
      <c r="AJ52" s="4256"/>
      <c r="AK52" s="4256"/>
      <c r="AL52" s="4256"/>
      <c r="AM52" s="4256"/>
      <c r="AN52" s="4256"/>
      <c r="AO52" s="4256"/>
      <c r="AP52" s="4256"/>
      <c r="AQ52" s="4256"/>
      <c r="AR52" s="1196"/>
      <c r="AS52" s="1151"/>
      <c r="AT52" s="3085"/>
      <c r="AU52" s="3096" t="s">
        <v>10080</v>
      </c>
      <c r="AV52" s="3096" t="str">
        <f>Par_Esq</f>
        <v>Par</v>
      </c>
      <c r="AW52" s="3096" t="str">
        <f ca="1">$K$29</f>
        <v>-</v>
      </c>
      <c r="AX52" s="3096" t="str">
        <f ca="1">$V$29</f>
        <v>-</v>
      </c>
      <c r="AY52" s="3096" t="str">
        <f ca="1">$K$36</f>
        <v>-</v>
      </c>
      <c r="AZ52" s="3096" t="str">
        <f ca="1">$V$36</f>
        <v>-</v>
      </c>
      <c r="BA52" s="3096" t="str">
        <f ca="1">$K$43</f>
        <v>-</v>
      </c>
      <c r="BB52" s="3096" t="str">
        <f ca="1">$V$43</f>
        <v>-</v>
      </c>
      <c r="BC52" s="3096" t="str">
        <f ca="1">$K$50</f>
        <v>-</v>
      </c>
      <c r="BD52" s="3096" t="str">
        <f ca="1">$V$50</f>
        <v>-</v>
      </c>
      <c r="BE52" s="3096" t="str">
        <f ca="1">$K$59</f>
        <v>-</v>
      </c>
      <c r="BF52" s="3096" t="str">
        <f ca="1">$V$59</f>
        <v>-</v>
      </c>
      <c r="BG52" s="3085"/>
    </row>
    <row r="53" spans="1:59"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227" t="s">
        <v>8682</v>
      </c>
      <c r="I53" s="4228"/>
      <c r="J53" s="1504"/>
      <c r="K53" s="4203" t="str">
        <f>IF(F51=0,IF(J53&lt;=0,"","TA defensor: -"&amp;J53/5),IF(Tamaño&lt;VLOOKUP(F51,Tabla_ArmasEnormes,2,FALSE),"Tam. excesivo",IF(J53&lt;=0,"","TA defensor: -"&amp;J53/5)))</f>
        <v/>
      </c>
      <c r="L53" s="4204"/>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227" t="s">
        <v>8682</v>
      </c>
      <c r="T53" s="4228"/>
      <c r="U53" s="1504"/>
      <c r="V53" s="4203" t="str">
        <f>IF(Q51=0,IF(U53&lt;=0,"","TA defensor: -"&amp;U53/5),IF(Tamaño&lt;VLOOKUP(Q51,Tabla_ArmasEnormes,2,FALSE),"Tam. excesivo",IF(U53&lt;=0,"","TA defensor: -"&amp;U53/5)))</f>
        <v/>
      </c>
      <c r="W53" s="4204"/>
      <c r="X53" s="737"/>
      <c r="Y53" s="9"/>
      <c r="Z53" s="9"/>
      <c r="AA53" s="1129"/>
      <c r="AM53" s="21"/>
      <c r="AN53" s="21"/>
      <c r="AO53" s="21"/>
      <c r="AP53" s="21"/>
      <c r="AQ53" s="21"/>
      <c r="AR53" s="1196"/>
      <c r="AS53" s="1151"/>
      <c r="AT53" s="3085"/>
      <c r="AU53" s="3096" t="s">
        <v>10081</v>
      </c>
      <c r="AV53" s="3096" t="str">
        <f>IF(AND(Resumen!$AN$29="No",C20="Desarmado"),"",HD_SinArmas_final&amp;" "&amp;IF(C20="Artes Marciales","Artes Marciales (Parada)","Desarmado (Parada)"))</f>
        <v>0 Desarmado (Parada)</v>
      </c>
      <c r="AW53" s="3096" t="str">
        <f ca="1">IFERROR(IF(AW$38="Torpe","",IF(COUNTIF($AV49:AV49,"")=Tablas!A$1,"",", ")&amp;AW43&amp;" "&amp;AW$30&amp;IF(AW$31&lt;=0,""," +"&amp;AW$31)&amp;IF(AW$39="-",""," y "&amp;INDEX(Tabla_Combate,$AT$43,AW$39)&amp;" "&amp;INDEX(Tabla_Combate,1,AW$39)&amp;IF(INDEX(Tabla_Combate,2,AW$39)&lt;=0,""," +"&amp;INDEX(Tabla_Combate,2,AW$39)))),"")</f>
        <v/>
      </c>
      <c r="AX53" s="3096" t="str">
        <f ca="1">IFERROR(IF(AX$38="Torpe","",IF(COUNTIF($AV49:AW49,"")=Tablas!B$1,"",", ")&amp;AX43&amp;" "&amp;AX$30&amp;IF(AX$31&lt;=0,""," +"&amp;AX$31)&amp;IF(AX$39="-",""," y "&amp;INDEX(Tabla_Combate,$AT$43,AX$39)&amp;" "&amp;INDEX(Tabla_Combate,1,AX$39)&amp;IF(INDEX(Tabla_Combate,2,AX$39)&lt;=0,""," +"&amp;INDEX(Tabla_Combate,2,AX$39)))),"")</f>
        <v/>
      </c>
      <c r="AY53" s="3096" t="str">
        <f ca="1">IFERROR(IF(AY$38="Torpe","",IF(COUNTIF($AV49:AX49,"")=Tablas!C$1,"",", ")&amp;AY43&amp;" "&amp;AY$30&amp;IF(AY$31&lt;=0,""," +"&amp;AY$31)&amp;IF(AY$39="-",""," y "&amp;INDEX(Tabla_Combate,$AT$43,AY$39)&amp;" "&amp;INDEX(Tabla_Combate,1,AY$39)&amp;IF(INDEX(Tabla_Combate,2,AY$39)&lt;=0,""," +"&amp;INDEX(Tabla_Combate,2,AY$39)))),"")</f>
        <v/>
      </c>
      <c r="AZ53" s="3096" t="str">
        <f ca="1">IFERROR(IF(AZ$38="Torpe","",IF(COUNTIF($AV49:AY49,"")=Tablas!D$1,"",", ")&amp;AZ43&amp;" "&amp;AZ$30&amp;IF(AZ$31&lt;=0,""," +"&amp;AZ$31)&amp;IF(AZ$39="-",""," y "&amp;INDEX(Tabla_Combate,$AT$43,AZ$39)&amp;" "&amp;INDEX(Tabla_Combate,1,AZ$39)&amp;IF(INDEX(Tabla_Combate,2,AZ$39)&lt;=0,""," +"&amp;INDEX(Tabla_Combate,2,AZ$39)))),"")</f>
        <v/>
      </c>
      <c r="BA53" s="3096" t="str">
        <f ca="1">IFERROR(IF(BA$38="Torpe","",IF(COUNTIF($AV49:AZ49,"")=Tablas!E$1,"",", ")&amp;BA43&amp;" "&amp;BA$30&amp;IF(BA$31&lt;=0,""," +"&amp;BA$31)&amp;IF(BA$39="-",""," y "&amp;INDEX(Tabla_Combate,$AT$43,BA$39)&amp;" "&amp;INDEX(Tabla_Combate,1,BA$39)&amp;IF(INDEX(Tabla_Combate,2,BA$39)&lt;=0,""," +"&amp;INDEX(Tabla_Combate,2,BA$39)))),"")</f>
        <v/>
      </c>
      <c r="BB53" s="3096" t="str">
        <f ca="1">IFERROR(IF(BB$38="Torpe","",IF(COUNTIF($AV49:BA49,"")=Tablas!F$1,"",", ")&amp;BB43&amp;" "&amp;BB$30&amp;IF(BB$31&lt;=0,""," +"&amp;BB$31)&amp;IF(BB$39="-",""," y "&amp;INDEX(Tabla_Combate,$AT$43,BB$39)&amp;" "&amp;INDEX(Tabla_Combate,1,BB$39)&amp;IF(INDEX(Tabla_Combate,2,BB$39)&lt;=0,""," +"&amp;INDEX(Tabla_Combate,2,BB$39)))),"")</f>
        <v/>
      </c>
      <c r="BC53" s="3096" t="str">
        <f ca="1">IFERROR(IF(BC$38="Torpe","",IF(COUNTIF($AV49:BB49,"")=Tablas!G$1,"",", ")&amp;BC43&amp;" "&amp;BC$30&amp;IF(BC$31&lt;=0,""," +"&amp;BC$31)&amp;IF(BC$39="-",""," y "&amp;INDEX(Tabla_Combate,$AT$43,BC$39)&amp;" "&amp;INDEX(Tabla_Combate,1,BC$39)&amp;IF(INDEX(Tabla_Combate,2,BC$39)&lt;=0,""," +"&amp;INDEX(Tabla_Combate,2,BC$39)))),"")</f>
        <v/>
      </c>
      <c r="BD53" s="3096" t="str">
        <f ca="1">IFERROR(IF(BD$38="Torpe","",IF(COUNTIF($AV49:BC49,"")=Tablas!H$1,"",", ")&amp;BD43&amp;" "&amp;BD$30&amp;IF(BD$31&lt;=0,""," +"&amp;BD$31)&amp;IF(BD$39="-",""," y "&amp;INDEX(Tabla_Combate,$AT$43,BD$39)&amp;" "&amp;INDEX(Tabla_Combate,1,BD$39)&amp;IF(INDEX(Tabla_Combate,2,BD$39)&lt;=0,""," +"&amp;INDEX(Tabla_Combate,2,BD$39)))),"")</f>
        <v/>
      </c>
      <c r="BE53" s="3096" t="str">
        <f ca="1">IFERROR(IF(BE$38="Torpe","",IF(COUNTIF($AV49:BD49,"")=Tablas!I$1,"",", ")&amp;BE43&amp;" "&amp;BE$30&amp;IF(BE$31&lt;=0,""," +"&amp;BE$31)&amp;IF(BE$39="-",""," y "&amp;INDEX(Tabla_Combate,$AT$43,BE$39)&amp;" "&amp;INDEX(Tabla_Combate,1,BE$39)&amp;IF(INDEX(Tabla_Combate,2,BE$39)&lt;=0,""," +"&amp;INDEX(Tabla_Combate,2,BE$39)))),"")</f>
        <v/>
      </c>
      <c r="BF53" s="3096" t="str">
        <f ca="1">IFERROR(IF(BF$38="Torpe","",IF(COUNTIF($AV49:BE49,"")=Tablas!J$1,"",", ")&amp;BF43&amp;" "&amp;BF$30&amp;IF(BF$31&lt;=0,""," +"&amp;BF$31)&amp;IF(BF$39="-",""," y "&amp;INDEX(Tabla_Combate,$AT$43,BF$39)&amp;" "&amp;INDEX(Tabla_Combate,1,BF$39)&amp;IF(INDEX(Tabla_Combate,2,BF$39)&lt;=0,""," +"&amp;INDEX(Tabla_Combate,2,BF$39)))),"")</f>
        <v/>
      </c>
      <c r="BG53" s="3085"/>
    </row>
    <row r="54" spans="1:59" ht="12" customHeight="1" thickBot="1" x14ac:dyDescent="0.25">
      <c r="A54" s="9"/>
      <c r="B54" s="1157"/>
      <c r="C54" s="1400" t="s">
        <v>1580</v>
      </c>
      <c r="D54" s="1757" t="s">
        <v>1581</v>
      </c>
      <c r="E54" s="4205" t="str">
        <f>IF(E49=0,"",IF(E49="Armas naturales",D56,C56))</f>
        <v/>
      </c>
      <c r="F54" s="4206"/>
      <c r="G54" s="4206"/>
      <c r="H54" s="4206"/>
      <c r="I54" s="4206"/>
      <c r="J54" s="4207"/>
      <c r="K54" s="4201" t="str">
        <f ca="1">IFERROR("Turno base: "&amp;VLOOKUP(E49,Tabla_ArmasyEscudos,3,FALSE)+IF(Tamaño&lt;VLOOKUP(F51,Tabla_ArmasEnormes,3,FALSE),IF(OR(F51="Enorme",F51="Gigante"),-40,0),0),"")</f>
        <v/>
      </c>
      <c r="L54" s="4202"/>
      <c r="M54" s="737"/>
      <c r="N54" s="1400" t="s">
        <v>1580</v>
      </c>
      <c r="O54" s="1757" t="s">
        <v>1581</v>
      </c>
      <c r="P54" s="4205" t="str">
        <f>IF(P49=0,"",IF(P49="Armas naturales",O56,N56))</f>
        <v/>
      </c>
      <c r="Q54" s="4206"/>
      <c r="R54" s="4206"/>
      <c r="S54" s="4206"/>
      <c r="T54" s="4206"/>
      <c r="U54" s="4207"/>
      <c r="V54" s="4201" t="str">
        <f ca="1">IFERROR("Turno base: "&amp;VLOOKUP(P49,Tabla_ArmasyEscudos,3,FALSE)+IF(Tamaño&lt;VLOOKUP(Q51,Tabla_ArmasEnormes,3,FALSE),IF(OR(Q51="Enorme",Q51="Gigante"),-40,0),0),"")</f>
        <v/>
      </c>
      <c r="W54" s="4202"/>
      <c r="X54" s="1196"/>
      <c r="Y54" s="9"/>
      <c r="Z54" s="9"/>
      <c r="AA54" s="1129"/>
      <c r="AB54" s="3676" t="s">
        <v>1504</v>
      </c>
      <c r="AC54" s="3676"/>
      <c r="AD54" s="3676"/>
      <c r="AE54" s="3676"/>
      <c r="AF54" s="3676"/>
      <c r="AG54" s="3676"/>
      <c r="AH54" s="4258" t="s">
        <v>1548</v>
      </c>
      <c r="AI54" s="4258"/>
      <c r="AJ54" s="4258"/>
      <c r="AK54" s="4258"/>
      <c r="AL54" s="4258"/>
      <c r="AM54" s="4258"/>
      <c r="AN54" s="4258"/>
      <c r="AO54" s="4258"/>
      <c r="AP54" s="4258"/>
      <c r="AQ54" s="4258"/>
      <c r="AR54" s="1196"/>
      <c r="AS54" s="1151"/>
      <c r="AT54" s="3085"/>
      <c r="AU54" s="3096" t="s">
        <v>10082</v>
      </c>
      <c r="AV54" s="3096" t="str">
        <f>HE_final&amp;" Esquiva"&amp;IF(HE_SinArmas_final=HE_final,""," ("&amp;HE_SinArmas_final&amp;IF(C20="Artes Marciales"," con Artes Marciales","(Desarmado)"))</f>
        <v>0 Esquiva</v>
      </c>
      <c r="AW54" s="3096" t="str">
        <f t="array" aca="1" ref="AW54" ca="1">IFERROR(IF(AW$44=HE_final,"",IF(SUMPRODUCT(--(ISNUMBER(SEARCH("(",$AV$54:AV$54))))=0," (",", ")&amp;AW$44&amp;" con "&amp;AW$30&amp;IF(AW$31&lt;=0,""," +"&amp;AW$31)),"")</f>
        <v/>
      </c>
      <c r="AX54" s="3096" t="str">
        <f t="array" aca="1" ref="AX54" ca="1">IFERROR(IF(AX$44=HE_final,"",IF(SUMPRODUCT(--(ISNUMBER(SEARCH("(",$AV$54:AW$54))))=0," (",", ")&amp;AX$44&amp;" con "&amp;AX$30&amp;IF(AX$31&lt;=0,""," +"&amp;AX$31)),"")</f>
        <v/>
      </c>
      <c r="AY54" s="3096" t="str">
        <f t="array" aca="1" ref="AY54" ca="1">IFERROR(IF(AY$44=HE_final,"",IF(SUMPRODUCT(--(ISNUMBER(SEARCH("(",$AV$54:AX$54))))=0," (",", ")&amp;AY$44&amp;" con "&amp;AY$30&amp;IF(AY$31&lt;=0,""," +"&amp;AY$31)),"")</f>
        <v/>
      </c>
      <c r="AZ54" s="3096" t="str">
        <f t="array" aca="1" ref="AZ54" ca="1">IFERROR(IF(AZ$44=HE_final,"",IF(SUMPRODUCT(--(ISNUMBER(SEARCH("(",$AV$54:AY$54))))=0," (",", ")&amp;AZ$44&amp;" con "&amp;AZ$30&amp;IF(AZ$31&lt;=0,""," +"&amp;AZ$31)),"")</f>
        <v/>
      </c>
      <c r="BA54" s="3096" t="str">
        <f t="array" aca="1" ref="BA54" ca="1">IFERROR(IF(BA$44=HE_final,"",IF(SUMPRODUCT(--(ISNUMBER(SEARCH("(",$AV$54:AZ$54))))=0," (",", ")&amp;BA$44&amp;" con "&amp;BA$30&amp;IF(BA$31&lt;=0,""," +"&amp;BA$31)),"")</f>
        <v/>
      </c>
      <c r="BB54" s="3096" t="str">
        <f t="array" aca="1" ref="BB54" ca="1">IFERROR(IF(BB$44=HE_final,"",IF(SUMPRODUCT(--(ISNUMBER(SEARCH("(",$AV$54:BA$54))))=0," (",", ")&amp;BB$44&amp;" con "&amp;BB$30&amp;IF(BB$31&lt;=0,""," +"&amp;BB$31)),"")</f>
        <v/>
      </c>
      <c r="BC54" s="3096" t="str">
        <f t="array" aca="1" ref="BC54" ca="1">IFERROR(IF(BC$44=HE_final,"",IF(SUMPRODUCT(--(ISNUMBER(SEARCH("(",$AV$54:BB$54))))=0," (",", ")&amp;BC$44&amp;" con "&amp;BC$30&amp;IF(BC$31&lt;=0,""," +"&amp;BC$31)),"")</f>
        <v/>
      </c>
      <c r="BD54" s="3096" t="str">
        <f t="array" aca="1" ref="BD54" ca="1">IFERROR(IF(BD$44=HE_final,"",IF(SUMPRODUCT(--(ISNUMBER(SEARCH("(",$AV$54:BC$54))))=0," (",", ")&amp;BD$44&amp;" con "&amp;BD$30&amp;IF(BD$31&lt;=0,""," +"&amp;BD$31)),"")</f>
        <v/>
      </c>
      <c r="BE54" s="3096" t="str">
        <f t="array" aca="1" ref="BE54" ca="1">IFERROR(IF(BE$44=HE_final,"",IF(SUMPRODUCT(--(ISNUMBER(SEARCH("(",$AV$54:BD$54))))=0," (",", ")&amp;BE$44&amp;" con "&amp;BE$30&amp;IF(BE$31&lt;=0,""," +"&amp;BE$31)),"")</f>
        <v/>
      </c>
      <c r="BF54" s="3096" t="str">
        <f t="array" aca="1" ref="BF54" ca="1">IFERROR(IF(BF$44=HE_final,"",IF(SUMPRODUCT(--(ISNUMBER(SEARCH("(",$AV$54:BE$54))))=0," (",", ")&amp;BF$44&amp;" con "&amp;BF$30&amp;IF(BF$31&lt;=0,""," +"&amp;BF$31)),"")</f>
        <v/>
      </c>
      <c r="BG54" s="3085"/>
    </row>
    <row r="55" spans="1:59"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224" t="str">
        <f>IF(E50=0,"",VLOOKUP(E50,Tabla_ArmasyEscudos,19,FALSE))</f>
        <v/>
      </c>
      <c r="F55" s="4225"/>
      <c r="G55" s="4225"/>
      <c r="H55" s="4225"/>
      <c r="I55" s="4225"/>
      <c r="J55" s="4226"/>
      <c r="K55" s="4216" t="str">
        <f ca="1">IFERROR("FUE min: "&amp;VLOOKUP(E49,Tabla_ArmasyEscudos,IF(C49="A dos manos",5,4),FALSE)+IFERROR(VLOOKUP(F51,Tabla_ArmasEnormes,4,FALSE),0),"")</f>
        <v/>
      </c>
      <c r="L55" s="4217"/>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224" t="str">
        <f>IF(P50=0,"",VLOOKUP(P50,Tabla_ArmasyEscudos,19,FALSE))</f>
        <v/>
      </c>
      <c r="Q55" s="4225"/>
      <c r="R55" s="4225"/>
      <c r="S55" s="4225"/>
      <c r="T55" s="4225"/>
      <c r="U55" s="4226"/>
      <c r="V55" s="4216" t="str">
        <f ca="1">IFERROR("FUE min: "&amp;VLOOKUP(P49,Tabla_ArmasyEscudos,IF(N49="A dos manos",5,4),FALSE)+IFERROR(VLOOKUP(Q51,Tabla_ArmasEnormes,4,FALSE),0),"")</f>
        <v/>
      </c>
      <c r="W55" s="4217"/>
      <c r="X55" s="737"/>
      <c r="Y55" s="9"/>
      <c r="Z55" s="9"/>
      <c r="AA55" s="1129"/>
      <c r="AB55" s="4257" t="str">
        <f>IF(PDs!E81=0,"",PDs!E81)</f>
        <v/>
      </c>
      <c r="AC55" s="4257"/>
      <c r="AD55" s="4257"/>
      <c r="AE55" s="4257"/>
      <c r="AF55" s="4257"/>
      <c r="AG55" s="4257"/>
      <c r="AH55" s="4264" t="str">
        <f>IF(AB55="","",VLOOKUP(AB55,Tabla_ArsMagnus,6,FALSE))</f>
        <v/>
      </c>
      <c r="AI55" s="4264"/>
      <c r="AJ55" s="4264"/>
      <c r="AK55" s="4264"/>
      <c r="AL55" s="4264"/>
      <c r="AM55" s="4264"/>
      <c r="AN55" s="4264"/>
      <c r="AO55" s="4264"/>
      <c r="AP55" s="4264"/>
      <c r="AQ55" s="4264"/>
      <c r="AR55" s="1196"/>
      <c r="AS55" s="1151"/>
      <c r="AT55" s="3085"/>
      <c r="AU55" s="3085"/>
      <c r="AV55" s="3085"/>
      <c r="AW55" s="3085"/>
      <c r="AX55" s="3085"/>
      <c r="AY55" s="3085"/>
      <c r="AZ55" s="3085"/>
      <c r="BA55" s="3085"/>
      <c r="BB55" s="3085"/>
      <c r="BC55" s="3085"/>
      <c r="BD55" s="3085"/>
      <c r="BE55" s="3085"/>
      <c r="BF55" s="3085"/>
      <c r="BG55" s="3085"/>
    </row>
    <row r="56" spans="1:59"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57"/>
      <c r="AC56" s="4257"/>
      <c r="AD56" s="4257"/>
      <c r="AE56" s="4257"/>
      <c r="AF56" s="4257"/>
      <c r="AG56" s="4257"/>
      <c r="AH56" s="4264"/>
      <c r="AI56" s="4264"/>
      <c r="AJ56" s="4264"/>
      <c r="AK56" s="4264"/>
      <c r="AL56" s="4264"/>
      <c r="AM56" s="4264"/>
      <c r="AN56" s="4264"/>
      <c r="AO56" s="4264"/>
      <c r="AP56" s="4264"/>
      <c r="AQ56" s="4264"/>
      <c r="AR56" s="1196"/>
      <c r="AS56" s="1151"/>
      <c r="AT56" s="3085"/>
      <c r="AU56" s="3085" t="s">
        <v>8496</v>
      </c>
      <c r="AV56" s="3139"/>
      <c r="AW56" s="3139"/>
      <c r="AX56" s="3139"/>
      <c r="AY56" s="3122"/>
      <c r="AZ56" s="3139"/>
      <c r="BA56" s="3085"/>
      <c r="BB56" s="3085"/>
      <c r="BC56" s="3085"/>
      <c r="BD56" s="3085"/>
      <c r="BE56" s="3085"/>
      <c r="BF56" s="3085"/>
      <c r="BG56" s="3085"/>
    </row>
    <row r="57" spans="1:59"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1" t="str">
        <f>IF(PDs!E82=0,"",PDs!E82)</f>
        <v/>
      </c>
      <c r="AC57" s="4231"/>
      <c r="AD57" s="4231"/>
      <c r="AE57" s="4231"/>
      <c r="AF57" s="4231"/>
      <c r="AG57" s="4231"/>
      <c r="AH57" s="3648" t="str">
        <f>IF(AB57="","",VLOOKUP(AB57,Tabla_ArsMagnus,6,FALSE))</f>
        <v/>
      </c>
      <c r="AI57" s="3648"/>
      <c r="AJ57" s="3648"/>
      <c r="AK57" s="3648"/>
      <c r="AL57" s="3648"/>
      <c r="AM57" s="3648"/>
      <c r="AN57" s="3648"/>
      <c r="AO57" s="3648"/>
      <c r="AP57" s="3648"/>
      <c r="AQ57" s="3648"/>
      <c r="AR57" s="1196"/>
      <c r="AS57" s="1151"/>
      <c r="AT57" s="3085"/>
      <c r="AU57" s="3085">
        <v>1</v>
      </c>
      <c r="AV57" s="3139">
        <v>2</v>
      </c>
      <c r="AW57" s="3139">
        <v>3</v>
      </c>
      <c r="AX57" s="3139">
        <v>4</v>
      </c>
      <c r="AY57" s="3139"/>
      <c r="AZ57" s="3139"/>
      <c r="BA57" s="3085"/>
      <c r="BB57" s="3085"/>
      <c r="BC57" s="3085"/>
      <c r="BD57" s="3085"/>
      <c r="BE57" s="3085"/>
      <c r="BF57" s="3085"/>
      <c r="BG57" s="3085"/>
    </row>
    <row r="58" spans="1:59" ht="12" customHeight="1" x14ac:dyDescent="0.2">
      <c r="A58" s="9"/>
      <c r="B58" s="1157"/>
      <c r="C58" s="4234" t="s">
        <v>8667</v>
      </c>
      <c r="D58" s="4235"/>
      <c r="E58" s="4236"/>
      <c r="F58" s="4237"/>
      <c r="G58" s="4238"/>
      <c r="H58" s="1777" t="s">
        <v>1392</v>
      </c>
      <c r="I58" s="1778" t="s">
        <v>1563</v>
      </c>
      <c r="J58" s="4239" t="s">
        <v>1564</v>
      </c>
      <c r="K58" s="4239"/>
      <c r="L58" s="1779" t="s">
        <v>1565</v>
      </c>
      <c r="M58" s="1498" t="str">
        <f ca="1">IF(C58=INDEX(Lista_ManosArma,2),Lista_ProyA2manos,Lista_ProyA1Mano)</f>
        <v>Tablas!$AU$639:$AU$659</v>
      </c>
      <c r="N58" s="4234" t="s">
        <v>8667</v>
      </c>
      <c r="O58" s="4235"/>
      <c r="P58" s="4236"/>
      <c r="Q58" s="4237"/>
      <c r="R58" s="4238"/>
      <c r="S58" s="1777" t="s">
        <v>1392</v>
      </c>
      <c r="T58" s="1778" t="s">
        <v>1563</v>
      </c>
      <c r="U58" s="4239" t="s">
        <v>1564</v>
      </c>
      <c r="V58" s="4239"/>
      <c r="W58" s="1779" t="s">
        <v>1565</v>
      </c>
      <c r="X58" s="1498" t="str">
        <f ca="1">IF(N58=INDEX(Lista_ManosArma,2),Lista_ProyA2manos,Lista_ProyA1Mano)</f>
        <v>Tablas!$AU$639:$AU$659</v>
      </c>
      <c r="Y58" s="9"/>
      <c r="Z58" s="9"/>
      <c r="AA58" s="1129"/>
      <c r="AB58" s="4231"/>
      <c r="AC58" s="4231"/>
      <c r="AD58" s="4231"/>
      <c r="AE58" s="4231"/>
      <c r="AF58" s="4231"/>
      <c r="AG58" s="4231"/>
      <c r="AH58" s="3648"/>
      <c r="AI58" s="3648"/>
      <c r="AJ58" s="3648"/>
      <c r="AK58" s="3648"/>
      <c r="AL58" s="3648"/>
      <c r="AM58" s="3648"/>
      <c r="AN58" s="3648"/>
      <c r="AO58" s="3648"/>
      <c r="AP58" s="3648"/>
      <c r="AQ58" s="3648"/>
      <c r="AR58" s="1196"/>
      <c r="AS58" s="1151"/>
      <c r="AT58" s="3085" t="s">
        <v>8655</v>
      </c>
      <c r="AU58" s="3085" t="str">
        <f>IF(COUNTIF(Ki!$Y$22:$AJ$22,"Fuego")&gt;0,"CAL","-")</f>
        <v>-</v>
      </c>
      <c r="AV58" s="3139" t="str">
        <f>IF(COUNTIF(Ki!$Y$22:$AJ$22,"Aire")&gt;0,"ELE","-")</f>
        <v>-</v>
      </c>
      <c r="AW58" s="3139" t="str">
        <f>IF(COUNTIF(Ki!$Y$22:$AJ$22,"Agua")&gt;0,"FRI","-")</f>
        <v>-</v>
      </c>
      <c r="AX58" s="3139" t="str">
        <f>IF(COUNTIF(Ki!$Y$22:$AJ$22,"Tierra")&gt;0,"CON","-")</f>
        <v>-</v>
      </c>
      <c r="AY58" s="3139"/>
      <c r="AZ58" s="3139"/>
      <c r="BA58" s="3085"/>
      <c r="BB58" s="3085"/>
      <c r="BC58" s="3085"/>
      <c r="BD58" s="3085"/>
      <c r="BE58" s="3085"/>
      <c r="BF58" s="3085"/>
      <c r="BG58" s="3085"/>
    </row>
    <row r="59" spans="1:59" ht="12" customHeight="1" x14ac:dyDescent="0.2">
      <c r="A59" s="9"/>
      <c r="B59" s="1157"/>
      <c r="C59" s="4240" t="s">
        <v>1579</v>
      </c>
      <c r="D59" s="4241"/>
      <c r="E59" s="4214"/>
      <c r="F59" s="4214"/>
      <c r="G59" s="4215"/>
      <c r="H59" s="4223">
        <f ca="1">IFERROR(INDEX(Tabla_Combate,$AT$41,LEFT(C57,LEN(C57)-1)),0)</f>
        <v>0</v>
      </c>
      <c r="I59" s="4220">
        <f ca="1">IFERROR(INDEX(Tabla_Combate,$AT$42,LEFT(C57,LEN(C57)-1)),0)</f>
        <v>0</v>
      </c>
      <c r="J59" s="4199">
        <f ca="1">IF(K59="-",0,IF(K59="Par",INDEX(Tabla_Combate,$AT$43,LEFT(C57,LEN(C57)-1)),INDEX(Tabla_Combate,$AT$44,LEFT(C57,LEN(C57)-1))))</f>
        <v>0</v>
      </c>
      <c r="K59" s="3760" t="str">
        <f ca="1">IFERROR(IF(INDEX(Tabla_Combate,$AT$43,LEFT(C57,LEN(C57)-1))&gt;INDEX(Tabla_Combate,$AT$44,LEFT(C57,LEN(C57)-1)),"Par","Esq"),"-")</f>
        <v>-</v>
      </c>
      <c r="L59" s="4208">
        <f ca="1">IFERROR(INDEX(Tabla_Combate,$AT$46,LEFT(C57,LEN(C57)-1)),0)</f>
        <v>0</v>
      </c>
      <c r="M59" s="737"/>
      <c r="N59" s="4240" t="s">
        <v>1579</v>
      </c>
      <c r="O59" s="4241"/>
      <c r="P59" s="4214"/>
      <c r="Q59" s="4214"/>
      <c r="R59" s="4215"/>
      <c r="S59" s="4223">
        <f ca="1">IFERROR(INDEX(Tabla_Combate,$AT$41,LEFT(N57,LEN(N57)-1)),0)</f>
        <v>0</v>
      </c>
      <c r="T59" s="4220">
        <f ca="1">IFERROR(INDEX(Tabla_Combate,$AT$42,LEFT(N57,LEN(N57)-1)),0)</f>
        <v>0</v>
      </c>
      <c r="U59" s="4199">
        <f ca="1">IF(V59="-",0,IF(V59="Par",INDEX(Tabla_Combate,$AT$43,LEFT(N57,LEN(N57)-1)),INDEX(Tabla_Combate,$AT$44,LEFT(N57,LEN(N57)-1))))</f>
        <v>0</v>
      </c>
      <c r="V59" s="3760" t="str">
        <f ca="1">IFERROR(IF(INDEX(Tabla_Combate,$AT$43,LEFT(N57,LEN(N57)-1))&gt;INDEX(Tabla_Combate,$AT$44,LEFT(N57,LEN(N57)-1)),"Par","Esq"),"-")</f>
        <v>-</v>
      </c>
      <c r="W59" s="4208">
        <f ca="1">IFERROR(INDEX(Tabla_Combate,$AT$46,LEFT(N57,LEN(N57)-1)),0)</f>
        <v>0</v>
      </c>
      <c r="X59" s="737"/>
      <c r="Y59" s="9"/>
      <c r="Z59" s="9"/>
      <c r="AA59" s="1129"/>
      <c r="AB59" s="4231" t="str">
        <f>IF(PDs!E83=0,"",PDs!E83)</f>
        <v/>
      </c>
      <c r="AC59" s="4231"/>
      <c r="AD59" s="4231"/>
      <c r="AE59" s="4231"/>
      <c r="AF59" s="4231"/>
      <c r="AG59" s="4231"/>
      <c r="AH59" s="3648" t="str">
        <f>IF(AB59="","",VLOOKUP(AB59,Tabla_ArsMagnus,6,FALSE))</f>
        <v/>
      </c>
      <c r="AI59" s="3648"/>
      <c r="AJ59" s="3648"/>
      <c r="AK59" s="3648"/>
      <c r="AL59" s="3648"/>
      <c r="AM59" s="3648"/>
      <c r="AN59" s="3648"/>
      <c r="AO59" s="3648"/>
      <c r="AP59" s="3648"/>
      <c r="AQ59" s="3648"/>
      <c r="AR59" s="1196"/>
      <c r="AS59" s="1151"/>
      <c r="AT59" s="3085" t="s">
        <v>8500</v>
      </c>
      <c r="AU59" s="3123" t="b">
        <f>AU58&lt;&gt;"-"</f>
        <v>0</v>
      </c>
      <c r="AV59" s="3124" t="b">
        <f>AV58&lt;&gt;"-"</f>
        <v>0</v>
      </c>
      <c r="AW59" s="3124" t="b">
        <f>AW58&lt;&gt;"-"</f>
        <v>0</v>
      </c>
      <c r="AX59" s="3124" t="b">
        <f>AX58&lt;&gt;"-"</f>
        <v>0</v>
      </c>
      <c r="AY59" s="3139"/>
      <c r="AZ59" s="3139"/>
      <c r="BA59" s="3085"/>
      <c r="BB59" s="3085"/>
      <c r="BC59" s="3085"/>
      <c r="BD59" s="3085"/>
      <c r="BE59" s="3085"/>
      <c r="BF59" s="3085"/>
      <c r="BG59" s="3085"/>
    </row>
    <row r="60" spans="1:59" ht="12" customHeight="1" x14ac:dyDescent="0.2">
      <c r="A60" s="9"/>
      <c r="B60" s="1157"/>
      <c r="C60" s="4210" t="str">
        <f>IF(E58=0,"",VLOOKUP(E58,Tabla_ArmasyEscudos,9,FALSE))</f>
        <v/>
      </c>
      <c r="D60" s="4211"/>
      <c r="E60" s="1780" t="s">
        <v>1575</v>
      </c>
      <c r="F60" s="4212" t="s">
        <v>1576</v>
      </c>
      <c r="G60" s="4213"/>
      <c r="H60" s="4223"/>
      <c r="I60" s="4221"/>
      <c r="J60" s="4200"/>
      <c r="K60" s="4222"/>
      <c r="L60" s="4209"/>
      <c r="M60" s="737"/>
      <c r="N60" s="4210" t="str">
        <f>IF(P58=0,"",VLOOKUP(P58,Tabla_ArmasyEscudos,9,FALSE))</f>
        <v/>
      </c>
      <c r="O60" s="4211"/>
      <c r="P60" s="1780" t="s">
        <v>1575</v>
      </c>
      <c r="Q60" s="4212" t="s">
        <v>1576</v>
      </c>
      <c r="R60" s="4213"/>
      <c r="S60" s="4223"/>
      <c r="T60" s="4221"/>
      <c r="U60" s="4200"/>
      <c r="V60" s="4222"/>
      <c r="W60" s="4209"/>
      <c r="X60" s="577"/>
      <c r="Y60" s="9"/>
      <c r="Z60" s="9"/>
      <c r="AA60" s="1129"/>
      <c r="AB60" s="4231"/>
      <c r="AC60" s="4231"/>
      <c r="AD60" s="4231"/>
      <c r="AE60" s="4231"/>
      <c r="AF60" s="4231"/>
      <c r="AG60" s="4231"/>
      <c r="AH60" s="3648"/>
      <c r="AI60" s="3648"/>
      <c r="AJ60" s="3648"/>
      <c r="AK60" s="3648"/>
      <c r="AL60" s="3648"/>
      <c r="AM60" s="3648"/>
      <c r="AN60" s="3648"/>
      <c r="AO60" s="3648"/>
      <c r="AP60" s="3648"/>
      <c r="AQ60" s="3648"/>
      <c r="AR60" s="1196"/>
      <c r="AS60" s="1151"/>
      <c r="AT60" s="3085" t="s">
        <v>3162</v>
      </c>
      <c r="AU60" s="3123"/>
      <c r="AV60" s="3124" t="b">
        <f>AND(AV59,AU59)</f>
        <v>0</v>
      </c>
      <c r="AW60" s="3124" t="b">
        <f>AND(AW59,OR(AU59,AV59))</f>
        <v>0</v>
      </c>
      <c r="AX60" s="3124" t="b">
        <f>AND(AX59,OR(AV59,AW59,AU59))</f>
        <v>0</v>
      </c>
      <c r="AY60" s="3139"/>
      <c r="AZ60" s="3139"/>
      <c r="BA60" s="3085"/>
      <c r="BB60" s="3085"/>
      <c r="BC60" s="3085"/>
      <c r="BD60" s="3085"/>
      <c r="BE60" s="3085"/>
      <c r="BF60" s="3085"/>
      <c r="BG60" s="3085"/>
    </row>
    <row r="61" spans="1:59" ht="12" customHeight="1" x14ac:dyDescent="0.2">
      <c r="A61" s="9"/>
      <c r="B61" s="1157"/>
      <c r="C61" s="1400" t="s">
        <v>1567</v>
      </c>
      <c r="D61" s="1401" t="s">
        <v>1568</v>
      </c>
      <c r="E61" s="1401" t="s">
        <v>1556</v>
      </c>
      <c r="F61" s="1401" t="s">
        <v>1569</v>
      </c>
      <c r="G61" s="277" t="s">
        <v>1557</v>
      </c>
      <c r="H61" s="4218" t="s">
        <v>8668</v>
      </c>
      <c r="I61" s="4219"/>
      <c r="J61" s="1505"/>
      <c r="K61" s="4201" t="str">
        <f>IF(Tablas!$G$507&gt;0,"-50 a puntería","")</f>
        <v/>
      </c>
      <c r="L61" s="4202"/>
      <c r="M61" s="737"/>
      <c r="N61" s="1400" t="s">
        <v>1567</v>
      </c>
      <c r="O61" s="1401" t="s">
        <v>1568</v>
      </c>
      <c r="P61" s="1401" t="s">
        <v>1556</v>
      </c>
      <c r="Q61" s="1401" t="s">
        <v>1569</v>
      </c>
      <c r="R61" s="277" t="s">
        <v>1557</v>
      </c>
      <c r="S61" s="4218" t="s">
        <v>8668</v>
      </c>
      <c r="T61" s="4219"/>
      <c r="U61" s="1505"/>
      <c r="V61" s="4201" t="str">
        <f>IF(Tablas!$G$507&gt;0,"-50 a puntería","")</f>
        <v/>
      </c>
      <c r="W61" s="4202"/>
      <c r="X61" s="577"/>
      <c r="Y61" s="9"/>
      <c r="Z61" s="9"/>
      <c r="AA61" s="1129"/>
      <c r="AB61" s="4231" t="str">
        <f>IF(PDs!E84=0,"",PDs!E84)</f>
        <v/>
      </c>
      <c r="AC61" s="4231"/>
      <c r="AD61" s="4231"/>
      <c r="AE61" s="4231"/>
      <c r="AF61" s="4231"/>
      <c r="AG61" s="4231"/>
      <c r="AH61" s="3648" t="str">
        <f>IF(AB61="","",VLOOKUP(AB61,Tabla_ArsMagnus,6,FALSE))</f>
        <v/>
      </c>
      <c r="AI61" s="3648"/>
      <c r="AJ61" s="3648"/>
      <c r="AK61" s="3648"/>
      <c r="AL61" s="3648"/>
      <c r="AM61" s="3648"/>
      <c r="AN61" s="3648"/>
      <c r="AO61" s="3648"/>
      <c r="AP61" s="3648"/>
      <c r="AQ61" s="3648"/>
      <c r="AR61" s="1196"/>
      <c r="AS61" s="1151"/>
      <c r="AT61" s="3085"/>
      <c r="AU61" s="3085"/>
      <c r="AV61" s="3085"/>
      <c r="AW61" s="3085"/>
      <c r="AX61" s="3085"/>
      <c r="AY61" s="3118"/>
      <c r="AZ61" s="3085"/>
      <c r="BA61" s="3085"/>
      <c r="BB61" s="3085"/>
      <c r="BC61" s="3085"/>
      <c r="BD61" s="3085"/>
      <c r="BE61" s="3085"/>
      <c r="BF61" s="3085"/>
      <c r="BG61" s="3085"/>
    </row>
    <row r="62" spans="1:59"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227" t="s">
        <v>8682</v>
      </c>
      <c r="I62" s="4228"/>
      <c r="J62" s="1504"/>
      <c r="K62" s="4203" t="str">
        <f>IF(F60=0,IF(J62&lt;=0,"","TA defensor: -"&amp;J62/5),IF(Tamaño&lt;VLOOKUP(F60,Tabla_ArmasEnormes,2,FALSE),"Tam. excesivo",IF(J62&lt;=0,"","TA defensor: -"&amp;J62/5)))</f>
        <v/>
      </c>
      <c r="L62" s="4204"/>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227" t="s">
        <v>8682</v>
      </c>
      <c r="T62" s="4228"/>
      <c r="U62" s="1504"/>
      <c r="V62" s="4203" t="str">
        <f>IF(Q60=0,IF(U62&lt;=0,"","TA defensor: -"&amp;U62/5),IF(Tamaño&lt;VLOOKUP(Q60,Tabla_ArmasEnormes,2,FALSE),"Tam. excesivo",IF(U62&lt;=0,"","TA defensor: -"&amp;U62/5)))</f>
        <v/>
      </c>
      <c r="W62" s="4204"/>
      <c r="X62" s="577"/>
      <c r="Y62" s="9"/>
      <c r="Z62" s="9"/>
      <c r="AA62" s="1129"/>
      <c r="AB62" s="4231"/>
      <c r="AC62" s="4231"/>
      <c r="AD62" s="4231"/>
      <c r="AE62" s="4231"/>
      <c r="AF62" s="4231"/>
      <c r="AG62" s="4231"/>
      <c r="AH62" s="3648"/>
      <c r="AI62" s="3648"/>
      <c r="AJ62" s="3648"/>
      <c r="AK62" s="3648"/>
      <c r="AL62" s="3648"/>
      <c r="AM62" s="3648"/>
      <c r="AN62" s="3648"/>
      <c r="AO62" s="3648"/>
      <c r="AP62" s="3648"/>
      <c r="AQ62" s="3648"/>
      <c r="AR62" s="1196"/>
      <c r="AS62" s="1151"/>
      <c r="AT62" s="3085"/>
      <c r="AU62" s="3085">
        <v>1</v>
      </c>
      <c r="AV62" s="3085">
        <v>2</v>
      </c>
      <c r="AW62" s="3085">
        <v>3</v>
      </c>
      <c r="AX62" s="3085">
        <v>4</v>
      </c>
      <c r="AY62" s="3085">
        <v>5</v>
      </c>
      <c r="AZ62" s="3085">
        <v>6</v>
      </c>
      <c r="BA62" s="3085"/>
      <c r="BB62" s="3085"/>
      <c r="BC62" s="3085"/>
      <c r="BD62" s="3085"/>
      <c r="BE62" s="3085"/>
      <c r="BF62" s="3085"/>
      <c r="BG62" s="3085"/>
    </row>
    <row r="63" spans="1:59" ht="12" customHeight="1" thickBot="1" x14ac:dyDescent="0.25">
      <c r="A63" s="9"/>
      <c r="B63" s="1157"/>
      <c r="C63" s="1400" t="s">
        <v>1580</v>
      </c>
      <c r="D63" s="1757" t="s">
        <v>1581</v>
      </c>
      <c r="E63" s="4205" t="str">
        <f>IF(E58=0,"",IF(E58="Armas naturales",D65,C65))</f>
        <v/>
      </c>
      <c r="F63" s="4206"/>
      <c r="G63" s="4206"/>
      <c r="H63" s="4206"/>
      <c r="I63" s="4206"/>
      <c r="J63" s="4207"/>
      <c r="K63" s="4201" t="str">
        <f ca="1">IFERROR("Turno base: "&amp;VLOOKUP(E58,Tabla_ArmasyEscudos,3,FALSE)+IF(Tamaño&lt;VLOOKUP(F60,Tabla_ArmasEnormes,3,FALSE),IF(OR(F60="Enorme",F60="Gigante"),-40,0),0),"")</f>
        <v/>
      </c>
      <c r="L63" s="4202"/>
      <c r="M63" s="737"/>
      <c r="N63" s="1400" t="s">
        <v>1580</v>
      </c>
      <c r="O63" s="1757" t="s">
        <v>1581</v>
      </c>
      <c r="P63" s="4205" t="str">
        <f>IF(P58=0,"",IF(P58="Armas naturales",O65,N65))</f>
        <v/>
      </c>
      <c r="Q63" s="4206"/>
      <c r="R63" s="4206"/>
      <c r="S63" s="4206"/>
      <c r="T63" s="4206"/>
      <c r="U63" s="4207"/>
      <c r="V63" s="4201" t="str">
        <f ca="1">IFERROR("Turno base: "&amp;VLOOKUP(P58,Tabla_ArmasyEscudos,3,FALSE)+IF(Tamaño&lt;VLOOKUP(Q60,Tabla_ArmasEnormes,3,FALSE),IF(OR(Q60="Enorme",Q60="Gigante"),-40,0),0),"")</f>
        <v/>
      </c>
      <c r="W63" s="4202"/>
      <c r="X63" s="1130"/>
      <c r="Y63" s="9"/>
      <c r="Z63" s="9"/>
      <c r="AA63" s="1129"/>
      <c r="AB63" s="4229" t="str">
        <f>IF(PDs!E85=0,"",PDs!E85)</f>
        <v/>
      </c>
      <c r="AC63" s="4229"/>
      <c r="AD63" s="4229"/>
      <c r="AE63" s="4229"/>
      <c r="AF63" s="4229"/>
      <c r="AG63" s="4229"/>
      <c r="AH63" s="4230" t="str">
        <f>IF(AB63="","",VLOOKUP(AB63,Tabla_ArsMagnus,6,FALSE))</f>
        <v/>
      </c>
      <c r="AI63" s="4230"/>
      <c r="AJ63" s="4230"/>
      <c r="AK63" s="4230"/>
      <c r="AL63" s="4230"/>
      <c r="AM63" s="4230"/>
      <c r="AN63" s="4230"/>
      <c r="AO63" s="4230"/>
      <c r="AP63" s="4230"/>
      <c r="AQ63" s="4230"/>
      <c r="AR63" s="1196"/>
      <c r="AS63" s="1151"/>
      <c r="AT63" s="3085" t="s">
        <v>8656</v>
      </c>
      <c r="AU63" s="3085" t="str">
        <f>IF(OR(Tablas!Y874,Tablas!Y908),"PEN","-")</f>
        <v>-</v>
      </c>
      <c r="AV63" s="3085" t="str">
        <f>IF(OR(Tablas!Y908,Tablas!R1372&gt;0),"FIL","-")</f>
        <v>-</v>
      </c>
      <c r="AW63" s="3085" t="str">
        <f>IF(OR(Tablas!Y938,Tablas!Y939,Extrusióndevacío,Tablas!R1370),"ENE","-")</f>
        <v>-</v>
      </c>
      <c r="AX63" s="3085" t="str">
        <f>IF(Tablas!R1371&gt;0,"CAL","-")</f>
        <v>-</v>
      </c>
      <c r="AY63" s="3118" t="str">
        <f>IF(Tablas!R1373&gt;0,"FRI","-")</f>
        <v>-</v>
      </c>
      <c r="AZ63" s="3085" t="str">
        <f>IF(OR(Tablas!R1372&gt;0,Tablas!R1373&gt;0),"CON","-")</f>
        <v>-</v>
      </c>
      <c r="BA63" s="3085"/>
      <c r="BB63" s="3085"/>
      <c r="BC63" s="3085"/>
      <c r="BD63" s="3085"/>
      <c r="BE63" s="3085"/>
      <c r="BF63" s="3085"/>
      <c r="BG63" s="3085"/>
    </row>
    <row r="64" spans="1:59"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224" t="str">
        <f>IF(E59=0,"",VLOOKUP(E59,Tabla_ArmasyEscudos,19,FALSE))</f>
        <v/>
      </c>
      <c r="F64" s="4225"/>
      <c r="G64" s="4225"/>
      <c r="H64" s="4225"/>
      <c r="I64" s="4225"/>
      <c r="J64" s="4226"/>
      <c r="K64" s="4216" t="str">
        <f ca="1">IFERROR("FUE min: "&amp;VLOOKUP(E58,Tabla_ArmasyEscudos,IF(C58="A dos manos",5,4),FALSE)+IFERROR(VLOOKUP(F60,Tabla_ArmasEnormes,4,FALSE),0),"")</f>
        <v/>
      </c>
      <c r="L64" s="4217"/>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224" t="str">
        <f>IF(P59=0,"",VLOOKUP(P59,Tabla_ArmasyEscudos,19,FALSE))</f>
        <v/>
      </c>
      <c r="Q64" s="4225"/>
      <c r="R64" s="4225"/>
      <c r="S64" s="4225"/>
      <c r="T64" s="4225"/>
      <c r="U64" s="4226"/>
      <c r="V64" s="4216" t="str">
        <f ca="1">IFERROR("FUE min: "&amp;VLOOKUP(P58,Tabla_ArmasyEscudos,IF(N58="A dos manos",5,4),FALSE)+IFERROR(VLOOKUP(Q60,Tabla_ArmasEnormes,4,FALSE),0),"")</f>
        <v/>
      </c>
      <c r="W64" s="4217"/>
      <c r="X64" s="577"/>
      <c r="Y64" s="9"/>
      <c r="Z64" s="9"/>
      <c r="AA64" s="1129"/>
      <c r="AB64" s="4229"/>
      <c r="AC64" s="4229"/>
      <c r="AD64" s="4229"/>
      <c r="AE64" s="4229"/>
      <c r="AF64" s="4229"/>
      <c r="AG64" s="4229"/>
      <c r="AH64" s="4230"/>
      <c r="AI64" s="4230"/>
      <c r="AJ64" s="4230"/>
      <c r="AK64" s="4230"/>
      <c r="AL64" s="4230"/>
      <c r="AM64" s="4230"/>
      <c r="AN64" s="4230"/>
      <c r="AO64" s="4230"/>
      <c r="AP64" s="4230"/>
      <c r="AQ64" s="4230"/>
      <c r="AR64" s="1196"/>
      <c r="AS64" s="1151"/>
      <c r="AT64" s="3085" t="s">
        <v>8500</v>
      </c>
      <c r="AU64" s="3123" t="b">
        <f t="shared" ref="AU64:AZ64" si="12">AU63&lt;&gt;"-"</f>
        <v>0</v>
      </c>
      <c r="AV64" s="3123" t="b">
        <f t="shared" si="12"/>
        <v>0</v>
      </c>
      <c r="AW64" s="3123" t="b">
        <f t="shared" si="12"/>
        <v>0</v>
      </c>
      <c r="AX64" s="3123" t="b">
        <f t="shared" si="12"/>
        <v>0</v>
      </c>
      <c r="AY64" s="3123" t="b">
        <f t="shared" si="12"/>
        <v>0</v>
      </c>
      <c r="AZ64" s="3123" t="b">
        <f t="shared" si="12"/>
        <v>0</v>
      </c>
      <c r="BA64" s="3085"/>
      <c r="BB64" s="3085"/>
      <c r="BC64" s="3085"/>
      <c r="BD64" s="3085"/>
      <c r="BE64" s="3085"/>
      <c r="BF64" s="3085"/>
      <c r="BG64" s="3085"/>
    </row>
    <row r="65" spans="1:59"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85" t="s">
        <v>3162</v>
      </c>
      <c r="AU65" s="3123"/>
      <c r="AV65" s="3123" t="b">
        <f>AND(AV64,AU64)</f>
        <v>0</v>
      </c>
      <c r="AW65" s="3123" t="b">
        <f>AND(AW64,OR(AU64,AV64))</f>
        <v>0</v>
      </c>
      <c r="AX65" s="3123" t="b">
        <f>AND(AX64,OR(AU64,AV64,AW64))</f>
        <v>0</v>
      </c>
      <c r="AY65" s="3125" t="b">
        <f>AND(AY64,OR(AU64,AV64,AW64,AX64))</f>
        <v>0</v>
      </c>
      <c r="AZ65" s="3123" t="b">
        <f>AND(AZ64,OR(AU64,AV64,AW64,AX64,AY64))</f>
        <v>0</v>
      </c>
      <c r="BA65" s="3085"/>
      <c r="BB65" s="3085"/>
      <c r="BC65" s="3085"/>
      <c r="BD65" s="3085"/>
      <c r="BE65" s="3085"/>
      <c r="BF65" s="3085"/>
      <c r="BG65" s="3085"/>
    </row>
    <row r="66" spans="1:59" ht="12" customHeight="1" thickBot="1" x14ac:dyDescent="0.25">
      <c r="A66" s="9"/>
      <c r="B66" s="1157"/>
      <c r="C66" s="3158" t="s">
        <v>10085</v>
      </c>
      <c r="D66" s="3159"/>
      <c r="E66" s="3159"/>
      <c r="F66" s="3159"/>
      <c r="G66" s="3159"/>
      <c r="H66" s="3159"/>
      <c r="I66" s="3159"/>
      <c r="J66" s="3159"/>
      <c r="K66" s="3159"/>
      <c r="L66" s="3159"/>
      <c r="M66" s="3159"/>
      <c r="N66" s="3159"/>
      <c r="O66" s="3159"/>
      <c r="P66" s="3159"/>
      <c r="Q66" s="3159"/>
      <c r="R66" s="3159"/>
      <c r="S66" s="3159"/>
      <c r="T66" s="3159"/>
      <c r="U66" s="3159"/>
      <c r="V66" s="3159"/>
      <c r="W66" s="3160"/>
      <c r="X66" s="577"/>
      <c r="Y66" s="9"/>
      <c r="Z66" s="9"/>
      <c r="AA66" s="485"/>
      <c r="AB66" s="3350" t="s">
        <v>9601</v>
      </c>
      <c r="AC66" s="3351"/>
      <c r="AD66" s="3351"/>
      <c r="AE66" s="3351"/>
      <c r="AF66" s="3351"/>
      <c r="AG66" s="3351"/>
      <c r="AH66" s="3351"/>
      <c r="AI66" s="3351"/>
      <c r="AJ66" s="3351"/>
      <c r="AK66" s="3351"/>
      <c r="AL66" s="3351"/>
      <c r="AM66" s="3351"/>
      <c r="AN66" s="3351"/>
      <c r="AO66" s="3351"/>
      <c r="AP66" s="3351"/>
      <c r="AQ66" s="3352"/>
      <c r="AR66" s="1196"/>
      <c r="AS66" s="1151"/>
      <c r="AT66" s="3085"/>
      <c r="AU66" s="3139"/>
      <c r="AV66" s="3139"/>
      <c r="AW66" s="3139"/>
      <c r="AX66" s="3085"/>
      <c r="AY66" s="3085"/>
      <c r="AZ66" s="3118"/>
      <c r="BA66" s="3085"/>
      <c r="BB66" s="3085"/>
      <c r="BC66" s="3085"/>
      <c r="BD66" s="3085"/>
      <c r="BE66" s="3085"/>
      <c r="BF66" s="3085"/>
      <c r="BG66" s="3085"/>
    </row>
    <row r="67" spans="1:59" ht="12" customHeight="1" x14ac:dyDescent="0.2">
      <c r="A67" s="9"/>
      <c r="B67" s="1157"/>
      <c r="C67" s="3805"/>
      <c r="D67" s="3806"/>
      <c r="E67" s="3806"/>
      <c r="F67" s="3806"/>
      <c r="G67" s="3806"/>
      <c r="H67" s="3806"/>
      <c r="I67" s="3806"/>
      <c r="J67" s="3806"/>
      <c r="K67" s="3806"/>
      <c r="L67" s="3806"/>
      <c r="M67" s="3806"/>
      <c r="N67" s="3806"/>
      <c r="O67" s="3806"/>
      <c r="P67" s="3806"/>
      <c r="Q67" s="3806"/>
      <c r="R67" s="3806"/>
      <c r="S67" s="3806"/>
      <c r="T67" s="3806"/>
      <c r="U67" s="3806"/>
      <c r="V67" s="3806"/>
      <c r="W67" s="3807"/>
      <c r="X67" s="577"/>
      <c r="Y67" s="9"/>
      <c r="Z67" s="9"/>
      <c r="AA67" s="485"/>
      <c r="AB67" s="3802"/>
      <c r="AC67" s="3803"/>
      <c r="AD67" s="3803"/>
      <c r="AE67" s="3803"/>
      <c r="AF67" s="3803"/>
      <c r="AG67" s="3803"/>
      <c r="AH67" s="3803"/>
      <c r="AI67" s="3803"/>
      <c r="AJ67" s="3803"/>
      <c r="AK67" s="3803"/>
      <c r="AL67" s="3803"/>
      <c r="AM67" s="3803"/>
      <c r="AN67" s="3803"/>
      <c r="AO67" s="3803"/>
      <c r="AP67" s="3803"/>
      <c r="AQ67" s="3804"/>
      <c r="AR67" s="1196"/>
      <c r="AS67" s="1151"/>
      <c r="AT67" s="3085"/>
      <c r="AU67" s="3139"/>
      <c r="AV67" s="3139"/>
      <c r="AW67" s="3139"/>
      <c r="AX67" s="3085"/>
      <c r="AY67" s="3085"/>
      <c r="AZ67" s="3118"/>
      <c r="BA67" s="3085"/>
      <c r="BB67" s="3085"/>
      <c r="BC67" s="3085"/>
      <c r="BD67" s="3085"/>
      <c r="BE67" s="3085"/>
      <c r="BF67" s="3085"/>
      <c r="BG67" s="3085"/>
    </row>
    <row r="68" spans="1:59" ht="12" customHeight="1" x14ac:dyDescent="0.2">
      <c r="A68" s="9"/>
      <c r="B68" s="1157"/>
      <c r="C68" s="3805"/>
      <c r="D68" s="3806"/>
      <c r="E68" s="3806"/>
      <c r="F68" s="3806"/>
      <c r="G68" s="3806"/>
      <c r="H68" s="3806"/>
      <c r="I68" s="3806"/>
      <c r="J68" s="3806"/>
      <c r="K68" s="3806"/>
      <c r="L68" s="3806"/>
      <c r="M68" s="3806"/>
      <c r="N68" s="3806"/>
      <c r="O68" s="3806"/>
      <c r="P68" s="3806"/>
      <c r="Q68" s="3806"/>
      <c r="R68" s="3806"/>
      <c r="S68" s="3806"/>
      <c r="T68" s="3806"/>
      <c r="U68" s="3806"/>
      <c r="V68" s="3806"/>
      <c r="W68" s="3807"/>
      <c r="X68" s="577"/>
      <c r="Y68" s="9"/>
      <c r="Z68" s="9"/>
      <c r="AA68" s="485"/>
      <c r="AB68" s="3805"/>
      <c r="AC68" s="3806"/>
      <c r="AD68" s="3806"/>
      <c r="AE68" s="3806"/>
      <c r="AF68" s="3806"/>
      <c r="AG68" s="3806"/>
      <c r="AH68" s="3806"/>
      <c r="AI68" s="3806"/>
      <c r="AJ68" s="3806"/>
      <c r="AK68" s="3806"/>
      <c r="AL68" s="3806"/>
      <c r="AM68" s="3806"/>
      <c r="AN68" s="3806"/>
      <c r="AO68" s="3806"/>
      <c r="AP68" s="3806"/>
      <c r="AQ68" s="3807"/>
      <c r="AR68" s="1196"/>
      <c r="AS68" s="1151"/>
      <c r="AT68" s="3085"/>
      <c r="AU68" s="3085"/>
      <c r="AV68" s="3085"/>
      <c r="AW68" s="3085"/>
      <c r="AX68" s="3085"/>
      <c r="AY68" s="3085"/>
      <c r="AZ68" s="3085"/>
      <c r="BA68" s="3085"/>
      <c r="BB68" s="3085"/>
      <c r="BC68" s="3085"/>
      <c r="BD68" s="3085"/>
      <c r="BE68" s="3085"/>
      <c r="BF68" s="3085"/>
      <c r="BG68" s="3085"/>
    </row>
    <row r="69" spans="1:59" ht="12" customHeight="1" x14ac:dyDescent="0.2">
      <c r="A69" s="9"/>
      <c r="B69" s="1157"/>
      <c r="C69" s="3805"/>
      <c r="D69" s="3806"/>
      <c r="E69" s="3806"/>
      <c r="F69" s="3806"/>
      <c r="G69" s="3806"/>
      <c r="H69" s="3806"/>
      <c r="I69" s="3806"/>
      <c r="J69" s="3806"/>
      <c r="K69" s="3806"/>
      <c r="L69" s="3806"/>
      <c r="M69" s="3806"/>
      <c r="N69" s="3806"/>
      <c r="O69" s="3806"/>
      <c r="P69" s="3806"/>
      <c r="Q69" s="3806"/>
      <c r="R69" s="3806"/>
      <c r="S69" s="3806"/>
      <c r="T69" s="3806"/>
      <c r="U69" s="3806"/>
      <c r="V69" s="3806"/>
      <c r="W69" s="3807"/>
      <c r="X69" s="577"/>
      <c r="Y69" s="9"/>
      <c r="Z69" s="9"/>
      <c r="AA69" s="485"/>
      <c r="AB69" s="3805"/>
      <c r="AC69" s="3806"/>
      <c r="AD69" s="3806"/>
      <c r="AE69" s="3806"/>
      <c r="AF69" s="3806"/>
      <c r="AG69" s="3806"/>
      <c r="AH69" s="3806"/>
      <c r="AI69" s="3806"/>
      <c r="AJ69" s="3806"/>
      <c r="AK69" s="3806"/>
      <c r="AL69" s="3806"/>
      <c r="AM69" s="3806"/>
      <c r="AN69" s="3806"/>
      <c r="AO69" s="3806"/>
      <c r="AP69" s="3806"/>
      <c r="AQ69" s="3807"/>
      <c r="AR69" s="1196"/>
      <c r="AS69" s="1151"/>
      <c r="AT69" s="3085"/>
      <c r="AU69" s="3085"/>
      <c r="AV69" s="3085"/>
      <c r="AW69" s="3085"/>
      <c r="AX69" s="3085"/>
      <c r="AY69" s="3085"/>
      <c r="AZ69" s="3085"/>
      <c r="BA69" s="3085"/>
      <c r="BB69" s="3085"/>
      <c r="BC69" s="3085"/>
      <c r="BD69" s="3085"/>
      <c r="BE69" s="3085"/>
      <c r="BF69" s="3085"/>
      <c r="BG69" s="3085"/>
    </row>
    <row r="70" spans="1:59" ht="12" customHeight="1" x14ac:dyDescent="0.2">
      <c r="A70" s="9"/>
      <c r="B70" s="1157"/>
      <c r="C70" s="3805"/>
      <c r="D70" s="3806"/>
      <c r="E70" s="3806"/>
      <c r="F70" s="3806"/>
      <c r="G70" s="3806"/>
      <c r="H70" s="3806"/>
      <c r="I70" s="3806"/>
      <c r="J70" s="3806"/>
      <c r="K70" s="3806"/>
      <c r="L70" s="3806"/>
      <c r="M70" s="3806"/>
      <c r="N70" s="3806"/>
      <c r="O70" s="3806"/>
      <c r="P70" s="3806"/>
      <c r="Q70" s="3806"/>
      <c r="R70" s="3806"/>
      <c r="S70" s="3806"/>
      <c r="T70" s="3806"/>
      <c r="U70" s="3806"/>
      <c r="V70" s="3806"/>
      <c r="W70" s="3807"/>
      <c r="X70" s="577"/>
      <c r="Y70" s="9"/>
      <c r="Z70" s="9"/>
      <c r="AA70" s="485"/>
      <c r="AB70" s="3805"/>
      <c r="AC70" s="3806"/>
      <c r="AD70" s="3806"/>
      <c r="AE70" s="3806"/>
      <c r="AF70" s="3806"/>
      <c r="AG70" s="3806"/>
      <c r="AH70" s="3806"/>
      <c r="AI70" s="3806"/>
      <c r="AJ70" s="3806"/>
      <c r="AK70" s="3806"/>
      <c r="AL70" s="3806"/>
      <c r="AM70" s="3806"/>
      <c r="AN70" s="3806"/>
      <c r="AO70" s="3806"/>
      <c r="AP70" s="3806"/>
      <c r="AQ70" s="3807"/>
      <c r="AR70" s="1196"/>
      <c r="AS70" s="1151"/>
      <c r="AT70" s="3085"/>
      <c r="AU70" s="3085"/>
      <c r="AV70" s="3085"/>
      <c r="AW70" s="3085"/>
      <c r="AX70" s="3085"/>
      <c r="AY70" s="3085"/>
      <c r="AZ70" s="3085"/>
      <c r="BA70" s="3085"/>
      <c r="BB70" s="3085"/>
      <c r="BC70" s="3085"/>
      <c r="BD70" s="3085"/>
      <c r="BE70" s="3085"/>
      <c r="BF70" s="3085"/>
      <c r="BG70" s="3085"/>
    </row>
    <row r="71" spans="1:59" ht="12" customHeight="1" thickBot="1" x14ac:dyDescent="0.25">
      <c r="A71" s="9"/>
      <c r="B71" s="1157"/>
      <c r="C71" s="3808"/>
      <c r="D71" s="3809"/>
      <c r="E71" s="3809"/>
      <c r="F71" s="3809"/>
      <c r="G71" s="3809"/>
      <c r="H71" s="3809"/>
      <c r="I71" s="3809"/>
      <c r="J71" s="3809"/>
      <c r="K71" s="3809"/>
      <c r="L71" s="3809"/>
      <c r="M71" s="3809"/>
      <c r="N71" s="3809"/>
      <c r="O71" s="3809"/>
      <c r="P71" s="3809"/>
      <c r="Q71" s="3809"/>
      <c r="R71" s="3809"/>
      <c r="S71" s="3809"/>
      <c r="T71" s="3809"/>
      <c r="U71" s="3809"/>
      <c r="V71" s="3809"/>
      <c r="W71" s="3810"/>
      <c r="X71" s="577"/>
      <c r="Y71" s="9"/>
      <c r="Z71" s="9"/>
      <c r="AA71" s="485"/>
      <c r="AB71" s="3808"/>
      <c r="AC71" s="3809"/>
      <c r="AD71" s="3809"/>
      <c r="AE71" s="3809"/>
      <c r="AF71" s="3809"/>
      <c r="AG71" s="3809"/>
      <c r="AH71" s="3809"/>
      <c r="AI71" s="3809"/>
      <c r="AJ71" s="3809"/>
      <c r="AK71" s="3809"/>
      <c r="AL71" s="3809"/>
      <c r="AM71" s="3809"/>
      <c r="AN71" s="3809"/>
      <c r="AO71" s="3809"/>
      <c r="AP71" s="3809"/>
      <c r="AQ71" s="3810"/>
      <c r="AR71" s="1196"/>
      <c r="AS71" s="1151"/>
      <c r="AT71" s="3085"/>
      <c r="AU71" s="3085"/>
      <c r="AV71" s="3085"/>
      <c r="AW71" s="3085"/>
      <c r="AX71" s="3085"/>
      <c r="AY71" s="3085"/>
      <c r="AZ71" s="3085"/>
      <c r="BA71" s="3085"/>
      <c r="BB71" s="3085"/>
      <c r="BC71" s="3085"/>
      <c r="BD71" s="3085"/>
      <c r="BE71" s="3085"/>
      <c r="BF71" s="3085"/>
      <c r="BG71" s="3085"/>
    </row>
    <row r="72" spans="1:59"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85"/>
      <c r="AU72" s="3085"/>
      <c r="AV72" s="3085"/>
      <c r="AW72" s="3085"/>
      <c r="AX72" s="3085"/>
      <c r="AY72" s="3085"/>
      <c r="AZ72" s="3085"/>
      <c r="BA72" s="3085"/>
      <c r="BB72" s="3085"/>
      <c r="BC72" s="3085"/>
      <c r="BD72" s="3085"/>
      <c r="BE72" s="3085"/>
      <c r="BF72" s="3085"/>
      <c r="BG72" s="3085"/>
    </row>
    <row r="73" spans="1:59"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5"/>
      <c r="AU73" s="3085"/>
      <c r="AV73" s="3085"/>
      <c r="AW73" s="3085"/>
      <c r="AX73" s="3085"/>
      <c r="AY73" s="3085"/>
      <c r="AZ73" s="3085"/>
      <c r="BA73" s="3085"/>
      <c r="BB73" s="3085"/>
      <c r="BC73" s="3085"/>
      <c r="BD73" s="3085"/>
      <c r="BE73" s="3085"/>
      <c r="BF73" s="3085"/>
      <c r="BG73" s="3085"/>
    </row>
  </sheetData>
  <sheetProtection sheet="1" objects="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6" t="s">
        <v>8736</v>
      </c>
      <c r="AN1" s="3127"/>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6"/>
      <c r="AN2" s="3127"/>
    </row>
    <row r="3" spans="1:40" ht="12" customHeight="1" x14ac:dyDescent="0.2">
      <c r="A3" s="392"/>
      <c r="B3" s="1082"/>
      <c r="C3" s="4568" t="s">
        <v>10159</v>
      </c>
      <c r="D3" s="4569"/>
      <c r="E3" s="4569"/>
      <c r="F3" s="4569"/>
      <c r="G3" s="4569"/>
      <c r="H3" s="4569"/>
      <c r="I3" s="396"/>
      <c r="J3" s="396"/>
      <c r="K3" s="396"/>
      <c r="L3" s="396"/>
      <c r="M3" s="396"/>
      <c r="N3" s="396"/>
      <c r="O3" s="396"/>
      <c r="P3" s="396"/>
      <c r="Q3" s="397"/>
      <c r="R3" s="1071"/>
      <c r="S3" s="892"/>
      <c r="T3" s="892"/>
      <c r="U3" s="279"/>
      <c r="V3" s="4568" t="s">
        <v>10159</v>
      </c>
      <c r="W3" s="4569"/>
      <c r="X3" s="4569"/>
      <c r="Y3" s="4569"/>
      <c r="Z3" s="4569"/>
      <c r="AA3" s="2741"/>
      <c r="AB3" s="396"/>
      <c r="AC3" s="396"/>
      <c r="AD3" s="396"/>
      <c r="AE3" s="396"/>
      <c r="AF3" s="396"/>
      <c r="AG3" s="396"/>
      <c r="AH3" s="396"/>
      <c r="AI3" s="396"/>
      <c r="AJ3" s="397"/>
      <c r="AK3" s="398"/>
      <c r="AL3" s="392"/>
      <c r="AM3" s="3126"/>
      <c r="AN3" s="3127"/>
    </row>
    <row r="4" spans="1:40" ht="12" customHeight="1" x14ac:dyDescent="0.2">
      <c r="A4" s="392"/>
      <c r="B4" s="1082"/>
      <c r="C4" s="4570"/>
      <c r="D4" s="4571"/>
      <c r="E4" s="4571"/>
      <c r="F4" s="4571"/>
      <c r="G4" s="4571"/>
      <c r="H4" s="4571"/>
      <c r="I4" s="330"/>
      <c r="J4" s="4574" t="s">
        <v>1323</v>
      </c>
      <c r="K4" s="4575"/>
      <c r="L4" s="4353" t="str">
        <f>IF(OR(General!$F$22="",General!$F$22=0),"",General!$F$22)</f>
        <v/>
      </c>
      <c r="M4" s="4353"/>
      <c r="N4" s="4353"/>
      <c r="O4" s="4353"/>
      <c r="P4" s="4353"/>
      <c r="Q4" s="352"/>
      <c r="R4" s="1072"/>
      <c r="S4" s="892"/>
      <c r="T4" s="892"/>
      <c r="U4" s="279"/>
      <c r="V4" s="4570"/>
      <c r="W4" s="4579"/>
      <c r="X4" s="4579"/>
      <c r="Y4" s="4579"/>
      <c r="Z4" s="4579"/>
      <c r="AA4" s="2742"/>
      <c r="AB4" s="330"/>
      <c r="AC4" s="4574" t="s">
        <v>1323</v>
      </c>
      <c r="AD4" s="4575"/>
      <c r="AE4" s="4353" t="str">
        <f>IF(OR(General!$F$22="",General!$F$22=0),"",General!$F$22)</f>
        <v/>
      </c>
      <c r="AF4" s="4353"/>
      <c r="AG4" s="4353"/>
      <c r="AH4" s="4353"/>
      <c r="AI4" s="4353"/>
      <c r="AJ4" s="352"/>
      <c r="AK4" s="398"/>
      <c r="AL4" s="392"/>
      <c r="AM4" s="3126"/>
      <c r="AN4" s="3127"/>
    </row>
    <row r="5" spans="1:40" ht="12" customHeight="1" x14ac:dyDescent="0.2">
      <c r="A5" s="392"/>
      <c r="B5" s="1082"/>
      <c r="C5" s="4570"/>
      <c r="D5" s="4571"/>
      <c r="E5" s="4571"/>
      <c r="F5" s="4571"/>
      <c r="G5" s="4571"/>
      <c r="H5" s="4571"/>
      <c r="I5" s="330"/>
      <c r="J5" s="4564" t="s">
        <v>1324</v>
      </c>
      <c r="K5" s="4565"/>
      <c r="L5" s="3184" t="str">
        <f>IF(LEN(PDs!$E$11)&lt;=General!$AO$5,PDs!$E$11,"… /"&amp;RIGHT(PDs!$E$11,General!$AO$5-FIND("/",RIGHT(PDs!$E$11,General!$AO$5))))</f>
        <v/>
      </c>
      <c r="M5" s="3184"/>
      <c r="N5" s="3184"/>
      <c r="O5" s="2250" t="s">
        <v>1325</v>
      </c>
      <c r="P5" s="2251" t="str">
        <f>Principal!$O$6</f>
        <v>0</v>
      </c>
      <c r="Q5" s="399"/>
      <c r="R5" s="1072"/>
      <c r="S5" s="892"/>
      <c r="T5" s="892"/>
      <c r="U5" s="279"/>
      <c r="V5" s="4570"/>
      <c r="W5" s="4579"/>
      <c r="X5" s="4579"/>
      <c r="Y5" s="4579"/>
      <c r="Z5" s="4579"/>
      <c r="AA5" s="2742"/>
      <c r="AB5" s="330"/>
      <c r="AC5" s="4564" t="s">
        <v>1324</v>
      </c>
      <c r="AD5" s="4565"/>
      <c r="AE5" s="3184" t="str">
        <f>IF(LEN(PDs!$E$11)&lt;=General!$AO$5,PDs!$E$11,"… /"&amp;RIGHT(PDs!$E$11,General!$AO$5-FIND("/",RIGHT(PDs!$E$11,General!$AO$5))))</f>
        <v/>
      </c>
      <c r="AF5" s="3184"/>
      <c r="AG5" s="3184"/>
      <c r="AH5" s="2250" t="s">
        <v>1325</v>
      </c>
      <c r="AI5" s="2251" t="str">
        <f>Principal!$O$6</f>
        <v>0</v>
      </c>
      <c r="AJ5" s="399"/>
      <c r="AK5" s="398"/>
      <c r="AL5" s="392"/>
      <c r="AM5" s="3126"/>
      <c r="AN5" s="3127"/>
    </row>
    <row r="6" spans="1:40" ht="12" customHeight="1" x14ac:dyDescent="0.2">
      <c r="A6" s="392"/>
      <c r="B6" s="1082"/>
      <c r="C6" s="4570"/>
      <c r="D6" s="4571"/>
      <c r="E6" s="4571"/>
      <c r="F6" s="4571"/>
      <c r="G6" s="4571"/>
      <c r="H6" s="4571"/>
      <c r="I6" s="330"/>
      <c r="J6" s="4566" t="s">
        <v>1582</v>
      </c>
      <c r="K6" s="4567"/>
      <c r="L6" s="4567"/>
      <c r="M6" s="4567"/>
      <c r="N6" s="4567"/>
      <c r="O6" s="4567"/>
      <c r="P6" s="4567"/>
      <c r="Q6" s="399"/>
      <c r="R6" s="1072"/>
      <c r="S6" s="892"/>
      <c r="T6" s="892"/>
      <c r="U6" s="279"/>
      <c r="V6" s="4570"/>
      <c r="W6" s="4579"/>
      <c r="X6" s="4579"/>
      <c r="Y6" s="4579"/>
      <c r="Z6" s="4579"/>
      <c r="AA6" s="2742"/>
      <c r="AB6" s="330"/>
      <c r="AC6" s="4566" t="s">
        <v>8495</v>
      </c>
      <c r="AD6" s="4567"/>
      <c r="AE6" s="4567"/>
      <c r="AF6" s="4567"/>
      <c r="AG6" s="4567"/>
      <c r="AH6" s="4567"/>
      <c r="AI6" s="4567"/>
      <c r="AJ6" s="399"/>
      <c r="AK6" s="398"/>
      <c r="AL6" s="392"/>
      <c r="AM6" s="3126"/>
      <c r="AN6" s="3127"/>
    </row>
    <row r="7" spans="1:40" ht="12" customHeight="1" x14ac:dyDescent="0.2">
      <c r="A7" s="392"/>
      <c r="B7" s="1082"/>
      <c r="C7" s="4570"/>
      <c r="D7" s="4571"/>
      <c r="E7" s="4571"/>
      <c r="F7" s="4571"/>
      <c r="G7" s="4571"/>
      <c r="H7" s="4571"/>
      <c r="I7" s="330"/>
      <c r="J7" s="4567"/>
      <c r="K7" s="4567"/>
      <c r="L7" s="4567"/>
      <c r="M7" s="4567"/>
      <c r="N7" s="4567"/>
      <c r="O7" s="4567"/>
      <c r="P7" s="4567"/>
      <c r="Q7" s="399"/>
      <c r="R7" s="1072"/>
      <c r="S7" s="892"/>
      <c r="T7" s="892"/>
      <c r="U7" s="279"/>
      <c r="V7" s="4570"/>
      <c r="W7" s="4579"/>
      <c r="X7" s="4579"/>
      <c r="Y7" s="4579"/>
      <c r="Z7" s="4579"/>
      <c r="AA7" s="2742"/>
      <c r="AB7" s="330"/>
      <c r="AC7" s="4567"/>
      <c r="AD7" s="4567"/>
      <c r="AE7" s="4567"/>
      <c r="AF7" s="4567"/>
      <c r="AG7" s="4567"/>
      <c r="AH7" s="4567"/>
      <c r="AI7" s="4567"/>
      <c r="AJ7" s="399"/>
      <c r="AK7" s="398"/>
      <c r="AL7" s="392"/>
      <c r="AM7" s="3126"/>
      <c r="AN7" s="3127"/>
    </row>
    <row r="8" spans="1:40" ht="12" customHeight="1" thickBot="1" x14ac:dyDescent="0.25">
      <c r="A8" s="392"/>
      <c r="B8" s="1082"/>
      <c r="C8" s="4572"/>
      <c r="D8" s="4573"/>
      <c r="E8" s="4573"/>
      <c r="F8" s="4573"/>
      <c r="G8" s="4573"/>
      <c r="H8" s="4573"/>
      <c r="I8" s="400"/>
      <c r="J8" s="400"/>
      <c r="K8" s="400"/>
      <c r="L8" s="400"/>
      <c r="M8" s="400"/>
      <c r="N8" s="400"/>
      <c r="O8" s="400"/>
      <c r="P8" s="400"/>
      <c r="Q8" s="401"/>
      <c r="R8" s="1072"/>
      <c r="S8" s="892"/>
      <c r="T8" s="892"/>
      <c r="U8" s="279"/>
      <c r="V8" s="4572"/>
      <c r="W8" s="4573"/>
      <c r="X8" s="4573"/>
      <c r="Y8" s="4573"/>
      <c r="Z8" s="4573"/>
      <c r="AA8" s="2743"/>
      <c r="AB8" s="400"/>
      <c r="AC8" s="400"/>
      <c r="AD8" s="400"/>
      <c r="AE8" s="400"/>
      <c r="AF8" s="400"/>
      <c r="AG8" s="400"/>
      <c r="AH8" s="400"/>
      <c r="AI8" s="400"/>
      <c r="AJ8" s="401"/>
      <c r="AK8" s="398"/>
      <c r="AL8" s="392"/>
      <c r="AM8" s="3126"/>
      <c r="AN8" s="3127"/>
    </row>
    <row r="9" spans="1:40" ht="12" customHeight="1" thickBot="1" x14ac:dyDescent="0.25">
      <c r="A9" s="392"/>
      <c r="B9" s="1082"/>
      <c r="R9" s="1072"/>
      <c r="S9" s="892"/>
      <c r="T9" s="892"/>
      <c r="U9" s="279"/>
      <c r="V9" s="4555"/>
      <c r="W9" s="4555"/>
      <c r="X9" s="4555"/>
      <c r="Y9" s="4555"/>
      <c r="Z9" s="4555"/>
      <c r="AA9" s="4555"/>
      <c r="AB9" s="4555"/>
      <c r="AC9" s="4555"/>
      <c r="AD9" s="4555"/>
      <c r="AE9" s="4555"/>
      <c r="AF9" s="4555"/>
      <c r="AG9" s="4555"/>
      <c r="AH9" s="4555"/>
      <c r="AI9" s="4555"/>
      <c r="AJ9" s="4555"/>
      <c r="AK9" s="398"/>
      <c r="AL9" s="392"/>
      <c r="AM9" s="3126"/>
      <c r="AN9" s="3127"/>
    </row>
    <row r="10" spans="1:40" ht="12" customHeight="1" thickBot="1" x14ac:dyDescent="0.25">
      <c r="A10" s="392"/>
      <c r="B10" s="1082"/>
      <c r="C10" s="4464" t="s">
        <v>1584</v>
      </c>
      <c r="D10" s="4563"/>
      <c r="E10" s="4563"/>
      <c r="F10" s="4465"/>
      <c r="G10" s="1857"/>
      <c r="H10" s="1604" t="s">
        <v>8306</v>
      </c>
      <c r="I10" s="1540" t="s">
        <v>2583</v>
      </c>
      <c r="J10" s="1076"/>
      <c r="K10" s="4437" t="s">
        <v>1585</v>
      </c>
      <c r="L10" s="4438"/>
      <c r="M10" s="4438"/>
      <c r="N10" s="4438"/>
      <c r="O10" s="4438"/>
      <c r="P10" s="4441">
        <f>IF(Q10=0,40,"-")</f>
        <v>40</v>
      </c>
      <c r="Q10" s="4443"/>
      <c r="R10" s="4544" t="b">
        <f>P10="-"</f>
        <v>0</v>
      </c>
      <c r="S10" s="892"/>
      <c r="T10" s="892"/>
      <c r="U10" s="279"/>
      <c r="V10" s="4556" t="s">
        <v>1586</v>
      </c>
      <c r="W10" s="4557"/>
      <c r="X10" s="4557"/>
      <c r="Y10" s="4558"/>
      <c r="Z10" s="422"/>
      <c r="AA10" s="4559" t="s">
        <v>1587</v>
      </c>
      <c r="AB10" s="4560"/>
      <c r="AC10" s="4560"/>
      <c r="AD10" s="4560"/>
      <c r="AE10" s="4560"/>
      <c r="AF10" s="4560"/>
      <c r="AG10" s="4560"/>
      <c r="AH10" s="4560"/>
      <c r="AI10" s="4560"/>
      <c r="AJ10" s="4561"/>
      <c r="AK10" s="398"/>
      <c r="AL10" s="392"/>
      <c r="AM10" s="3126"/>
      <c r="AN10" s="3127"/>
    </row>
    <row r="11" spans="1:40" ht="12" customHeight="1" thickBot="1" x14ac:dyDescent="0.25">
      <c r="A11" s="392"/>
      <c r="B11" s="1082"/>
      <c r="C11" s="436"/>
      <c r="D11" s="338" t="s">
        <v>1588</v>
      </c>
      <c r="E11" s="338" t="s">
        <v>8788</v>
      </c>
      <c r="F11" s="1856" t="s">
        <v>1589</v>
      </c>
      <c r="G11" s="4576" t="s">
        <v>1590</v>
      </c>
      <c r="H11" s="4577"/>
      <c r="I11" s="4578"/>
      <c r="J11" s="1076"/>
      <c r="K11" s="4439"/>
      <c r="L11" s="4440"/>
      <c r="M11" s="4440"/>
      <c r="N11" s="4440"/>
      <c r="O11" s="4440"/>
      <c r="P11" s="4442"/>
      <c r="Q11" s="4444"/>
      <c r="R11" s="4544" t="b">
        <f>P11="-"</f>
        <v>0</v>
      </c>
      <c r="S11" s="892"/>
      <c r="T11" s="892"/>
      <c r="U11" s="279"/>
      <c r="V11" s="4504" t="s">
        <v>1591</v>
      </c>
      <c r="W11" s="4525"/>
      <c r="X11" s="4543"/>
      <c r="Y11" s="4546"/>
      <c r="Z11" s="437"/>
      <c r="AA11" s="4483" t="s">
        <v>1592</v>
      </c>
      <c r="AB11" s="4484"/>
      <c r="AC11" s="4550"/>
      <c r="AD11" s="4484" t="s">
        <v>1593</v>
      </c>
      <c r="AE11" s="4484"/>
      <c r="AF11" s="4484"/>
      <c r="AG11" s="4484"/>
      <c r="AH11" s="4484"/>
      <c r="AI11" s="4484"/>
      <c r="AJ11" s="4562"/>
      <c r="AK11" s="398"/>
      <c r="AL11" s="392"/>
      <c r="AM11" s="3126"/>
      <c r="AN11" s="3127"/>
    </row>
    <row r="12" spans="1:40" ht="12" customHeight="1" x14ac:dyDescent="0.2">
      <c r="A12" s="392"/>
      <c r="B12" s="1082"/>
      <c r="C12" s="4545" t="s">
        <v>1373</v>
      </c>
      <c r="D12" s="4488">
        <f>PDs!$AA36</f>
        <v>0</v>
      </c>
      <c r="E12" s="4496">
        <f>IF(Tablas!$G$379,D12,CEILING(Ki!D12/2,1))</f>
        <v>0</v>
      </c>
      <c r="F12" s="4490" t="str">
        <f>IF(OR(Tablas!$G$382&gt;0,Tablas!$H$1445&gt;0,$I$10&lt;&gt;"No"),"-",PDs!$AA$30)</f>
        <v>-</v>
      </c>
      <c r="G12" s="4552"/>
      <c r="H12" s="4553"/>
      <c r="I12" s="4554"/>
      <c r="J12" s="1076"/>
      <c r="K12" s="4426" t="s">
        <v>1594</v>
      </c>
      <c r="L12" s="4427"/>
      <c r="M12" s="4427"/>
      <c r="N12" s="4427"/>
      <c r="O12" s="4427"/>
      <c r="P12" s="1460">
        <f>IF(Q12=0,30,"-")</f>
        <v>30</v>
      </c>
      <c r="Q12" s="1606"/>
      <c r="R12" s="1072" t="b">
        <f>P12="-"</f>
        <v>0</v>
      </c>
      <c r="S12" s="892"/>
      <c r="T12" s="892"/>
      <c r="U12" s="279"/>
      <c r="V12" s="4504"/>
      <c r="W12" s="4525"/>
      <c r="X12" s="4528"/>
      <c r="Y12" s="4530"/>
      <c r="Z12" s="437"/>
      <c r="AA12" s="4547"/>
      <c r="AB12" s="4548"/>
      <c r="AC12" s="4549"/>
      <c r="AD12" s="4540"/>
      <c r="AE12" s="4541"/>
      <c r="AF12" s="4541"/>
      <c r="AG12" s="4541"/>
      <c r="AH12" s="4541"/>
      <c r="AI12" s="4541"/>
      <c r="AJ12" s="4542"/>
      <c r="AK12" s="398"/>
      <c r="AL12" s="392"/>
      <c r="AM12" s="3126"/>
      <c r="AN12" s="3127"/>
    </row>
    <row r="13" spans="1:40" ht="12" customHeight="1" x14ac:dyDescent="0.2">
      <c r="A13" s="392"/>
      <c r="B13" s="1082"/>
      <c r="C13" s="4504"/>
      <c r="D13" s="4505"/>
      <c r="E13" s="4551"/>
      <c r="F13" s="4506"/>
      <c r="G13" s="4511"/>
      <c r="H13" s="4512"/>
      <c r="I13" s="3744"/>
      <c r="J13" s="1076"/>
      <c r="K13" s="438" t="s">
        <v>1595</v>
      </c>
      <c r="L13" s="4510" t="s">
        <v>1596</v>
      </c>
      <c r="M13" s="4510"/>
      <c r="N13" s="4510"/>
      <c r="O13" s="4510"/>
      <c r="P13" s="1460">
        <f>IF(Q13=0,20,"-")</f>
        <v>20</v>
      </c>
      <c r="Q13" s="1607"/>
      <c r="R13" s="1072" t="b">
        <f t="shared" ref="R13:R62" si="0">P13="-"</f>
        <v>0</v>
      </c>
      <c r="S13" s="892"/>
      <c r="T13" s="892"/>
      <c r="U13" s="279"/>
      <c r="V13" s="4504" t="s">
        <v>1597</v>
      </c>
      <c r="W13" s="4525"/>
      <c r="X13" s="4528"/>
      <c r="Y13" s="4530"/>
      <c r="Z13" s="350"/>
      <c r="AA13" s="3527"/>
      <c r="AB13" s="3528"/>
      <c r="AC13" s="4522"/>
      <c r="AD13" s="4523"/>
      <c r="AE13" s="3529"/>
      <c r="AF13" s="3529"/>
      <c r="AG13" s="3529"/>
      <c r="AH13" s="3529"/>
      <c r="AI13" s="3529"/>
      <c r="AJ13" s="4524"/>
      <c r="AK13" s="398"/>
      <c r="AL13" s="392"/>
      <c r="AM13" s="3126"/>
      <c r="AN13" s="3127"/>
    </row>
    <row r="14" spans="1:40" ht="12" customHeight="1" x14ac:dyDescent="0.2">
      <c r="A14" s="392"/>
      <c r="B14" s="1082"/>
      <c r="C14" s="4498" t="s">
        <v>1497</v>
      </c>
      <c r="D14" s="4500">
        <f>PDs!$AA37</f>
        <v>0</v>
      </c>
      <c r="E14" s="4508">
        <f>IF(Tablas!$G$379,D14,CEILING(Ki!D14/2,1))</f>
        <v>0</v>
      </c>
      <c r="F14" s="4502" t="str">
        <f>IF(OR(Tablas!$G$382&gt;0,Tablas!$H$1445&gt;0,$I$10&lt;&gt;"No"),"-",PDs!$AA$31)</f>
        <v>-</v>
      </c>
      <c r="G14" s="4513"/>
      <c r="H14" s="4514"/>
      <c r="I14" s="4515"/>
      <c r="J14" s="1076"/>
      <c r="K14" s="438" t="s">
        <v>1598</v>
      </c>
      <c r="L14" s="439" t="s">
        <v>1599</v>
      </c>
      <c r="M14" s="4460" t="s">
        <v>1600</v>
      </c>
      <c r="N14" s="4460"/>
      <c r="O14" s="4460"/>
      <c r="P14" s="1460">
        <f>IF(Q14=0,10,"-")</f>
        <v>10</v>
      </c>
      <c r="Q14" s="1607"/>
      <c r="R14" s="1072" t="b">
        <f t="shared" si="0"/>
        <v>0</v>
      </c>
      <c r="S14" s="892"/>
      <c r="T14" s="892"/>
      <c r="U14" s="279"/>
      <c r="V14" s="4504"/>
      <c r="W14" s="4525"/>
      <c r="X14" s="4528"/>
      <c r="Y14" s="4530"/>
      <c r="Z14" s="426"/>
      <c r="AA14" s="3527"/>
      <c r="AB14" s="3528"/>
      <c r="AC14" s="4522"/>
      <c r="AD14" s="4523"/>
      <c r="AE14" s="3529"/>
      <c r="AF14" s="3529"/>
      <c r="AG14" s="3529"/>
      <c r="AH14" s="3529"/>
      <c r="AI14" s="3529"/>
      <c r="AJ14" s="4524"/>
      <c r="AK14" s="398"/>
      <c r="AL14" s="392"/>
      <c r="AM14" s="3126"/>
      <c r="AN14" s="3127"/>
    </row>
    <row r="15" spans="1:40" ht="12" customHeight="1" x14ac:dyDescent="0.2">
      <c r="A15" s="392"/>
      <c r="B15" s="1082"/>
      <c r="C15" s="4498"/>
      <c r="D15" s="4500"/>
      <c r="E15" s="4508"/>
      <c r="F15" s="4502"/>
      <c r="G15" s="4513"/>
      <c r="H15" s="4514"/>
      <c r="I15" s="4515"/>
      <c r="J15" s="1076"/>
      <c r="K15" s="438" t="s">
        <v>1595</v>
      </c>
      <c r="L15" s="4460" t="s">
        <v>1601</v>
      </c>
      <c r="M15" s="4460"/>
      <c r="N15" s="4460"/>
      <c r="O15" s="4460"/>
      <c r="P15" s="1460">
        <f>IF(Q15=0,40,"-")</f>
        <v>40</v>
      </c>
      <c r="Q15" s="1607"/>
      <c r="R15" s="1072" t="b">
        <f t="shared" si="0"/>
        <v>0</v>
      </c>
      <c r="S15" s="892"/>
      <c r="T15" s="892"/>
      <c r="U15" s="279"/>
      <c r="V15" s="4504" t="s">
        <v>1602</v>
      </c>
      <c r="W15" s="4525"/>
      <c r="X15" s="4528"/>
      <c r="Y15" s="4530"/>
      <c r="Z15" s="440"/>
      <c r="AA15" s="3527"/>
      <c r="AB15" s="3528"/>
      <c r="AC15" s="4522"/>
      <c r="AD15" s="4523"/>
      <c r="AE15" s="3529"/>
      <c r="AF15" s="3529"/>
      <c r="AG15" s="3529"/>
      <c r="AH15" s="3529"/>
      <c r="AI15" s="3529"/>
      <c r="AJ15" s="4524"/>
      <c r="AK15" s="398"/>
      <c r="AL15" s="392"/>
      <c r="AM15" s="3126"/>
      <c r="AN15" s="3127"/>
    </row>
    <row r="16" spans="1:40" ht="12" customHeight="1" x14ac:dyDescent="0.2">
      <c r="A16" s="392"/>
      <c r="B16" s="1082"/>
      <c r="C16" s="4504" t="s">
        <v>1378</v>
      </c>
      <c r="D16" s="4505">
        <f>PDs!$AA38</f>
        <v>0</v>
      </c>
      <c r="E16" s="4507">
        <f>IF(Tablas!$G$379,D16,CEILING(Ki!D16/2,1))</f>
        <v>0</v>
      </c>
      <c r="F16" s="4506" t="str">
        <f>IF(OR(Tablas!$G$382&gt;0,Tablas!$H$1445&gt;0,$I$10&lt;&gt;"No"),"-",PDs!$AA$32)</f>
        <v>-</v>
      </c>
      <c r="G16" s="4511"/>
      <c r="H16" s="4512"/>
      <c r="I16" s="3744"/>
      <c r="J16" s="1076"/>
      <c r="K16" s="438" t="s">
        <v>1595</v>
      </c>
      <c r="L16" s="4460" t="s">
        <v>1603</v>
      </c>
      <c r="M16" s="4460"/>
      <c r="N16" s="4460"/>
      <c r="O16" s="4460"/>
      <c r="P16" s="1460">
        <f>IF(Q16=0,10,"-")</f>
        <v>10</v>
      </c>
      <c r="Q16" s="1607"/>
      <c r="R16" s="1072" t="b">
        <f t="shared" si="0"/>
        <v>0</v>
      </c>
      <c r="S16" s="892"/>
      <c r="T16" s="892"/>
      <c r="U16" s="279"/>
      <c r="V16" s="4504"/>
      <c r="W16" s="4525"/>
      <c r="X16" s="4528"/>
      <c r="Y16" s="4530"/>
      <c r="Z16" s="440"/>
      <c r="AA16" s="3527"/>
      <c r="AB16" s="3528"/>
      <c r="AC16" s="4522"/>
      <c r="AD16" s="4523"/>
      <c r="AE16" s="3529"/>
      <c r="AF16" s="3529"/>
      <c r="AG16" s="3529"/>
      <c r="AH16" s="3529"/>
      <c r="AI16" s="3529"/>
      <c r="AJ16" s="4524"/>
      <c r="AK16" s="398"/>
      <c r="AL16" s="392"/>
      <c r="AM16" s="3126"/>
      <c r="AN16" s="3127"/>
    </row>
    <row r="17" spans="1:40" ht="12" customHeight="1" x14ac:dyDescent="0.2">
      <c r="A17" s="392"/>
      <c r="B17" s="1082"/>
      <c r="C17" s="4504"/>
      <c r="D17" s="4505"/>
      <c r="E17" s="4507"/>
      <c r="F17" s="4506"/>
      <c r="G17" s="4511"/>
      <c r="H17" s="4512"/>
      <c r="I17" s="3744"/>
      <c r="J17" s="1076"/>
      <c r="K17" s="438" t="s">
        <v>1598</v>
      </c>
      <c r="L17" s="441" t="s">
        <v>1595</v>
      </c>
      <c r="M17" s="4510" t="s">
        <v>1604</v>
      </c>
      <c r="N17" s="4510"/>
      <c r="O17" s="4510"/>
      <c r="P17" s="1460">
        <f>IF(Q17=0,30,"-")</f>
        <v>30</v>
      </c>
      <c r="Q17" s="1607"/>
      <c r="R17" s="1072" t="b">
        <f t="shared" si="0"/>
        <v>0</v>
      </c>
      <c r="S17" s="892"/>
      <c r="T17" s="892"/>
      <c r="U17" s="279"/>
      <c r="V17" s="4504" t="s">
        <v>1605</v>
      </c>
      <c r="W17" s="4525"/>
      <c r="X17" s="4528"/>
      <c r="Y17" s="4530"/>
      <c r="Z17" s="442"/>
      <c r="AA17" s="3527"/>
      <c r="AB17" s="3528"/>
      <c r="AC17" s="4522"/>
      <c r="AD17" s="4523"/>
      <c r="AE17" s="3529"/>
      <c r="AF17" s="3529"/>
      <c r="AG17" s="3529"/>
      <c r="AH17" s="3529"/>
      <c r="AI17" s="3529"/>
      <c r="AJ17" s="4524"/>
      <c r="AK17" s="398"/>
      <c r="AL17" s="392"/>
      <c r="AM17" s="3126"/>
      <c r="AN17" s="3127"/>
    </row>
    <row r="18" spans="1:40" ht="12" customHeight="1" x14ac:dyDescent="0.2">
      <c r="A18" s="392"/>
      <c r="B18" s="1082"/>
      <c r="C18" s="4498" t="s">
        <v>1383</v>
      </c>
      <c r="D18" s="4500">
        <f>PDs!$AA39</f>
        <v>0</v>
      </c>
      <c r="E18" s="4508">
        <f>IF(Tablas!$G$379,D18,CEILING(Ki!D18/2,1))</f>
        <v>0</v>
      </c>
      <c r="F18" s="4502" t="str">
        <f>IF(OR(Tablas!$G$382&gt;0,Tablas!$H$1445&gt;0,$I$10&lt;&gt;"No"),"-",PDs!$AA$33)</f>
        <v>-</v>
      </c>
      <c r="G18" s="4513"/>
      <c r="H18" s="4514"/>
      <c r="I18" s="4515"/>
      <c r="J18" s="1076"/>
      <c r="K18" s="438" t="s">
        <v>1598</v>
      </c>
      <c r="L18" s="441" t="s">
        <v>1598</v>
      </c>
      <c r="M18" s="441" t="s">
        <v>1606</v>
      </c>
      <c r="N18" s="4539" t="s">
        <v>1607</v>
      </c>
      <c r="O18" s="4539"/>
      <c r="P18" s="1460">
        <f>IF(Q18=0,20,"-")</f>
        <v>20</v>
      </c>
      <c r="Q18" s="1607"/>
      <c r="R18" s="1072" t="b">
        <f t="shared" si="0"/>
        <v>0</v>
      </c>
      <c r="S18" s="892"/>
      <c r="T18" s="892"/>
      <c r="U18" s="279"/>
      <c r="V18" s="4504"/>
      <c r="W18" s="4525"/>
      <c r="X18" s="4528"/>
      <c r="Y18" s="4530"/>
      <c r="Z18" s="443"/>
      <c r="AA18" s="3527"/>
      <c r="AB18" s="3528"/>
      <c r="AC18" s="4522"/>
      <c r="AD18" s="4523"/>
      <c r="AE18" s="3529"/>
      <c r="AF18" s="3529"/>
      <c r="AG18" s="3529"/>
      <c r="AH18" s="3529"/>
      <c r="AI18" s="3529"/>
      <c r="AJ18" s="4524"/>
      <c r="AK18" s="398"/>
      <c r="AL18" s="392"/>
      <c r="AM18" s="3126"/>
      <c r="AN18" s="3127"/>
    </row>
    <row r="19" spans="1:40" ht="12" customHeight="1" x14ac:dyDescent="0.2">
      <c r="A19" s="392"/>
      <c r="B19" s="1082"/>
      <c r="C19" s="4498"/>
      <c r="D19" s="4500"/>
      <c r="E19" s="4508"/>
      <c r="F19" s="4502"/>
      <c r="G19" s="4513"/>
      <c r="H19" s="4514"/>
      <c r="I19" s="4515"/>
      <c r="J19" s="1076"/>
      <c r="K19" s="438" t="s">
        <v>1598</v>
      </c>
      <c r="L19" s="441" t="s">
        <v>1595</v>
      </c>
      <c r="M19" s="4510" t="s">
        <v>1608</v>
      </c>
      <c r="N19" s="4510"/>
      <c r="O19" s="4510"/>
      <c r="P19" s="1460">
        <f>IF(Q19=0,30,"-")</f>
        <v>30</v>
      </c>
      <c r="Q19" s="1607"/>
      <c r="R19" s="1072" t="b">
        <f t="shared" si="0"/>
        <v>0</v>
      </c>
      <c r="S19" s="892"/>
      <c r="T19" s="892"/>
      <c r="U19" s="279"/>
      <c r="V19" s="4504" t="s">
        <v>1609</v>
      </c>
      <c r="W19" s="4525"/>
      <c r="X19" s="4528"/>
      <c r="Y19" s="4530"/>
      <c r="Z19" s="443"/>
      <c r="AA19" s="3527"/>
      <c r="AB19" s="3528"/>
      <c r="AC19" s="4522"/>
      <c r="AD19" s="4523"/>
      <c r="AE19" s="3529"/>
      <c r="AF19" s="3529"/>
      <c r="AG19" s="3529"/>
      <c r="AH19" s="3529"/>
      <c r="AI19" s="3529"/>
      <c r="AJ19" s="4524"/>
      <c r="AK19" s="398"/>
      <c r="AL19" s="392"/>
      <c r="AM19" s="3126"/>
      <c r="AN19" s="3127"/>
    </row>
    <row r="20" spans="1:40" ht="12" customHeight="1" thickBot="1" x14ac:dyDescent="0.25">
      <c r="A20" s="392"/>
      <c r="B20" s="1082"/>
      <c r="C20" s="4504" t="s">
        <v>1390</v>
      </c>
      <c r="D20" s="4505">
        <f>PDs!$AA40</f>
        <v>0</v>
      </c>
      <c r="E20" s="4507">
        <f>IF(Tablas!$G$379,D20,CEILING(Ki!D20/2,1))</f>
        <v>0</v>
      </c>
      <c r="F20" s="4506" t="str">
        <f>IF(OR(Tablas!$G$382&gt;0,Tablas!$H$1445&gt;0,$I$10&lt;&gt;"No"),"-",PDs!$AA$34)</f>
        <v>-</v>
      </c>
      <c r="G20" s="4511"/>
      <c r="H20" s="4512"/>
      <c r="I20" s="3744"/>
      <c r="J20" s="1076"/>
      <c r="K20" s="438" t="s">
        <v>1598</v>
      </c>
      <c r="L20" s="441" t="s">
        <v>1598</v>
      </c>
      <c r="M20" s="441" t="s">
        <v>1595</v>
      </c>
      <c r="N20" s="4460" t="s">
        <v>1610</v>
      </c>
      <c r="O20" s="4460"/>
      <c r="P20" s="1460">
        <f>IF(Q20=0,30,"-")</f>
        <v>30</v>
      </c>
      <c r="Q20" s="1607"/>
      <c r="R20" s="1072" t="b">
        <f t="shared" si="0"/>
        <v>0</v>
      </c>
      <c r="S20" s="892"/>
      <c r="T20" s="892"/>
      <c r="U20" s="279"/>
      <c r="V20" s="4526"/>
      <c r="W20" s="4527"/>
      <c r="X20" s="4529"/>
      <c r="Y20" s="4531"/>
      <c r="Z20" s="443"/>
      <c r="AA20" s="4519"/>
      <c r="AB20" s="4520"/>
      <c r="AC20" s="4521"/>
      <c r="AD20" s="4536"/>
      <c r="AE20" s="4537"/>
      <c r="AF20" s="4537"/>
      <c r="AG20" s="4537"/>
      <c r="AH20" s="4537"/>
      <c r="AI20" s="4537"/>
      <c r="AJ20" s="4538"/>
      <c r="AK20" s="398"/>
      <c r="AL20" s="392"/>
      <c r="AM20" s="3126"/>
      <c r="AN20" s="3127"/>
    </row>
    <row r="21" spans="1:40" ht="12" customHeight="1" thickBot="1" x14ac:dyDescent="0.25">
      <c r="A21" s="392"/>
      <c r="B21" s="1082"/>
      <c r="C21" s="4504"/>
      <c r="D21" s="4505"/>
      <c r="E21" s="4507"/>
      <c r="F21" s="4506"/>
      <c r="G21" s="4511"/>
      <c r="H21" s="4512"/>
      <c r="I21" s="3744"/>
      <c r="J21" s="1076"/>
      <c r="K21" s="438" t="s">
        <v>1598</v>
      </c>
      <c r="L21" s="441" t="s">
        <v>1598</v>
      </c>
      <c r="M21" s="441" t="s">
        <v>1598</v>
      </c>
      <c r="N21" s="4510" t="s">
        <v>1611</v>
      </c>
      <c r="O21" s="4510"/>
      <c r="P21" s="1460">
        <f>IF(Q21=0,40,"-")</f>
        <v>40</v>
      </c>
      <c r="Q21" s="1607"/>
      <c r="R21" s="1072" t="b">
        <f t="shared" si="0"/>
        <v>0</v>
      </c>
      <c r="S21" s="892"/>
      <c r="T21" s="892"/>
      <c r="U21" s="279"/>
      <c r="AK21" s="398"/>
      <c r="AL21" s="392"/>
      <c r="AM21" s="3126"/>
      <c r="AN21" s="3127"/>
    </row>
    <row r="22" spans="1:40" ht="12" customHeight="1" thickBot="1" x14ac:dyDescent="0.25">
      <c r="A22" s="392"/>
      <c r="B22" s="1082"/>
      <c r="C22" s="4498" t="s">
        <v>1391</v>
      </c>
      <c r="D22" s="4500">
        <f>PDs!$AA41</f>
        <v>0</v>
      </c>
      <c r="E22" s="4508">
        <f>IF(Tablas!$G$379,D22,CEILING(Ki!D22/2,1))</f>
        <v>0</v>
      </c>
      <c r="F22" s="4502" t="str">
        <f>IF(OR(Tablas!$G$382&gt;0,Tablas!$H$1445&gt;0,$I$10&lt;&gt;"No"),"-",PDs!$AA$35)</f>
        <v>-</v>
      </c>
      <c r="G22" s="4513"/>
      <c r="H22" s="4514"/>
      <c r="I22" s="4515"/>
      <c r="J22" s="1076"/>
      <c r="K22" s="438" t="s">
        <v>1598</v>
      </c>
      <c r="L22" s="441" t="s">
        <v>1598</v>
      </c>
      <c r="M22" s="441" t="s">
        <v>1606</v>
      </c>
      <c r="N22" s="4460" t="s">
        <v>1612</v>
      </c>
      <c r="O22" s="4460"/>
      <c r="P22" s="1460">
        <f>IF(Q22=0,30,"-")</f>
        <v>30</v>
      </c>
      <c r="Q22" s="1607"/>
      <c r="R22" s="1072" t="b">
        <f t="shared" si="0"/>
        <v>0</v>
      </c>
      <c r="S22" s="892"/>
      <c r="T22" s="892"/>
      <c r="U22" s="279"/>
      <c r="V22" s="4461" t="s">
        <v>1635</v>
      </c>
      <c r="W22" s="4462"/>
      <c r="X22" s="4463"/>
      <c r="Y22" s="4532"/>
      <c r="Z22" s="4533"/>
      <c r="AA22" s="4534"/>
      <c r="AB22" s="4533"/>
      <c r="AC22" s="4534"/>
      <c r="AD22" s="4533"/>
      <c r="AE22" s="4534"/>
      <c r="AF22" s="4533"/>
      <c r="AG22" s="4534"/>
      <c r="AH22" s="4533"/>
      <c r="AI22" s="4534"/>
      <c r="AJ22" s="4535"/>
      <c r="AK22" s="398"/>
      <c r="AL22" s="392"/>
      <c r="AM22" s="3126"/>
      <c r="AN22" s="3127"/>
    </row>
    <row r="23" spans="1:40" ht="12" customHeight="1" thickBot="1" x14ac:dyDescent="0.25">
      <c r="A23" s="392"/>
      <c r="B23" s="1082"/>
      <c r="C23" s="4499"/>
      <c r="D23" s="4501"/>
      <c r="E23" s="4509"/>
      <c r="F23" s="4503"/>
      <c r="G23" s="4516"/>
      <c r="H23" s="4517"/>
      <c r="I23" s="4518"/>
      <c r="J23" s="1076"/>
      <c r="K23" s="438" t="s">
        <v>1598</v>
      </c>
      <c r="L23" s="441" t="s">
        <v>1598</v>
      </c>
      <c r="M23" s="444"/>
      <c r="N23" s="4510" t="s">
        <v>1613</v>
      </c>
      <c r="O23" s="4510"/>
      <c r="P23" s="1460">
        <f>IF(Q23=0,40,"-")</f>
        <v>40</v>
      </c>
      <c r="Q23" s="1607"/>
      <c r="R23" s="1072" t="b">
        <f t="shared" si="0"/>
        <v>0</v>
      </c>
      <c r="S23" s="892"/>
      <c r="T23" s="892"/>
      <c r="U23" s="445"/>
      <c r="AK23" s="398"/>
      <c r="AL23" s="392"/>
      <c r="AM23" s="3126"/>
      <c r="AN23" s="3127"/>
    </row>
    <row r="24" spans="1:40" ht="12" customHeight="1" thickBot="1" x14ac:dyDescent="0.25">
      <c r="A24" s="392"/>
      <c r="B24" s="1082"/>
      <c r="C24" s="1077" t="s">
        <v>1614</v>
      </c>
      <c r="D24" s="4488">
        <f>D12+D14+D16+D18+D20+D22</f>
        <v>0</v>
      </c>
      <c r="E24" s="4496">
        <f>E12+E14+E16+E18+E20+E22</f>
        <v>0</v>
      </c>
      <c r="F24" s="4490">
        <f>IF(OR(Tablas!$G$382&gt;0,Tablas!$H$1445&gt;0),((PDs!W34*6)+(PDs!V30+PDs!V31+PDs!V32+PDs!V33+PDs!V34+PDs!V35)),SUM(PDs!$AA$30:$AA$35))</f>
        <v>0</v>
      </c>
      <c r="G24" s="4492" t="str">
        <f>IF(I10&lt;&gt;"no","Con Unificación del Ki no se unifican las acumulaciones","")</f>
        <v>Con Unificación del Ki no se unifican las acumulaciones</v>
      </c>
      <c r="H24" s="4492"/>
      <c r="I24" s="4493"/>
      <c r="J24" s="1076"/>
      <c r="K24" s="438" t="s">
        <v>1598</v>
      </c>
      <c r="L24" s="441" t="s">
        <v>1606</v>
      </c>
      <c r="M24" s="4460" t="s">
        <v>1615</v>
      </c>
      <c r="N24" s="4460"/>
      <c r="O24" s="4460"/>
      <c r="P24" s="1460">
        <f>IF(Q24=0,20,"-")</f>
        <v>20</v>
      </c>
      <c r="Q24" s="1607"/>
      <c r="R24" s="1072" t="b">
        <f t="shared" si="0"/>
        <v>0</v>
      </c>
      <c r="S24" s="892"/>
      <c r="T24" s="892"/>
      <c r="U24" s="445"/>
      <c r="V24" s="4461" t="s">
        <v>1583</v>
      </c>
      <c r="W24" s="4462"/>
      <c r="X24" s="4462"/>
      <c r="Y24" s="4462"/>
      <c r="Z24" s="4462"/>
      <c r="AA24" s="4462"/>
      <c r="AB24" s="4462"/>
      <c r="AC24" s="4462"/>
      <c r="AD24" s="4462"/>
      <c r="AE24" s="4462"/>
      <c r="AF24" s="4462"/>
      <c r="AG24" s="4462"/>
      <c r="AH24" s="4462"/>
      <c r="AI24" s="4462"/>
      <c r="AJ24" s="4463"/>
      <c r="AK24" s="398"/>
      <c r="AL24" s="392"/>
      <c r="AM24" s="3126" t="s">
        <v>9288</v>
      </c>
      <c r="AN24" s="3127"/>
    </row>
    <row r="25" spans="1:40" ht="12" customHeight="1" thickBot="1" x14ac:dyDescent="0.25">
      <c r="A25" s="392"/>
      <c r="B25" s="1082"/>
      <c r="C25" s="446" t="s">
        <v>1349</v>
      </c>
      <c r="D25" s="4489"/>
      <c r="E25" s="4497"/>
      <c r="F25" s="4491"/>
      <c r="G25" s="4494"/>
      <c r="H25" s="4494"/>
      <c r="I25" s="4495"/>
      <c r="J25" s="1076"/>
      <c r="K25" s="438" t="s">
        <v>1595</v>
      </c>
      <c r="L25" s="4460" t="s">
        <v>1616</v>
      </c>
      <c r="M25" s="4460"/>
      <c r="N25" s="4460"/>
      <c r="O25" s="4460"/>
      <c r="P25" s="1460">
        <f>IF(Q25=0,50,"-")</f>
        <v>50</v>
      </c>
      <c r="Q25" s="1607"/>
      <c r="R25" s="1072" t="b">
        <f t="shared" si="0"/>
        <v>0</v>
      </c>
      <c r="S25" s="892"/>
      <c r="T25" s="892"/>
      <c r="U25" s="445">
        <f>IF(V26=0,0,1)</f>
        <v>0</v>
      </c>
      <c r="AK25" s="398"/>
      <c r="AL25" s="392"/>
      <c r="AM25" s="3126" t="s">
        <v>1365</v>
      </c>
      <c r="AN25" s="3127" t="s">
        <v>3162</v>
      </c>
    </row>
    <row r="26" spans="1:40" ht="12" customHeight="1" thickBot="1" x14ac:dyDescent="0.25">
      <c r="A26" s="392"/>
      <c r="B26" s="1082"/>
      <c r="J26" s="1076"/>
      <c r="K26" s="438" t="s">
        <v>1606</v>
      </c>
      <c r="L26" s="4460" t="s">
        <v>1617</v>
      </c>
      <c r="M26" s="4460"/>
      <c r="N26" s="4460"/>
      <c r="O26" s="4460"/>
      <c r="P26" s="1460">
        <f>IF(Q26=0,20,"-")</f>
        <v>20</v>
      </c>
      <c r="Q26" s="1607"/>
      <c r="R26" s="1072" t="b">
        <f t="shared" si="0"/>
        <v>0</v>
      </c>
      <c r="S26" s="892"/>
      <c r="T26" s="892"/>
      <c r="U26" s="445"/>
      <c r="V26" s="4407"/>
      <c r="W26" s="4408"/>
      <c r="X26" s="4408"/>
      <c r="Y26" s="4408"/>
      <c r="Z26" s="4408"/>
      <c r="AA26" s="4409"/>
      <c r="AB26" s="1962" t="s">
        <v>1499</v>
      </c>
      <c r="AD26" s="4407"/>
      <c r="AE26" s="4408"/>
      <c r="AF26" s="4408"/>
      <c r="AG26" s="4408"/>
      <c r="AH26" s="4408"/>
      <c r="AI26" s="4409"/>
      <c r="AJ26" s="1962" t="s">
        <v>1499</v>
      </c>
      <c r="AK26" s="398"/>
      <c r="AL26" s="392"/>
      <c r="AM26" s="312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7" t="str">
        <f>IFERROR(LEFT(AM26,LEN(AM26)-2),"")</f>
        <v/>
      </c>
    </row>
    <row r="27" spans="1:40" ht="12" customHeight="1" thickBot="1" x14ac:dyDescent="0.25">
      <c r="A27" s="392"/>
      <c r="B27" s="1082"/>
      <c r="C27" s="4461" t="s">
        <v>1618</v>
      </c>
      <c r="D27" s="4462"/>
      <c r="E27" s="4462"/>
      <c r="F27" s="4463"/>
      <c r="H27" s="4464" t="s">
        <v>1619</v>
      </c>
      <c r="I27" s="4465"/>
      <c r="J27" s="1076"/>
      <c r="K27" s="4426" t="s">
        <v>1620</v>
      </c>
      <c r="L27" s="4428"/>
      <c r="M27" s="4428"/>
      <c r="N27" s="4428"/>
      <c r="O27" s="4428"/>
      <c r="P27" s="1460">
        <f>IF(Q27=0,10,"-")</f>
        <v>10</v>
      </c>
      <c r="Q27" s="1607"/>
      <c r="R27" s="1072" t="b">
        <f t="shared" si="0"/>
        <v>0</v>
      </c>
      <c r="S27" s="892"/>
      <c r="T27" s="892"/>
      <c r="U27" s="445">
        <f>IF(V28=0,0,1)</f>
        <v>1</v>
      </c>
      <c r="V27" s="4452" t="str">
        <f>IF(V26="","",VLOOKUP(V26,'Tablas Técnicas'!$C$655:$H$854,6,FALSE))</f>
        <v/>
      </c>
      <c r="W27" s="4453"/>
      <c r="X27" s="4453"/>
      <c r="Y27" s="4453"/>
      <c r="Z27" s="1948" t="s">
        <v>1325</v>
      </c>
      <c r="AA27" s="1766" t="str">
        <f>IF(V26="","",VLOOKUP(V26,'Tablas Técnicas'!$C$655:$E$854,3,FALSE))</f>
        <v/>
      </c>
      <c r="AB27" s="1963">
        <f>IF(V26="",0,VLOOKUP(V26,'Tablas Técnicas'!$C$655:$K$854,5,FALSE))</f>
        <v>0</v>
      </c>
      <c r="AD27" s="4452" t="str">
        <f>IF(AD26="","",VLOOKUP(AD26,'Tablas Técnicas'!$C$655:$H$854,6,FALSE))</f>
        <v/>
      </c>
      <c r="AE27" s="4453"/>
      <c r="AF27" s="4453"/>
      <c r="AG27" s="4453"/>
      <c r="AH27" s="1948" t="s">
        <v>1325</v>
      </c>
      <c r="AI27" s="1766" t="str">
        <f>IF(AD26="","",VLOOKUP(AD26,'Tablas Técnicas'!$C$655:$E$854,3,FALSE))</f>
        <v/>
      </c>
      <c r="AJ27" s="1963">
        <f>IF(AD26="",0,VLOOKUP(AD26,'Tablas Técnicas'!$C$655:$K$854,5,FALSE))</f>
        <v>0</v>
      </c>
      <c r="AK27" s="398"/>
      <c r="AL27" s="392"/>
      <c r="AM27" s="3126"/>
      <c r="AN27" s="3127"/>
    </row>
    <row r="28" spans="1:40" ht="12" customHeight="1" x14ac:dyDescent="0.2">
      <c r="A28" s="392"/>
      <c r="B28" s="1082"/>
      <c r="C28" s="4472" t="s">
        <v>1621</v>
      </c>
      <c r="D28" s="4473"/>
      <c r="E28" s="4474" t="s">
        <v>1622</v>
      </c>
      <c r="F28" s="4475"/>
      <c r="G28" s="1160">
        <f>Tablas!H1011</f>
        <v>0</v>
      </c>
      <c r="H28" s="4476"/>
      <c r="I28" s="4477"/>
      <c r="J28" s="1076"/>
      <c r="K28" s="438" t="s">
        <v>1606</v>
      </c>
      <c r="L28" s="4460" t="s">
        <v>1623</v>
      </c>
      <c r="M28" s="4460"/>
      <c r="N28" s="4460"/>
      <c r="O28" s="4460"/>
      <c r="P28" s="1460">
        <f>IF(Q28=0,20,"-")</f>
        <v>20</v>
      </c>
      <c r="Q28" s="1607"/>
      <c r="R28" s="1072" t="b">
        <f t="shared" si="0"/>
        <v>0</v>
      </c>
      <c r="S28" s="892"/>
      <c r="T28" s="892"/>
      <c r="U28" s="445"/>
      <c r="V28" s="4412" t="str">
        <f>IFERROR(VLOOKUP(V26,'Tablas Técnicas'!$C$655:$I$854,7,FALSE),"")</f>
        <v/>
      </c>
      <c r="W28" s="4413"/>
      <c r="X28" s="4413"/>
      <c r="Y28" s="4413"/>
      <c r="Z28" s="4413"/>
      <c r="AA28" s="4413"/>
      <c r="AB28" s="4414"/>
      <c r="AD28" s="4412" t="str">
        <f>IFERROR(VLOOKUP(AD26,'Tablas Técnicas'!$C$655:$I$854,7,FALSE),"")</f>
        <v/>
      </c>
      <c r="AE28" s="4413"/>
      <c r="AF28" s="4413"/>
      <c r="AG28" s="4413"/>
      <c r="AH28" s="4413"/>
      <c r="AI28" s="4413"/>
      <c r="AJ28" s="4414"/>
      <c r="AK28" s="398"/>
      <c r="AL28" s="392"/>
      <c r="AM28" s="3126"/>
      <c r="AN28" s="3127"/>
    </row>
    <row r="29" spans="1:40" ht="12" customHeight="1" x14ac:dyDescent="0.2">
      <c r="A29" s="392"/>
      <c r="B29" s="1082"/>
      <c r="C29" s="4466">
        <f>CM_final</f>
        <v>0</v>
      </c>
      <c r="D29" s="4467"/>
      <c r="E29" s="4467">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70"/>
      <c r="H29" s="4450"/>
      <c r="I29" s="4451"/>
      <c r="J29" s="1076"/>
      <c r="K29" s="447"/>
      <c r="L29" s="441" t="s">
        <v>1595</v>
      </c>
      <c r="M29" s="4460" t="s">
        <v>1624</v>
      </c>
      <c r="N29" s="4460"/>
      <c r="O29" s="4460"/>
      <c r="P29" s="1460">
        <f>IF(Q29=0,10,"-")</f>
        <v>10</v>
      </c>
      <c r="Q29" s="1607"/>
      <c r="R29" s="1072" t="b">
        <f t="shared" si="0"/>
        <v>0</v>
      </c>
      <c r="S29" s="892"/>
      <c r="T29" s="892"/>
      <c r="U29" s="445">
        <f>IF(V30=0,0,1)</f>
        <v>0</v>
      </c>
      <c r="V29" s="4412"/>
      <c r="W29" s="4413"/>
      <c r="X29" s="4413"/>
      <c r="Y29" s="4413"/>
      <c r="Z29" s="4413"/>
      <c r="AA29" s="4413"/>
      <c r="AB29" s="4414"/>
      <c r="AD29" s="4412"/>
      <c r="AE29" s="4413"/>
      <c r="AF29" s="4413"/>
      <c r="AG29" s="4413"/>
      <c r="AH29" s="4413"/>
      <c r="AI29" s="4413"/>
      <c r="AJ29" s="4414"/>
      <c r="AK29" s="398"/>
      <c r="AL29" s="392"/>
      <c r="AM29" s="3126"/>
      <c r="AN29" s="3127"/>
    </row>
    <row r="30" spans="1:40" ht="12" customHeight="1" x14ac:dyDescent="0.2">
      <c r="A30" s="392"/>
      <c r="B30" s="1082"/>
      <c r="C30" s="4468"/>
      <c r="D30" s="4469"/>
      <c r="E30" s="4469"/>
      <c r="F30" s="4471"/>
      <c r="H30" s="4447"/>
      <c r="I30" s="4448"/>
      <c r="J30" s="1076"/>
      <c r="K30" s="447"/>
      <c r="L30" s="441" t="s">
        <v>1598</v>
      </c>
      <c r="M30" s="441" t="s">
        <v>1606</v>
      </c>
      <c r="N30" s="1461" t="s">
        <v>8302</v>
      </c>
      <c r="O30" s="1461"/>
      <c r="P30" s="1460">
        <f>IF(Q30=0,20,"-")</f>
        <v>20</v>
      </c>
      <c r="Q30" s="1607"/>
      <c r="R30" s="1072" t="b">
        <f t="shared" si="0"/>
        <v>0</v>
      </c>
      <c r="S30" s="892"/>
      <c r="T30" s="892"/>
      <c r="U30" s="445"/>
      <c r="V30" s="4412"/>
      <c r="W30" s="4413"/>
      <c r="X30" s="4413"/>
      <c r="Y30" s="4413"/>
      <c r="Z30" s="4413"/>
      <c r="AA30" s="4413"/>
      <c r="AB30" s="4414"/>
      <c r="AD30" s="4412"/>
      <c r="AE30" s="4413"/>
      <c r="AF30" s="4413"/>
      <c r="AG30" s="4413"/>
      <c r="AH30" s="4413"/>
      <c r="AI30" s="4413"/>
      <c r="AJ30" s="4414"/>
      <c r="AK30" s="398"/>
      <c r="AL30" s="392"/>
      <c r="AM30" s="3126"/>
      <c r="AN30" s="3127"/>
    </row>
    <row r="31" spans="1:40" ht="12" customHeight="1" thickBot="1" x14ac:dyDescent="0.25">
      <c r="A31" s="392"/>
      <c r="B31" s="1082"/>
      <c r="C31" s="4457" t="str">
        <f>IF(E29&gt;C29,"Exceso de CM",IF(Tablas!$X$21,IF(E29&gt;C29*VLOOKUP(Nivel_Sobrenatural,Tablas!$S$9:$X$12,4,FALSE),"Exceso de CM inicial",""),""))</f>
        <v/>
      </c>
      <c r="D31" s="4458"/>
      <c r="E31" s="4458"/>
      <c r="F31" s="4459"/>
      <c r="H31" s="4447"/>
      <c r="I31" s="4448"/>
      <c r="J31" s="1076"/>
      <c r="K31" s="447"/>
      <c r="L31" s="441" t="s">
        <v>1606</v>
      </c>
      <c r="M31" s="4460" t="s">
        <v>1625</v>
      </c>
      <c r="N31" s="4460"/>
      <c r="O31" s="4460"/>
      <c r="P31" s="1460">
        <f>IF(Q31=0,20,"-")</f>
        <v>20</v>
      </c>
      <c r="Q31" s="1607"/>
      <c r="R31" s="1072" t="b">
        <f t="shared" si="0"/>
        <v>0</v>
      </c>
      <c r="S31" s="892"/>
      <c r="T31" s="892"/>
      <c r="U31" s="445">
        <f>IF(V32=0,0,1)</f>
        <v>0</v>
      </c>
      <c r="V31" s="4412" t="str">
        <f>IFERROR(IF(VLOOKUP(V26,'Tablas Técnicas'!$C$655:$J$854,8,FALSE)="","",VLOOKUP(V26,'Tablas Técnicas'!$C$655:$J$854,8,FALSE)),"")</f>
        <v/>
      </c>
      <c r="W31" s="4413"/>
      <c r="X31" s="4413"/>
      <c r="Y31" s="4413"/>
      <c r="Z31" s="4413"/>
      <c r="AA31" s="4413"/>
      <c r="AB31" s="4414"/>
      <c r="AD31" s="4412" t="str">
        <f>IFERROR(IF(VLOOKUP(AD26,'Tablas Técnicas'!$C$655:$J$854,8,FALSE)="","",VLOOKUP(AD26,'Tablas Técnicas'!$C$655:$J$854,8,FALSE)),"")</f>
        <v/>
      </c>
      <c r="AE31" s="4413"/>
      <c r="AF31" s="4413"/>
      <c r="AG31" s="4413"/>
      <c r="AH31" s="4413"/>
      <c r="AI31" s="4413"/>
      <c r="AJ31" s="4414"/>
      <c r="AK31" s="398"/>
      <c r="AL31" s="392"/>
      <c r="AM31" s="3126"/>
      <c r="AN31" s="3127"/>
    </row>
    <row r="32" spans="1:40" ht="12" customHeight="1" thickBot="1" x14ac:dyDescent="0.25">
      <c r="A32" s="392"/>
      <c r="B32" s="1082"/>
      <c r="H32" s="4450"/>
      <c r="I32" s="4451"/>
      <c r="J32" s="1076"/>
      <c r="K32" s="4426" t="s">
        <v>1626</v>
      </c>
      <c r="L32" s="4427"/>
      <c r="M32" s="4427"/>
      <c r="N32" s="4427"/>
      <c r="O32" s="4427"/>
      <c r="P32" s="1460">
        <f>IF(Q32=0,10,"-")</f>
        <v>10</v>
      </c>
      <c r="Q32" s="1607"/>
      <c r="R32" s="1072" t="b">
        <f t="shared" si="0"/>
        <v>0</v>
      </c>
      <c r="S32" s="892"/>
      <c r="T32" s="892"/>
      <c r="U32" s="445"/>
      <c r="V32" s="4415"/>
      <c r="W32" s="4416"/>
      <c r="X32" s="4416"/>
      <c r="Y32" s="4416"/>
      <c r="Z32" s="4416"/>
      <c r="AA32" s="4416"/>
      <c r="AB32" s="4417"/>
      <c r="AD32" s="4415"/>
      <c r="AE32" s="4416"/>
      <c r="AF32" s="4416"/>
      <c r="AG32" s="4416"/>
      <c r="AH32" s="4416"/>
      <c r="AI32" s="4416"/>
      <c r="AJ32" s="4417"/>
      <c r="AK32" s="398"/>
      <c r="AL32" s="392"/>
      <c r="AM32" s="3126"/>
      <c r="AN32" s="3127"/>
    </row>
    <row r="33" spans="1:40" ht="12" customHeight="1" thickBot="1" x14ac:dyDescent="0.25">
      <c r="A33" s="392"/>
      <c r="B33" s="1082"/>
      <c r="C33" s="4485" t="s">
        <v>1627</v>
      </c>
      <c r="D33" s="4486"/>
      <c r="E33" s="4486"/>
      <c r="F33" s="4487"/>
      <c r="H33" s="4450"/>
      <c r="I33" s="4451"/>
      <c r="J33" s="1076"/>
      <c r="K33" s="438" t="s">
        <v>1595</v>
      </c>
      <c r="L33" s="4428" t="s">
        <v>1628</v>
      </c>
      <c r="M33" s="4427"/>
      <c r="N33" s="4427"/>
      <c r="O33" s="4427"/>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6"/>
      <c r="AN33" s="3127"/>
    </row>
    <row r="34" spans="1:40" ht="12" customHeight="1" x14ac:dyDescent="0.2">
      <c r="A34" s="392"/>
      <c r="B34" s="1082"/>
      <c r="C34" s="4483" t="s">
        <v>1375</v>
      </c>
      <c r="D34" s="4484"/>
      <c r="E34" s="1609" t="s">
        <v>1417</v>
      </c>
      <c r="F34" s="1610" t="s">
        <v>1349</v>
      </c>
      <c r="H34" s="4447"/>
      <c r="I34" s="4448"/>
      <c r="J34" s="1076"/>
      <c r="K34" s="438" t="s">
        <v>1629</v>
      </c>
      <c r="L34" s="441" t="s">
        <v>1606</v>
      </c>
      <c r="M34" s="4428" t="s">
        <v>1630</v>
      </c>
      <c r="N34" s="4428"/>
      <c r="O34" s="4428"/>
      <c r="P34" s="1460">
        <f t="shared" si="1"/>
        <v>10</v>
      </c>
      <c r="Q34" s="1607"/>
      <c r="R34" s="1072" t="b">
        <f t="shared" si="0"/>
        <v>0</v>
      </c>
      <c r="S34" s="892"/>
      <c r="T34" s="892"/>
      <c r="U34" s="445"/>
      <c r="V34" s="4407"/>
      <c r="W34" s="4408"/>
      <c r="X34" s="4408"/>
      <c r="Y34" s="4408"/>
      <c r="Z34" s="4408"/>
      <c r="AA34" s="4409"/>
      <c r="AB34" s="1962" t="s">
        <v>1499</v>
      </c>
      <c r="AD34" s="4407"/>
      <c r="AE34" s="4408"/>
      <c r="AF34" s="4408"/>
      <c r="AG34" s="4408"/>
      <c r="AH34" s="4408"/>
      <c r="AI34" s="4409"/>
      <c r="AJ34" s="1962" t="s">
        <v>1499</v>
      </c>
      <c r="AK34" s="398"/>
      <c r="AL34" s="392"/>
      <c r="AM34" s="3126"/>
      <c r="AN34" s="3127"/>
    </row>
    <row r="35" spans="1:40" ht="12" customHeight="1" x14ac:dyDescent="0.2">
      <c r="A35" s="392"/>
      <c r="B35" s="1082"/>
      <c r="C35" s="4445" t="s">
        <v>1631</v>
      </c>
      <c r="D35" s="4446"/>
      <c r="E35" s="2214"/>
      <c r="F35" s="1767" t="str">
        <f>IF(Ki!P13="-",TRUNC((Ki!C29+Advertir_final)/2+E35+Tablas!$CD$225+IF(Tablas!$G$386&gt;0,10*PDs!$R$17,0),0),"-")</f>
        <v>-</v>
      </c>
      <c r="H35" s="4447"/>
      <c r="I35" s="4448"/>
      <c r="J35" s="1078"/>
      <c r="K35" s="438" t="s">
        <v>1629</v>
      </c>
      <c r="L35" s="392"/>
      <c r="M35" s="441" t="s">
        <v>1606</v>
      </c>
      <c r="N35" s="4449" t="s">
        <v>1632</v>
      </c>
      <c r="O35" s="4449"/>
      <c r="P35" s="1460">
        <f t="shared" si="1"/>
        <v>10</v>
      </c>
      <c r="Q35" s="1607"/>
      <c r="R35" s="1072" t="b">
        <f t="shared" si="0"/>
        <v>0</v>
      </c>
      <c r="S35" s="892"/>
      <c r="T35" s="892"/>
      <c r="U35" s="445">
        <f>IF(V36=0,0,1)</f>
        <v>1</v>
      </c>
      <c r="V35" s="4452" t="str">
        <f>IF(V34="","",VLOOKUP(V34,'Tablas Técnicas'!$C$655:$H$854,6,FALSE))</f>
        <v/>
      </c>
      <c r="W35" s="4453"/>
      <c r="X35" s="4453"/>
      <c r="Y35" s="4453"/>
      <c r="Z35" s="1948" t="s">
        <v>1325</v>
      </c>
      <c r="AA35" s="1766" t="str">
        <f>IF(V34="","",VLOOKUP(V34,'Tablas Técnicas'!$C$655:$E$854,3,FALSE))</f>
        <v/>
      </c>
      <c r="AB35" s="1963">
        <f>IF(V34="",0,VLOOKUP(V34,'Tablas Técnicas'!$C$655:$K$854,5,FALSE))</f>
        <v>0</v>
      </c>
      <c r="AD35" s="4452" t="str">
        <f>IF(AD34="","",VLOOKUP(AD34,'Tablas Técnicas'!$C$655:$H$854,6,FALSE))</f>
        <v/>
      </c>
      <c r="AE35" s="4453"/>
      <c r="AF35" s="4453"/>
      <c r="AG35" s="4453"/>
      <c r="AH35" s="1948" t="s">
        <v>1325</v>
      </c>
      <c r="AI35" s="1766" t="str">
        <f>IF(AD34="","",VLOOKUP(AD34,'Tablas Técnicas'!$C$655:$E$854,3,FALSE))</f>
        <v/>
      </c>
      <c r="AJ35" s="1963">
        <f>IF(AD34="",0,VLOOKUP(AD34,'Tablas Técnicas'!$C$655:$K$854,5,FALSE))</f>
        <v>0</v>
      </c>
      <c r="AK35" s="398"/>
      <c r="AL35" s="392"/>
      <c r="AM35" s="3126"/>
      <c r="AN35" s="3127"/>
    </row>
    <row r="36" spans="1:40" ht="12" customHeight="1" x14ac:dyDescent="0.2">
      <c r="A36" s="392"/>
      <c r="B36" s="1082"/>
      <c r="C36" s="4445" t="s">
        <v>1633</v>
      </c>
      <c r="D36" s="4446"/>
      <c r="E36" s="2215"/>
      <c r="F36" s="1768" t="str">
        <f>IF(OcultacióndelKi,TRUNC((Ocultarse_final+Ki!$C$29)/2+E36+IF(Raza="D'Anjayni",50,0)+IF(Nephilim="Nephilim D'Anjayni",30,0)+Tablas!$CE$225+IF(Tablas!$G$381&gt;0,10*PDs!$R$17,0),0),"-")</f>
        <v>-</v>
      </c>
      <c r="H36" s="4450"/>
      <c r="I36" s="4451"/>
      <c r="J36" s="1078"/>
      <c r="K36" s="438" t="s">
        <v>1595</v>
      </c>
      <c r="L36" s="4428" t="s">
        <v>1634</v>
      </c>
      <c r="M36" s="4427"/>
      <c r="N36" s="4427"/>
      <c r="O36" s="4427"/>
      <c r="P36" s="1460">
        <f t="shared" si="1"/>
        <v>10</v>
      </c>
      <c r="Q36" s="1607"/>
      <c r="R36" s="1072" t="b">
        <f t="shared" si="0"/>
        <v>0</v>
      </c>
      <c r="S36" s="892"/>
      <c r="T36" s="892"/>
      <c r="U36" s="445"/>
      <c r="V36" s="4412" t="str">
        <f>IFERROR(VLOOKUP(V34,'Tablas Técnicas'!$C$655:$I$854,7,FALSE),"")</f>
        <v/>
      </c>
      <c r="W36" s="4413"/>
      <c r="X36" s="4413"/>
      <c r="Y36" s="4413"/>
      <c r="Z36" s="4413"/>
      <c r="AA36" s="4413"/>
      <c r="AB36" s="4414"/>
      <c r="AD36" s="4412" t="str">
        <f>IFERROR(VLOOKUP(AD34,'Tablas Técnicas'!$C$655:$I$854,7,FALSE),"")</f>
        <v/>
      </c>
      <c r="AE36" s="4413"/>
      <c r="AF36" s="4413"/>
      <c r="AG36" s="4413"/>
      <c r="AH36" s="4413"/>
      <c r="AI36" s="4413"/>
      <c r="AJ36" s="4414"/>
      <c r="AK36" s="398"/>
      <c r="AL36" s="392"/>
      <c r="AM36" s="3126"/>
      <c r="AN36" s="3127"/>
    </row>
    <row r="37" spans="1:40" ht="12" customHeight="1" thickBot="1" x14ac:dyDescent="0.25">
      <c r="A37" s="392"/>
      <c r="B37" s="1082"/>
      <c r="C37" s="4478"/>
      <c r="D37" s="4479"/>
      <c r="E37" s="4479"/>
      <c r="F37" s="4480"/>
      <c r="H37" s="4481"/>
      <c r="I37" s="4482"/>
      <c r="J37" s="1078"/>
      <c r="K37" s="438" t="s">
        <v>1629</v>
      </c>
      <c r="L37" s="441" t="s">
        <v>1595</v>
      </c>
      <c r="M37" s="4428" t="s">
        <v>1635</v>
      </c>
      <c r="N37" s="4428"/>
      <c r="O37" s="4428"/>
      <c r="P37" s="1460">
        <f t="shared" si="1"/>
        <v>10</v>
      </c>
      <c r="Q37" s="1607"/>
      <c r="R37" s="1072" t="b">
        <f t="shared" si="0"/>
        <v>0</v>
      </c>
      <c r="S37" s="892"/>
      <c r="T37" s="892"/>
      <c r="U37" s="445">
        <f>IF(V38=0,0,1)</f>
        <v>0</v>
      </c>
      <c r="V37" s="4412"/>
      <c r="W37" s="4413"/>
      <c r="X37" s="4413"/>
      <c r="Y37" s="4413"/>
      <c r="Z37" s="4413"/>
      <c r="AA37" s="4413"/>
      <c r="AB37" s="4414"/>
      <c r="AD37" s="4412"/>
      <c r="AE37" s="4413"/>
      <c r="AF37" s="4413"/>
      <c r="AG37" s="4413"/>
      <c r="AH37" s="4413"/>
      <c r="AI37" s="4413"/>
      <c r="AJ37" s="4414"/>
      <c r="AK37" s="398"/>
      <c r="AL37" s="392"/>
      <c r="AM37" s="3126"/>
      <c r="AN37" s="3127"/>
    </row>
    <row r="38" spans="1:40" ht="12" customHeight="1" thickBot="1" x14ac:dyDescent="0.25">
      <c r="A38" s="392"/>
      <c r="B38" s="1082"/>
      <c r="J38" s="1078"/>
      <c r="K38" s="438" t="s">
        <v>1629</v>
      </c>
      <c r="L38" s="441" t="s">
        <v>1595</v>
      </c>
      <c r="M38" s="4428" t="s">
        <v>1636</v>
      </c>
      <c r="N38" s="4428"/>
      <c r="O38" s="4428"/>
      <c r="P38" s="1460">
        <f t="shared" si="1"/>
        <v>10</v>
      </c>
      <c r="Q38" s="1607"/>
      <c r="R38" s="1072" t="b">
        <f t="shared" si="0"/>
        <v>0</v>
      </c>
      <c r="S38" s="892"/>
      <c r="T38" s="892"/>
      <c r="U38" s="445"/>
      <c r="V38" s="4412"/>
      <c r="W38" s="4413"/>
      <c r="X38" s="4413"/>
      <c r="Y38" s="4413"/>
      <c r="Z38" s="4413"/>
      <c r="AA38" s="4413"/>
      <c r="AB38" s="4414"/>
      <c r="AD38" s="4412"/>
      <c r="AE38" s="4413"/>
      <c r="AF38" s="4413"/>
      <c r="AG38" s="4413"/>
      <c r="AH38" s="4413"/>
      <c r="AI38" s="4413"/>
      <c r="AJ38" s="4414"/>
      <c r="AK38" s="398"/>
      <c r="AL38" s="392"/>
      <c r="AM38" s="3126"/>
      <c r="AN38" s="3127"/>
    </row>
    <row r="39" spans="1:40" ht="12" customHeight="1" x14ac:dyDescent="0.2">
      <c r="A39" s="392"/>
      <c r="B39" s="1082"/>
      <c r="C39" s="4432" t="s">
        <v>1637</v>
      </c>
      <c r="D39" s="4433"/>
      <c r="E39" s="4433"/>
      <c r="F39" s="4434"/>
      <c r="G39" s="4435" t="s">
        <v>1638</v>
      </c>
      <c r="H39" s="4436"/>
      <c r="I39" s="1605">
        <f>IF(Tablas!$G$387&gt;0,2,1)-IF(Ki!C40="",0,1)-IF(Ki!C41="",0,1)</f>
        <v>1</v>
      </c>
      <c r="J39" s="1078"/>
      <c r="K39" s="438" t="s">
        <v>1629</v>
      </c>
      <c r="L39" s="441" t="s">
        <v>1595</v>
      </c>
      <c r="M39" s="4428" t="str">
        <f>"Alcance incrementado"</f>
        <v>Alcance incrementado</v>
      </c>
      <c r="N39" s="4428"/>
      <c r="O39" s="4428"/>
      <c r="P39" s="1460">
        <f t="shared" si="1"/>
        <v>10</v>
      </c>
      <c r="Q39" s="1607"/>
      <c r="R39" s="1072" t="b">
        <f t="shared" si="0"/>
        <v>0</v>
      </c>
      <c r="S39" s="892"/>
      <c r="T39" s="892"/>
      <c r="U39" s="445">
        <f>IF(V40=0,0,1)</f>
        <v>0</v>
      </c>
      <c r="V39" s="4412" t="str">
        <f>IFERROR(IF(VLOOKUP(V34,'Tablas Técnicas'!$C$655:$J$854,8,FALSE)="","",VLOOKUP(V34,'Tablas Técnicas'!$C$655:$J$854,8,FALSE)),"")</f>
        <v/>
      </c>
      <c r="W39" s="4413"/>
      <c r="X39" s="4413"/>
      <c r="Y39" s="4413"/>
      <c r="Z39" s="4413"/>
      <c r="AA39" s="4413"/>
      <c r="AB39" s="4414"/>
      <c r="AD39" s="4412" t="str">
        <f>IFERROR(IF(VLOOKUP(AD34,'Tablas Técnicas'!$C$655:$J$854,8,FALSE)="","",VLOOKUP(AD34,'Tablas Técnicas'!$C$655:$J$854,8,FALSE)),"")</f>
        <v/>
      </c>
      <c r="AE39" s="4413"/>
      <c r="AF39" s="4413"/>
      <c r="AG39" s="4413"/>
      <c r="AH39" s="4413"/>
      <c r="AI39" s="4413"/>
      <c r="AJ39" s="4414"/>
      <c r="AK39" s="398"/>
      <c r="AL39" s="392"/>
      <c r="AM39" s="3126"/>
      <c r="AN39" s="3127"/>
    </row>
    <row r="40" spans="1:40" ht="12" customHeight="1" thickBot="1" x14ac:dyDescent="0.25">
      <c r="A40" s="392"/>
      <c r="B40" s="1082"/>
      <c r="C40" s="4429"/>
      <c r="D40" s="4430"/>
      <c r="E40" s="4430"/>
      <c r="F40" s="4430"/>
      <c r="G40" s="4430"/>
      <c r="H40" s="4431"/>
      <c r="I40" s="510" t="str">
        <f>IF(C40=0,"",VLOOKUP(C40,Tablas!$D$1065:$M$1071,2))</f>
        <v/>
      </c>
      <c r="J40" s="1078"/>
      <c r="K40" s="438" t="s">
        <v>1629</v>
      </c>
      <c r="L40" s="441" t="s">
        <v>1606</v>
      </c>
      <c r="M40" s="4428" t="s">
        <v>1639</v>
      </c>
      <c r="N40" s="4428"/>
      <c r="O40" s="4428"/>
      <c r="P40" s="1460">
        <f t="shared" si="1"/>
        <v>10</v>
      </c>
      <c r="Q40" s="1607"/>
      <c r="R40" s="1072" t="b">
        <f t="shared" si="0"/>
        <v>0</v>
      </c>
      <c r="S40" s="892"/>
      <c r="T40" s="892"/>
      <c r="U40" s="445"/>
      <c r="V40" s="4415"/>
      <c r="W40" s="4416"/>
      <c r="X40" s="4416"/>
      <c r="Y40" s="4416"/>
      <c r="Z40" s="4416"/>
      <c r="AA40" s="4416"/>
      <c r="AB40" s="4417"/>
      <c r="AD40" s="4415"/>
      <c r="AE40" s="4416"/>
      <c r="AF40" s="4416"/>
      <c r="AG40" s="4416"/>
      <c r="AH40" s="4416"/>
      <c r="AI40" s="4416"/>
      <c r="AJ40" s="4417"/>
      <c r="AK40" s="398"/>
      <c r="AL40" s="392"/>
      <c r="AM40" s="3126"/>
      <c r="AN40" s="3127"/>
    </row>
    <row r="41" spans="1:40" ht="12" customHeight="1" thickBot="1" x14ac:dyDescent="0.25">
      <c r="A41" s="392"/>
      <c r="B41" s="1082"/>
      <c r="C41" s="4454"/>
      <c r="D41" s="4455"/>
      <c r="E41" s="4455"/>
      <c r="F41" s="4455"/>
      <c r="G41" s="4455"/>
      <c r="H41" s="4456"/>
      <c r="I41" s="511" t="str">
        <f>IF(C41=0,"",VLOOKUP(C41,Tablas!$D$1065:$M$1071,2))</f>
        <v/>
      </c>
      <c r="J41" s="1078"/>
      <c r="K41" s="438" t="s">
        <v>1595</v>
      </c>
      <c r="L41" s="4428" t="s">
        <v>1640</v>
      </c>
      <c r="M41" s="4427"/>
      <c r="N41" s="4427"/>
      <c r="O41" s="4427"/>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6"/>
      <c r="AN41" s="3127"/>
    </row>
    <row r="42" spans="1:40" ht="12" customHeight="1" thickBot="1" x14ac:dyDescent="0.25">
      <c r="A42" s="392"/>
      <c r="B42" s="1082"/>
      <c r="J42" s="1079"/>
      <c r="K42" s="438" t="s">
        <v>1595</v>
      </c>
      <c r="L42" s="4428" t="s">
        <v>1641</v>
      </c>
      <c r="M42" s="4427"/>
      <c r="N42" s="4427"/>
      <c r="O42" s="4427"/>
      <c r="P42" s="1460">
        <f>IF(Q42=0,30,"-")</f>
        <v>30</v>
      </c>
      <c r="Q42" s="1607"/>
      <c r="R42" s="1072" t="b">
        <f t="shared" si="0"/>
        <v>0</v>
      </c>
      <c r="S42" s="892"/>
      <c r="T42" s="892"/>
      <c r="U42" s="445"/>
      <c r="V42" s="4407"/>
      <c r="W42" s="4408"/>
      <c r="X42" s="4408"/>
      <c r="Y42" s="4408"/>
      <c r="Z42" s="4408"/>
      <c r="AA42" s="4409"/>
      <c r="AB42" s="1962" t="s">
        <v>1499</v>
      </c>
      <c r="AD42" s="4407"/>
      <c r="AE42" s="4408"/>
      <c r="AF42" s="4408"/>
      <c r="AG42" s="4408"/>
      <c r="AH42" s="4408"/>
      <c r="AI42" s="4409"/>
      <c r="AJ42" s="1962" t="s">
        <v>1499</v>
      </c>
      <c r="AK42" s="398"/>
      <c r="AL42" s="392"/>
      <c r="AM42" s="3126"/>
      <c r="AN42" s="3127"/>
    </row>
    <row r="43" spans="1:40" ht="12" customHeight="1" x14ac:dyDescent="0.2">
      <c r="A43" s="392"/>
      <c r="B43" s="1082"/>
      <c r="C43" s="4437" t="s">
        <v>1642</v>
      </c>
      <c r="D43" s="4438"/>
      <c r="E43" s="4438"/>
      <c r="F43" s="4438"/>
      <c r="G43" s="4438"/>
      <c r="H43" s="4441">
        <f>IF(I43=0,70,"-")</f>
        <v>70</v>
      </c>
      <c r="I43" s="4443"/>
      <c r="J43" s="1079"/>
      <c r="K43" s="438" t="s">
        <v>1606</v>
      </c>
      <c r="L43" s="4428" t="s">
        <v>1643</v>
      </c>
      <c r="M43" s="4427"/>
      <c r="N43" s="4427"/>
      <c r="O43" s="4427"/>
      <c r="P43" s="1460">
        <f>IF(Q43=0,10,"-")</f>
        <v>10</v>
      </c>
      <c r="Q43" s="1607"/>
      <c r="R43" s="1072" t="b">
        <f t="shared" si="0"/>
        <v>0</v>
      </c>
      <c r="S43" s="892"/>
      <c r="T43" s="892"/>
      <c r="U43" s="445">
        <f>IF(V44=0,0,1)</f>
        <v>1</v>
      </c>
      <c r="V43" s="4410" t="str">
        <f>IF(V42="","",VLOOKUP(V42,'Tablas Técnicas'!$C$655:$H$854,6,FALSE))</f>
        <v/>
      </c>
      <c r="W43" s="4411"/>
      <c r="X43" s="4411"/>
      <c r="Y43" s="4411"/>
      <c r="Z43" s="1948" t="s">
        <v>1325</v>
      </c>
      <c r="AA43" s="1766" t="str">
        <f>IF(V42="","",VLOOKUP(V42,'Tablas Técnicas'!$C$655:$E$854,3,FALSE))</f>
        <v/>
      </c>
      <c r="AB43" s="1963">
        <f>IF(V42="",0,VLOOKUP(V42,'Tablas Técnicas'!$C$655:$K$854,5,FALSE))</f>
        <v>0</v>
      </c>
      <c r="AD43" s="4410" t="str">
        <f>IF(AD42="","",VLOOKUP(AD42,'Tablas Técnicas'!$C$655:$H$854,6,FALSE))</f>
        <v/>
      </c>
      <c r="AE43" s="4411"/>
      <c r="AF43" s="4411"/>
      <c r="AG43" s="4411"/>
      <c r="AH43" s="1948" t="s">
        <v>1325</v>
      </c>
      <c r="AI43" s="1766" t="str">
        <f>IF(AD42="","",VLOOKUP(AD42,'Tablas Técnicas'!$C$655:$E$854,3,FALSE))</f>
        <v/>
      </c>
      <c r="AJ43" s="1963">
        <f>IF(AD42="",0,VLOOKUP(AD42,'Tablas Técnicas'!$C$655:$K$854,5,FALSE))</f>
        <v>0</v>
      </c>
      <c r="AK43" s="398"/>
      <c r="AL43" s="392"/>
      <c r="AM43" s="3126"/>
      <c r="AN43" s="3127"/>
    </row>
    <row r="44" spans="1:40" ht="12" customHeight="1" thickBot="1" x14ac:dyDescent="0.25">
      <c r="A44" s="392"/>
      <c r="B44" s="1082"/>
      <c r="C44" s="4439"/>
      <c r="D44" s="4440"/>
      <c r="E44" s="4440"/>
      <c r="F44" s="4440"/>
      <c r="G44" s="4440"/>
      <c r="H44" s="4442"/>
      <c r="I44" s="4444"/>
      <c r="J44" s="1079"/>
      <c r="K44" s="4426" t="s">
        <v>1644</v>
      </c>
      <c r="L44" s="4427"/>
      <c r="M44" s="4427"/>
      <c r="N44" s="4427"/>
      <c r="O44" s="4427"/>
      <c r="P44" s="1460">
        <f t="shared" ref="P44:P53" si="2">IF(Q44=0,10,"-")</f>
        <v>10</v>
      </c>
      <c r="Q44" s="1607"/>
      <c r="R44" s="1072" t="b">
        <f t="shared" si="0"/>
        <v>0</v>
      </c>
      <c r="S44" s="892"/>
      <c r="T44" s="892"/>
      <c r="U44" s="445"/>
      <c r="V44" s="4412" t="str">
        <f>IFERROR(VLOOKUP(V42,'Tablas Técnicas'!$C$655:$I$854,7,FALSE),"")</f>
        <v/>
      </c>
      <c r="W44" s="4413"/>
      <c r="X44" s="4413"/>
      <c r="Y44" s="4413"/>
      <c r="Z44" s="4413"/>
      <c r="AA44" s="4413"/>
      <c r="AB44" s="4414"/>
      <c r="AD44" s="4412" t="str">
        <f>IFERROR(VLOOKUP(AD42,'Tablas Técnicas'!$C$655:$I$854,7,FALSE),"")</f>
        <v/>
      </c>
      <c r="AE44" s="4413"/>
      <c r="AF44" s="4413"/>
      <c r="AG44" s="4413"/>
      <c r="AH44" s="4413"/>
      <c r="AI44" s="4413"/>
      <c r="AJ44" s="4414"/>
      <c r="AK44" s="398"/>
      <c r="AL44" s="392"/>
      <c r="AM44" s="3126"/>
      <c r="AN44" s="3127"/>
    </row>
    <row r="45" spans="1:40" ht="12" customHeight="1" x14ac:dyDescent="0.2">
      <c r="A45" s="392"/>
      <c r="B45" s="1073" t="b">
        <f t="shared" ref="B45:B62" si="3">H45="-"</f>
        <v>0</v>
      </c>
      <c r="C45" s="4426" t="s">
        <v>1645</v>
      </c>
      <c r="D45" s="4427"/>
      <c r="E45" s="4427"/>
      <c r="F45" s="4427"/>
      <c r="G45" s="4427"/>
      <c r="H45" s="1460">
        <f>IF(I45=0,20,"-")</f>
        <v>20</v>
      </c>
      <c r="I45" s="1606"/>
      <c r="K45" s="438" t="s">
        <v>1595</v>
      </c>
      <c r="L45" s="4428" t="s">
        <v>1646</v>
      </c>
      <c r="M45" s="4427"/>
      <c r="N45" s="4427"/>
      <c r="O45" s="4427"/>
      <c r="P45" s="1460">
        <f t="shared" si="2"/>
        <v>10</v>
      </c>
      <c r="Q45" s="1607"/>
      <c r="R45" s="1072" t="b">
        <f t="shared" si="0"/>
        <v>0</v>
      </c>
      <c r="S45" s="892"/>
      <c r="T45" s="892"/>
      <c r="U45" s="445">
        <f>IF(V46=0,0,1)</f>
        <v>0</v>
      </c>
      <c r="V45" s="4412"/>
      <c r="W45" s="4413"/>
      <c r="X45" s="4413"/>
      <c r="Y45" s="4413"/>
      <c r="Z45" s="4413"/>
      <c r="AA45" s="4413"/>
      <c r="AB45" s="4414"/>
      <c r="AD45" s="4412"/>
      <c r="AE45" s="4413"/>
      <c r="AF45" s="4413"/>
      <c r="AG45" s="4413"/>
      <c r="AH45" s="4413"/>
      <c r="AI45" s="4413"/>
      <c r="AJ45" s="4414"/>
      <c r="AK45" s="398"/>
      <c r="AL45" s="392"/>
      <c r="AM45" s="3126"/>
      <c r="AN45" s="3127"/>
    </row>
    <row r="46" spans="1:40" ht="12" customHeight="1" x14ac:dyDescent="0.2">
      <c r="A46" s="392"/>
      <c r="B46" s="1073" t="b">
        <f t="shared" si="3"/>
        <v>0</v>
      </c>
      <c r="C46" s="438" t="s">
        <v>1606</v>
      </c>
      <c r="D46" s="4428" t="s">
        <v>1647</v>
      </c>
      <c r="E46" s="4427"/>
      <c r="F46" s="4427"/>
      <c r="G46" s="4427"/>
      <c r="H46" s="1460">
        <f>IF(I46=0,30,"-")</f>
        <v>30</v>
      </c>
      <c r="I46" s="1607"/>
      <c r="K46" s="438" t="s">
        <v>1629</v>
      </c>
      <c r="L46" s="441" t="s">
        <v>1595</v>
      </c>
      <c r="M46" s="4428" t="s">
        <v>1648</v>
      </c>
      <c r="N46" s="4428"/>
      <c r="O46" s="4428"/>
      <c r="P46" s="1460">
        <f t="shared" si="2"/>
        <v>10</v>
      </c>
      <c r="Q46" s="1607"/>
      <c r="R46" s="1072" t="b">
        <f t="shared" si="0"/>
        <v>0</v>
      </c>
      <c r="S46" s="892"/>
      <c r="T46" s="892"/>
      <c r="U46" s="445"/>
      <c r="V46" s="4412"/>
      <c r="W46" s="4413"/>
      <c r="X46" s="4413"/>
      <c r="Y46" s="4413"/>
      <c r="Z46" s="4413"/>
      <c r="AA46" s="4413"/>
      <c r="AB46" s="4414"/>
      <c r="AD46" s="4412"/>
      <c r="AE46" s="4413"/>
      <c r="AF46" s="4413"/>
      <c r="AG46" s="4413"/>
      <c r="AH46" s="4413"/>
      <c r="AI46" s="4413"/>
      <c r="AJ46" s="4414"/>
      <c r="AK46" s="398"/>
      <c r="AL46" s="392"/>
      <c r="AM46" s="3126"/>
      <c r="AN46" s="3127"/>
    </row>
    <row r="47" spans="1:40" ht="12" customHeight="1" x14ac:dyDescent="0.2">
      <c r="A47" s="392"/>
      <c r="B47" s="1073" t="b">
        <f t="shared" si="3"/>
        <v>0</v>
      </c>
      <c r="C47" s="4426" t="s">
        <v>1649</v>
      </c>
      <c r="D47" s="4428"/>
      <c r="E47" s="4428"/>
      <c r="F47" s="4428"/>
      <c r="G47" s="4428"/>
      <c r="H47" s="1460">
        <f>IF(I47=0,30,"-")</f>
        <v>30</v>
      </c>
      <c r="I47" s="1607"/>
      <c r="K47" s="438" t="s">
        <v>1629</v>
      </c>
      <c r="L47" s="441" t="s">
        <v>1606</v>
      </c>
      <c r="M47" s="4428" t="s">
        <v>1650</v>
      </c>
      <c r="N47" s="4428"/>
      <c r="O47" s="4428"/>
      <c r="P47" s="1460">
        <f t="shared" si="2"/>
        <v>10</v>
      </c>
      <c r="Q47" s="1607"/>
      <c r="R47" s="1072" t="b">
        <f t="shared" si="0"/>
        <v>0</v>
      </c>
      <c r="S47" s="892"/>
      <c r="T47" s="892"/>
      <c r="U47" s="445">
        <f>IF(V48=0,0,1)</f>
        <v>0</v>
      </c>
      <c r="V47" s="4412" t="str">
        <f>IFERROR(IF(VLOOKUP(V42,'Tablas Técnicas'!$C$655:$J$854,8,FALSE)="","",VLOOKUP(V42,'Tablas Técnicas'!$C$655:$J$854,8,FALSE)),"")</f>
        <v/>
      </c>
      <c r="W47" s="4413"/>
      <c r="X47" s="4413"/>
      <c r="Y47" s="4413"/>
      <c r="Z47" s="4413"/>
      <c r="AA47" s="4413"/>
      <c r="AB47" s="4414"/>
      <c r="AD47" s="4412" t="str">
        <f>IFERROR(IF(VLOOKUP(AD42,'Tablas Técnicas'!$C$655:$J$854,8,FALSE)="","",VLOOKUP(AD42,'Tablas Técnicas'!$C$655:$J$854,8,FALSE)),"")</f>
        <v/>
      </c>
      <c r="AE47" s="4413"/>
      <c r="AF47" s="4413"/>
      <c r="AG47" s="4413"/>
      <c r="AH47" s="4413"/>
      <c r="AI47" s="4413"/>
      <c r="AJ47" s="4414"/>
      <c r="AK47" s="398"/>
      <c r="AL47" s="392"/>
      <c r="AM47" s="3126"/>
      <c r="AN47" s="3127"/>
    </row>
    <row r="48" spans="1:40" ht="12" customHeight="1" thickBot="1" x14ac:dyDescent="0.25">
      <c r="A48" s="392"/>
      <c r="B48" s="1073" t="b">
        <f t="shared" si="3"/>
        <v>0</v>
      </c>
      <c r="C48" s="438" t="s">
        <v>1606</v>
      </c>
      <c r="D48" s="4428" t="s">
        <v>1651</v>
      </c>
      <c r="E48" s="4428"/>
      <c r="F48" s="4428"/>
      <c r="G48" s="4428"/>
      <c r="H48" s="1460">
        <f>IF(I48=0,20,"-")</f>
        <v>20</v>
      </c>
      <c r="I48" s="1607"/>
      <c r="K48" s="438" t="s">
        <v>1606</v>
      </c>
      <c r="L48" s="4428" t="s">
        <v>1652</v>
      </c>
      <c r="M48" s="4427"/>
      <c r="N48" s="4427"/>
      <c r="O48" s="4427"/>
      <c r="P48" s="1460">
        <f t="shared" si="2"/>
        <v>10</v>
      </c>
      <c r="Q48" s="1607"/>
      <c r="R48" s="1072" t="b">
        <f t="shared" si="0"/>
        <v>0</v>
      </c>
      <c r="S48" s="892"/>
      <c r="T48" s="892"/>
      <c r="U48" s="445"/>
      <c r="V48" s="4415"/>
      <c r="W48" s="4416"/>
      <c r="X48" s="4416"/>
      <c r="Y48" s="4416"/>
      <c r="Z48" s="4416"/>
      <c r="AA48" s="4416"/>
      <c r="AB48" s="4417"/>
      <c r="AD48" s="4415"/>
      <c r="AE48" s="4416"/>
      <c r="AF48" s="4416"/>
      <c r="AG48" s="4416"/>
      <c r="AH48" s="4416"/>
      <c r="AI48" s="4416"/>
      <c r="AJ48" s="4417"/>
      <c r="AK48" s="398"/>
      <c r="AL48" s="392"/>
      <c r="AM48" s="3126"/>
      <c r="AN48" s="3127"/>
    </row>
    <row r="49" spans="1:40" ht="12" customHeight="1" thickBot="1" x14ac:dyDescent="0.25">
      <c r="A49" s="392"/>
      <c r="B49" s="1073" t="b">
        <f t="shared" si="3"/>
        <v>0</v>
      </c>
      <c r="C49" s="4426" t="s">
        <v>1653</v>
      </c>
      <c r="D49" s="4428"/>
      <c r="E49" s="4428"/>
      <c r="F49" s="4428"/>
      <c r="G49" s="4428"/>
      <c r="H49" s="1460">
        <f>IF(I49=0,30,"-")</f>
        <v>30</v>
      </c>
      <c r="I49" s="1607"/>
      <c r="K49" s="4426" t="s">
        <v>1654</v>
      </c>
      <c r="L49" s="4427"/>
      <c r="M49" s="4427"/>
      <c r="N49" s="4427"/>
      <c r="O49" s="4427"/>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6"/>
      <c r="AN49" s="3127"/>
    </row>
    <row r="50" spans="1:40" ht="12" customHeight="1" x14ac:dyDescent="0.2">
      <c r="A50" s="392"/>
      <c r="B50" s="1073" t="b">
        <f t="shared" si="3"/>
        <v>0</v>
      </c>
      <c r="C50" s="438" t="s">
        <v>1606</v>
      </c>
      <c r="D50" s="4428" t="s">
        <v>1655</v>
      </c>
      <c r="E50" s="4428"/>
      <c r="F50" s="4428"/>
      <c r="G50" s="4428"/>
      <c r="H50" s="1460">
        <f>IF(I50=0,20,"-")</f>
        <v>20</v>
      </c>
      <c r="I50" s="1607"/>
      <c r="K50" s="438" t="s">
        <v>1595</v>
      </c>
      <c r="L50" s="4428" t="s">
        <v>1656</v>
      </c>
      <c r="M50" s="4427"/>
      <c r="N50" s="4427"/>
      <c r="O50" s="4427"/>
      <c r="P50" s="1460">
        <f>IF(AND(Q50=0,NOT(Raza="D'Anjayni"),NOT(Nephilim="Nephilim D'Anjayni")),10,"-")</f>
        <v>10</v>
      </c>
      <c r="Q50" s="1607"/>
      <c r="R50" s="1072" t="b">
        <f>P50="-"</f>
        <v>0</v>
      </c>
      <c r="S50" s="892"/>
      <c r="T50" s="892"/>
      <c r="U50" s="445"/>
      <c r="V50" s="4407"/>
      <c r="W50" s="4408"/>
      <c r="X50" s="4408"/>
      <c r="Y50" s="4408"/>
      <c r="Z50" s="4408"/>
      <c r="AA50" s="4409"/>
      <c r="AB50" s="1962" t="s">
        <v>1499</v>
      </c>
      <c r="AD50" s="4407"/>
      <c r="AE50" s="4408"/>
      <c r="AF50" s="4408"/>
      <c r="AG50" s="4408"/>
      <c r="AH50" s="4408"/>
      <c r="AI50" s="4409"/>
      <c r="AJ50" s="1962" t="s">
        <v>1499</v>
      </c>
      <c r="AK50" s="398"/>
      <c r="AL50" s="392"/>
      <c r="AM50" s="3126"/>
      <c r="AN50" s="3127"/>
    </row>
    <row r="51" spans="1:40" ht="12" customHeight="1" x14ac:dyDescent="0.2">
      <c r="A51" s="392"/>
      <c r="B51" s="1073" t="b">
        <f t="shared" si="3"/>
        <v>0</v>
      </c>
      <c r="C51" s="4426" t="s">
        <v>1657</v>
      </c>
      <c r="D51" s="4428"/>
      <c r="E51" s="4428"/>
      <c r="F51" s="4428"/>
      <c r="G51" s="4428"/>
      <c r="H51" s="1460">
        <f>IF(I51=0,30,"-")</f>
        <v>30</v>
      </c>
      <c r="I51" s="1607"/>
      <c r="K51" s="438" t="s">
        <v>1629</v>
      </c>
      <c r="L51" s="441" t="s">
        <v>1595</v>
      </c>
      <c r="M51" s="4428" t="s">
        <v>1658</v>
      </c>
      <c r="N51" s="4428"/>
      <c r="O51" s="4428"/>
      <c r="P51" s="1460">
        <f t="shared" si="2"/>
        <v>10</v>
      </c>
      <c r="Q51" s="1607"/>
      <c r="R51" s="1072" t="b">
        <f t="shared" si="0"/>
        <v>0</v>
      </c>
      <c r="S51" s="892"/>
      <c r="T51" s="892"/>
      <c r="U51" s="445">
        <f>IF(V52=0,0,1)</f>
        <v>1</v>
      </c>
      <c r="V51" s="4410" t="str">
        <f>IF(V50="","",VLOOKUP(V50,'Tablas Técnicas'!$C$655:$H$854,6,FALSE))</f>
        <v/>
      </c>
      <c r="W51" s="4411"/>
      <c r="X51" s="4411"/>
      <c r="Y51" s="4411"/>
      <c r="Z51" s="1948" t="s">
        <v>1325</v>
      </c>
      <c r="AA51" s="1766" t="str">
        <f>IF(V50="","",VLOOKUP(V50,'Tablas Técnicas'!$C$655:$E$854,3,FALSE))</f>
        <v/>
      </c>
      <c r="AB51" s="1963">
        <f>IF(V50="",0,VLOOKUP(V50,'Tablas Técnicas'!$C$655:$K$854,5,FALSE))</f>
        <v>0</v>
      </c>
      <c r="AD51" s="4410" t="str">
        <f>IF(AD50="","",VLOOKUP(AD50,'Tablas Técnicas'!$C$655:$H$854,6,FALSE))</f>
        <v/>
      </c>
      <c r="AE51" s="4411"/>
      <c r="AF51" s="4411"/>
      <c r="AG51" s="4411"/>
      <c r="AH51" s="1948" t="s">
        <v>1325</v>
      </c>
      <c r="AI51" s="1766" t="str">
        <f>IF(AD50="","",VLOOKUP(AD50,'Tablas Técnicas'!$C$655:$E$854,3,FALSE))</f>
        <v/>
      </c>
      <c r="AJ51" s="1963">
        <f>IF(AD50="",0,VLOOKUP(AD50,'Tablas Técnicas'!$C$655:$K$854,5,FALSE))</f>
        <v>0</v>
      </c>
      <c r="AK51" s="398"/>
      <c r="AL51" s="392"/>
      <c r="AM51" s="3126"/>
      <c r="AN51" s="3127"/>
    </row>
    <row r="52" spans="1:40" ht="12" customHeight="1" x14ac:dyDescent="0.2">
      <c r="A52" s="392"/>
      <c r="B52" s="1073" t="b">
        <f t="shared" si="3"/>
        <v>0</v>
      </c>
      <c r="C52" s="438" t="s">
        <v>1606</v>
      </c>
      <c r="D52" s="4428" t="s">
        <v>1659</v>
      </c>
      <c r="E52" s="4428"/>
      <c r="F52" s="4428"/>
      <c r="G52" s="4428"/>
      <c r="H52" s="1460">
        <f>IF(I52=0,20,"-")</f>
        <v>20</v>
      </c>
      <c r="I52" s="1607"/>
      <c r="K52" s="438" t="s">
        <v>1629</v>
      </c>
      <c r="L52" s="441" t="s">
        <v>1606</v>
      </c>
      <c r="M52" s="4428" t="s">
        <v>1660</v>
      </c>
      <c r="N52" s="4428"/>
      <c r="O52" s="4428"/>
      <c r="P52" s="1460">
        <f t="shared" si="2"/>
        <v>10</v>
      </c>
      <c r="Q52" s="1607"/>
      <c r="R52" s="1072" t="b">
        <f t="shared" si="0"/>
        <v>0</v>
      </c>
      <c r="S52" s="892"/>
      <c r="T52" s="892"/>
      <c r="U52" s="445"/>
      <c r="V52" s="4412" t="str">
        <f>IFERROR(VLOOKUP(V50,'Tablas Técnicas'!$C$655:$I$854,7,FALSE),"")</f>
        <v/>
      </c>
      <c r="W52" s="4413"/>
      <c r="X52" s="4413"/>
      <c r="Y52" s="4413"/>
      <c r="Z52" s="4413"/>
      <c r="AA52" s="4413"/>
      <c r="AB52" s="4414"/>
      <c r="AD52" s="4412" t="str">
        <f>IFERROR(VLOOKUP(AD50,'Tablas Técnicas'!$C$655:$I$854,7,FALSE),"")</f>
        <v/>
      </c>
      <c r="AE52" s="4413"/>
      <c r="AF52" s="4413"/>
      <c r="AG52" s="4413"/>
      <c r="AH52" s="4413"/>
      <c r="AI52" s="4413"/>
      <c r="AJ52" s="4414"/>
      <c r="AK52" s="398"/>
      <c r="AL52" s="392"/>
      <c r="AM52" s="3126"/>
      <c r="AN52" s="3127"/>
    </row>
    <row r="53" spans="1:40" ht="12" customHeight="1" x14ac:dyDescent="0.2">
      <c r="A53" s="392"/>
      <c r="B53" s="1073" t="b">
        <f t="shared" si="3"/>
        <v>0</v>
      </c>
      <c r="C53" s="4426" t="s">
        <v>1661</v>
      </c>
      <c r="D53" s="4427"/>
      <c r="E53" s="4427"/>
      <c r="F53" s="4427"/>
      <c r="G53" s="4427"/>
      <c r="H53" s="1460">
        <f>IF(I53=0,30,"-")</f>
        <v>30</v>
      </c>
      <c r="I53" s="1607"/>
      <c r="K53" s="438" t="s">
        <v>1595</v>
      </c>
      <c r="L53" s="4428" t="s">
        <v>1662</v>
      </c>
      <c r="M53" s="4427"/>
      <c r="N53" s="4427"/>
      <c r="O53" s="4427"/>
      <c r="P53" s="1460">
        <f t="shared" si="2"/>
        <v>10</v>
      </c>
      <c r="Q53" s="1607"/>
      <c r="R53" s="1072" t="b">
        <f t="shared" si="0"/>
        <v>0</v>
      </c>
      <c r="S53" s="892"/>
      <c r="T53" s="892"/>
      <c r="U53" s="445">
        <f>IF(V54=0,0,1)</f>
        <v>0</v>
      </c>
      <c r="V53" s="4412"/>
      <c r="W53" s="4413"/>
      <c r="X53" s="4413"/>
      <c r="Y53" s="4413"/>
      <c r="Z53" s="4413"/>
      <c r="AA53" s="4413"/>
      <c r="AB53" s="4414"/>
      <c r="AD53" s="4412"/>
      <c r="AE53" s="4413"/>
      <c r="AF53" s="4413"/>
      <c r="AG53" s="4413"/>
      <c r="AH53" s="4413"/>
      <c r="AI53" s="4413"/>
      <c r="AJ53" s="4414"/>
      <c r="AK53" s="398"/>
      <c r="AL53" s="392"/>
      <c r="AM53" s="3126"/>
      <c r="AN53" s="3127"/>
    </row>
    <row r="54" spans="1:40" ht="12" customHeight="1" x14ac:dyDescent="0.2">
      <c r="A54" s="392"/>
      <c r="B54" s="1073" t="b">
        <f t="shared" si="3"/>
        <v>0</v>
      </c>
      <c r="C54" s="4426" t="s">
        <v>1663</v>
      </c>
      <c r="D54" s="4427"/>
      <c r="E54" s="4427"/>
      <c r="F54" s="4427"/>
      <c r="G54" s="4427"/>
      <c r="H54" s="1460">
        <f>IF(I54=0,30,"-")</f>
        <v>30</v>
      </c>
      <c r="I54" s="1607"/>
      <c r="J54" s="2655"/>
      <c r="K54" s="438" t="s">
        <v>1629</v>
      </c>
      <c r="L54" s="441" t="s">
        <v>1595</v>
      </c>
      <c r="M54" s="4428" t="s">
        <v>1664</v>
      </c>
      <c r="N54" s="4428"/>
      <c r="O54" s="4428"/>
      <c r="P54" s="1460">
        <f>IF(Q54=0,20,"-")</f>
        <v>20</v>
      </c>
      <c r="Q54" s="1607"/>
      <c r="R54" s="1072" t="b">
        <f t="shared" si="0"/>
        <v>0</v>
      </c>
      <c r="S54" s="892"/>
      <c r="T54" s="892"/>
      <c r="U54" s="445"/>
      <c r="V54" s="4412"/>
      <c r="W54" s="4413"/>
      <c r="X54" s="4413"/>
      <c r="Y54" s="4413"/>
      <c r="Z54" s="4413"/>
      <c r="AA54" s="4413"/>
      <c r="AB54" s="4414"/>
      <c r="AD54" s="4412"/>
      <c r="AE54" s="4413"/>
      <c r="AF54" s="4413"/>
      <c r="AG54" s="4413"/>
      <c r="AH54" s="4413"/>
      <c r="AI54" s="4413"/>
      <c r="AJ54" s="4414"/>
      <c r="AK54" s="398"/>
      <c r="AL54" s="392"/>
      <c r="AM54" s="3126"/>
      <c r="AN54" s="3127"/>
    </row>
    <row r="55" spans="1:40" ht="12" customHeight="1" x14ac:dyDescent="0.2">
      <c r="A55" s="392"/>
      <c r="B55" s="1073" t="b">
        <f t="shared" si="3"/>
        <v>0</v>
      </c>
      <c r="C55" s="438" t="s">
        <v>1595</v>
      </c>
      <c r="D55" s="4428" t="s">
        <v>1665</v>
      </c>
      <c r="E55" s="4427"/>
      <c r="F55" s="4427"/>
      <c r="G55" s="4427"/>
      <c r="H55" s="1460">
        <f>IF(I55=0,30,"-")</f>
        <v>30</v>
      </c>
      <c r="I55" s="1607"/>
      <c r="K55" s="438" t="s">
        <v>1629</v>
      </c>
      <c r="L55" s="441" t="s">
        <v>1595</v>
      </c>
      <c r="M55" s="4428" t="s">
        <v>1666</v>
      </c>
      <c r="N55" s="4428"/>
      <c r="O55" s="4428"/>
      <c r="P55" s="1460">
        <f>IF(Q55=0,20,"-")</f>
        <v>20</v>
      </c>
      <c r="Q55" s="1607"/>
      <c r="R55" s="1072" t="b">
        <f t="shared" si="0"/>
        <v>0</v>
      </c>
      <c r="S55" s="892"/>
      <c r="T55" s="892"/>
      <c r="U55" s="445">
        <f>IF(V56=0,0,1)</f>
        <v>0</v>
      </c>
      <c r="V55" s="4412" t="str">
        <f>IFERROR(IF(VLOOKUP(V50,'Tablas Técnicas'!$C$655:$J$854,8,FALSE)="","",VLOOKUP(V50,'Tablas Técnicas'!$C$655:$J$854,8,FALSE)),"")</f>
        <v/>
      </c>
      <c r="W55" s="4413"/>
      <c r="X55" s="4413"/>
      <c r="Y55" s="4413"/>
      <c r="Z55" s="4413"/>
      <c r="AA55" s="4413"/>
      <c r="AB55" s="4414"/>
      <c r="AD55" s="4412" t="str">
        <f>IFERROR(IF(VLOOKUP(AD50,'Tablas Técnicas'!$C$655:$J$854,8,FALSE)="","",VLOOKUP(AD50,'Tablas Técnicas'!$C$655:$J$854,8,FALSE)),"")</f>
        <v/>
      </c>
      <c r="AE55" s="4413"/>
      <c r="AF55" s="4413"/>
      <c r="AG55" s="4413"/>
      <c r="AH55" s="4413"/>
      <c r="AI55" s="4413"/>
      <c r="AJ55" s="4414"/>
      <c r="AK55" s="398"/>
      <c r="AL55" s="392"/>
      <c r="AM55" s="3126"/>
      <c r="AN55" s="3127"/>
    </row>
    <row r="56" spans="1:40" ht="12" customHeight="1" thickBot="1" x14ac:dyDescent="0.25">
      <c r="A56" s="392"/>
      <c r="B56" s="1073" t="b">
        <f t="shared" si="3"/>
        <v>0</v>
      </c>
      <c r="C56" s="4426" t="s">
        <v>1667</v>
      </c>
      <c r="D56" s="4427"/>
      <c r="E56" s="4427"/>
      <c r="F56" s="4427"/>
      <c r="G56" s="4427"/>
      <c r="H56" s="1460">
        <f>IF(I56=0,10,"-")</f>
        <v>10</v>
      </c>
      <c r="I56" s="1607"/>
      <c r="K56" s="438" t="s">
        <v>1629</v>
      </c>
      <c r="L56" s="441" t="s">
        <v>1606</v>
      </c>
      <c r="M56" s="4428" t="s">
        <v>1668</v>
      </c>
      <c r="N56" s="4428"/>
      <c r="O56" s="4428"/>
      <c r="P56" s="1460">
        <f>IF(Q56=0,20,"-")</f>
        <v>20</v>
      </c>
      <c r="Q56" s="1607"/>
      <c r="R56" s="1072" t="b">
        <f t="shared" si="0"/>
        <v>0</v>
      </c>
      <c r="S56" s="892"/>
      <c r="T56" s="892"/>
      <c r="U56" s="445"/>
      <c r="V56" s="4415"/>
      <c r="W56" s="4416"/>
      <c r="X56" s="4416"/>
      <c r="Y56" s="4416"/>
      <c r="Z56" s="4416"/>
      <c r="AA56" s="4416"/>
      <c r="AB56" s="4417"/>
      <c r="AD56" s="4415"/>
      <c r="AE56" s="4416"/>
      <c r="AF56" s="4416"/>
      <c r="AG56" s="4416"/>
      <c r="AH56" s="4416"/>
      <c r="AI56" s="4416"/>
      <c r="AJ56" s="4417"/>
      <c r="AK56" s="398"/>
      <c r="AL56" s="392"/>
      <c r="AM56" s="3126"/>
      <c r="AN56" s="3127"/>
    </row>
    <row r="57" spans="1:40" ht="12" customHeight="1" thickBot="1" x14ac:dyDescent="0.25">
      <c r="A57" s="392"/>
      <c r="B57" s="1073" t="b">
        <f t="shared" si="3"/>
        <v>0</v>
      </c>
      <c r="C57" s="438" t="s">
        <v>1595</v>
      </c>
      <c r="D57" s="4428" t="s">
        <v>1669</v>
      </c>
      <c r="E57" s="4427"/>
      <c r="F57" s="4427"/>
      <c r="G57" s="4427"/>
      <c r="H57" s="1460">
        <f>IF(I57=0,10,"-")</f>
        <v>10</v>
      </c>
      <c r="I57" s="1607"/>
      <c r="K57" s="438" t="s">
        <v>1595</v>
      </c>
      <c r="L57" s="4428" t="s">
        <v>1670</v>
      </c>
      <c r="M57" s="4427"/>
      <c r="N57" s="4427"/>
      <c r="O57" s="4427"/>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6"/>
      <c r="AN57" s="3127"/>
    </row>
    <row r="58" spans="1:40" ht="12" customHeight="1" x14ac:dyDescent="0.2">
      <c r="A58" s="392"/>
      <c r="B58" s="1073" t="b">
        <f t="shared" si="3"/>
        <v>0</v>
      </c>
      <c r="C58" s="438" t="s">
        <v>1595</v>
      </c>
      <c r="D58" s="4428" t="s">
        <v>1671</v>
      </c>
      <c r="E58" s="4427"/>
      <c r="F58" s="4427"/>
      <c r="G58" s="4427"/>
      <c r="H58" s="1460">
        <f>IF(I58=0,20,"-")</f>
        <v>20</v>
      </c>
      <c r="I58" s="1607"/>
      <c r="K58" s="438" t="s">
        <v>1629</v>
      </c>
      <c r="L58" s="441" t="s">
        <v>1606</v>
      </c>
      <c r="M58" s="4428" t="s">
        <v>1672</v>
      </c>
      <c r="N58" s="4428"/>
      <c r="O58" s="4428"/>
      <c r="P58" s="1460">
        <f>IF(Q58=0,20,"-")</f>
        <v>20</v>
      </c>
      <c r="Q58" s="1607"/>
      <c r="R58" s="1072" t="b">
        <f t="shared" si="0"/>
        <v>0</v>
      </c>
      <c r="S58" s="892"/>
      <c r="T58" s="892"/>
      <c r="U58" s="445"/>
      <c r="V58" s="4407"/>
      <c r="W58" s="4408"/>
      <c r="X58" s="4408"/>
      <c r="Y58" s="4408"/>
      <c r="Z58" s="4408"/>
      <c r="AA58" s="4409"/>
      <c r="AB58" s="1962" t="s">
        <v>1499</v>
      </c>
      <c r="AD58" s="4407"/>
      <c r="AE58" s="4408"/>
      <c r="AF58" s="4408"/>
      <c r="AG58" s="4408"/>
      <c r="AH58" s="4408"/>
      <c r="AI58" s="4409"/>
      <c r="AJ58" s="1962" t="s">
        <v>1499</v>
      </c>
      <c r="AK58" s="398"/>
      <c r="AL58" s="392"/>
      <c r="AM58" s="3126"/>
      <c r="AN58" s="3127"/>
    </row>
    <row r="59" spans="1:40" ht="12" customHeight="1" x14ac:dyDescent="0.2">
      <c r="A59" s="392"/>
      <c r="B59" s="1073" t="b">
        <f t="shared" si="3"/>
        <v>0</v>
      </c>
      <c r="C59" s="438" t="s">
        <v>1606</v>
      </c>
      <c r="D59" s="4428" t="s">
        <v>1673</v>
      </c>
      <c r="E59" s="4427"/>
      <c r="F59" s="4427"/>
      <c r="G59" s="4427"/>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410" t="str">
        <f>IF(V58="","",VLOOKUP(V58,'Tablas Técnicas'!$C$655:$H$854,6,FALSE))</f>
        <v/>
      </c>
      <c r="W59" s="4411"/>
      <c r="X59" s="4411"/>
      <c r="Y59" s="4411"/>
      <c r="Z59" s="1948" t="s">
        <v>1325</v>
      </c>
      <c r="AA59" s="1766" t="str">
        <f>IF(V58="","",VLOOKUP(V58,'Tablas Técnicas'!$C$655:$E$854,3,FALSE))</f>
        <v/>
      </c>
      <c r="AB59" s="1963">
        <f>IF(V58="",0,VLOOKUP(V58,'Tablas Técnicas'!$C$655:$K$854,5,FALSE))</f>
        <v>0</v>
      </c>
      <c r="AD59" s="4410" t="str">
        <f>IF(AD58="","",VLOOKUP(AD58,'Tablas Técnicas'!$C$655:$H$854,6,FALSE))</f>
        <v/>
      </c>
      <c r="AE59" s="4411"/>
      <c r="AF59" s="4411"/>
      <c r="AG59" s="4411"/>
      <c r="AH59" s="1948" t="s">
        <v>1325</v>
      </c>
      <c r="AI59" s="1766" t="str">
        <f>IF(AD58="","",VLOOKUP(AD58,'Tablas Técnicas'!$C$655:$E$854,3,FALSE))</f>
        <v/>
      </c>
      <c r="AJ59" s="1963">
        <f>IF(AD58="",0,VLOOKUP(AD58,'Tablas Técnicas'!$C$655:$K$854,5,FALSE))</f>
        <v>0</v>
      </c>
      <c r="AK59" s="398"/>
      <c r="AL59" s="392"/>
      <c r="AM59" s="3126"/>
      <c r="AN59" s="3127"/>
    </row>
    <row r="60" spans="1:40" ht="12" customHeight="1" x14ac:dyDescent="0.3">
      <c r="A60" s="392"/>
      <c r="B60" s="1073" t="b">
        <f t="shared" si="3"/>
        <v>0</v>
      </c>
      <c r="C60" s="448"/>
      <c r="D60" s="441" t="s">
        <v>1606</v>
      </c>
      <c r="E60" s="4428" t="s">
        <v>1675</v>
      </c>
      <c r="F60" s="4428"/>
      <c r="G60" s="4428"/>
      <c r="H60" s="1460">
        <f>IF(I60=0,40,"-")</f>
        <v>40</v>
      </c>
      <c r="I60" s="1607"/>
      <c r="K60" s="438" t="s">
        <v>1606</v>
      </c>
      <c r="L60" s="4428" t="s">
        <v>1676</v>
      </c>
      <c r="M60" s="4428"/>
      <c r="N60" s="4428"/>
      <c r="O60" s="4428"/>
      <c r="P60" s="1460">
        <f>IF(Q60=0,20,"-")</f>
        <v>20</v>
      </c>
      <c r="Q60" s="1607"/>
      <c r="R60" s="1072" t="b">
        <f t="shared" si="0"/>
        <v>0</v>
      </c>
      <c r="S60" s="892"/>
      <c r="T60" s="892"/>
      <c r="U60" s="445"/>
      <c r="V60" s="4412" t="str">
        <f>IFERROR(VLOOKUP(V58,'Tablas Técnicas'!$C$655:$I$854,7,FALSE),"")</f>
        <v/>
      </c>
      <c r="W60" s="4413"/>
      <c r="X60" s="4413"/>
      <c r="Y60" s="4413"/>
      <c r="Z60" s="4413"/>
      <c r="AA60" s="4413"/>
      <c r="AB60" s="4414"/>
      <c r="AD60" s="4412" t="str">
        <f>IFERROR(VLOOKUP(AD58,'Tablas Técnicas'!$C$655:$I$854,7,FALSE),"")</f>
        <v/>
      </c>
      <c r="AE60" s="4413"/>
      <c r="AF60" s="4413"/>
      <c r="AG60" s="4413"/>
      <c r="AH60" s="4413"/>
      <c r="AI60" s="4413"/>
      <c r="AJ60" s="4414"/>
      <c r="AK60" s="398"/>
      <c r="AL60" s="392"/>
      <c r="AM60" s="3126"/>
      <c r="AN60" s="3127"/>
    </row>
    <row r="61" spans="1:40" ht="12" customHeight="1" x14ac:dyDescent="0.2">
      <c r="A61" s="392"/>
      <c r="B61" s="1073" t="b">
        <f t="shared" si="3"/>
        <v>0</v>
      </c>
      <c r="C61" s="4426" t="s">
        <v>1677</v>
      </c>
      <c r="D61" s="4427"/>
      <c r="E61" s="4427"/>
      <c r="F61" s="4427"/>
      <c r="G61" s="4427"/>
      <c r="H61" s="1460">
        <f>IF(I61=0,30,"-")</f>
        <v>30</v>
      </c>
      <c r="I61" s="1607"/>
      <c r="K61" s="447"/>
      <c r="L61" s="441" t="s">
        <v>1606</v>
      </c>
      <c r="M61" s="4428" t="s">
        <v>1678</v>
      </c>
      <c r="N61" s="4428"/>
      <c r="O61" s="4428"/>
      <c r="P61" s="1460">
        <f>IF(Q61=0,20,"-")</f>
        <v>20</v>
      </c>
      <c r="Q61" s="1607"/>
      <c r="R61" s="1072" t="b">
        <f t="shared" si="0"/>
        <v>0</v>
      </c>
      <c r="S61" s="892"/>
      <c r="T61" s="892"/>
      <c r="U61" s="445">
        <f>IF(V62=0,0,1)</f>
        <v>0</v>
      </c>
      <c r="V61" s="4412"/>
      <c r="W61" s="4413"/>
      <c r="X61" s="4413"/>
      <c r="Y61" s="4413"/>
      <c r="Z61" s="4413"/>
      <c r="AA61" s="4413"/>
      <c r="AB61" s="4414"/>
      <c r="AD61" s="4412"/>
      <c r="AE61" s="4413"/>
      <c r="AF61" s="4413"/>
      <c r="AG61" s="4413"/>
      <c r="AH61" s="4413"/>
      <c r="AI61" s="4413"/>
      <c r="AJ61" s="4414"/>
      <c r="AK61" s="398"/>
      <c r="AL61" s="392"/>
      <c r="AM61" s="3126"/>
      <c r="AN61" s="3127"/>
    </row>
    <row r="62" spans="1:40" ht="12" customHeight="1" x14ac:dyDescent="0.2">
      <c r="A62" s="392"/>
      <c r="B62" s="1073" t="b">
        <f t="shared" si="3"/>
        <v>0</v>
      </c>
      <c r="C62" s="4426" t="s">
        <v>1679</v>
      </c>
      <c r="D62" s="4427"/>
      <c r="E62" s="4427"/>
      <c r="F62" s="4427"/>
      <c r="G62" s="4427"/>
      <c r="H62" s="1460">
        <f>IF(I62=0,10,"-")</f>
        <v>10</v>
      </c>
      <c r="I62" s="1607"/>
      <c r="K62" s="4426" t="s">
        <v>1680</v>
      </c>
      <c r="L62" s="4427"/>
      <c r="M62" s="4427"/>
      <c r="N62" s="4427"/>
      <c r="O62" s="4427"/>
      <c r="P62" s="1460">
        <f>IF(Q62=0,50,"-")</f>
        <v>50</v>
      </c>
      <c r="Q62" s="1607"/>
      <c r="R62" s="1072" t="b">
        <f t="shared" si="0"/>
        <v>0</v>
      </c>
      <c r="S62" s="892"/>
      <c r="T62" s="892"/>
      <c r="U62" s="445"/>
      <c r="V62" s="4412"/>
      <c r="W62" s="4413"/>
      <c r="X62" s="4413"/>
      <c r="Y62" s="4413"/>
      <c r="Z62" s="4413"/>
      <c r="AA62" s="4413"/>
      <c r="AB62" s="4414"/>
      <c r="AD62" s="4412"/>
      <c r="AE62" s="4413"/>
      <c r="AF62" s="4413"/>
      <c r="AG62" s="4413"/>
      <c r="AH62" s="4413"/>
      <c r="AI62" s="4413"/>
      <c r="AJ62" s="4414"/>
      <c r="AK62" s="398"/>
      <c r="AL62" s="392"/>
      <c r="AM62" s="3126"/>
      <c r="AN62" s="3127"/>
    </row>
    <row r="63" spans="1:40" ht="12" customHeight="1" x14ac:dyDescent="0.2">
      <c r="A63" s="392"/>
      <c r="B63" s="1083">
        <f>IF(COUNTIF(HabilidadesEsenciales_Adquiridas,"Inhumanidad")+COUNTIF(Principal!V30:AE35,"Inhumanidad")&gt;0,1,0)</f>
        <v>0</v>
      </c>
      <c r="C63" s="4426" t="s">
        <v>1681</v>
      </c>
      <c r="D63" s="4427"/>
      <c r="E63" s="4427"/>
      <c r="F63" s="4427"/>
      <c r="G63" s="4427"/>
      <c r="H63" s="1460">
        <f>IF(I63=0,20,"-")</f>
        <v>20</v>
      </c>
      <c r="I63" s="1607"/>
      <c r="K63" s="4426" t="s">
        <v>1681</v>
      </c>
      <c r="L63" s="4428"/>
      <c r="M63" s="4428"/>
      <c r="N63" s="4428"/>
      <c r="O63" s="4428"/>
      <c r="P63" s="1460">
        <f>IF(Q63=0,30,"-")</f>
        <v>30</v>
      </c>
      <c r="Q63" s="1607"/>
      <c r="R63" s="1072"/>
      <c r="S63" s="892"/>
      <c r="T63" s="892"/>
      <c r="U63" s="445">
        <f>IF(V64=0,0,1)</f>
        <v>0</v>
      </c>
      <c r="V63" s="4412" t="str">
        <f>IFERROR(IF(VLOOKUP(V58,'Tablas Técnicas'!$C$655:$J$854,8,FALSE)="","",VLOOKUP(V58,'Tablas Técnicas'!$C$655:$J$854,8,FALSE)),"")</f>
        <v/>
      </c>
      <c r="W63" s="4413"/>
      <c r="X63" s="4413"/>
      <c r="Y63" s="4413"/>
      <c r="Z63" s="4413"/>
      <c r="AA63" s="4413"/>
      <c r="AB63" s="4414"/>
      <c r="AD63" s="4412" t="str">
        <f>IFERROR(IF(VLOOKUP(AD58,'Tablas Técnicas'!$C$655:$J$854,8,FALSE)="","",VLOOKUP(AD58,'Tablas Técnicas'!$C$655:$J$854,8,FALSE)),"")</f>
        <v/>
      </c>
      <c r="AE63" s="4413"/>
      <c r="AF63" s="4413"/>
      <c r="AG63" s="4413"/>
      <c r="AH63" s="4413"/>
      <c r="AI63" s="4413"/>
      <c r="AJ63" s="4414"/>
      <c r="AK63" s="398"/>
      <c r="AL63" s="392"/>
      <c r="AM63" s="3126"/>
      <c r="AN63" s="3127"/>
    </row>
    <row r="64" spans="1:40" ht="12" customHeight="1" thickBot="1" x14ac:dyDescent="0.25">
      <c r="A64" s="392"/>
      <c r="B64" s="1083">
        <f>IF(COUNTIF(HabilidadesEsenciales_Adquiridas,"Zen")+COUNTIF(Principal!V30:AE35,"Zen")&gt;0,1,0)</f>
        <v>0</v>
      </c>
      <c r="C64" s="449" t="s">
        <v>1606</v>
      </c>
      <c r="D64" s="4424" t="s">
        <v>1682</v>
      </c>
      <c r="E64" s="4425"/>
      <c r="F64" s="4425"/>
      <c r="G64" s="4425"/>
      <c r="H64" s="1541">
        <f>IF(I64=0,40,"-")</f>
        <v>40</v>
      </c>
      <c r="I64" s="1608"/>
      <c r="K64" s="449" t="s">
        <v>1606</v>
      </c>
      <c r="L64" s="4424" t="s">
        <v>1682</v>
      </c>
      <c r="M64" s="4424"/>
      <c r="N64" s="4424"/>
      <c r="O64" s="4424"/>
      <c r="P64" s="1541">
        <f>IF(Q64=0,50,"-")</f>
        <v>50</v>
      </c>
      <c r="Q64" s="1608"/>
      <c r="R64" s="1072"/>
      <c r="S64" s="892"/>
      <c r="T64" s="892"/>
      <c r="U64" s="450"/>
      <c r="V64" s="4415"/>
      <c r="W64" s="4416"/>
      <c r="X64" s="4416"/>
      <c r="Y64" s="4416"/>
      <c r="Z64" s="4416"/>
      <c r="AA64" s="4416"/>
      <c r="AB64" s="4417"/>
      <c r="AD64" s="4415"/>
      <c r="AE64" s="4416"/>
      <c r="AF64" s="4416"/>
      <c r="AG64" s="4416"/>
      <c r="AH64" s="4416"/>
      <c r="AI64" s="4416"/>
      <c r="AJ64" s="4417"/>
      <c r="AK64" s="398"/>
      <c r="AL64" s="392"/>
      <c r="AM64" s="3126"/>
      <c r="AN64" s="3127"/>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6"/>
      <c r="AN65" s="3127"/>
    </row>
    <row r="66" spans="1:40" ht="12" customHeight="1" thickBot="1" x14ac:dyDescent="0.25">
      <c r="A66" s="392"/>
      <c r="B66" s="1083"/>
      <c r="C66" s="3350" t="s">
        <v>9604</v>
      </c>
      <c r="D66" s="3351"/>
      <c r="E66" s="3351"/>
      <c r="F66" s="3351"/>
      <c r="G66" s="3351"/>
      <c r="H66" s="3351"/>
      <c r="I66" s="3351"/>
      <c r="J66" s="3351"/>
      <c r="K66" s="3351"/>
      <c r="L66" s="3351"/>
      <c r="M66" s="3351"/>
      <c r="N66" s="3351"/>
      <c r="O66" s="3351"/>
      <c r="P66" s="3351"/>
      <c r="Q66" s="3352"/>
      <c r="R66" s="1072"/>
      <c r="S66" s="892"/>
      <c r="T66" s="892"/>
      <c r="U66" s="450"/>
      <c r="V66" s="4407"/>
      <c r="W66" s="4408"/>
      <c r="X66" s="4408"/>
      <c r="Y66" s="4408"/>
      <c r="Z66" s="4408"/>
      <c r="AA66" s="4409"/>
      <c r="AB66" s="1962" t="s">
        <v>1499</v>
      </c>
      <c r="AC66" s="323"/>
      <c r="AD66" s="4407"/>
      <c r="AE66" s="4408"/>
      <c r="AF66" s="4408"/>
      <c r="AG66" s="4408"/>
      <c r="AH66" s="4408"/>
      <c r="AI66" s="4409"/>
      <c r="AJ66" s="1962" t="s">
        <v>1499</v>
      </c>
      <c r="AK66" s="398"/>
      <c r="AL66" s="392"/>
      <c r="AM66" s="3126"/>
      <c r="AN66" s="3127"/>
    </row>
    <row r="67" spans="1:40" ht="12" customHeight="1" x14ac:dyDescent="0.2">
      <c r="A67" s="392"/>
      <c r="B67" s="1083"/>
      <c r="C67" s="4418"/>
      <c r="D67" s="4419"/>
      <c r="E67" s="4419"/>
      <c r="F67" s="4419"/>
      <c r="G67" s="4419"/>
      <c r="H67" s="4419"/>
      <c r="I67" s="4419"/>
      <c r="J67" s="4419"/>
      <c r="K67" s="4419"/>
      <c r="L67" s="4419"/>
      <c r="M67" s="4419"/>
      <c r="N67" s="4419"/>
      <c r="O67" s="4419"/>
      <c r="P67" s="4419"/>
      <c r="Q67" s="4420"/>
      <c r="R67" s="1072"/>
      <c r="S67" s="892"/>
      <c r="T67" s="892"/>
      <c r="U67" s="450"/>
      <c r="V67" s="4410" t="str">
        <f>IF(V66="","",VLOOKUP(V66,'Tablas Técnicas'!$C$655:$H$854,6,FALSE))</f>
        <v/>
      </c>
      <c r="W67" s="4411"/>
      <c r="X67" s="4411"/>
      <c r="Y67" s="4411"/>
      <c r="Z67" s="1948" t="s">
        <v>1325</v>
      </c>
      <c r="AA67" s="1766" t="str">
        <f>IF(V66="","",VLOOKUP(V66,'Tablas Técnicas'!$C$655:$E$854,3,FALSE))</f>
        <v/>
      </c>
      <c r="AB67" s="1963">
        <f>IF(V66="",0,VLOOKUP(V66,'Tablas Técnicas'!$C$655:$K$854,5,FALSE))</f>
        <v>0</v>
      </c>
      <c r="AC67" s="323"/>
      <c r="AD67" s="4410" t="str">
        <f>IF(AD66="","",VLOOKUP(AD66,'Tablas Técnicas'!$C$655:$H$854,6,FALSE))</f>
        <v/>
      </c>
      <c r="AE67" s="4411"/>
      <c r="AF67" s="4411"/>
      <c r="AG67" s="4411"/>
      <c r="AH67" s="1948" t="s">
        <v>1325</v>
      </c>
      <c r="AI67" s="1766" t="str">
        <f>IF(AD66="","",VLOOKUP(AD66,'Tablas Técnicas'!$C$655:$E$854,3,FALSE))</f>
        <v/>
      </c>
      <c r="AJ67" s="1963">
        <f>IF(AD66="",0,VLOOKUP(AD66,'Tablas Técnicas'!$C$655:$K$854,5,FALSE))</f>
        <v>0</v>
      </c>
      <c r="AK67" s="398"/>
      <c r="AL67" s="392"/>
      <c r="AM67" s="3126"/>
      <c r="AN67" s="3127"/>
    </row>
    <row r="68" spans="1:40" ht="12" customHeight="1" x14ac:dyDescent="0.2">
      <c r="A68" s="392"/>
      <c r="B68" s="1083"/>
      <c r="C68" s="4418"/>
      <c r="D68" s="4419"/>
      <c r="E68" s="4419"/>
      <c r="F68" s="4419"/>
      <c r="G68" s="4419"/>
      <c r="H68" s="4419"/>
      <c r="I68" s="4419"/>
      <c r="J68" s="4419"/>
      <c r="K68" s="4419"/>
      <c r="L68" s="4419"/>
      <c r="M68" s="4419"/>
      <c r="N68" s="4419"/>
      <c r="O68" s="4419"/>
      <c r="P68" s="4419"/>
      <c r="Q68" s="4420"/>
      <c r="R68" s="1072"/>
      <c r="S68" s="892"/>
      <c r="T68" s="892"/>
      <c r="U68" s="450"/>
      <c r="V68" s="4412" t="str">
        <f>IFERROR(VLOOKUP(V66,'Tablas Técnicas'!$C$655:$I$854,7,FALSE),"")</f>
        <v/>
      </c>
      <c r="W68" s="4413"/>
      <c r="X68" s="4413"/>
      <c r="Y68" s="4413"/>
      <c r="Z68" s="4413"/>
      <c r="AA68" s="4413"/>
      <c r="AB68" s="4414"/>
      <c r="AC68" s="323"/>
      <c r="AD68" s="4412" t="str">
        <f>IFERROR(VLOOKUP(AD66,'Tablas Técnicas'!$C$655:$I$854,7,FALSE),"")</f>
        <v/>
      </c>
      <c r="AE68" s="4413"/>
      <c r="AF68" s="4413"/>
      <c r="AG68" s="4413"/>
      <c r="AH68" s="4413"/>
      <c r="AI68" s="4413"/>
      <c r="AJ68" s="4414"/>
      <c r="AK68" s="398"/>
      <c r="AL68" s="392"/>
      <c r="AM68" s="3126"/>
      <c r="AN68" s="3127"/>
    </row>
    <row r="69" spans="1:40" ht="12" customHeight="1" x14ac:dyDescent="0.2">
      <c r="A69" s="392"/>
      <c r="B69" s="1083"/>
      <c r="C69" s="4418"/>
      <c r="D69" s="4419"/>
      <c r="E69" s="4419"/>
      <c r="F69" s="4419"/>
      <c r="G69" s="4419"/>
      <c r="H69" s="4419"/>
      <c r="I69" s="4419"/>
      <c r="J69" s="4419"/>
      <c r="K69" s="4419"/>
      <c r="L69" s="4419"/>
      <c r="M69" s="4419"/>
      <c r="N69" s="4419"/>
      <c r="O69" s="4419"/>
      <c r="P69" s="4419"/>
      <c r="Q69" s="4420"/>
      <c r="R69" s="1072"/>
      <c r="S69" s="892"/>
      <c r="T69" s="892"/>
      <c r="U69" s="450"/>
      <c r="V69" s="4412"/>
      <c r="W69" s="4413"/>
      <c r="X69" s="4413"/>
      <c r="Y69" s="4413"/>
      <c r="Z69" s="4413"/>
      <c r="AA69" s="4413"/>
      <c r="AB69" s="4414"/>
      <c r="AC69" s="323"/>
      <c r="AD69" s="4412"/>
      <c r="AE69" s="4413"/>
      <c r="AF69" s="4413"/>
      <c r="AG69" s="4413"/>
      <c r="AH69" s="4413"/>
      <c r="AI69" s="4413"/>
      <c r="AJ69" s="4414"/>
      <c r="AK69" s="398"/>
      <c r="AL69" s="392"/>
      <c r="AM69" s="3126"/>
      <c r="AN69" s="3127"/>
    </row>
    <row r="70" spans="1:40" ht="12" customHeight="1" x14ac:dyDescent="0.2">
      <c r="A70" s="392"/>
      <c r="B70" s="1083"/>
      <c r="C70" s="4418"/>
      <c r="D70" s="4419"/>
      <c r="E70" s="4419"/>
      <c r="F70" s="4419"/>
      <c r="G70" s="4419"/>
      <c r="H70" s="4419"/>
      <c r="I70" s="4419"/>
      <c r="J70" s="4419"/>
      <c r="K70" s="4419"/>
      <c r="L70" s="4419"/>
      <c r="M70" s="4419"/>
      <c r="N70" s="4419"/>
      <c r="O70" s="4419"/>
      <c r="P70" s="4419"/>
      <c r="Q70" s="4420"/>
      <c r="R70" s="1072"/>
      <c r="S70" s="892"/>
      <c r="T70" s="892"/>
      <c r="U70" s="450"/>
      <c r="V70" s="4412"/>
      <c r="W70" s="4413"/>
      <c r="X70" s="4413"/>
      <c r="Y70" s="4413"/>
      <c r="Z70" s="4413"/>
      <c r="AA70" s="4413"/>
      <c r="AB70" s="4414"/>
      <c r="AC70" s="323"/>
      <c r="AD70" s="4412"/>
      <c r="AE70" s="4413"/>
      <c r="AF70" s="4413"/>
      <c r="AG70" s="4413"/>
      <c r="AH70" s="4413"/>
      <c r="AI70" s="4413"/>
      <c r="AJ70" s="4414"/>
      <c r="AK70" s="398"/>
      <c r="AL70" s="392"/>
      <c r="AM70" s="3126"/>
      <c r="AN70" s="3127"/>
    </row>
    <row r="71" spans="1:40" ht="12" customHeight="1" x14ac:dyDescent="0.2">
      <c r="A71" s="392"/>
      <c r="B71" s="1083"/>
      <c r="C71" s="4418"/>
      <c r="D71" s="4419"/>
      <c r="E71" s="4419"/>
      <c r="F71" s="4419"/>
      <c r="G71" s="4419"/>
      <c r="H71" s="4419"/>
      <c r="I71" s="4419"/>
      <c r="J71" s="4419"/>
      <c r="K71" s="4419"/>
      <c r="L71" s="4419"/>
      <c r="M71" s="4419"/>
      <c r="N71" s="4419"/>
      <c r="O71" s="4419"/>
      <c r="P71" s="4419"/>
      <c r="Q71" s="4420"/>
      <c r="R71" s="1072"/>
      <c r="S71" s="892"/>
      <c r="T71" s="892"/>
      <c r="U71" s="450"/>
      <c r="V71" s="4412" t="str">
        <f>IFERROR(IF(VLOOKUP(V66,'Tablas Técnicas'!$C$655:$J$854,8,FALSE)="","",VLOOKUP(V66,'Tablas Técnicas'!$C$655:$J$854,8,FALSE)),"")</f>
        <v/>
      </c>
      <c r="W71" s="4413"/>
      <c r="X71" s="4413"/>
      <c r="Y71" s="4413"/>
      <c r="Z71" s="4413"/>
      <c r="AA71" s="4413"/>
      <c r="AB71" s="4414"/>
      <c r="AC71" s="323"/>
      <c r="AD71" s="4412" t="str">
        <f>IFERROR(IF(VLOOKUP(AD66,'Tablas Técnicas'!$C$655:$J$854,8,FALSE)="","",VLOOKUP(AD66,'Tablas Técnicas'!$C$655:$J$854,8,FALSE)),"")</f>
        <v/>
      </c>
      <c r="AE71" s="4413"/>
      <c r="AF71" s="4413"/>
      <c r="AG71" s="4413"/>
      <c r="AH71" s="4413"/>
      <c r="AI71" s="4413"/>
      <c r="AJ71" s="4414"/>
      <c r="AK71" s="398"/>
      <c r="AL71" s="392"/>
      <c r="AM71" s="3126"/>
      <c r="AN71" s="3127"/>
    </row>
    <row r="72" spans="1:40" ht="12" customHeight="1" thickBot="1" x14ac:dyDescent="0.25">
      <c r="A72" s="392"/>
      <c r="B72" s="1083"/>
      <c r="C72" s="4421"/>
      <c r="D72" s="4422"/>
      <c r="E72" s="4422"/>
      <c r="F72" s="4422"/>
      <c r="G72" s="4422"/>
      <c r="H72" s="4422"/>
      <c r="I72" s="4422"/>
      <c r="J72" s="4422"/>
      <c r="K72" s="4422"/>
      <c r="L72" s="4422"/>
      <c r="M72" s="4422"/>
      <c r="N72" s="4422"/>
      <c r="O72" s="4422"/>
      <c r="P72" s="4422"/>
      <c r="Q72" s="4423"/>
      <c r="R72" s="1072"/>
      <c r="S72" s="892"/>
      <c r="T72" s="892"/>
      <c r="U72" s="450"/>
      <c r="V72" s="4415"/>
      <c r="W72" s="4416"/>
      <c r="X72" s="4416"/>
      <c r="Y72" s="4416"/>
      <c r="Z72" s="4416"/>
      <c r="AA72" s="4416"/>
      <c r="AB72" s="4417"/>
      <c r="AC72" s="323"/>
      <c r="AD72" s="4415"/>
      <c r="AE72" s="4416"/>
      <c r="AF72" s="4416"/>
      <c r="AG72" s="4416"/>
      <c r="AH72" s="4416"/>
      <c r="AI72" s="4416"/>
      <c r="AJ72" s="4417"/>
      <c r="AK72" s="398"/>
      <c r="AL72" s="392"/>
      <c r="AM72" s="3126"/>
      <c r="AN72" s="3127"/>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6"/>
      <c r="AN73" s="3127"/>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6"/>
      <c r="AN74" s="3127"/>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8" t="s">
        <v>8736</v>
      </c>
      <c r="AK1" s="3128"/>
      <c r="AL1" s="3128"/>
      <c r="AM1" s="3128"/>
      <c r="AN1" s="3128"/>
      <c r="AO1" s="3128"/>
      <c r="AP1" s="3128"/>
      <c r="AQ1" s="3128"/>
      <c r="AR1" s="3129"/>
      <c r="AS1" s="3129"/>
      <c r="AT1" s="3129"/>
      <c r="AU1" s="3132"/>
      <c r="AV1" s="3132"/>
      <c r="AW1" s="3132"/>
      <c r="AX1" s="3132"/>
      <c r="AY1" s="3128"/>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0" t="s">
        <v>9299</v>
      </c>
      <c r="AK2" s="3128"/>
      <c r="AL2" s="3128"/>
      <c r="AM2" s="3128"/>
      <c r="AN2" s="3128"/>
      <c r="AO2" s="3128"/>
      <c r="AP2" s="3128"/>
      <c r="AQ2" s="3128"/>
      <c r="AR2" s="3129"/>
      <c r="AS2" s="3129"/>
      <c r="AT2" s="3129"/>
      <c r="AU2" s="3132"/>
      <c r="AV2" s="3132"/>
      <c r="AW2" s="3132"/>
      <c r="AX2" s="3132"/>
      <c r="AY2" s="3128"/>
    </row>
    <row r="3" spans="1:51" ht="12.2" customHeight="1" x14ac:dyDescent="0.2">
      <c r="A3" s="2172"/>
      <c r="B3" s="2086"/>
      <c r="C3" s="4568" t="s">
        <v>10159</v>
      </c>
      <c r="D3" s="4569"/>
      <c r="E3" s="4569"/>
      <c r="F3" s="4569"/>
      <c r="G3" s="4569"/>
      <c r="H3" s="4569"/>
      <c r="I3" s="2512"/>
      <c r="J3" s="2512"/>
      <c r="K3" s="2512"/>
      <c r="L3" s="2512"/>
      <c r="M3" s="2512"/>
      <c r="N3" s="2512"/>
      <c r="O3" s="2512"/>
      <c r="P3" s="2512"/>
      <c r="Q3" s="2512"/>
      <c r="R3" s="2512"/>
      <c r="S3" s="2512"/>
      <c r="T3" s="2512"/>
      <c r="U3" s="2512"/>
      <c r="V3" s="2512"/>
      <c r="W3" s="2512"/>
      <c r="X3" s="2512"/>
      <c r="Y3" s="2512"/>
      <c r="Z3" s="2512"/>
      <c r="AA3" s="2512"/>
      <c r="AB3" s="2512"/>
      <c r="AC3" s="2512"/>
      <c r="AD3" s="2643"/>
      <c r="AE3" s="4752"/>
      <c r="AF3" s="4752"/>
      <c r="AG3" s="4753"/>
      <c r="AH3" s="2180"/>
      <c r="AI3" s="1908"/>
      <c r="AJ3" s="3128" t="s">
        <v>1455</v>
      </c>
      <c r="AK3" s="3128"/>
      <c r="AL3" s="3128"/>
      <c r="AM3" s="3128"/>
      <c r="AN3" s="3128"/>
      <c r="AO3" s="3128"/>
      <c r="AP3" s="3128"/>
      <c r="AQ3" s="3128"/>
      <c r="AR3" s="3129"/>
      <c r="AS3" s="3129"/>
      <c r="AT3" s="3129"/>
      <c r="AU3" s="3132"/>
      <c r="AV3" s="3132"/>
      <c r="AW3" s="3132"/>
      <c r="AX3" s="3132"/>
      <c r="AY3" s="3128"/>
    </row>
    <row r="4" spans="1:51" ht="12.2" customHeight="1" x14ac:dyDescent="0.2">
      <c r="A4" s="2172"/>
      <c r="B4" s="2086"/>
      <c r="C4" s="4570"/>
      <c r="D4" s="4571"/>
      <c r="E4" s="4571"/>
      <c r="F4" s="4571"/>
      <c r="G4" s="4571"/>
      <c r="H4" s="4571"/>
      <c r="I4" s="2480"/>
      <c r="J4" s="3178" t="s">
        <v>1323</v>
      </c>
      <c r="K4" s="3178"/>
      <c r="L4" s="4758" t="str">
        <f>IF(OR(General!$F$22="",General!$F$22=0),"",General!$F$22)</f>
        <v/>
      </c>
      <c r="M4" s="4758"/>
      <c r="N4" s="4758"/>
      <c r="O4" s="4758"/>
      <c r="P4" s="4758"/>
      <c r="Q4" s="4758"/>
      <c r="R4" s="4759" t="s">
        <v>10089</v>
      </c>
      <c r="S4" s="4759"/>
      <c r="T4" s="4759"/>
      <c r="U4" s="4759"/>
      <c r="V4" s="2518"/>
      <c r="W4" s="2518"/>
      <c r="X4" s="4742" t="s">
        <v>9560</v>
      </c>
      <c r="Y4" s="4742"/>
      <c r="Z4" s="4742"/>
      <c r="AA4" s="4742"/>
      <c r="AB4" s="4742"/>
      <c r="AC4" s="4742"/>
      <c r="AD4" s="2518"/>
      <c r="AE4" s="4754"/>
      <c r="AF4" s="4754"/>
      <c r="AG4" s="4755"/>
      <c r="AH4" s="2180"/>
      <c r="AI4" s="1908"/>
      <c r="AJ4" s="3128" t="s">
        <v>5719</v>
      </c>
      <c r="AK4" s="3128"/>
      <c r="AL4" s="3128"/>
      <c r="AM4" s="3128"/>
      <c r="AN4" s="3128"/>
      <c r="AO4" s="3128"/>
      <c r="AP4" s="3128"/>
      <c r="AQ4" s="3129"/>
      <c r="AR4" s="3132"/>
      <c r="AS4" s="3132"/>
      <c r="AT4" s="3132"/>
      <c r="AU4" s="3132"/>
      <c r="AV4" s="3132"/>
      <c r="AW4" s="3132"/>
      <c r="AX4" s="3132"/>
      <c r="AY4" s="3128"/>
    </row>
    <row r="5" spans="1:51" ht="12.2" customHeight="1" x14ac:dyDescent="0.2">
      <c r="A5" s="2172"/>
      <c r="B5" s="2086"/>
      <c r="C5" s="4570"/>
      <c r="D5" s="4571"/>
      <c r="E5" s="4571"/>
      <c r="F5" s="4571"/>
      <c r="G5" s="4571"/>
      <c r="H5" s="4571"/>
      <c r="I5" s="2480"/>
      <c r="J5" s="4609" t="s">
        <v>1324</v>
      </c>
      <c r="K5" s="4609"/>
      <c r="L5" s="3184" t="str">
        <f>IF(LEN(PDs!$E$11)&lt;=General!$AO$5,PDs!$E$11,"… /"&amp;RIGHT(PDs!$E$11,General!$AO$5-FIND("/",RIGHT(PDs!$E$11,General!$AO$5))))</f>
        <v/>
      </c>
      <c r="M5" s="3184"/>
      <c r="N5" s="3184"/>
      <c r="O5" s="2519" t="s">
        <v>1325</v>
      </c>
      <c r="P5" s="2520" t="str">
        <f>Principal!$O$6</f>
        <v>0</v>
      </c>
      <c r="Q5" s="2521"/>
      <c r="R5" s="4611" t="str">
        <f>Ki!C12&amp;" "&amp;Ki!D12&amp;" "&amp;Ki!C14&amp;" "&amp;Ki!D14&amp;" "&amp;Ki!C16&amp;" "&amp;Ki!D16&amp;"
"&amp;Ki!C18&amp;" "&amp;Ki!D18&amp;" "&amp;Ki!C20&amp;" "&amp;Ki!D20&amp;" "&amp;Ki!C22&amp;" "&amp;Ki!D22</f>
        <v>AGI 0 CON 0 DES 0
FUE 0 POD 0 VOL 0</v>
      </c>
      <c r="S5" s="4611"/>
      <c r="T5" s="4611"/>
      <c r="U5" s="4611"/>
      <c r="V5" s="2518"/>
      <c r="W5" s="2518"/>
      <c r="X5" s="4745"/>
      <c r="Y5" s="4745"/>
      <c r="Z5" s="4745"/>
      <c r="AA5" s="4745"/>
      <c r="AB5" s="4745"/>
      <c r="AC5" s="4745"/>
      <c r="AD5" s="2521"/>
      <c r="AE5" s="4754"/>
      <c r="AF5" s="4754"/>
      <c r="AG5" s="4755"/>
      <c r="AH5" s="2180"/>
      <c r="AI5" s="1908"/>
      <c r="AJ5" s="3128" t="s">
        <v>8830</v>
      </c>
      <c r="AK5" s="3128"/>
      <c r="AL5" s="3128"/>
      <c r="AM5" s="3128"/>
      <c r="AN5" s="3128"/>
      <c r="AO5" s="3128"/>
      <c r="AP5" s="3128"/>
      <c r="AQ5" s="3129"/>
      <c r="AR5" s="3132"/>
      <c r="AS5" s="3132"/>
      <c r="AT5" s="3132"/>
      <c r="AU5" s="3132"/>
      <c r="AV5" s="3132"/>
      <c r="AW5" s="3132"/>
      <c r="AX5" s="3132"/>
      <c r="AY5" s="3128"/>
    </row>
    <row r="6" spans="1:51" ht="12.2" customHeight="1" x14ac:dyDescent="0.2">
      <c r="A6" s="2172"/>
      <c r="B6" s="2086"/>
      <c r="C6" s="4570"/>
      <c r="D6" s="4571"/>
      <c r="E6" s="4571"/>
      <c r="F6" s="4571"/>
      <c r="G6" s="4571"/>
      <c r="H6" s="4571"/>
      <c r="I6" s="2480"/>
      <c r="J6" s="4742" t="s">
        <v>3181</v>
      </c>
      <c r="K6" s="4743"/>
      <c r="L6" s="4743"/>
      <c r="M6" s="4743"/>
      <c r="N6" s="4743"/>
      <c r="O6" s="4743"/>
      <c r="P6" s="4743"/>
      <c r="Q6" s="2521"/>
      <c r="R6" s="4611"/>
      <c r="S6" s="4611"/>
      <c r="T6" s="4611"/>
      <c r="U6" s="4611"/>
      <c r="V6" s="2518"/>
      <c r="W6" s="4746"/>
      <c r="X6" s="4747"/>
      <c r="Y6" s="4747"/>
      <c r="Z6" s="4747"/>
      <c r="AA6" s="4747"/>
      <c r="AB6" s="4747"/>
      <c r="AC6" s="4747"/>
      <c r="AD6" s="4748"/>
      <c r="AE6" s="4754"/>
      <c r="AF6" s="4754"/>
      <c r="AG6" s="4755"/>
      <c r="AH6" s="2180"/>
      <c r="AI6" s="1908"/>
      <c r="AJ6" s="3128" t="s">
        <v>8833</v>
      </c>
      <c r="AK6" s="3128"/>
      <c r="AL6" s="3128"/>
      <c r="AM6" s="3128"/>
      <c r="AN6" s="3128"/>
      <c r="AO6" s="3128"/>
      <c r="AP6" s="3128"/>
      <c r="AQ6" s="3129"/>
      <c r="AR6" s="3132"/>
      <c r="AS6" s="3132"/>
      <c r="AT6" s="3132"/>
      <c r="AU6" s="3132"/>
      <c r="AV6" s="3132"/>
      <c r="AW6" s="3132"/>
      <c r="AX6" s="3132"/>
      <c r="AY6" s="3128"/>
    </row>
    <row r="7" spans="1:51" ht="12.2" customHeight="1" x14ac:dyDescent="0.2">
      <c r="A7" s="2172"/>
      <c r="B7" s="2086"/>
      <c r="C7" s="4570"/>
      <c r="D7" s="4571"/>
      <c r="E7" s="4571"/>
      <c r="F7" s="4571"/>
      <c r="G7" s="4571"/>
      <c r="H7" s="4571"/>
      <c r="I7" s="2480"/>
      <c r="J7" s="4743"/>
      <c r="K7" s="4743"/>
      <c r="L7" s="4743"/>
      <c r="M7" s="4743"/>
      <c r="N7" s="4743"/>
      <c r="O7" s="4743"/>
      <c r="P7" s="4743"/>
      <c r="Q7" s="2518"/>
      <c r="R7" s="4611"/>
      <c r="S7" s="4611"/>
      <c r="T7" s="4611"/>
      <c r="U7" s="4611"/>
      <c r="V7" s="2518"/>
      <c r="W7" s="4749"/>
      <c r="X7" s="4750"/>
      <c r="Y7" s="4750"/>
      <c r="Z7" s="4750"/>
      <c r="AA7" s="4750"/>
      <c r="AB7" s="4750"/>
      <c r="AC7" s="4750"/>
      <c r="AD7" s="4751"/>
      <c r="AE7" s="4754"/>
      <c r="AF7" s="4754"/>
      <c r="AG7" s="4755"/>
      <c r="AH7" s="2180"/>
      <c r="AI7" s="1908"/>
      <c r="AJ7" s="3131"/>
      <c r="AK7" s="3128"/>
      <c r="AL7" s="3128"/>
      <c r="AM7" s="3128"/>
      <c r="AN7" s="3128"/>
      <c r="AO7" s="3128"/>
      <c r="AP7" s="3128"/>
      <c r="AQ7" s="3129"/>
      <c r="AR7" s="3132"/>
      <c r="AS7" s="3132"/>
      <c r="AT7" s="3132"/>
      <c r="AU7" s="3132"/>
      <c r="AV7" s="3132"/>
      <c r="AW7" s="3132"/>
      <c r="AX7" s="3132"/>
      <c r="AY7" s="3128"/>
    </row>
    <row r="8" spans="1:51" ht="12.2" customHeight="1" thickBot="1" x14ac:dyDescent="0.25">
      <c r="A8" s="2172"/>
      <c r="B8" s="2086"/>
      <c r="C8" s="4572"/>
      <c r="D8" s="4573"/>
      <c r="E8" s="4573"/>
      <c r="F8" s="4573"/>
      <c r="G8" s="4573"/>
      <c r="H8" s="4573"/>
      <c r="I8" s="2513"/>
      <c r="J8" s="2513"/>
      <c r="K8" s="2513"/>
      <c r="L8" s="2513"/>
      <c r="M8" s="2513"/>
      <c r="N8" s="2513"/>
      <c r="O8" s="2513"/>
      <c r="P8" s="2513"/>
      <c r="Q8" s="2513"/>
      <c r="R8" s="2513"/>
      <c r="S8" s="2513"/>
      <c r="T8" s="2513"/>
      <c r="U8" s="2513"/>
      <c r="V8" s="2513"/>
      <c r="W8" s="2513"/>
      <c r="X8" s="2513"/>
      <c r="Y8" s="2513"/>
      <c r="Z8" s="2513"/>
      <c r="AA8" s="2513"/>
      <c r="AB8" s="2513"/>
      <c r="AC8" s="2513"/>
      <c r="AD8" s="2644"/>
      <c r="AE8" s="4756"/>
      <c r="AF8" s="4756"/>
      <c r="AG8" s="4757"/>
      <c r="AH8" s="2180"/>
      <c r="AI8" s="1908"/>
      <c r="AJ8" s="3130" t="s">
        <v>2801</v>
      </c>
      <c r="AK8" s="3128"/>
      <c r="AL8" s="3128"/>
      <c r="AM8" s="3128"/>
      <c r="AN8" s="3128"/>
      <c r="AO8" s="3128"/>
      <c r="AP8" s="3128"/>
      <c r="AQ8" s="3129"/>
      <c r="AR8" s="3132"/>
      <c r="AS8" s="3132"/>
      <c r="AT8" s="3132"/>
      <c r="AU8" s="3132"/>
      <c r="AV8" s="3132"/>
      <c r="AW8" s="3132"/>
      <c r="AX8" s="3132"/>
      <c r="AY8" s="3128"/>
    </row>
    <row r="9" spans="1:51" ht="12.2" customHeight="1" x14ac:dyDescent="0.2">
      <c r="A9" s="2172"/>
      <c r="B9" s="2086">
        <v>0</v>
      </c>
      <c r="C9" s="2525"/>
      <c r="D9" s="2525"/>
      <c r="E9" s="2544"/>
      <c r="F9" s="2525"/>
      <c r="G9" s="2525"/>
      <c r="H9" s="2525"/>
      <c r="I9" s="2525"/>
      <c r="J9" s="2525"/>
      <c r="K9" s="2525"/>
      <c r="L9" s="2525"/>
      <c r="M9" s="2525"/>
      <c r="N9" s="2525"/>
      <c r="O9" s="2525"/>
      <c r="P9" s="2525"/>
      <c r="Q9" s="2525"/>
      <c r="R9" s="2525"/>
      <c r="S9" s="2525"/>
      <c r="T9" s="2525"/>
      <c r="U9" s="2525"/>
      <c r="V9" s="2525"/>
      <c r="W9" s="2525"/>
      <c r="X9" s="2525"/>
      <c r="Y9" s="2525"/>
      <c r="Z9" s="2525"/>
      <c r="AA9" s="2525"/>
      <c r="AB9" s="2525"/>
      <c r="AC9" s="2525"/>
      <c r="AD9" s="2525"/>
      <c r="AE9" s="2525"/>
      <c r="AF9" s="2525"/>
      <c r="AG9" s="2525"/>
      <c r="AH9" s="2180"/>
      <c r="AI9" s="1908"/>
      <c r="AJ9" s="3128" t="s">
        <v>8801</v>
      </c>
      <c r="AK9" s="3128"/>
      <c r="AL9" s="3128"/>
      <c r="AM9" s="3128"/>
      <c r="AN9" s="3128"/>
      <c r="AO9" s="3128"/>
      <c r="AP9" s="3128"/>
      <c r="AQ9" s="3129"/>
      <c r="AR9" s="3132"/>
      <c r="AS9" s="3132"/>
      <c r="AT9" s="3132"/>
      <c r="AU9" s="3132"/>
      <c r="AV9" s="3132"/>
      <c r="AW9" s="3132"/>
      <c r="AX9" s="3132"/>
      <c r="AY9" s="3128"/>
    </row>
    <row r="10" spans="1:51" ht="12.2" customHeight="1" x14ac:dyDescent="0.2">
      <c r="A10" s="2172"/>
      <c r="B10" s="2086"/>
      <c r="C10" s="2545"/>
      <c r="D10" s="2545"/>
      <c r="E10" s="2545"/>
      <c r="F10" s="2545"/>
      <c r="G10" s="2528"/>
      <c r="H10" s="2545"/>
      <c r="I10" s="2545"/>
      <c r="J10" s="2545"/>
      <c r="K10" s="2545"/>
      <c r="L10" s="2545"/>
      <c r="M10" s="2545"/>
      <c r="N10" s="2545"/>
      <c r="O10" s="2545"/>
      <c r="P10" s="2545"/>
      <c r="Q10" s="2545"/>
      <c r="R10" s="2545"/>
      <c r="S10" s="2545"/>
      <c r="T10" s="2545"/>
      <c r="U10" s="2545"/>
      <c r="V10" s="2545"/>
      <c r="W10" s="2545"/>
      <c r="X10" s="2545"/>
      <c r="Y10" s="2545"/>
      <c r="Z10" s="2545"/>
      <c r="AA10" s="2545"/>
      <c r="AB10" s="2545"/>
      <c r="AC10" s="2545"/>
      <c r="AD10" s="2545"/>
      <c r="AE10" s="2545"/>
      <c r="AF10" s="2545"/>
      <c r="AG10" s="2545"/>
      <c r="AH10" s="2180"/>
      <c r="AI10" s="1908"/>
      <c r="AJ10" s="3128" t="s">
        <v>524</v>
      </c>
      <c r="AK10" s="3128"/>
      <c r="AL10" s="3128"/>
      <c r="AM10" s="3128"/>
      <c r="AN10" s="3128"/>
      <c r="AO10" s="3128"/>
      <c r="AP10" s="3128"/>
      <c r="AQ10" s="3128"/>
      <c r="AR10" s="3128"/>
      <c r="AS10" s="3128"/>
      <c r="AT10" s="3128"/>
      <c r="AU10" s="3128"/>
      <c r="AV10" s="3128"/>
      <c r="AW10" s="3132"/>
      <c r="AX10" s="3132"/>
      <c r="AY10" s="3128"/>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582"/>
      <c r="AK11" s="4582"/>
      <c r="AL11" s="4582"/>
      <c r="AM11" s="4582"/>
      <c r="AN11" s="4582"/>
      <c r="AO11" s="4582"/>
      <c r="AP11" s="4582"/>
      <c r="AQ11" s="4582"/>
      <c r="AR11" s="4582"/>
      <c r="AS11" s="4582"/>
      <c r="AT11" s="4582"/>
      <c r="AU11" s="4582"/>
      <c r="AV11" s="4582"/>
      <c r="AW11" s="4582"/>
      <c r="AX11" s="4582"/>
      <c r="AY11" s="4582"/>
    </row>
    <row r="12" spans="1:51" ht="12.2" customHeight="1" x14ac:dyDescent="0.2">
      <c r="A12" s="2172"/>
      <c r="B12" s="2086">
        <v>1</v>
      </c>
      <c r="C12" s="4583" t="str">
        <f>"Técnica "&amp;B12</f>
        <v>Técnica 1</v>
      </c>
      <c r="D12" s="4682" t="s">
        <v>8711</v>
      </c>
      <c r="E12" s="4683"/>
      <c r="F12" s="4683"/>
      <c r="G12" s="4683"/>
      <c r="H12" s="4683"/>
      <c r="I12" s="4683"/>
      <c r="J12" s="4683"/>
      <c r="K12" s="4683"/>
      <c r="L12" s="4683"/>
      <c r="M12" s="4683"/>
      <c r="N12" s="4684"/>
      <c r="O12" s="4688" t="s">
        <v>1325</v>
      </c>
      <c r="P12" s="4690">
        <v>1</v>
      </c>
      <c r="Q12" s="4692" t="s">
        <v>8795</v>
      </c>
      <c r="R12" s="4693"/>
      <c r="S12" s="4696" t="s">
        <v>1381</v>
      </c>
      <c r="T12" s="4697" t="s">
        <v>1505</v>
      </c>
      <c r="U12" s="4699">
        <f>MAX(IF(P12=3,60,IF(P12=2,40,20)),MIN(SUM(N16:N23)-10*Y21+AC21+IF(S12="Sí",10*P12,0)+IF(COUNTIF(K16:M20,"Mantenido")&gt;0,P12*10)+MAX(IF(COUNTIF(K16:M20,"Sostenimiento Menor")&gt;0,P12*20)+IF(COUNTIF(K16:M20,"Sostenimiento Mayor")&gt;0,P12*30))))</f>
        <v>20</v>
      </c>
      <c r="V12" s="4692" t="s">
        <v>8796</v>
      </c>
      <c r="W12" s="4697"/>
      <c r="X12" s="4612" t="str">
        <f>IFERROR(LEFT(AK28&amp;AL28&amp;AM28&amp;AN28&amp;AO28&amp;AP28,LEN(AK28&amp;AL28&amp;AM28&amp;AN28&amp;AO28&amp;AP28)-2),"")</f>
        <v/>
      </c>
      <c r="Y12" s="4612"/>
      <c r="Z12" s="4612"/>
      <c r="AA12" s="4612"/>
      <c r="AB12" s="4612"/>
      <c r="AC12" s="4612"/>
      <c r="AD12" s="4612"/>
      <c r="AE12" s="4612"/>
      <c r="AF12" s="4612"/>
      <c r="AG12" s="4613"/>
      <c r="AH12" s="2180"/>
      <c r="AI12" s="4604"/>
      <c r="AJ12" s="3133" t="s">
        <v>9337</v>
      </c>
      <c r="AK12" s="3133"/>
      <c r="AL12" s="3133"/>
      <c r="AM12" s="3133"/>
      <c r="AN12" s="3133"/>
      <c r="AO12" s="3133"/>
      <c r="AP12" s="3133"/>
      <c r="AQ12" s="3133"/>
      <c r="AR12" s="3133"/>
      <c r="AS12" s="3128"/>
      <c r="AT12" s="3128"/>
      <c r="AU12" s="3128"/>
      <c r="AV12" s="3128"/>
      <c r="AW12" s="3132"/>
      <c r="AX12" s="3132"/>
      <c r="AY12" s="3128"/>
    </row>
    <row r="13" spans="1:51" ht="12.2" customHeight="1" x14ac:dyDescent="0.2">
      <c r="A13" s="2172"/>
      <c r="B13" s="2086">
        <v>1</v>
      </c>
      <c r="C13" s="4584"/>
      <c r="D13" s="4685"/>
      <c r="E13" s="4731"/>
      <c r="F13" s="4731"/>
      <c r="G13" s="4731"/>
      <c r="H13" s="4731"/>
      <c r="I13" s="4731"/>
      <c r="J13" s="4731"/>
      <c r="K13" s="4731"/>
      <c r="L13" s="4731"/>
      <c r="M13" s="4731"/>
      <c r="N13" s="4732"/>
      <c r="O13" s="4689"/>
      <c r="P13" s="4691"/>
      <c r="Q13" s="4694"/>
      <c r="R13" s="4695"/>
      <c r="S13" s="4691"/>
      <c r="T13" s="4733"/>
      <c r="U13" s="4734"/>
      <c r="V13" s="4694"/>
      <c r="W13" s="4733"/>
      <c r="X13" s="4739"/>
      <c r="Y13" s="4739"/>
      <c r="Z13" s="4739"/>
      <c r="AA13" s="4739"/>
      <c r="AB13" s="4739"/>
      <c r="AC13" s="4739"/>
      <c r="AD13" s="4739"/>
      <c r="AE13" s="4739"/>
      <c r="AF13" s="4739"/>
      <c r="AG13" s="4615"/>
      <c r="AH13" s="2180"/>
      <c r="AI13" s="4604"/>
      <c r="AJ13" s="3133"/>
      <c r="AK13" s="3133" t="s">
        <v>9338</v>
      </c>
      <c r="AL13" s="3133" t="s">
        <v>10493</v>
      </c>
      <c r="AM13" s="3134"/>
      <c r="AN13" s="3134"/>
      <c r="AO13" s="3134"/>
      <c r="AP13" s="3134"/>
      <c r="AQ13" s="3134"/>
      <c r="AR13" s="3133"/>
      <c r="AS13" s="3128"/>
      <c r="AT13" s="3128"/>
      <c r="AU13" s="3128"/>
      <c r="AV13" s="3128"/>
      <c r="AW13" s="3132"/>
      <c r="AX13" s="4582" t="s">
        <v>9307</v>
      </c>
      <c r="AY13" s="4582"/>
    </row>
    <row r="14" spans="1:51" ht="12.2" customHeight="1" x14ac:dyDescent="0.2">
      <c r="A14" s="2172"/>
      <c r="B14" s="2086">
        <v>1</v>
      </c>
      <c r="C14" s="4584"/>
      <c r="D14" s="4595" t="s">
        <v>2823</v>
      </c>
      <c r="E14" s="4596"/>
      <c r="F14" s="4596"/>
      <c r="G14" s="4596"/>
      <c r="H14" s="4596"/>
      <c r="I14" s="4596"/>
      <c r="J14" s="4596"/>
      <c r="K14" s="4679" t="s">
        <v>9630</v>
      </c>
      <c r="L14" s="4679"/>
      <c r="M14" s="4679"/>
      <c r="N14" s="4596" t="s">
        <v>1499</v>
      </c>
      <c r="O14" s="4679" t="s">
        <v>2821</v>
      </c>
      <c r="P14" s="4679" t="s">
        <v>8797</v>
      </c>
      <c r="Q14" s="4596" t="s">
        <v>1364</v>
      </c>
      <c r="R14" s="4596"/>
      <c r="S14" s="4596"/>
      <c r="T14" s="4596"/>
      <c r="U14" s="4596"/>
      <c r="V14" s="4659" t="s">
        <v>1373</v>
      </c>
      <c r="W14" s="4654"/>
      <c r="X14" s="4659" t="s">
        <v>1497</v>
      </c>
      <c r="Y14" s="4660"/>
      <c r="Z14" s="4654" t="s">
        <v>1378</v>
      </c>
      <c r="AA14" s="4654"/>
      <c r="AB14" s="4659" t="s">
        <v>1383</v>
      </c>
      <c r="AC14" s="4660"/>
      <c r="AD14" s="4654" t="s">
        <v>1390</v>
      </c>
      <c r="AE14" s="4654"/>
      <c r="AF14" s="4659" t="s">
        <v>1391</v>
      </c>
      <c r="AG14" s="4655"/>
      <c r="AH14" s="2180"/>
      <c r="AI14" s="4604"/>
      <c r="AJ14" s="3128"/>
      <c r="AK14" s="3128"/>
      <c r="AL14" s="3128" t="s">
        <v>9609</v>
      </c>
      <c r="AM14" s="3128"/>
      <c r="AN14" s="3128"/>
      <c r="AO14" s="3128"/>
      <c r="AP14" s="3128"/>
      <c r="AQ14" s="3128"/>
      <c r="AR14" s="3132"/>
      <c r="AS14" s="3132" t="s">
        <v>9327</v>
      </c>
      <c r="AT14" s="3132" t="s">
        <v>9328</v>
      </c>
      <c r="AU14" s="3128" t="s">
        <v>9316</v>
      </c>
      <c r="AV14" s="3128" t="s">
        <v>9317</v>
      </c>
      <c r="AW14" s="3132" t="s">
        <v>1499</v>
      </c>
      <c r="AX14" s="3132" t="s">
        <v>8799</v>
      </c>
      <c r="AY14" s="3128" t="s">
        <v>8800</v>
      </c>
    </row>
    <row r="15" spans="1:51" ht="12.2" customHeight="1" x14ac:dyDescent="0.2">
      <c r="A15" s="2172"/>
      <c r="B15" s="2086">
        <v>1</v>
      </c>
      <c r="C15" s="4584"/>
      <c r="D15" s="4737"/>
      <c r="E15" s="4738"/>
      <c r="F15" s="4738"/>
      <c r="G15" s="4738"/>
      <c r="H15" s="4738"/>
      <c r="I15" s="4738"/>
      <c r="J15" s="4738"/>
      <c r="K15" s="4735"/>
      <c r="L15" s="4735"/>
      <c r="M15" s="4735"/>
      <c r="N15" s="4725"/>
      <c r="O15" s="4735"/>
      <c r="P15" s="4736"/>
      <c r="Q15" s="4725"/>
      <c r="R15" s="4725"/>
      <c r="S15" s="4725"/>
      <c r="T15" s="4725"/>
      <c r="U15" s="4725"/>
      <c r="V15" s="2522" t="s">
        <v>9306</v>
      </c>
      <c r="W15" s="2523" t="s">
        <v>2827</v>
      </c>
      <c r="X15" s="2522" t="s">
        <v>9306</v>
      </c>
      <c r="Y15" s="2523" t="s">
        <v>2827</v>
      </c>
      <c r="Z15" s="2522" t="s">
        <v>9306</v>
      </c>
      <c r="AA15" s="2523" t="s">
        <v>2827</v>
      </c>
      <c r="AB15" s="2522" t="s">
        <v>9306</v>
      </c>
      <c r="AC15" s="2523" t="s">
        <v>2827</v>
      </c>
      <c r="AD15" s="2522" t="s">
        <v>9306</v>
      </c>
      <c r="AE15" s="2523" t="s">
        <v>2827</v>
      </c>
      <c r="AF15" s="2522" t="s">
        <v>9306</v>
      </c>
      <c r="AG15" s="2524" t="s">
        <v>2827</v>
      </c>
      <c r="AH15" s="2180"/>
      <c r="AI15" s="4604"/>
      <c r="AJ15" s="3128"/>
      <c r="AK15" s="3128" t="s">
        <v>9308</v>
      </c>
      <c r="AL15" s="3128">
        <v>1</v>
      </c>
      <c r="AM15" s="3128">
        <v>2</v>
      </c>
      <c r="AN15" s="3128">
        <v>3</v>
      </c>
      <c r="AO15" s="3128">
        <v>4</v>
      </c>
      <c r="AP15" s="3128">
        <v>5</v>
      </c>
      <c r="AQ15" s="3128">
        <v>6</v>
      </c>
      <c r="AR15" s="3128">
        <v>7</v>
      </c>
      <c r="AS15" s="3132"/>
      <c r="AT15" s="3128" t="s">
        <v>9339</v>
      </c>
      <c r="AU15" s="3132"/>
      <c r="AV15" s="3132"/>
      <c r="AW15" s="3132" t="s">
        <v>9339</v>
      </c>
      <c r="AX15" s="3132"/>
      <c r="AY15" s="3128"/>
    </row>
    <row r="16" spans="1:51" ht="12.2" customHeight="1" x14ac:dyDescent="0.2">
      <c r="A16" s="2172"/>
      <c r="B16" s="2086">
        <v>1</v>
      </c>
      <c r="C16" s="4584"/>
      <c r="D16" s="4670" t="s">
        <v>8801</v>
      </c>
      <c r="E16" s="4671"/>
      <c r="F16" s="4672"/>
      <c r="G16" s="4673"/>
      <c r="H16" s="4673"/>
      <c r="I16" s="4673"/>
      <c r="J16" s="4674"/>
      <c r="K16" s="4641" t="s">
        <v>1455</v>
      </c>
      <c r="L16" s="4642"/>
      <c r="M16" s="4643"/>
      <c r="N16" s="2516">
        <f>IF(AW16&gt;0,IF(VLOOKUP(F16,'Tablas Técnicas'!$O$9:$X$88,10,0),MAX(5,AW16-5),AW16),0)</f>
        <v>0</v>
      </c>
      <c r="O16" s="2516" t="str">
        <f>AS16&amp;" / "&amp;AT16</f>
        <v>0 / 0</v>
      </c>
      <c r="P16" s="2516" t="str">
        <f t="array" ref="P16">W16+Y16+AA16+AC16+AE16+AG16&amp;" / "&amp;IF(K16&lt;&gt;"Mantenido",0,SUM(IF($AL16:$AR16='Tablas Técnicas'!$L$10:$L$643,'Tablas Técnicas'!$H$10:$H$643,0)))</f>
        <v>0 / 0</v>
      </c>
      <c r="Q16" s="4678" t="str">
        <f>IFERROR(VLOOKUP(F16,'Tablas Técnicas'!$O$9:$T$88,5,FALSE),"")</f>
        <v/>
      </c>
      <c r="R16" s="4678"/>
      <c r="S16" s="4678"/>
      <c r="T16" s="4678"/>
      <c r="U16" s="4678"/>
      <c r="V16" s="2042"/>
      <c r="W16" s="2043"/>
      <c r="X16" s="2042"/>
      <c r="Y16" s="2044"/>
      <c r="Z16" s="2045"/>
      <c r="AA16" s="2043"/>
      <c r="AB16" s="2042"/>
      <c r="AC16" s="2044"/>
      <c r="AD16" s="2045"/>
      <c r="AE16" s="2043"/>
      <c r="AF16" s="2042"/>
      <c r="AG16" s="2046"/>
      <c r="AH16" s="2180"/>
      <c r="AI16" s="4604"/>
      <c r="AJ16" s="3128">
        <v>1</v>
      </c>
      <c r="AK16" s="3128">
        <f>P12</f>
        <v>1</v>
      </c>
      <c r="AL16" s="3128" t="str">
        <f>IF(AND(ISNUMBER(MATCH($F16,'Tablas Técnicas'!$L$10:$L$643,0)),INDEX($D29:$D35,Tablas!A$1)="",COUNTIF(AM16:$AS16,$F16)=0),$F16,IF(INDEX($D29:$D35,Tablas!A$1)="","",$F16&amp;INDEX($D29:$D35,Tablas!A$1)))</f>
        <v/>
      </c>
      <c r="AM16" s="3128" t="str">
        <f>IF(AND(ISNUMBER(MATCH($F16,'Tablas Técnicas'!$L$10:$L$643,0)),INDEX($D29:$D35,Tablas!B$1)="",COUNTIF(AN16:$AS16,$F16)=0),$F16,IF(INDEX($D29:$D35,Tablas!B$1)="","",$F16&amp;INDEX($D29:$D35,Tablas!B$1)))</f>
        <v/>
      </c>
      <c r="AN16" s="3128" t="str">
        <f>IF(AND(ISNUMBER(MATCH($F16,'Tablas Técnicas'!$L$10:$L$643,0)),INDEX($D29:$D35,Tablas!C$1)="",COUNTIF(AO16:$AS16,$F16)=0),$F16,IF(INDEX($D29:$D35,Tablas!C$1)="","",$F16&amp;INDEX($D29:$D35,Tablas!C$1)))</f>
        <v/>
      </c>
      <c r="AO16" s="3128" t="str">
        <f>IF(AND(ISNUMBER(MATCH($F16,'Tablas Técnicas'!$L$10:$L$643,0)),INDEX($D29:$D35,Tablas!D$1)="",COUNTIF(AP16:$AS16,$F16)=0),$F16,IF(INDEX($D29:$D35,Tablas!D$1)="","",$F16&amp;INDEX($D29:$D35,Tablas!D$1)))</f>
        <v/>
      </c>
      <c r="AP16" s="3128" t="str">
        <f>IF(AND(ISNUMBER(MATCH($F16,'Tablas Técnicas'!$L$10:$L$643,0)),INDEX($D29:$D35,Tablas!E$1)="",COUNTIF(AQ16:$AS16,$F16)=0),$F16,IF(INDEX($D29:$D35,Tablas!E$1)="","",$F16&amp;INDEX($D29:$D35,Tablas!E$1)))</f>
        <v/>
      </c>
      <c r="AQ16" s="3128" t="str">
        <f>IF(AND(ISNUMBER(MATCH($F16,'Tablas Técnicas'!$L$10:$L$643,0)),INDEX($D29:$D35,Tablas!F$1)="",COUNTIF(AR16:$AS16,$F16)=0),$F16,IF(INDEX($D29:$D35,Tablas!F$1)="","",$F16&amp;INDEX($D29:$D35,Tablas!F$1)))</f>
        <v/>
      </c>
      <c r="AR16" s="3128" t="str">
        <f>IF(AND(ISNUMBER(MATCH($F16,'Tablas Técnicas'!$L$10:$L$643,0)),INDEX($D29:$D35,Tablas!G$1)="",COUNTIF(AS16:$AS16,$F16)=0),$F16,IF(INDEX($D29:$D35,Tablas!G$1)="","",$F16&amp;INDEX($D29:$D35,Tablas!G$1)))</f>
        <v/>
      </c>
      <c r="AS16" s="3132">
        <f>V16+X16+Z16+AB16+AD16+AF16</f>
        <v>0</v>
      </c>
      <c r="AT16" s="3132">
        <f t="array" ref="AT16">SUM(IF($AL16:$AR16='Tablas Técnicas'!$L$10:$L$643,IF(D16="Primario",'Tablas Técnicas'!$E$10:$E$643,'Tablas Técnicas'!$F$10:$F$643)+IF(K16="Sostenimiento menor",'Tablas Técnicas'!$I$10:$I$643,IF(K16="sostenimiento mayor",'Tablas Técnicas'!$J$10:$J$643,0)),0),0)+VALUE(RIGHT(P16,2))+AU16+AV16</f>
        <v>0</v>
      </c>
      <c r="AU16" s="3132">
        <f>IFERROR(IF(V16=0,0,VALUE(MID(Q16,SEARCH("AGI",Q16)+4,1))),0)+IFERROR(IF(X16=0,0,VALUE(MID(Q16,SEARCH("CON",Q16)+4,1))),0)+IFERROR(IF(Z16=0,0,VALUE(MID(Q16,SEARCH("DES",Q16)+4,1))),0)+IFERROR(IF(AB16=0,0,VALUE(MID(Q16,SEARCH("FUE",Q16)+4,1))),0)+IFERROR(IF(AD16=0,0,VALUE(MID(Q16,SEARCH("POD",Q16)+4,1))),0)+IFERROR(IF(AF16=0,0,VALUE(MID(Q16,SEARCH("VOL",Q16)+4,1))),0)</f>
        <v>0</v>
      </c>
      <c r="AV16" s="3132">
        <f>(COUNTIF(AL16:AR16,"*Estado añadido:*")-1)*COUNTIF(AL16:AR16,"*Estado añadido:*")</f>
        <v>0</v>
      </c>
      <c r="AW16" s="3132">
        <f t="array" ref="AW16">SUM(IF($AL16:$AR16='Tablas Técnicas'!$L$10:$L$643,'Tablas Técnicas'!$G$10:$G$643,0))</f>
        <v>0</v>
      </c>
      <c r="AX16" s="3128" t="str">
        <f>IF(F16="","",F16&amp;" ("&amp;IF(AL16="","",SUBSTITUTE(AL16,F16,"")&amp;", ")&amp;IF(AM16="","",SUBSTITUTE(AM16,F16,"")&amp;", ")&amp;IF(AN16="","",SUBSTITUTE(AN16,F16,"")&amp;", ")&amp;IF(AO16="","",SUBSTITUTE(AO16,F16,"")&amp;", ")&amp;IF(AP16="","",SUBSTITUTE(AP16,F16,"")&amp;", ")&amp;IF(AQ16="","",SUBSTITUTE(AQ16,F16,"")&amp;", ")&amp;IF(AR16="","",SUBSTITUTE(AR16,F16,"")&amp;", ")&amp;IF(OR(K16="",K16="-"),"",K16&amp;", "))</f>
        <v/>
      </c>
      <c r="AY16" s="3128" t="str">
        <f>IFERROR(LEFT(AX16,LEN(AX16)-2)&amp;"), ","")</f>
        <v/>
      </c>
    </row>
    <row r="17" spans="1:51" ht="12.2" customHeight="1" x14ac:dyDescent="0.2">
      <c r="A17" s="2172"/>
      <c r="B17" s="2086">
        <v>1</v>
      </c>
      <c r="C17" s="4584"/>
      <c r="D17" s="4629" t="s">
        <v>524</v>
      </c>
      <c r="E17" s="4630"/>
      <c r="F17" s="4661"/>
      <c r="G17" s="4662"/>
      <c r="H17" s="4662"/>
      <c r="I17" s="4662"/>
      <c r="J17" s="4663"/>
      <c r="K17" s="4664" t="s">
        <v>1455</v>
      </c>
      <c r="L17" s="4665"/>
      <c r="M17" s="4666"/>
      <c r="N17" s="2525">
        <f>IF(AW17&gt;0,IF(VLOOKUP(F17,'Tablas Técnicas'!$O$9:$X$88,10,0),MAX(5,AW17-5),AW17),0)</f>
        <v>0</v>
      </c>
      <c r="O17" s="2525" t="str">
        <f>AS17&amp;" / "&amp;AT17</f>
        <v>0 / 0</v>
      </c>
      <c r="P17" s="2525" t="str">
        <f t="array" ref="P17">W17+Y17+AA17+AC17+AE17+AG17&amp;" / "&amp;IF(K17&lt;&gt;"Mantenido",0,SUM(IF($AL17:$AR17='Tablas Técnicas'!$L$10:$L$643,'Tablas Técnicas'!$H$10:$H$643,0)))</f>
        <v>0 / 0</v>
      </c>
      <c r="Q17" s="4730" t="str">
        <f>IFERROR(VLOOKUP(F17,'Tablas Técnicas'!$O$9:$T$88,5,FALSE),"")</f>
        <v/>
      </c>
      <c r="R17" s="4730"/>
      <c r="S17" s="4730"/>
      <c r="T17" s="4730"/>
      <c r="U17" s="4730"/>
      <c r="V17" s="2047"/>
      <c r="W17" s="2048"/>
      <c r="X17" s="2047"/>
      <c r="Y17" s="2049"/>
      <c r="Z17" s="2050"/>
      <c r="AA17" s="2048"/>
      <c r="AB17" s="2047"/>
      <c r="AC17" s="2049"/>
      <c r="AD17" s="2050"/>
      <c r="AE17" s="2048"/>
      <c r="AF17" s="2047"/>
      <c r="AG17" s="2051"/>
      <c r="AH17" s="2180"/>
      <c r="AI17" s="4604"/>
      <c r="AJ17" s="3128">
        <v>2</v>
      </c>
      <c r="AK17" s="3128">
        <f>P12</f>
        <v>1</v>
      </c>
      <c r="AL17" s="3128" t="str">
        <f>IF(AND(ISNUMBER(MATCH($F17,'Tablas Técnicas'!$L$10:$L$643,0)),INDEX($J29:$J35,Tablas!A$1)="",COUNTIF(AM17:$AS17,$F17)=0),$F17,IF(INDEX($J29:$J35,Tablas!A$1)="","",$F17&amp;INDEX($J29:$J35,Tablas!A$1)))</f>
        <v/>
      </c>
      <c r="AM17" s="3128" t="str">
        <f>IF(AND(ISNUMBER(MATCH($F17,'Tablas Técnicas'!$L$10:$L$643,0)),INDEX($J29:$J35,Tablas!B$1)="",COUNTIF(AN17:$AS17,$F17)=0),$F17,IF(INDEX($J29:$J35,Tablas!B$1)="","",$F17&amp;INDEX($J29:$J35,Tablas!B$1)))</f>
        <v/>
      </c>
      <c r="AN17" s="3128" t="str">
        <f>IF(AND(ISNUMBER(MATCH($F17,'Tablas Técnicas'!$L$10:$L$643,0)),INDEX($J29:$J35,Tablas!C$1)="",COUNTIF(AO17:$AS17,$F17)=0),$F17,IF(INDEX($J29:$J35,Tablas!C$1)="","",$F17&amp;INDEX($J29:$J35,Tablas!C$1)))</f>
        <v/>
      </c>
      <c r="AO17" s="3128" t="str">
        <f>IF(AND(ISNUMBER(MATCH($F17,'Tablas Técnicas'!$L$10:$L$643,0)),INDEX($J29:$J35,Tablas!D$1)="",COUNTIF(AP17:$AS17,$F17)=0),$F17,IF(INDEX($J29:$J35,Tablas!D$1)="","",$F17&amp;INDEX($J29:$J35,Tablas!D$1)))</f>
        <v/>
      </c>
      <c r="AP17" s="3128" t="str">
        <f>IF(AND(ISNUMBER(MATCH($F17,'Tablas Técnicas'!$L$10:$L$643,0)),INDEX($J29:$J35,Tablas!E$1)="",COUNTIF(AQ17:$AS17,$F17)=0),$F17,IF(INDEX($J29:$J35,Tablas!E$1)="","",$F17&amp;INDEX($J29:$J35,Tablas!E$1)))</f>
        <v/>
      </c>
      <c r="AQ17" s="3128" t="str">
        <f>IF(AND(ISNUMBER(MATCH($F17,'Tablas Técnicas'!$L$10:$L$643,0)),INDEX($J29:$J35,Tablas!F$1)="",COUNTIF(AR17:$AS17,$F17)=0),$F17,IF(INDEX($J29:$J35,Tablas!F$1)="","",$F17&amp;INDEX($J29:$J35,Tablas!F$1)))</f>
        <v/>
      </c>
      <c r="AR17" s="3128" t="str">
        <f>IF(AND(ISNUMBER(MATCH($F17,'Tablas Técnicas'!$L$10:$L$643,0)),INDEX($J29:$J35,Tablas!G$1)="",COUNTIF(AS17:$AS17,$F17)=0),$F17,IF(INDEX($J29:$J35,Tablas!G$1)="","",$F17&amp;INDEX($J29:$J35,Tablas!G$1)))</f>
        <v/>
      </c>
      <c r="AS17" s="3132">
        <f>V17+X17+Z17+AB17+AD17+AF17</f>
        <v>0</v>
      </c>
      <c r="AT17" s="3132">
        <f t="array" ref="AT17">SUM(IF($AL17:$AR17='Tablas Técnicas'!$L$10:$L$643,IF(D17="Primario",'Tablas Técnicas'!$E$10:$E$643,'Tablas Técnicas'!$F$10:$F$643)+IF(K17="Sostenimiento menor",'Tablas Técnicas'!$I$10:$I$643,IF(K17="sostenimiento mayor",'Tablas Técnicas'!$J$10:$J$643,0)),0),0)+VALUE(RIGHT(P17,2))+AU17+AV17</f>
        <v>0</v>
      </c>
      <c r="AU17" s="3132">
        <f>IFERROR(IF(V17=0,0,VALUE(MID(Q17,SEARCH("AGI",Q17)+4,1))),0)+IFERROR(IF(X17=0,0,VALUE(MID(Q17,SEARCH("CON",Q17)+4,1))),0)+IFERROR(IF(Z17=0,0,VALUE(MID(Q17,SEARCH("DES",Q17)+4,1))),0)+IFERROR(IF(AB17=0,0,VALUE(MID(Q17,SEARCH("FUE",Q17)+4,1))),0)+IFERROR(IF(AD17=0,0,VALUE(MID(Q17,SEARCH("POD",Q17)+4,1))),0)+IFERROR(IF(AF17=0,0,VALUE(MID(Q17,SEARCH("VOL",Q17)+4,1))),0)</f>
        <v>0</v>
      </c>
      <c r="AV17" s="3132">
        <f>(COUNTIF(AL17:AR17,"*Estado añadido:*")-1)*COUNTIF(AL17:AR17,"*Estado añadido:*")</f>
        <v>0</v>
      </c>
      <c r="AW17" s="3132">
        <f t="array" ref="AW17">SUM(IF($AL17:$AR17='Tablas Técnicas'!$L$10:$L$643,'Tablas Técnicas'!$G$10:$G$643,0))</f>
        <v>0</v>
      </c>
      <c r="AX17" s="3128" t="str">
        <f>IF(F17="","",F17&amp;" ("&amp;IF(AL17="","",SUBSTITUTE(AL17,F17,"")&amp;", ")&amp;IF(AM17="","",SUBSTITUTE(AM17,F17,"")&amp;", ")&amp;IF(AN17="","",SUBSTITUTE(AN17,F17,"")&amp;", ")&amp;IF(AO17="","",SUBSTITUTE(AO17,F17,"")&amp;", ")&amp;IF(AP17="","",SUBSTITUTE(AP17,F17,"")&amp;", ")&amp;IF(AQ17="","",SUBSTITUTE(AQ17,F17,"")&amp;", ")&amp;IF(AR17="","",SUBSTITUTE(AR17,F17,"")&amp;", ")&amp;IF(OR(K17="",K17="-"),"",K17&amp;", "))</f>
        <v/>
      </c>
      <c r="AY17" s="3128" t="str">
        <f>IFERROR(LEFT(AX17,LEN(AX17)-2)&amp;"), ","")</f>
        <v/>
      </c>
    </row>
    <row r="18" spans="1:51" ht="12.2" customHeight="1" x14ac:dyDescent="0.2">
      <c r="A18" s="2172"/>
      <c r="B18" s="2086">
        <v>1</v>
      </c>
      <c r="C18" s="4584"/>
      <c r="D18" s="4675" t="s">
        <v>524</v>
      </c>
      <c r="E18" s="4676"/>
      <c r="F18" s="4605"/>
      <c r="G18" s="4606"/>
      <c r="H18" s="4606"/>
      <c r="I18" s="4606"/>
      <c r="J18" s="4607"/>
      <c r="K18" s="4667" t="s">
        <v>1455</v>
      </c>
      <c r="L18" s="4668"/>
      <c r="M18" s="4669"/>
      <c r="N18" s="2521">
        <f>IF(AW18&gt;0,IF(VLOOKUP(F18,'Tablas Técnicas'!$O$9:$X$88,10,0),MAX(5,AW18-5),AW18),0)</f>
        <v>0</v>
      </c>
      <c r="O18" s="2521" t="str">
        <f>AS18&amp;" / "&amp;AT18</f>
        <v>0 / 0</v>
      </c>
      <c r="P18" s="2521" t="str">
        <f t="array" ref="P18">W18+Y18+AA18+AC18+AE18+AG18&amp;" / "&amp;IF(K18&lt;&gt;"Mantenido",0,SUM(IF($AL18:$AR18='Tablas Técnicas'!$L$10:$L$643,'Tablas Técnicas'!$H$10:$H$643,0)))</f>
        <v>0 / 0</v>
      </c>
      <c r="Q18" s="4726" t="str">
        <f>IFERROR(VLOOKUP(F18,'Tablas Técnicas'!$O$9:$T$88,5,FALSE),"")</f>
        <v/>
      </c>
      <c r="R18" s="4726"/>
      <c r="S18" s="4726"/>
      <c r="T18" s="4726"/>
      <c r="U18" s="4726"/>
      <c r="V18" s="2052"/>
      <c r="W18" s="2053"/>
      <c r="X18" s="2052"/>
      <c r="Y18" s="2054"/>
      <c r="Z18" s="2055"/>
      <c r="AA18" s="2053"/>
      <c r="AB18" s="2052"/>
      <c r="AC18" s="2054"/>
      <c r="AD18" s="2055"/>
      <c r="AE18" s="2053"/>
      <c r="AF18" s="2052"/>
      <c r="AG18" s="2056"/>
      <c r="AH18" s="2180"/>
      <c r="AI18" s="4604"/>
      <c r="AJ18" s="3128">
        <v>3</v>
      </c>
      <c r="AK18" s="3128">
        <f>P12</f>
        <v>1</v>
      </c>
      <c r="AL18" s="3128" t="str">
        <f>IF(AND(ISNUMBER(MATCH($F18,'Tablas Técnicas'!$L$10:$L$643,0)),INDEX($P29:$P35,Tablas!A$1)="",COUNTIF(AM18:$AS18,$F18)=0),$F18,IF(INDEX($P29:$P35,Tablas!A$1)="","",$F18&amp;INDEX($P29:$P35,Tablas!A$1)))</f>
        <v/>
      </c>
      <c r="AM18" s="3128" t="str">
        <f>IF(AND(ISNUMBER(MATCH($F18,'Tablas Técnicas'!$L$10:$L$643,0)),INDEX($P29:$P35,Tablas!B$1)="",COUNTIF(AN18:$AS18,$F18)=0),$F18,IF(INDEX($P29:$P35,Tablas!B$1)="","",$F18&amp;INDEX($P29:$P35,Tablas!B$1)))</f>
        <v/>
      </c>
      <c r="AN18" s="3128" t="str">
        <f>IF(AND(ISNUMBER(MATCH($F18,'Tablas Técnicas'!$L$10:$L$643,0)),INDEX($P29:$P35,Tablas!C$1)="",COUNTIF(AO18:$AS18,$F18)=0),$F18,IF(INDEX($P29:$P35,Tablas!C$1)="","",$F18&amp;INDEX($P29:$P35,Tablas!C$1)))</f>
        <v/>
      </c>
      <c r="AO18" s="3128" t="str">
        <f>IF(AND(ISNUMBER(MATCH($F18,'Tablas Técnicas'!$L$10:$L$643,0)),INDEX($P29:$P35,Tablas!D$1)="",COUNTIF(AP18:$AS18,$F18)=0),$F18,IF(INDEX($P29:$P35,Tablas!D$1)="","",$F18&amp;INDEX($P29:$P35,Tablas!D$1)))</f>
        <v/>
      </c>
      <c r="AP18" s="3128" t="str">
        <f>IF(AND(ISNUMBER(MATCH($F18,'Tablas Técnicas'!$L$10:$L$643,0)),INDEX($P29:$P35,Tablas!E$1)="",COUNTIF(AQ18:$AS18,$F18)=0),$F18,IF(INDEX($P29:$P35,Tablas!E$1)="","",$F18&amp;INDEX($P29:$P35,Tablas!E$1)))</f>
        <v/>
      </c>
      <c r="AQ18" s="3128" t="str">
        <f>IF(AND(ISNUMBER(MATCH($F18,'Tablas Técnicas'!$L$10:$L$643,0)),INDEX($P29:$P35,Tablas!F$1)="",COUNTIF(AR18:$AS18,$F18)=0),$F18,IF(INDEX($P29:$P35,Tablas!F$1)="","",$F18&amp;INDEX($P29:$P35,Tablas!F$1)))</f>
        <v/>
      </c>
      <c r="AR18" s="3128" t="str">
        <f>IF(AND(ISNUMBER(MATCH($F18,'Tablas Técnicas'!$L$10:$L$643,0)),INDEX($P29:$P35,Tablas!G$1)="",COUNTIF(AS18:$AS18,$F18)=0),$F18,IF(INDEX($P29:$P35,Tablas!G$1)="","",$F18&amp;INDEX($P29:$P35,Tablas!G$1)))</f>
        <v/>
      </c>
      <c r="AS18" s="3132">
        <f>V18+X18+Z18+AB18+AD18+AF18</f>
        <v>0</v>
      </c>
      <c r="AT18" s="3132">
        <f t="array" ref="AT18">SUM(IF($AL18:$AR18='Tablas Técnicas'!$L$10:$L$643,IF(D18="Primario",'Tablas Técnicas'!$E$10:$E$643,'Tablas Técnicas'!$F$10:$F$643)+IF(K18="Sostenimiento menor",'Tablas Técnicas'!$I$10:$I$643,IF(K18="sostenimiento mayor",'Tablas Técnicas'!$J$10:$J$643,0)),0),0)+VALUE(RIGHT(P18,2))+AU18+AV18</f>
        <v>0</v>
      </c>
      <c r="AU18" s="3132">
        <f>IFERROR(IF(V18=0,0,VALUE(MID(Q18,SEARCH("AGI",Q18)+4,1))),0)+IFERROR(IF(X18=0,0,VALUE(MID(Q18,SEARCH("CON",Q18)+4,1))),0)+IFERROR(IF(Z18=0,0,VALUE(MID(Q18,SEARCH("DES",Q18)+4,1))),0)+IFERROR(IF(AB18=0,0,VALUE(MID(Q18,SEARCH("FUE",Q18)+4,1))),0)+IFERROR(IF(AD18=0,0,VALUE(MID(Q18,SEARCH("POD",Q18)+4,1))),0)+IFERROR(IF(AF18=0,0,VALUE(MID(Q18,SEARCH("VOL",Q18)+4,1))),0)</f>
        <v>0</v>
      </c>
      <c r="AV18" s="3132">
        <f>(COUNTIF(AL18:AR18,"*Estado añadido:*")-1)*COUNTIF(AL18:AR18,"*Estado añadido:*")</f>
        <v>0</v>
      </c>
      <c r="AW18" s="3132">
        <f t="array" ref="AW18">SUM(IF($AL18:$AR18='Tablas Técnicas'!$L$10:$L$643,'Tablas Técnicas'!$G$10:$G$643,0))</f>
        <v>0</v>
      </c>
      <c r="AX18" s="3128" t="str">
        <f>IF(F18="","",F18&amp;" ("&amp;IF(AL18="","",SUBSTITUTE(AL18,F18,"")&amp;", ")&amp;IF(AM18="","",SUBSTITUTE(AM18,F18,"")&amp;", ")&amp;IF(AN18="","",SUBSTITUTE(AN18,F18,"")&amp;", ")&amp;IF(AO18="","",SUBSTITUTE(AO18,F18,"")&amp;", ")&amp;IF(AP18="","",SUBSTITUTE(AP18,F18,"")&amp;", ")&amp;IF(AQ18="","",SUBSTITUTE(AQ18,F18,"")&amp;", ")&amp;IF(AR18="","",SUBSTITUTE(AR18,F18,"")&amp;", ")&amp;IF(OR(K18="",K18="-"),"",K18&amp;", "))</f>
        <v/>
      </c>
      <c r="AY18" s="3128" t="str">
        <f>IFERROR(LEFT(AX18,LEN(AX18)-2)&amp;"), ","")</f>
        <v/>
      </c>
    </row>
    <row r="19" spans="1:51" ht="12.2" customHeight="1" x14ac:dyDescent="0.2">
      <c r="A19" s="2172"/>
      <c r="B19" s="2086">
        <v>1</v>
      </c>
      <c r="C19" s="4584"/>
      <c r="D19" s="4629" t="s">
        <v>524</v>
      </c>
      <c r="E19" s="4630"/>
      <c r="F19" s="4661"/>
      <c r="G19" s="4662"/>
      <c r="H19" s="4662"/>
      <c r="I19" s="4662"/>
      <c r="J19" s="4663"/>
      <c r="K19" s="4664" t="s">
        <v>1455</v>
      </c>
      <c r="L19" s="4665"/>
      <c r="M19" s="4666"/>
      <c r="N19" s="2525">
        <f>IF(AW19&gt;0,IF(VLOOKUP(F19,'Tablas Técnicas'!$O$9:$X$88,10,0),MAX(5,AW19-5),AW19),0)</f>
        <v>0</v>
      </c>
      <c r="O19" s="2525" t="str">
        <f>AS19&amp;" / "&amp;AT19</f>
        <v>0 / 0</v>
      </c>
      <c r="P19" s="2525" t="str">
        <f t="array" ref="P19">W19+Y19+AA19+AC19+AE19+AG19&amp;" / "&amp;IF(K19&lt;&gt;"Mantenido",0,SUM(IF($AL19:$AR19='Tablas Técnicas'!$L$10:$L$643,'Tablas Técnicas'!$H$10:$H$643,0)))</f>
        <v>0 / 0</v>
      </c>
      <c r="Q19" s="4730" t="str">
        <f>IFERROR(VLOOKUP(F19,'Tablas Técnicas'!$O$9:$T$88,5,FALSE),"")</f>
        <v/>
      </c>
      <c r="R19" s="4730"/>
      <c r="S19" s="4730"/>
      <c r="T19" s="4730"/>
      <c r="U19" s="4730"/>
      <c r="V19" s="2047"/>
      <c r="W19" s="2048"/>
      <c r="X19" s="2047"/>
      <c r="Y19" s="2049"/>
      <c r="Z19" s="2050"/>
      <c r="AA19" s="2048"/>
      <c r="AB19" s="2047"/>
      <c r="AC19" s="2049"/>
      <c r="AD19" s="2050"/>
      <c r="AE19" s="2048"/>
      <c r="AF19" s="2047"/>
      <c r="AG19" s="2051"/>
      <c r="AH19" s="2180"/>
      <c r="AI19" s="4604"/>
      <c r="AJ19" s="3128">
        <v>4</v>
      </c>
      <c r="AK19" s="3128">
        <f>P12</f>
        <v>1</v>
      </c>
      <c r="AL19" s="3128" t="str">
        <f>IF(AND(ISNUMBER(MATCH($F19,'Tablas Técnicas'!$L$10:$L$643,0)),INDEX($V29:$V35,Tablas!A$1)="",COUNTIF(AM19:$AS19,$F19)=0),$F19,IF(INDEX($V29:$V35,Tablas!A$1)="","",$F19&amp;INDEX($V29:$V35,Tablas!A$1)))</f>
        <v/>
      </c>
      <c r="AM19" s="3128" t="str">
        <f>IF(AND(ISNUMBER(MATCH($F19,'Tablas Técnicas'!$L$10:$L$643,0)),INDEX($V29:$V35,Tablas!B$1)="",COUNTIF(AN19:$AS19,$F19)=0),$F19,IF(INDEX($V29:$V35,Tablas!B$1)="","",$F19&amp;INDEX($V29:$V35,Tablas!B$1)))</f>
        <v/>
      </c>
      <c r="AN19" s="3128" t="str">
        <f>IF(AND(ISNUMBER(MATCH($F19,'Tablas Técnicas'!$L$10:$L$643,0)),INDEX($V29:$V35,Tablas!C$1)="",COUNTIF(AO19:$AS19,$F19)=0),$F19,IF(INDEX($V29:$V35,Tablas!C$1)="","",$F19&amp;INDEX($V29:$V35,Tablas!C$1)))</f>
        <v/>
      </c>
      <c r="AO19" s="3128" t="str">
        <f>IF(AND(ISNUMBER(MATCH($F19,'Tablas Técnicas'!$L$10:$L$643,0)),INDEX($V29:$V35,Tablas!D$1)="",COUNTIF(AP19:$AS19,$F19)=0),$F19,IF(INDEX($V29:$V35,Tablas!D$1)="","",$F19&amp;INDEX($V29:$V35,Tablas!D$1)))</f>
        <v/>
      </c>
      <c r="AP19" s="3128" t="str">
        <f>IF(AND(ISNUMBER(MATCH($F19,'Tablas Técnicas'!$L$10:$L$643,0)),INDEX($V29:$V35,Tablas!E$1)="",COUNTIF(AQ19:$AS19,$F19)=0),$F19,IF(INDEX($V29:$V35,Tablas!E$1)="","",$F19&amp;INDEX($V29:$V35,Tablas!E$1)))</f>
        <v/>
      </c>
      <c r="AQ19" s="3128" t="str">
        <f>IF(AND(ISNUMBER(MATCH($F19,'Tablas Técnicas'!$L$10:$L$643,0)),INDEX($V29:$V35,Tablas!F$1)="",COUNTIF(AR19:$AS19,$F19)=0),$F19,IF(INDEX($V29:$V35,Tablas!F$1)="","",$F19&amp;INDEX($V29:$V35,Tablas!F$1)))</f>
        <v/>
      </c>
      <c r="AR19" s="3128" t="str">
        <f>IF(AND(ISNUMBER(MATCH($F19,'Tablas Técnicas'!$L$10:$L$643,0)),INDEX($V29:$V35,Tablas!G$1)="",COUNTIF(AS19:$AS19,$F19)=0),$F19,IF(INDEX($V29:$V35,Tablas!G$1)="","",$F19&amp;INDEX($V29:$V35,Tablas!G$1)))</f>
        <v/>
      </c>
      <c r="AS19" s="3132">
        <f>V19+X19+Z19+AB19+AD19+AF19</f>
        <v>0</v>
      </c>
      <c r="AT19" s="3132">
        <f t="array" ref="AT19">SUM(IF($AL19:$AR19='Tablas Técnicas'!$L$10:$L$643,IF(D19="Primario",'Tablas Técnicas'!$E$10:$E$643,'Tablas Técnicas'!$F$10:$F$643)+IF(K19="Sostenimiento menor",'Tablas Técnicas'!$I$10:$I$643,IF(K19="sostenimiento mayor",'Tablas Técnicas'!$J$10:$J$643,0)),0),0)+VALUE(RIGHT(P19,2))+AU19+AV19</f>
        <v>0</v>
      </c>
      <c r="AU19" s="3132">
        <f>IFERROR(IF(V19=0,0,VALUE(MID(Q19,SEARCH("AGI",Q19)+4,1))),0)+IFERROR(IF(X19=0,0,VALUE(MID(Q19,SEARCH("CON",Q19)+4,1))),0)+IFERROR(IF(Z19=0,0,VALUE(MID(Q19,SEARCH("DES",Q19)+4,1))),0)+IFERROR(IF(AB19=0,0,VALUE(MID(Q19,SEARCH("FUE",Q19)+4,1))),0)+IFERROR(IF(AD19=0,0,VALUE(MID(Q19,SEARCH("POD",Q19)+4,1))),0)+IFERROR(IF(AF19=0,0,VALUE(MID(Q19,SEARCH("VOL",Q19)+4,1))),0)</f>
        <v>0</v>
      </c>
      <c r="AV19" s="3132">
        <f>(COUNTIF(AL19:AR19,"*Estado añadido:*")-1)*COUNTIF(AL19:AR19,"*Estado añadido:*")</f>
        <v>0</v>
      </c>
      <c r="AW19" s="3132">
        <f t="array" ref="AW19">SUM(IF($AL19:$AR19='Tablas Técnicas'!$L$10:$L$643,'Tablas Técnicas'!$G$10:$G$643,0))</f>
        <v>0</v>
      </c>
      <c r="AX19" s="3128" t="str">
        <f>IF(F19="","",F19&amp;" ("&amp;IF(AL19="","",SUBSTITUTE(AL19,F19,"")&amp;", ")&amp;IF(AM19="","",SUBSTITUTE(AM19,F19,"")&amp;", ")&amp;IF(AN19="","",SUBSTITUTE(AN19,F19,"")&amp;", ")&amp;IF(AO19="","",SUBSTITUTE(AO19,F19,"")&amp;", ")&amp;IF(AP19="","",SUBSTITUTE(AP19,F19,"")&amp;", ")&amp;IF(AQ19="","",SUBSTITUTE(AQ19,F19,"")&amp;", ")&amp;IF(AR19="","",SUBSTITUTE(AR19,F19,"")&amp;", ")&amp;IF(OR(K19="",K19="-"),"",K19&amp;", "))</f>
        <v/>
      </c>
      <c r="AY19" s="3128" t="str">
        <f>IFERROR(LEFT(AX19,LEN(AX19)-2)&amp;"), ","")</f>
        <v/>
      </c>
    </row>
    <row r="20" spans="1:51" ht="12.2" customHeight="1" thickBot="1" x14ac:dyDescent="0.25">
      <c r="A20" s="2172"/>
      <c r="B20" s="2086">
        <v>1</v>
      </c>
      <c r="C20" s="4584"/>
      <c r="D20" s="4632" t="s">
        <v>524</v>
      </c>
      <c r="E20" s="4633"/>
      <c r="F20" s="4589"/>
      <c r="G20" s="4590"/>
      <c r="H20" s="4590"/>
      <c r="I20" s="4590"/>
      <c r="J20" s="4591"/>
      <c r="K20" s="4592" t="s">
        <v>1455</v>
      </c>
      <c r="L20" s="4593"/>
      <c r="M20" s="4594"/>
      <c r="N20" s="2526">
        <f>IF(AW20&gt;0,IF(VLOOKUP(F20,'Tablas Técnicas'!$O$9:$X$88,10,0),MAX(5,AW20-5),AW20),0)</f>
        <v>0</v>
      </c>
      <c r="O20" s="2526" t="str">
        <f>AS20&amp;" / "&amp;AT20</f>
        <v>0 / 0</v>
      </c>
      <c r="P20" s="2526" t="str">
        <f t="array" ref="P20">W20+Y20+AA20+AC20+AE20+AG20&amp;" / "&amp;IF(K20&lt;&gt;"Mantenido",0,SUM(IF($AL20:$AR20='Tablas Técnicas'!$L$10:$L$643,'Tablas Técnicas'!$H$10:$H$643,0)))</f>
        <v>0 / 0</v>
      </c>
      <c r="Q20" s="4727" t="str">
        <f>IFERROR(VLOOKUP(F20,'Tablas Técnicas'!$O$9:$T$88,5,FALSE),"")</f>
        <v/>
      </c>
      <c r="R20" s="4727"/>
      <c r="S20" s="4727"/>
      <c r="T20" s="4727"/>
      <c r="U20" s="4727"/>
      <c r="V20" s="2057"/>
      <c r="W20" s="2058"/>
      <c r="X20" s="2057"/>
      <c r="Y20" s="2059"/>
      <c r="Z20" s="2060"/>
      <c r="AA20" s="2058"/>
      <c r="AB20" s="2057"/>
      <c r="AC20" s="2059"/>
      <c r="AD20" s="2060"/>
      <c r="AE20" s="2058"/>
      <c r="AF20" s="2057"/>
      <c r="AG20" s="2061"/>
      <c r="AH20" s="2180"/>
      <c r="AI20" s="4604"/>
      <c r="AJ20" s="3128">
        <v>5</v>
      </c>
      <c r="AK20" s="3128">
        <f>P12</f>
        <v>1</v>
      </c>
      <c r="AL20" s="3128" t="str">
        <f>IF(AND(ISNUMBER(MATCH($F20,'Tablas Técnicas'!$L$10:$L$643,0)),INDEX($AB29:$AB35,Tablas!A$1)="",COUNTIF(AM20:$AS20,$F20)=0),$F20,IF(INDEX($AB29:$AB35,Tablas!A$1)="","",$F20&amp;INDEX($AB29:$AB35,Tablas!A$1)))</f>
        <v/>
      </c>
      <c r="AM20" s="3128" t="str">
        <f>IF(AND(ISNUMBER(MATCH($F20,'Tablas Técnicas'!$L$10:$L$643,0)),INDEX($AB29:$AB35,Tablas!B$1)="",COUNTIF(AN20:$AS20,$F20)=0),$F20,IF(INDEX($AB29:$AB35,Tablas!B$1)="","",$F20&amp;INDEX($AB29:$AB35,Tablas!B$1)))</f>
        <v/>
      </c>
      <c r="AN20" s="3128" t="str">
        <f>IF(AND(ISNUMBER(MATCH($F20,'Tablas Técnicas'!$L$10:$L$643,0)),INDEX($AB29:$AB35,Tablas!C$1)="",COUNTIF(AO20:$AS20,$F20)=0),$F20,IF(INDEX($AB29:$AB35,Tablas!C$1)="","",$F20&amp;INDEX($AB29:$AB35,Tablas!C$1)))</f>
        <v/>
      </c>
      <c r="AO20" s="3128" t="str">
        <f>IF(AND(ISNUMBER(MATCH($F20,'Tablas Técnicas'!$L$10:$L$643,0)),INDEX($AB29:$AB35,Tablas!D$1)="",COUNTIF(AP20:$AS20,$F20)=0),$F20,IF(INDEX($AB29:$AB35,Tablas!D$1)="","",$F20&amp;INDEX($AB29:$AB35,Tablas!D$1)))</f>
        <v/>
      </c>
      <c r="AP20" s="3128" t="str">
        <f>IF(AND(ISNUMBER(MATCH($F20,'Tablas Técnicas'!$L$10:$L$643,0)),INDEX($AB29:$AB35,Tablas!E$1)="",COUNTIF(AQ20:$AS20,$F20)=0),$F20,IF(INDEX($AB29:$AB35,Tablas!E$1)="","",$F20&amp;INDEX($AB29:$AB35,Tablas!E$1)))</f>
        <v/>
      </c>
      <c r="AQ20" s="3128" t="str">
        <f>IF(AND(ISNUMBER(MATCH($F20,'Tablas Técnicas'!$L$10:$L$643,0)),INDEX($AB29:$AB35,Tablas!F$1)="",COUNTIF(AR20:$AS20,$F20)=0),$F20,IF(INDEX($AB29:$AB35,Tablas!F$1)="","",$F20&amp;INDEX($AB29:$AB35,Tablas!F$1)))</f>
        <v/>
      </c>
      <c r="AR20" s="3128" t="str">
        <f>IF(AND(ISNUMBER(MATCH($F20,'Tablas Técnicas'!$L$10:$L$643,0)),INDEX($AB29:$AB35,Tablas!G$1)="",COUNTIF(AS20:$AS20,$F20)=0),$F20,IF(INDEX($AB29:$AB35,Tablas!G$1)="","",$F20&amp;INDEX($AB29:$AB35,Tablas!G$1)))</f>
        <v/>
      </c>
      <c r="AS20" s="3132">
        <f>V20+X20+Z20+AB20+AD20+AF20</f>
        <v>0</v>
      </c>
      <c r="AT20" s="3132">
        <f t="array" ref="AT20">SUM(IF($AL20:$AR20='Tablas Técnicas'!$L$10:$L$643,IF(D20="Primario",'Tablas Técnicas'!$E$10:$E$643,'Tablas Técnicas'!$F$10:$F$643)+IF(K20="Sostenimiento menor",'Tablas Técnicas'!$I$10:$I$643,IF(K20="sostenimiento mayor",'Tablas Técnicas'!$J$10:$J$643,0)),0),0)+VALUE(RIGHT(P20,2))+AU20+AV20</f>
        <v>0</v>
      </c>
      <c r="AU20" s="3132">
        <f>IFERROR(IF(V20=0,0,VALUE(MID(Q20,SEARCH("AGI",Q20)+4,1))),0)+IFERROR(IF(X20=0,0,VALUE(MID(Q20,SEARCH("CON",Q20)+4,1))),0)+IFERROR(IF(Z20=0,0,VALUE(MID(Q20,SEARCH("DES",Q20)+4,1))),0)+IFERROR(IF(AB20=0,0,VALUE(MID(Q20,SEARCH("FUE",Q20)+4,1))),0)+IFERROR(IF(AD20=0,0,VALUE(MID(Q20,SEARCH("POD",Q20)+4,1))),0)+IFERROR(IF(AF20=0,0,VALUE(MID(Q20,SEARCH("VOL",Q20)+4,1))),0)</f>
        <v>0</v>
      </c>
      <c r="AV20" s="3132">
        <f>(COUNTIF(AL20:AR20,"*Estado añadido:*")-1)*COUNTIF(AL20:AR20,"*Estado añadido:*")</f>
        <v>0</v>
      </c>
      <c r="AW20" s="3132">
        <f t="array" ref="AW20">SUM(IF($AL20:$AR20='Tablas Técnicas'!$L$10:$L$643,'Tablas Técnicas'!$G$10:$G$643,0))</f>
        <v>0</v>
      </c>
      <c r="AX20" s="3128" t="str">
        <f>IF(F20="","",F20&amp;" ("&amp;IF(AL20="","",SUBSTITUTE(AL20,F20,"")&amp;", ")&amp;IF(AM20="","",SUBSTITUTE(AM20,F20,"")&amp;", ")&amp;IF(AN20="","",SUBSTITUTE(AN20,F20,"")&amp;", ")&amp;IF(AO20="","",SUBSTITUTE(AO20,F20,"")&amp;", ")&amp;IF(AP20="","",SUBSTITUTE(AP20,F20,"")&amp;", ")&amp;IF(AQ20="","",SUBSTITUTE(AQ20,F20,"")&amp;", ")&amp;IF(AR20="","",SUBSTITUTE(AR20,F20,"")&amp;", ")&amp;IF(OR(K20="",K20="-"),"",K20&amp;", "))</f>
        <v/>
      </c>
      <c r="AY20" s="3128" t="str">
        <f>IFERROR(LEFT(AX20,LEN(AX20)-2)&amp;"), ","")</f>
        <v/>
      </c>
    </row>
    <row r="21" spans="1:51" ht="12.2" customHeight="1" x14ac:dyDescent="0.2">
      <c r="A21" s="2172"/>
      <c r="B21" s="2086">
        <v>1</v>
      </c>
      <c r="C21" s="4584"/>
      <c r="D21" s="4635" t="s">
        <v>2818</v>
      </c>
      <c r="E21" s="4636"/>
      <c r="F21" s="4656"/>
      <c r="G21" s="4657"/>
      <c r="H21" s="4657"/>
      <c r="I21" s="4657"/>
      <c r="J21" s="4658"/>
      <c r="K21" s="4674"/>
      <c r="L21" s="4703"/>
      <c r="M21" s="4704"/>
      <c r="N21" s="1916" t="str">
        <f>IFERROR(INDEX('Tablas Técnicas'!$Q$200:$Q$301,MATCH(F21&amp;K21,'Tablas Técnicas'!$S$200:$S$301,0)),"")</f>
        <v/>
      </c>
      <c r="O21" s="4705"/>
      <c r="P21" s="4706"/>
      <c r="Q21" s="4707"/>
      <c r="R21" s="4706"/>
      <c r="S21" s="2516" t="str">
        <f>IFERROR("Nivel: "&amp;MAX(1,INDEX('Tablas Técnicas'!$R$200:$R$301,MATCH(F21&amp;K21,'Tablas Técnicas'!$S$200:$S$301,0))),"")</f>
        <v/>
      </c>
      <c r="T21" s="1917"/>
      <c r="U21" s="1918" t="str">
        <f>IFERROR("("&amp;VLOOKUP(F21,'Tablas Técnicas'!$O$165:$Q$192,3,FALSE)&amp;")","")</f>
        <v/>
      </c>
      <c r="V21" s="4644" t="s">
        <v>9619</v>
      </c>
      <c r="W21" s="4645"/>
      <c r="X21" s="4646"/>
      <c r="Y21" s="2527">
        <v>0</v>
      </c>
      <c r="Z21" s="4740" t="s">
        <v>8806</v>
      </c>
      <c r="AA21" s="4648"/>
      <c r="AB21" s="4649"/>
      <c r="AC21" s="2527">
        <v>0</v>
      </c>
      <c r="AD21" s="4741" t="str">
        <f>"Ki sin repartir: "&amp;AL29-AL30&amp;IF(AM29=0,""," ("&amp;AM29-AM30&amp;")")</f>
        <v>Ki sin repartir: 0</v>
      </c>
      <c r="AE21" s="4651"/>
      <c r="AF21" s="4651"/>
      <c r="AG21" s="4652"/>
      <c r="AH21" s="2180"/>
      <c r="AI21" s="4604"/>
      <c r="AJ21" s="3128">
        <v>1</v>
      </c>
      <c r="AK21" s="3128">
        <f>P12</f>
        <v>1</v>
      </c>
      <c r="AL21" s="3128" t="e">
        <f>VLOOKUP(F21,'Tablas Técnicas'!$O$165:$Q$188,2,FALSE)</f>
        <v>#N/A</v>
      </c>
      <c r="AM21" s="3128"/>
      <c r="AN21" s="3129"/>
      <c r="AO21" s="3128"/>
      <c r="AP21" s="3128"/>
      <c r="AQ21" s="3129"/>
      <c r="AR21" s="3128"/>
      <c r="AS21" s="3128"/>
      <c r="AT21" s="3128"/>
      <c r="AU21" s="3128"/>
      <c r="AV21" s="3128"/>
      <c r="AW21" s="3132"/>
      <c r="AX21" s="3132"/>
      <c r="AY21" s="3128" t="str">
        <f>IF(F21="","",F21&amp;IF(K21="",""," ("&amp;IF(F21="Atadura Elemental",O21&amp;IF(Q21="","",", "&amp;Q21),K21)&amp;")")&amp;", ")</f>
        <v/>
      </c>
    </row>
    <row r="22" spans="1:51" ht="12.2" customHeight="1" x14ac:dyDescent="0.2">
      <c r="A22" s="2172"/>
      <c r="B22" s="2086">
        <v>1</v>
      </c>
      <c r="C22" s="4584"/>
      <c r="D22" s="4637"/>
      <c r="E22" s="4638"/>
      <c r="F22" s="4708"/>
      <c r="G22" s="4709"/>
      <c r="H22" s="4709"/>
      <c r="I22" s="4709"/>
      <c r="J22" s="4710"/>
      <c r="K22" s="4663"/>
      <c r="L22" s="4723"/>
      <c r="M22" s="4724"/>
      <c r="N22" s="1919" t="str">
        <f>IFERROR(INDEX('Tablas Técnicas'!$Q$200:$Q$301,MATCH(F22&amp;K22,'Tablas Técnicas'!$S$200:$S$301,0)),"")</f>
        <v/>
      </c>
      <c r="O22" s="4711"/>
      <c r="P22" s="4712"/>
      <c r="Q22" s="4713"/>
      <c r="R22" s="4712"/>
      <c r="S22" s="2525" t="str">
        <f>IFERROR("Nivel: "&amp;MAX(1,INDEX('Tablas Técnicas'!$R$200:$R$301,MATCH(F22&amp;K22,'Tablas Técnicas'!$S$200:$S$301,0))),"")</f>
        <v/>
      </c>
      <c r="T22" s="2528"/>
      <c r="U22" s="2529" t="str">
        <f>IFERROR("("&amp;VLOOKUP(F22,'Tablas Técnicas'!$O$165:$Q$192,3,FALSE)&amp;")","")</f>
        <v/>
      </c>
      <c r="V22" s="4653" t="str">
        <f>"Mod. "&amp;V14</f>
        <v>Mod. AGI</v>
      </c>
      <c r="W22" s="4654"/>
      <c r="X22" s="4653" t="str">
        <f>"Mod. "&amp;X14</f>
        <v>Mod. CON</v>
      </c>
      <c r="Y22" s="4654"/>
      <c r="Z22" s="4653" t="str">
        <f>"Mod. "&amp;Z14</f>
        <v>Mod. DES</v>
      </c>
      <c r="AA22" s="4654"/>
      <c r="AB22" s="4653" t="str">
        <f>"Mod. "&amp;AB14</f>
        <v>Mod. FUE</v>
      </c>
      <c r="AC22" s="4654"/>
      <c r="AD22" s="4653" t="str">
        <f>"Mod. "&amp;AD14</f>
        <v>Mod. POD</v>
      </c>
      <c r="AE22" s="4654"/>
      <c r="AF22" s="4653" t="str">
        <f>"Mod. "&amp;AF14</f>
        <v>Mod. VOL</v>
      </c>
      <c r="AG22" s="4655"/>
      <c r="AH22" s="2180"/>
      <c r="AI22" s="4604"/>
      <c r="AJ22" s="3128">
        <v>2</v>
      </c>
      <c r="AK22" s="3128">
        <f>P12</f>
        <v>1</v>
      </c>
      <c r="AL22" s="3128" t="e">
        <f>VLOOKUP(F22,'Tablas Técnicas'!$O$165:$Q$188,2,FALSE)</f>
        <v>#N/A</v>
      </c>
      <c r="AM22" s="3128"/>
      <c r="AN22" s="3129"/>
      <c r="AO22" s="3128"/>
      <c r="AP22" s="3128"/>
      <c r="AQ22" s="3129"/>
      <c r="AR22" s="3128"/>
      <c r="AS22" s="3128"/>
      <c r="AT22" s="3128"/>
      <c r="AU22" s="3128"/>
      <c r="AV22" s="3128"/>
      <c r="AW22" s="3132"/>
      <c r="AX22" s="3132"/>
      <c r="AY22" s="3128" t="str">
        <f>IF(F22="","",F22&amp;IF(K22="",""," ("&amp;IF(F22="Atadura Elemental",O22&amp;IF(Q22="","",", "&amp;Q22),K22)&amp;")")&amp;", ")</f>
        <v/>
      </c>
    </row>
    <row r="23" spans="1:51" ht="12.2" customHeight="1" thickBot="1" x14ac:dyDescent="0.25">
      <c r="A23" s="2172"/>
      <c r="B23" s="2086">
        <v>1</v>
      </c>
      <c r="C23" s="4584"/>
      <c r="D23" s="4728"/>
      <c r="E23" s="4729"/>
      <c r="F23" s="4714"/>
      <c r="G23" s="4715"/>
      <c r="H23" s="4715"/>
      <c r="I23" s="4715"/>
      <c r="J23" s="4716"/>
      <c r="K23" s="4718"/>
      <c r="L23" s="4719"/>
      <c r="M23" s="4720"/>
      <c r="N23" s="1920" t="str">
        <f>IFERROR(INDEX('Tablas Técnicas'!$Q$200:$Q$301,MATCH(F23&amp;K23,'Tablas Técnicas'!$S$200:$S$301,0)),"")</f>
        <v/>
      </c>
      <c r="O23" s="4701"/>
      <c r="P23" s="4702"/>
      <c r="Q23" s="4717"/>
      <c r="R23" s="4702"/>
      <c r="S23" s="2526" t="str">
        <f>IFERROR("Nivel: "&amp;MAX(1,INDEX('Tablas Técnicas'!$R$200:$R$301,MATCH(F23&amp;K23,'Tablas Técnicas'!$S$200:$S$301,0))),"")</f>
        <v/>
      </c>
      <c r="T23" s="2530"/>
      <c r="U23" s="2531" t="str">
        <f>IFERROR("("&amp;VLOOKUP(F23,'Tablas Técnicas'!$O$165:$Q$192,3,FALSE)&amp;")","")</f>
        <v/>
      </c>
      <c r="V23" s="4610"/>
      <c r="W23" s="4608"/>
      <c r="X23" s="4608"/>
      <c r="Y23" s="4608"/>
      <c r="Z23" s="4608"/>
      <c r="AA23" s="4608"/>
      <c r="AB23" s="4608"/>
      <c r="AC23" s="4608"/>
      <c r="AD23" s="4608"/>
      <c r="AE23" s="4608"/>
      <c r="AF23" s="4608"/>
      <c r="AG23" s="4620"/>
      <c r="AH23" s="2180"/>
      <c r="AI23" s="4604"/>
      <c r="AJ23" s="3128">
        <v>3</v>
      </c>
      <c r="AK23" s="3128">
        <f>P12</f>
        <v>1</v>
      </c>
      <c r="AL23" s="3128" t="e">
        <f>VLOOKUP(F23,'Tablas Técnicas'!$O$165:$Q$188,2,FALSE)</f>
        <v>#N/A</v>
      </c>
      <c r="AM23" s="3128"/>
      <c r="AN23" s="3129"/>
      <c r="AO23" s="3128"/>
      <c r="AP23" s="3128"/>
      <c r="AQ23" s="3129"/>
      <c r="AR23" s="3132"/>
      <c r="AS23" s="3132"/>
      <c r="AT23" s="3132"/>
      <c r="AU23" s="3132"/>
      <c r="AV23" s="3132"/>
      <c r="AW23" s="3132"/>
      <c r="AX23" s="3132"/>
      <c r="AY23" s="3128" t="str">
        <f>IF(F23="","",F23&amp;IF(K23="",""," ("&amp;IF(F23="Atadura Elemental",O23&amp;IF(Q23="","",", "&amp;Q23),K23)&amp;")")&amp;", ")</f>
        <v/>
      </c>
    </row>
    <row r="24" spans="1:51" ht="12.2" customHeight="1" x14ac:dyDescent="0.2">
      <c r="A24" s="2172"/>
      <c r="B24" s="2086">
        <v>1</v>
      </c>
      <c r="C24" s="4584"/>
      <c r="D24" s="4595" t="s">
        <v>9301</v>
      </c>
      <c r="E24" s="4596"/>
      <c r="F24" s="4596"/>
      <c r="G24" s="4596"/>
      <c r="H24" s="4596"/>
      <c r="I24" s="4596"/>
      <c r="J24" s="4596"/>
      <c r="K24" s="4596"/>
      <c r="L24" s="4596"/>
      <c r="M24" s="4596"/>
      <c r="N24" s="4596"/>
      <c r="O24" s="4596"/>
      <c r="P24" s="4596"/>
      <c r="Q24" s="4596"/>
      <c r="R24" s="4596"/>
      <c r="S24" s="4596"/>
      <c r="T24" s="4596"/>
      <c r="U24" s="4596"/>
      <c r="V24" s="4725"/>
      <c r="W24" s="4725"/>
      <c r="X24" s="4725"/>
      <c r="Y24" s="4725"/>
      <c r="Z24" s="4725"/>
      <c r="AA24" s="4725"/>
      <c r="AB24" s="4725"/>
      <c r="AC24" s="4725"/>
      <c r="AD24" s="4725"/>
      <c r="AE24" s="4725"/>
      <c r="AF24" s="4725"/>
      <c r="AG24" s="4598"/>
      <c r="AH24" s="2180"/>
      <c r="AI24" s="4604"/>
      <c r="AJ24" s="3128"/>
      <c r="AK24" s="3128"/>
      <c r="AL24" s="3128"/>
      <c r="AM24" s="3128"/>
      <c r="AN24" s="3129" t="s">
        <v>8807</v>
      </c>
      <c r="AO24" s="3128" t="e">
        <f>LEFT(AY16&amp;AY17&amp;AY18&amp;AY19&amp;AY20,LEN(AY16&amp;AY17&amp;AY18&amp;AY19&amp;AY20)-2)</f>
        <v>#VALUE!</v>
      </c>
      <c r="AP24" s="3128"/>
      <c r="AQ24" s="3129"/>
      <c r="AR24" s="3132"/>
      <c r="AS24" s="3132"/>
      <c r="AT24" s="3132"/>
      <c r="AU24" s="3129"/>
      <c r="AV24" s="3129"/>
      <c r="AW24" s="3132"/>
      <c r="AX24" s="3132"/>
      <c r="AY24" s="3128"/>
    </row>
    <row r="25" spans="1:51" ht="12.2" customHeight="1" x14ac:dyDescent="0.2">
      <c r="A25" s="2172"/>
      <c r="B25" s="2086">
        <v>1</v>
      </c>
      <c r="C25" s="4584"/>
      <c r="D25" s="4599" t="str">
        <f>IF(F16="","",F16)</f>
        <v/>
      </c>
      <c r="E25" s="4600"/>
      <c r="F25" s="4600"/>
      <c r="G25" s="4600"/>
      <c r="H25" s="4600"/>
      <c r="I25" s="4601"/>
      <c r="J25" s="4599" t="str">
        <f>IF(F17="","",F17)</f>
        <v/>
      </c>
      <c r="K25" s="4600"/>
      <c r="L25" s="4600"/>
      <c r="M25" s="4600"/>
      <c r="N25" s="4600"/>
      <c r="O25" s="4601"/>
      <c r="P25" s="4600" t="str">
        <f>IF(F18="","",F18)</f>
        <v/>
      </c>
      <c r="Q25" s="4600"/>
      <c r="R25" s="4600"/>
      <c r="S25" s="4600"/>
      <c r="T25" s="4600"/>
      <c r="U25" s="4601"/>
      <c r="V25" s="4599" t="str">
        <f>IF(F19="","",F19)</f>
        <v/>
      </c>
      <c r="W25" s="4600"/>
      <c r="X25" s="4600"/>
      <c r="Y25" s="4600"/>
      <c r="Z25" s="4600"/>
      <c r="AA25" s="4601"/>
      <c r="AB25" s="4600" t="str">
        <f>IF(F20="","",F20)</f>
        <v/>
      </c>
      <c r="AC25" s="4600"/>
      <c r="AD25" s="4600"/>
      <c r="AE25" s="4600"/>
      <c r="AF25" s="4600"/>
      <c r="AG25" s="4623"/>
      <c r="AH25" s="2180"/>
      <c r="AI25" s="4604"/>
      <c r="AJ25" s="3128"/>
      <c r="AK25" s="3128"/>
      <c r="AL25" s="3128"/>
      <c r="AM25" s="3128"/>
      <c r="AN25" s="3129" t="s">
        <v>8808</v>
      </c>
      <c r="AO25" s="3128" t="e">
        <f>LEFT(AY21&amp;AY22&amp;AY23,LEN(AY21&amp;AY22&amp;AY23)-2)</f>
        <v>#VALUE!</v>
      </c>
      <c r="AP25" s="3128"/>
      <c r="AQ25" s="3129"/>
      <c r="AR25" s="3132"/>
      <c r="AS25" s="3132"/>
      <c r="AT25" s="3132"/>
      <c r="AU25" s="3129"/>
      <c r="AV25" s="3129"/>
      <c r="AW25" s="3132"/>
      <c r="AX25" s="3132"/>
      <c r="AY25" s="3128"/>
    </row>
    <row r="26" spans="1:51" ht="12.2" customHeight="1" x14ac:dyDescent="0.2">
      <c r="A26" s="2172"/>
      <c r="B26" s="2086">
        <v>1</v>
      </c>
      <c r="C26" s="4584"/>
      <c r="D26" s="2031" t="s">
        <v>1835</v>
      </c>
      <c r="E26" s="2521" t="str">
        <f>IFERROR(VLOOKUP(D25,'Tablas Técnicas'!$O$9:$T$88,3,FALSE),"")</f>
        <v/>
      </c>
      <c r="F26" s="2532"/>
      <c r="G26" s="2533"/>
      <c r="H26" s="2533" t="s">
        <v>1363</v>
      </c>
      <c r="I26" s="2521" t="str">
        <f>IFERROR(VLOOKUP(D25,'Tablas Técnicas'!$O$9:$T$88,4,FALSE),"")</f>
        <v/>
      </c>
      <c r="J26" s="2031" t="s">
        <v>1835</v>
      </c>
      <c r="K26" s="2521" t="str">
        <f>IFERROR(VLOOKUP(J25,'Tablas Técnicas'!$O$9:$T$88,3,FALSE),"")</f>
        <v/>
      </c>
      <c r="L26" s="2532"/>
      <c r="M26" s="2533"/>
      <c r="N26" s="2533" t="s">
        <v>1363</v>
      </c>
      <c r="O26" s="1921" t="str">
        <f>IFERROR(VLOOKUP(J25,'Tablas Técnicas'!$O$9:$T$88,4,FALSE),"")</f>
        <v/>
      </c>
      <c r="P26" s="2533" t="s">
        <v>1835</v>
      </c>
      <c r="Q26" s="2521" t="str">
        <f>IFERROR(VLOOKUP(P25,'Tablas Técnicas'!$O$9:$T$88,3,FALSE),"")</f>
        <v/>
      </c>
      <c r="R26" s="2532"/>
      <c r="S26" s="2533"/>
      <c r="T26" s="2533" t="s">
        <v>1363</v>
      </c>
      <c r="U26" s="2521" t="str">
        <f>IFERROR(VLOOKUP(P25,'Tablas Técnicas'!$O$9:$T$88,4,FALSE),"")</f>
        <v/>
      </c>
      <c r="V26" s="2031" t="s">
        <v>1835</v>
      </c>
      <c r="W26" s="2521" t="str">
        <f>IFERROR(VLOOKUP(V25,'Tablas Técnicas'!$O$9:$T$88,3,FALSE),"")</f>
        <v/>
      </c>
      <c r="X26" s="2532"/>
      <c r="Y26" s="2533"/>
      <c r="Z26" s="2533" t="s">
        <v>1363</v>
      </c>
      <c r="AA26" s="1921" t="str">
        <f>IFERROR(VLOOKUP(V25,'Tablas Técnicas'!$O$9:$T$88,4,FALSE),"")</f>
        <v/>
      </c>
      <c r="AB26" s="2533" t="s">
        <v>1835</v>
      </c>
      <c r="AC26" s="2521" t="str">
        <f>IFERROR(VLOOKUP(AB25,'Tablas Técnicas'!$O$9:$T$88,3,FALSE),"")</f>
        <v/>
      </c>
      <c r="AD26" s="2532"/>
      <c r="AE26" s="2533"/>
      <c r="AF26" s="2533" t="s">
        <v>1363</v>
      </c>
      <c r="AG26" s="1922" t="str">
        <f>IFERROR(VLOOKUP(AB25,'Tablas Técnicas'!$O$9:$T$88,4,FALSE),"")</f>
        <v/>
      </c>
      <c r="AH26" s="2180"/>
      <c r="AI26" s="4604"/>
      <c r="AJ26" s="3128"/>
      <c r="AK26" s="3128"/>
      <c r="AL26" s="3128"/>
      <c r="AM26" s="3128"/>
      <c r="AN26" s="3129"/>
      <c r="AO26" s="3128"/>
      <c r="AP26" s="3128"/>
      <c r="AQ26" s="3129"/>
      <c r="AR26" s="3132"/>
      <c r="AS26" s="3132"/>
      <c r="AT26" s="3132"/>
      <c r="AU26" s="3132"/>
      <c r="AV26" s="3132"/>
      <c r="AW26" s="3132"/>
      <c r="AX26" s="3132"/>
      <c r="AY26" s="3128"/>
    </row>
    <row r="27" spans="1:51" ht="12.2" customHeight="1" x14ac:dyDescent="0.2">
      <c r="A27" s="2172"/>
      <c r="B27" s="2086">
        <v>1</v>
      </c>
      <c r="C27" s="4584"/>
      <c r="D27" s="2032" t="s">
        <v>8809</v>
      </c>
      <c r="E27" s="2533"/>
      <c r="F27" s="2532"/>
      <c r="G27" s="2534"/>
      <c r="H27" s="2534"/>
      <c r="I27" s="2531" t="str">
        <f>IFERROR(IF(D25="Ataque Elemental",IF(NOT(ISNA(VLOOKUP(D29,'Tablas Técnicas'!$O$100:$O$105,1,0))),D29,"Variable"),VLOOKUP(D25,'Tablas Técnicas'!$O$9:$W$88,9,FALSE)),"")</f>
        <v/>
      </c>
      <c r="J27" s="2535" t="s">
        <v>8809</v>
      </c>
      <c r="K27" s="2536"/>
      <c r="L27" s="2537"/>
      <c r="M27" s="2538"/>
      <c r="N27" s="2538"/>
      <c r="O27" s="2539" t="str">
        <f>IFERROR(IF(J25="Ataque Elemental",IF(NOT(ISNA(VLOOKUP(J29,'Tablas Técnicas'!$O$100:$O$105,1,0))),J29,"Variable"),VLOOKUP(J25,'Tablas Técnicas'!$O$9:$W$88,9,FALSE)),"")</f>
        <v/>
      </c>
      <c r="P27" s="2540" t="s">
        <v>8809</v>
      </c>
      <c r="Q27" s="2536"/>
      <c r="R27" s="2537"/>
      <c r="S27" s="2538"/>
      <c r="T27" s="2538"/>
      <c r="U27" s="2531" t="str">
        <f>IFERROR(IF(P25="Ataque Elemental",IF(NOT(ISNA(VLOOKUP(P29,'Tablas Técnicas'!$O$100:$O$105,1,0))),P29,"Variable"),VLOOKUP(P25,'Tablas Técnicas'!$O$9:$W$88,9,FALSE)),"")</f>
        <v/>
      </c>
      <c r="V27" s="2535" t="s">
        <v>8809</v>
      </c>
      <c r="W27" s="2536"/>
      <c r="X27" s="2537"/>
      <c r="Y27" s="2538"/>
      <c r="Z27" s="2538"/>
      <c r="AA27" s="2539" t="str">
        <f>IFERROR(IF(V25="Ataque Elemental",IF(NOT(ISNA(VLOOKUP(V29,'Tablas Técnicas'!$O$100:$O$105,1,0))),V29,"Variable"),VLOOKUP(V25,'Tablas Técnicas'!$O$9:$W$88,9,FALSE)),"")</f>
        <v/>
      </c>
      <c r="AB27" s="2540" t="s">
        <v>8809</v>
      </c>
      <c r="AC27" s="2536"/>
      <c r="AD27" s="2537"/>
      <c r="AE27" s="2538"/>
      <c r="AF27" s="2538"/>
      <c r="AG27" s="2037" t="str">
        <f>IFERROR(IF(AB25="Ataque Elemental",IF(NOT(ISNA(VLOOKUP(AB29,'Tablas Técnicas'!$O$100:$O$105,1,0))),AB29,"Variable"),VLOOKUP(AB25,'Tablas Técnicas'!$O$9:$W$88,9,FALSE)),"")</f>
        <v/>
      </c>
      <c r="AH27" s="2180"/>
      <c r="AI27" s="4604"/>
      <c r="AJ27" s="3128"/>
      <c r="AK27" s="3132" t="s">
        <v>1373</v>
      </c>
      <c r="AL27" s="3132" t="s">
        <v>1497</v>
      </c>
      <c r="AM27" s="3132" t="s">
        <v>1378</v>
      </c>
      <c r="AN27" s="3132" t="s">
        <v>1383</v>
      </c>
      <c r="AO27" s="3132" t="s">
        <v>1390</v>
      </c>
      <c r="AP27" s="3132" t="s">
        <v>1391</v>
      </c>
      <c r="AQ27" s="3129"/>
      <c r="AR27" s="3132"/>
      <c r="AS27" s="3132"/>
      <c r="AT27" s="3132"/>
      <c r="AU27" s="3132"/>
      <c r="AV27" s="3132"/>
      <c r="AW27" s="3132"/>
      <c r="AX27" s="3132"/>
      <c r="AY27" s="3128"/>
    </row>
    <row r="28" spans="1:51" ht="12.2" customHeight="1" x14ac:dyDescent="0.2">
      <c r="A28" s="2172"/>
      <c r="B28" s="2086">
        <v>1</v>
      </c>
      <c r="C28" s="4584"/>
      <c r="D28" s="4599" t="s">
        <v>2826</v>
      </c>
      <c r="E28" s="4600"/>
      <c r="F28" s="4600"/>
      <c r="G28" s="4600"/>
      <c r="H28" s="4601"/>
      <c r="I28" s="1925" t="s">
        <v>1402</v>
      </c>
      <c r="J28" s="4599" t="s">
        <v>2826</v>
      </c>
      <c r="K28" s="4600"/>
      <c r="L28" s="4600"/>
      <c r="M28" s="4600"/>
      <c r="N28" s="4601"/>
      <c r="O28" s="1926" t="s">
        <v>1402</v>
      </c>
      <c r="P28" s="4599" t="s">
        <v>2826</v>
      </c>
      <c r="Q28" s="4600"/>
      <c r="R28" s="4600"/>
      <c r="S28" s="4600"/>
      <c r="T28" s="4601"/>
      <c r="U28" s="1926" t="s">
        <v>1402</v>
      </c>
      <c r="V28" s="4599"/>
      <c r="W28" s="4600"/>
      <c r="X28" s="4600"/>
      <c r="Y28" s="4600"/>
      <c r="Z28" s="4601"/>
      <c r="AA28" s="1926" t="s">
        <v>1402</v>
      </c>
      <c r="AB28" s="4599" t="s">
        <v>2826</v>
      </c>
      <c r="AC28" s="4600"/>
      <c r="AD28" s="4600"/>
      <c r="AE28" s="4600"/>
      <c r="AF28" s="4601"/>
      <c r="AG28" s="1927" t="s">
        <v>1402</v>
      </c>
      <c r="AH28" s="2180"/>
      <c r="AI28" s="4604"/>
      <c r="AJ28" s="3133" t="s">
        <v>9338</v>
      </c>
      <c r="AK28" s="3128" t="str">
        <f>IF(V14="","",IF(SUM(V16:V20)=0,"",V14&amp;" "&amp;SUM(V16:V20)+V23&amp;IF(SUM(W16:W20)=0,""," ("&amp;SUM(W16:W20)&amp;")")&amp;", "))</f>
        <v/>
      </c>
      <c r="AL28" s="3128" t="str">
        <f>IF(X14="","",IF(SUM(X16:X20)=0,"",X14&amp;" "&amp;SUM(X16:X20)+X23&amp;IF(SUM(Y16:Y20)=0,""," ("&amp;SUM(Y16:Y20)&amp;")")&amp;", "))</f>
        <v/>
      </c>
      <c r="AM28" s="3128" t="str">
        <f>IF(Z14="","",IF(SUM(Z16:Z20)=0,"",Z14&amp;" "&amp;SUM(Z16:Z20)+Z23&amp;IF(SUM(AA16:AA20)=0,""," ("&amp;SUM(AA16:AA20)&amp;")")&amp;", "))</f>
        <v/>
      </c>
      <c r="AN28" s="3128" t="str">
        <f>IF(AB14="","",IF(SUM(AB16:AB20)=0,"",AB14&amp;" "&amp;SUM(AB16:AB20)+AB23&amp;IF(SUM(AC16:AC20)=0,""," ("&amp;SUM(AC16:AC20)&amp;")")&amp;", "))</f>
        <v/>
      </c>
      <c r="AO28" s="3128" t="str">
        <f>IF(AD14="","",IF(SUM(AD16:AD20)=0,"",AD14&amp;" "&amp;SUM(AD16:AD20)+AD23&amp;IF(SUM(AE16:AE20)=0,""," ("&amp;SUM(AE16:AE20)&amp;")")&amp;", "))</f>
        <v/>
      </c>
      <c r="AP28" s="3128" t="str">
        <f>IF(AF14="","",IF(SUM(AF16:AF20)=0,"",AF14&amp;" "&amp;SUM(AF16:AF20)+AF23&amp;IF(SUM(AG16:AG20)=0,""," ("&amp;SUM(AG16:AG20)&amp;")")&amp;", "))</f>
        <v/>
      </c>
      <c r="AQ28" s="3128"/>
      <c r="AR28" s="3128"/>
      <c r="AS28" s="3128"/>
      <c r="AT28" s="3128"/>
      <c r="AU28" s="3128"/>
      <c r="AV28" s="3128"/>
      <c r="AW28" s="3128"/>
      <c r="AX28" s="3128"/>
      <c r="AY28" s="3128"/>
    </row>
    <row r="29" spans="1:51" ht="12.2" customHeight="1" x14ac:dyDescent="0.2">
      <c r="A29" s="2172"/>
      <c r="B29" s="2086">
        <v>1</v>
      </c>
      <c r="C29" s="4584"/>
      <c r="D29" s="4621"/>
      <c r="E29" s="4619"/>
      <c r="F29" s="4619"/>
      <c r="G29" s="4619"/>
      <c r="H29" s="4619"/>
      <c r="I29" s="1928" t="str">
        <f>IF(OR(D25="",D29=""),"",MAX(1,SUMPRODUCT(--(INDEX('Tablas Técnicas'!$C$10:$L$643,,1)=D25),--(INDEX('Tablas Técnicas'!$C$10:$L$643,,2)=D29),INDEX('Tablas Técnicas'!$C$10:$L$643,,9))))</f>
        <v/>
      </c>
      <c r="J29" s="4618"/>
      <c r="K29" s="4619"/>
      <c r="L29" s="4619"/>
      <c r="M29" s="4619"/>
      <c r="N29" s="4619"/>
      <c r="O29" s="1928" t="str">
        <f>IF(OR(J25="",J29=""),"",MAX(1,SUMPRODUCT(--(INDEX('Tablas Técnicas'!$C$10:$L$643,,1)=J25),--(INDEX('Tablas Técnicas'!$C$10:$L$643,,2)=J29),INDEX('Tablas Técnicas'!$C$10:$L$643,,9))))</f>
        <v/>
      </c>
      <c r="P29" s="4618"/>
      <c r="Q29" s="4619"/>
      <c r="R29" s="4619"/>
      <c r="S29" s="4619"/>
      <c r="T29" s="4619"/>
      <c r="U29" s="1928" t="str">
        <f>IF(OR(P25="",P29=""),"",MAX(1,SUMPRODUCT(--(INDEX('Tablas Técnicas'!$C$10:$L$643,,1)=P25),--(INDEX('Tablas Técnicas'!$C$10:$L$643,,2)=P29),INDEX('Tablas Técnicas'!$C$10:$L$643,,9))))</f>
        <v/>
      </c>
      <c r="V29" s="4618"/>
      <c r="W29" s="4619"/>
      <c r="X29" s="4619"/>
      <c r="Y29" s="4619"/>
      <c r="Z29" s="4619"/>
      <c r="AA29" s="1928" t="str">
        <f>IF(OR(V25="",V29=""),"",MAX(1,SUMPRODUCT(--(INDEX('Tablas Técnicas'!$C$10:$L$643,,1)=V25),--(INDEX('Tablas Técnicas'!$C$10:$L$643,,2)=V29),INDEX('Tablas Técnicas'!$C$10:$L$643,,9))))</f>
        <v/>
      </c>
      <c r="AB29" s="4618"/>
      <c r="AC29" s="4619"/>
      <c r="AD29" s="4619"/>
      <c r="AE29" s="4619"/>
      <c r="AF29" s="4619"/>
      <c r="AG29" s="1929" t="str">
        <f>IF(OR(AB25="",AB29=""),"",MAX(1,SUMPRODUCT(--(INDEX('Tablas Técnicas'!$C$10:$L$643,,1)=AB25),--(INDEX('Tablas Técnicas'!$C$10:$L$643,,2)=AB29),INDEX('Tablas Técnicas'!$C$10:$L$643,,9))))</f>
        <v/>
      </c>
      <c r="AH29" s="2180">
        <f>P12</f>
        <v>1</v>
      </c>
      <c r="AI29" s="4604"/>
      <c r="AJ29" s="3128" t="s">
        <v>9302</v>
      </c>
      <c r="AK29" s="3128"/>
      <c r="AL29" s="3128">
        <f>MAX(0,SUM(AT16:AT20)+ABS($AC21*2/5))+IF(AM38,0,Y21)+IF(S12="Sí",3*P12,0)</f>
        <v>0</v>
      </c>
      <c r="AM29" s="3128">
        <f t="array" ref="AM29">IF(ISNUMBER(SEARCH("Mantenido",K16&amp;K17&amp;K18&amp;K19&amp;K20)),MAX(0,SUM(VALUE(RIGHT($P16:$P20,2)))),0)</f>
        <v>0</v>
      </c>
      <c r="AN29" s="3132"/>
      <c r="AO29" s="3132"/>
      <c r="AP29" s="3135"/>
      <c r="AQ29" s="3135"/>
      <c r="AR29" s="3135"/>
      <c r="AS29" s="3135"/>
      <c r="AT29" s="3135"/>
      <c r="AU29" s="3135"/>
      <c r="AV29" s="3135"/>
      <c r="AW29" s="3135"/>
      <c r="AX29" s="3135"/>
      <c r="AY29" s="3128"/>
    </row>
    <row r="30" spans="1:51" ht="12.2" customHeight="1" x14ac:dyDescent="0.2">
      <c r="A30" s="2172"/>
      <c r="B30" s="2086">
        <v>1</v>
      </c>
      <c r="C30" s="4584"/>
      <c r="D30" s="4602"/>
      <c r="E30" s="4603"/>
      <c r="F30" s="4603"/>
      <c r="G30" s="4603"/>
      <c r="H30" s="4603"/>
      <c r="I30" s="1930" t="str">
        <f>IF(OR(D25="",D30=""),"",MAX(1,SUMPRODUCT(--(INDEX('Tablas Técnicas'!$C$10:$L$643,,1)=D25),--(INDEX('Tablas Técnicas'!$C$10:$L$643,,2)=D30),INDEX('Tablas Técnicas'!$C$10:$L$643,,9))))</f>
        <v/>
      </c>
      <c r="J30" s="4602"/>
      <c r="K30" s="4603"/>
      <c r="L30" s="4603"/>
      <c r="M30" s="4603"/>
      <c r="N30" s="4603"/>
      <c r="O30" s="1930" t="str">
        <f>IF(OR(J25="",J30=""),"",MAX(1,SUMPRODUCT(--(INDEX('Tablas Técnicas'!$C$10:$L$643,,1)=J25),--(INDEX('Tablas Técnicas'!$C$10:$L$643,,2)=J30),INDEX('Tablas Técnicas'!$C$10:$L$643,,9))))</f>
        <v/>
      </c>
      <c r="P30" s="4602"/>
      <c r="Q30" s="4603"/>
      <c r="R30" s="4603"/>
      <c r="S30" s="4603"/>
      <c r="T30" s="4603"/>
      <c r="U30" s="1930" t="str">
        <f>IF(OR(P25="",P30=""),"",MAX(1,SUMPRODUCT(--(INDEX('Tablas Técnicas'!$C$10:$L$643,,1)=P25),--(INDEX('Tablas Técnicas'!$C$10:$L$643,,2)=P30),INDEX('Tablas Técnicas'!$C$10:$L$643,,9))))</f>
        <v/>
      </c>
      <c r="V30" s="4602"/>
      <c r="W30" s="4603"/>
      <c r="X30" s="4603"/>
      <c r="Y30" s="4603"/>
      <c r="Z30" s="4603"/>
      <c r="AA30" s="1930" t="str">
        <f>IF(OR(V25="",V30=""),"",MAX(1,SUMPRODUCT(--(INDEX('Tablas Técnicas'!$C$10:$L$643,,1)=V25),--(INDEX('Tablas Técnicas'!$C$10:$L$643,,2)=V30),INDEX('Tablas Técnicas'!$C$10:$L$643,,9))))</f>
        <v/>
      </c>
      <c r="AB30" s="4602"/>
      <c r="AC30" s="4603"/>
      <c r="AD30" s="4603"/>
      <c r="AE30" s="4603"/>
      <c r="AF30" s="4603"/>
      <c r="AG30" s="1931" t="str">
        <f>IF(OR(AB25="",AB30=""),"",MAX(1,SUMPRODUCT(--(INDEX('Tablas Técnicas'!$C$10:$L$643,,1)=AB25),--(INDEX('Tablas Técnicas'!$C$10:$L$643,,2)=AB30),INDEX('Tablas Técnicas'!$C$10:$L$643,,9))))</f>
        <v/>
      </c>
      <c r="AH30" s="2180">
        <f>P12</f>
        <v>1</v>
      </c>
      <c r="AI30" s="4604"/>
      <c r="AJ30" s="3128" t="s">
        <v>8811</v>
      </c>
      <c r="AK30" s="3128"/>
      <c r="AL30" s="3128">
        <f>SUM(V16:V20,X16:X20,Z16:Z20,AB16:AB20,AD16:AD20,AF16:AF20)+SUM(V23:AG23)</f>
        <v>0</v>
      </c>
      <c r="AM30" s="3128">
        <f>SUM(W16:W20,Y16:Y20,AA16:AA20,AC16:AC20,AE16:AE20,AG16:AG20)</f>
        <v>0</v>
      </c>
      <c r="AN30" s="3128"/>
      <c r="AO30" s="3128"/>
      <c r="AP30" s="3128"/>
      <c r="AQ30" s="3128"/>
      <c r="AR30" s="3128"/>
      <c r="AS30" s="3128"/>
      <c r="AT30" s="3128"/>
      <c r="AU30" s="3128"/>
      <c r="AV30" s="3128"/>
      <c r="AW30" s="3132"/>
      <c r="AX30" s="3128"/>
      <c r="AY30" s="3128"/>
    </row>
    <row r="31" spans="1:51" ht="12.2" customHeight="1" x14ac:dyDescent="0.2">
      <c r="A31" s="2172"/>
      <c r="B31" s="2086">
        <v>1</v>
      </c>
      <c r="C31" s="4584"/>
      <c r="D31" s="4602"/>
      <c r="E31" s="4603"/>
      <c r="F31" s="4603"/>
      <c r="G31" s="4603"/>
      <c r="H31" s="4603"/>
      <c r="I31" s="1930" t="str">
        <f>IF(OR(D25="",D31=""),"",MAX(1,SUMPRODUCT(--(INDEX('Tablas Técnicas'!$C$10:$L$643,,1)=D25),--(INDEX('Tablas Técnicas'!$C$10:$L$643,,2)=D31),INDEX('Tablas Técnicas'!$C$10:$L$643,,9))))</f>
        <v/>
      </c>
      <c r="J31" s="4602"/>
      <c r="K31" s="4603"/>
      <c r="L31" s="4603"/>
      <c r="M31" s="4603"/>
      <c r="N31" s="4603"/>
      <c r="O31" s="1930" t="str">
        <f>IF(OR(J25="",J31=""),"",MAX(1,SUMPRODUCT(--(INDEX('Tablas Técnicas'!$C$10:$L$643,,1)=J25),--(INDEX('Tablas Técnicas'!$C$10:$L$643,,2)=J31),INDEX('Tablas Técnicas'!$C$10:$L$643,,9))))</f>
        <v/>
      </c>
      <c r="P31" s="4602"/>
      <c r="Q31" s="4603"/>
      <c r="R31" s="4603"/>
      <c r="S31" s="4603"/>
      <c r="T31" s="4603"/>
      <c r="U31" s="1930" t="str">
        <f>IF(OR(P25="",P31=""),"",MAX(1,SUMPRODUCT(--(INDEX('Tablas Técnicas'!$C$10:$L$643,,1)=P25),--(INDEX('Tablas Técnicas'!$C$10:$L$643,,2)=P31),INDEX('Tablas Técnicas'!$C$10:$L$643,,9))))</f>
        <v/>
      </c>
      <c r="V31" s="4602"/>
      <c r="W31" s="4603"/>
      <c r="X31" s="4603"/>
      <c r="Y31" s="4603"/>
      <c r="Z31" s="4603"/>
      <c r="AA31" s="1930" t="str">
        <f>IF(OR(V25="",V31=""),"",MAX(1,SUMPRODUCT(--(INDEX('Tablas Técnicas'!$C$10:$L$643,,1)=V25),--(INDEX('Tablas Técnicas'!$C$10:$L$643,,2)=V31),INDEX('Tablas Técnicas'!$C$10:$L$643,,9))))</f>
        <v/>
      </c>
      <c r="AB31" s="4602"/>
      <c r="AC31" s="4603"/>
      <c r="AD31" s="4603"/>
      <c r="AE31" s="4603"/>
      <c r="AF31" s="4603"/>
      <c r="AG31" s="1931" t="str">
        <f>IF(OR(AB25="",AB31=""),"",MAX(1,SUMPRODUCT(--(INDEX('Tablas Técnicas'!$C$10:$L$643,,1)=AB25),--(INDEX('Tablas Técnicas'!$C$10:$L$643,,2)=AB31),INDEX('Tablas Técnicas'!$C$10:$L$643,,9))))</f>
        <v/>
      </c>
      <c r="AH31" s="2180">
        <f>P12</f>
        <v>1</v>
      </c>
      <c r="AI31" s="4604"/>
      <c r="AJ31" s="3128"/>
      <c r="AK31" s="3128"/>
      <c r="AL31" s="3128"/>
      <c r="AM31" s="3128"/>
      <c r="AN31" s="3128"/>
      <c r="AO31" s="3128"/>
      <c r="AP31" s="3128"/>
      <c r="AQ31" s="3128"/>
      <c r="AR31" s="3128"/>
      <c r="AS31" s="3128"/>
      <c r="AT31" s="3128"/>
      <c r="AU31" s="3128"/>
      <c r="AV31" s="3128"/>
      <c r="AW31" s="3132"/>
      <c r="AX31" s="3132"/>
      <c r="AY31" s="3128"/>
    </row>
    <row r="32" spans="1:51" ht="12.2" customHeight="1" x14ac:dyDescent="0.2">
      <c r="A32" s="2172"/>
      <c r="B32" s="2086">
        <v>1</v>
      </c>
      <c r="C32" s="4584"/>
      <c r="D32" s="4602"/>
      <c r="E32" s="4603"/>
      <c r="F32" s="4603"/>
      <c r="G32" s="4603"/>
      <c r="H32" s="4603"/>
      <c r="I32" s="1930" t="str">
        <f>IF(OR(D25="",D32=""),"",MAX(1,SUMPRODUCT(--(INDEX('Tablas Técnicas'!$C$10:$L$643,,1)=D25),--(INDEX('Tablas Técnicas'!$C$10:$L$643,,2)=D32),INDEX('Tablas Técnicas'!$C$10:$L$643,,9))))</f>
        <v/>
      </c>
      <c r="J32" s="4602"/>
      <c r="K32" s="4603"/>
      <c r="L32" s="4603"/>
      <c r="M32" s="4603"/>
      <c r="N32" s="4603"/>
      <c r="O32" s="1930" t="str">
        <f>IF(OR(J25="",J32=""),"",MAX(1,SUMPRODUCT(--(INDEX('Tablas Técnicas'!$C$10:$L$643,,1)=J25),--(INDEX('Tablas Técnicas'!$C$10:$L$643,,2)=J32),INDEX('Tablas Técnicas'!$C$10:$L$643,,9))))</f>
        <v/>
      </c>
      <c r="P32" s="4602"/>
      <c r="Q32" s="4603"/>
      <c r="R32" s="4603"/>
      <c r="S32" s="4603"/>
      <c r="T32" s="4603"/>
      <c r="U32" s="1930" t="str">
        <f>IF(OR(P25="",P32=""),"",MAX(1,SUMPRODUCT(--(INDEX('Tablas Técnicas'!$C$10:$L$643,,1)=P25),--(INDEX('Tablas Técnicas'!$C$10:$L$643,,2)=P32),INDEX('Tablas Técnicas'!$C$10:$L$643,,9))))</f>
        <v/>
      </c>
      <c r="V32" s="4602"/>
      <c r="W32" s="4603"/>
      <c r="X32" s="4603"/>
      <c r="Y32" s="4603"/>
      <c r="Z32" s="4603"/>
      <c r="AA32" s="1930" t="str">
        <f>IF(OR(V25="",V32=""),"",MAX(1,SUMPRODUCT(--(INDEX('Tablas Técnicas'!$C$10:$L$643,,1)=V25),--(INDEX('Tablas Técnicas'!$C$10:$L$643,,2)=V32),INDEX('Tablas Técnicas'!$C$10:$L$643,,9))))</f>
        <v/>
      </c>
      <c r="AB32" s="4602"/>
      <c r="AC32" s="4603"/>
      <c r="AD32" s="4603"/>
      <c r="AE32" s="4603"/>
      <c r="AF32" s="4603"/>
      <c r="AG32" s="1931" t="str">
        <f>IF(OR(AB25="",AB32=""),"",MAX(1,SUMPRODUCT(--(INDEX('Tablas Técnicas'!$C$10:$L$643,,1)=AB25),--(INDEX('Tablas Técnicas'!$C$10:$L$643,,2)=AB32),INDEX('Tablas Técnicas'!$C$10:$L$643,,9))))</f>
        <v/>
      </c>
      <c r="AH32" s="2180">
        <f>P12</f>
        <v>1</v>
      </c>
      <c r="AI32" s="4604"/>
      <c r="AJ32" s="3128" t="s">
        <v>8812</v>
      </c>
      <c r="AK32" s="3128"/>
      <c r="AL32" s="3128"/>
      <c r="AM32" s="3128"/>
      <c r="AN32" s="3128"/>
      <c r="AO32" s="3128"/>
      <c r="AP32" s="3128"/>
      <c r="AQ32" s="3129"/>
      <c r="AR32" s="3132"/>
      <c r="AS32" s="3132"/>
      <c r="AT32" s="3132"/>
      <c r="AU32" s="3132"/>
      <c r="AV32" s="3132"/>
      <c r="AW32" s="3132"/>
      <c r="AX32" s="3132"/>
      <c r="AY32" s="3128"/>
    </row>
    <row r="33" spans="1:51" ht="12.2" customHeight="1" x14ac:dyDescent="0.2">
      <c r="A33" s="2172"/>
      <c r="B33" s="2086">
        <v>1</v>
      </c>
      <c r="C33" s="4584"/>
      <c r="D33" s="4602"/>
      <c r="E33" s="4603"/>
      <c r="F33" s="4603"/>
      <c r="G33" s="4603"/>
      <c r="H33" s="4603"/>
      <c r="I33" s="1930" t="str">
        <f>IF(OR(D25="",D33=""),"",MAX(1,SUMPRODUCT(--(INDEX('Tablas Técnicas'!$C$10:$L$643,,1)=D25),--(INDEX('Tablas Técnicas'!$C$10:$L$643,,2)=D33),INDEX('Tablas Técnicas'!$C$10:$L$643,,9))))</f>
        <v/>
      </c>
      <c r="J33" s="4602"/>
      <c r="K33" s="4603"/>
      <c r="L33" s="4603"/>
      <c r="M33" s="4603"/>
      <c r="N33" s="4603"/>
      <c r="O33" s="1930" t="str">
        <f>IF(OR(J25="",J33=""),"",MAX(1,SUMPRODUCT(--(INDEX('Tablas Técnicas'!$C$10:$L$643,,1)=J25),--(INDEX('Tablas Técnicas'!$C$10:$L$643,,2)=J33),INDEX('Tablas Técnicas'!$C$10:$L$643,,9))))</f>
        <v/>
      </c>
      <c r="P33" s="4602"/>
      <c r="Q33" s="4603"/>
      <c r="R33" s="4603"/>
      <c r="S33" s="4603"/>
      <c r="T33" s="4603"/>
      <c r="U33" s="1930" t="str">
        <f>IF(OR(P25="",P33=""),"",MAX(1,SUMPRODUCT(--(INDEX('Tablas Técnicas'!$C$10:$L$643,,1)=P25),--(INDEX('Tablas Técnicas'!$C$10:$L$643,,2)=P33),INDEX('Tablas Técnicas'!$C$10:$L$643,,9))))</f>
        <v/>
      </c>
      <c r="V33" s="4602"/>
      <c r="W33" s="4603"/>
      <c r="X33" s="4603"/>
      <c r="Y33" s="4603"/>
      <c r="Z33" s="4603"/>
      <c r="AA33" s="1930" t="str">
        <f>IF(OR(V25="",V33=""),"",MAX(1,SUMPRODUCT(--(INDEX('Tablas Técnicas'!$C$10:$L$643,,1)=V25),--(INDEX('Tablas Técnicas'!$C$10:$L$643,,2)=V33),INDEX('Tablas Técnicas'!$C$10:$L$643,,9))))</f>
        <v/>
      </c>
      <c r="AB33" s="4602"/>
      <c r="AC33" s="4603"/>
      <c r="AD33" s="4603"/>
      <c r="AE33" s="4603"/>
      <c r="AF33" s="4603"/>
      <c r="AG33" s="1931" t="str">
        <f>IF(OR(AB25="",AB33=""),"",MAX(1,SUMPRODUCT(--(INDEX('Tablas Técnicas'!$C$10:$L$643,,1)=AB25),--(INDEX('Tablas Técnicas'!$C$10:$L$643,,2)=AB33),INDEX('Tablas Técnicas'!$C$10:$L$643,,9))))</f>
        <v/>
      </c>
      <c r="AH33" s="2180">
        <f>P12</f>
        <v>1</v>
      </c>
      <c r="AI33" s="4604"/>
      <c r="AJ33" s="3128" t="s">
        <v>9965</v>
      </c>
      <c r="AK33" s="3128"/>
      <c r="AL33" s="3128"/>
      <c r="AM33" s="3128" t="b">
        <f>U12&gt;IF(P12=3,200,IF(P12=2,100,50))</f>
        <v>0</v>
      </c>
      <c r="AN33" s="3128"/>
      <c r="AO33" s="3128"/>
      <c r="AP33" s="3128"/>
      <c r="AQ33" s="3128"/>
      <c r="AR33" s="3132"/>
      <c r="AS33" s="3132"/>
      <c r="AT33" s="3132"/>
      <c r="AU33" s="3132"/>
      <c r="AV33" s="3132"/>
      <c r="AW33" s="3132"/>
      <c r="AX33" s="3132"/>
      <c r="AY33" s="3128"/>
    </row>
    <row r="34" spans="1:51" ht="12.2" customHeight="1" x14ac:dyDescent="0.2">
      <c r="A34" s="2172"/>
      <c r="B34" s="2086">
        <v>1</v>
      </c>
      <c r="C34" s="4584"/>
      <c r="D34" s="4602"/>
      <c r="E34" s="4603"/>
      <c r="F34" s="4603"/>
      <c r="G34" s="4603"/>
      <c r="H34" s="4603"/>
      <c r="I34" s="1930" t="str">
        <f>IF(OR(D25="",D34=""),"",MAX(1,SUMPRODUCT(--(INDEX('Tablas Técnicas'!$C$10:$L$643,,1)=D25),--(INDEX('Tablas Técnicas'!$C$10:$L$643,,2)=D34),INDEX('Tablas Técnicas'!$C$10:$L$643,,9))))</f>
        <v/>
      </c>
      <c r="J34" s="4602"/>
      <c r="K34" s="4603"/>
      <c r="L34" s="4603"/>
      <c r="M34" s="4603"/>
      <c r="N34" s="4603"/>
      <c r="O34" s="1930" t="str">
        <f>IF(OR(J25="",J34=""),"",MAX(1,SUMPRODUCT(--(INDEX('Tablas Técnicas'!$C$10:$L$643,,1)=J25),--(INDEX('Tablas Técnicas'!$C$10:$L$643,,2)=J34),INDEX('Tablas Técnicas'!$C$10:$L$643,,9))))</f>
        <v/>
      </c>
      <c r="P34" s="4602"/>
      <c r="Q34" s="4603"/>
      <c r="R34" s="4603"/>
      <c r="S34" s="4603"/>
      <c r="T34" s="4603"/>
      <c r="U34" s="1930" t="str">
        <f>IF(OR(P25="",P34=""),"",MAX(1,SUMPRODUCT(--(INDEX('Tablas Técnicas'!$C$10:$L$643,,1)=P25),--(INDEX('Tablas Técnicas'!$C$10:$L$643,,2)=P34),INDEX('Tablas Técnicas'!$C$10:$L$643,,9))))</f>
        <v/>
      </c>
      <c r="V34" s="4602"/>
      <c r="W34" s="4603"/>
      <c r="X34" s="4603"/>
      <c r="Y34" s="4603"/>
      <c r="Z34" s="4603"/>
      <c r="AA34" s="1930" t="str">
        <f>IF(OR(V25="",V34=""),"",MAX(1,SUMPRODUCT(--(INDEX('Tablas Técnicas'!$C$10:$L$643,,1)=V25),--(INDEX('Tablas Técnicas'!$C$10:$L$643,,2)=V34),INDEX('Tablas Técnicas'!$C$10:$L$643,,9))))</f>
        <v/>
      </c>
      <c r="AB34" s="4602"/>
      <c r="AC34" s="4603"/>
      <c r="AD34" s="4603"/>
      <c r="AE34" s="4603"/>
      <c r="AF34" s="4603"/>
      <c r="AG34" s="1931" t="str">
        <f>IF(OR(AB25="",AB34=""),"",MAX(1,SUMPRODUCT(--(INDEX('Tablas Técnicas'!$C$10:$L$643,,1)=AB25),--(INDEX('Tablas Técnicas'!$C$10:$L$643,,2)=AB34),INDEX('Tablas Técnicas'!$C$10:$L$643,,9))))</f>
        <v/>
      </c>
      <c r="AH34" s="2180">
        <f>P12</f>
        <v>1</v>
      </c>
      <c r="AI34" s="4604"/>
      <c r="AJ34" s="3128" t="s">
        <v>8813</v>
      </c>
      <c r="AK34" s="3128"/>
      <c r="AL34" s="3128"/>
      <c r="AM34" s="3128" t="b">
        <f t="array" ref="AM34">MAX(I29:I35,O29:O35,U29:U35,AA29:AA35,AG29:AG35,RIGHT(S21:S23,1))&gt;P12</f>
        <v>0</v>
      </c>
      <c r="AN34" s="3128"/>
      <c r="AO34" s="3128"/>
      <c r="AP34" s="3128"/>
      <c r="AQ34" s="3129"/>
      <c r="AR34" s="3132"/>
      <c r="AS34" s="3132"/>
      <c r="AT34" s="3132"/>
      <c r="AU34" s="3132"/>
      <c r="AV34" s="3132"/>
      <c r="AW34" s="3132"/>
      <c r="AX34" s="3132"/>
      <c r="AY34" s="3128"/>
    </row>
    <row r="35" spans="1:51" ht="12.2" customHeight="1" x14ac:dyDescent="0.2">
      <c r="A35" s="2172"/>
      <c r="B35" s="2086">
        <v>1</v>
      </c>
      <c r="C35" s="4584"/>
      <c r="D35" s="4616"/>
      <c r="E35" s="4617"/>
      <c r="F35" s="4617"/>
      <c r="G35" s="4617"/>
      <c r="H35" s="4617"/>
      <c r="I35" s="1932" t="str">
        <f>IF(OR(D25="",D35=""),"",MAX(1,SUMPRODUCT(--(INDEX('Tablas Técnicas'!$C$10:$L$643,,1)=D25),--(INDEX('Tablas Técnicas'!$C$10:$L$643,,2)=D35),INDEX('Tablas Técnicas'!$C$10:$L$643,,9))))</f>
        <v/>
      </c>
      <c r="J35" s="4616"/>
      <c r="K35" s="4617"/>
      <c r="L35" s="4617"/>
      <c r="M35" s="4617"/>
      <c r="N35" s="4617"/>
      <c r="O35" s="1932" t="str">
        <f>IF(OR(J25="",J35=""),"",MAX(1,SUMPRODUCT(--(INDEX('Tablas Técnicas'!$C$10:$L$643,,1)=J25),--(INDEX('Tablas Técnicas'!$C$10:$L$643,,2)=J35),INDEX('Tablas Técnicas'!$C$10:$L$643,,9))))</f>
        <v/>
      </c>
      <c r="P35" s="4616"/>
      <c r="Q35" s="4617"/>
      <c r="R35" s="4617"/>
      <c r="S35" s="4617"/>
      <c r="T35" s="4617"/>
      <c r="U35" s="1932" t="str">
        <f>IF(OR(P25="",P35=""),"",MAX(1,SUMPRODUCT(--(INDEX('Tablas Técnicas'!$C$10:$L$643,,1)=P25),--(INDEX('Tablas Técnicas'!$C$10:$L$643,,2)=P35),INDEX('Tablas Técnicas'!$C$10:$L$643,,9))))</f>
        <v/>
      </c>
      <c r="V35" s="4616"/>
      <c r="W35" s="4617"/>
      <c r="X35" s="4617"/>
      <c r="Y35" s="4617"/>
      <c r="Z35" s="4617"/>
      <c r="AA35" s="1932" t="str">
        <f>IF(OR(V25="",V35=""),"",MAX(1,SUMPRODUCT(--(INDEX('Tablas Técnicas'!$C$10:$L$643,,1)=V25),--(INDEX('Tablas Técnicas'!$C$10:$L$643,,2)=V35),INDEX('Tablas Técnicas'!$C$10:$L$643,,9))))</f>
        <v/>
      </c>
      <c r="AB35" s="4616"/>
      <c r="AC35" s="4617"/>
      <c r="AD35" s="4617"/>
      <c r="AE35" s="4617"/>
      <c r="AF35" s="4617"/>
      <c r="AG35" s="1933" t="str">
        <f>IF(OR(AB25="",AB35=""),"",MAX(1,SUMPRODUCT(--(INDEX('Tablas Técnicas'!$C$10:$L$643,,1)=AB25),--(INDEX('Tablas Técnicas'!$C$10:$L$643,,2)=AB35),INDEX('Tablas Técnicas'!$C$10:$L$643,,9))))</f>
        <v/>
      </c>
      <c r="AH35" s="2180">
        <f>P12</f>
        <v>1</v>
      </c>
      <c r="AI35" s="4604"/>
      <c r="AJ35" s="3128" t="s">
        <v>9319</v>
      </c>
      <c r="AK35" s="3128"/>
      <c r="AL35" s="3128"/>
      <c r="AM35" s="3128" t="b">
        <f>AND(COUNTIF(K16:M20,"Mantenido"),OR(COUNTIF(K16:M20,"Sostenimiento Menor"),COUNTIF(K16:M20,"Sostenimiento Mayor")))</f>
        <v>0</v>
      </c>
      <c r="AN35" s="3129"/>
      <c r="AO35" s="3128"/>
      <c r="AP35" s="3128"/>
      <c r="AQ35" s="3128"/>
      <c r="AR35" s="3128"/>
      <c r="AS35" s="3128"/>
      <c r="AT35" s="3128"/>
      <c r="AU35" s="3132"/>
      <c r="AV35" s="3132"/>
      <c r="AW35" s="3132"/>
      <c r="AX35" s="3132"/>
      <c r="AY35" s="3128"/>
    </row>
    <row r="36" spans="1:51" ht="12.2" customHeight="1" x14ac:dyDescent="0.2">
      <c r="A36" s="2172"/>
      <c r="B36" s="2086">
        <v>1</v>
      </c>
      <c r="C36" s="4584"/>
      <c r="D36" s="4595" t="s">
        <v>1548</v>
      </c>
      <c r="E36" s="4596"/>
      <c r="F36" s="4596"/>
      <c r="G36" s="4596"/>
      <c r="H36" s="4596"/>
      <c r="I36" s="4596"/>
      <c r="J36" s="4596"/>
      <c r="K36" s="4596"/>
      <c r="L36" s="4596"/>
      <c r="M36" s="4596"/>
      <c r="N36" s="4596"/>
      <c r="O36" s="4596"/>
      <c r="P36" s="4596"/>
      <c r="Q36" s="4596"/>
      <c r="R36" s="4596"/>
      <c r="S36" s="4596"/>
      <c r="T36" s="4596"/>
      <c r="U36" s="4596"/>
      <c r="V36" s="4596"/>
      <c r="W36" s="4596"/>
      <c r="X36" s="4596"/>
      <c r="Y36" s="4596"/>
      <c r="Z36" s="4596"/>
      <c r="AA36" s="4596"/>
      <c r="AB36" s="4596"/>
      <c r="AC36" s="4596"/>
      <c r="AD36" s="4596"/>
      <c r="AE36" s="4596"/>
      <c r="AF36" s="4596"/>
      <c r="AG36" s="4622"/>
      <c r="AH36" s="2180"/>
      <c r="AI36" s="4604"/>
      <c r="AJ36" s="3128" t="s">
        <v>9318</v>
      </c>
      <c r="AK36" s="3128"/>
      <c r="AL36" s="3128"/>
      <c r="AM36" s="3128" t="b">
        <f>OR(AND(ISNUMBER(SEARCH("Sostenimiento",K16)),OR(P12=1,MAX(I29:I35)=3)),AND(ISNUMBER(SEARCH("Sostenimiento",K17)),OR(P12=1,MAX(O29:O35)=3)),AND(ISNUMBER(SEARCH("Sostenimiento",K18)),OR(P12=1,MAX(U29:U35)=3)),AND(ISNUMBER(SEARCH("Sostenimiento",K19)),OR(P12=1,MAX(AA29:AA35)=3)),AND(ISNUMBER(SEARCH("Sostenimiento",K20)),OR(P12=1,MAX(AG29:AG35)=3)))</f>
        <v>0</v>
      </c>
      <c r="AN36" s="3128"/>
      <c r="AO36" s="3128"/>
      <c r="AP36" s="3128"/>
      <c r="AQ36" s="3129"/>
      <c r="AR36" s="3128"/>
      <c r="AS36" s="3128"/>
      <c r="AT36" s="3128"/>
      <c r="AU36" s="3132"/>
      <c r="AV36" s="3132"/>
      <c r="AW36" s="3132"/>
      <c r="AX36" s="3132"/>
      <c r="AY36" s="3128"/>
    </row>
    <row r="37" spans="1:51" ht="12.2" customHeight="1" x14ac:dyDescent="0.2">
      <c r="A37" s="2172"/>
      <c r="B37" s="2086">
        <v>1</v>
      </c>
      <c r="C37" s="4584"/>
      <c r="D37" s="4624"/>
      <c r="E37" s="4744"/>
      <c r="F37" s="4744"/>
      <c r="G37" s="4744"/>
      <c r="H37" s="4744"/>
      <c r="I37" s="4744"/>
      <c r="J37" s="4744"/>
      <c r="K37" s="4744"/>
      <c r="L37" s="4744"/>
      <c r="M37" s="4744"/>
      <c r="N37" s="4744"/>
      <c r="O37" s="4744"/>
      <c r="P37" s="4744"/>
      <c r="Q37" s="4744"/>
      <c r="R37" s="4744"/>
      <c r="S37" s="4744"/>
      <c r="T37" s="4744"/>
      <c r="U37" s="4744"/>
      <c r="V37" s="4744"/>
      <c r="W37" s="4744"/>
      <c r="X37" s="4744"/>
      <c r="Y37" s="4744"/>
      <c r="Z37" s="4744"/>
      <c r="AA37" s="4744"/>
      <c r="AB37" s="4744"/>
      <c r="AC37" s="4744"/>
      <c r="AD37" s="4744"/>
      <c r="AE37" s="4744"/>
      <c r="AF37" s="4744"/>
      <c r="AG37" s="4626"/>
      <c r="AH37" s="2180"/>
      <c r="AI37" s="4604"/>
      <c r="AJ37" s="3128" t="s">
        <v>9326</v>
      </c>
      <c r="AK37" s="3128"/>
      <c r="AL37" s="3128"/>
      <c r="AM37" s="312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8"/>
      <c r="AO37" s="3128"/>
      <c r="AP37" s="3128"/>
      <c r="AQ37" s="3129"/>
      <c r="AR37" s="3128"/>
      <c r="AS37" s="3128"/>
      <c r="AT37" s="3128"/>
      <c r="AU37" s="3132"/>
      <c r="AV37" s="3132"/>
      <c r="AW37" s="3132"/>
      <c r="AX37" s="3132"/>
      <c r="AY37" s="3128"/>
    </row>
    <row r="38" spans="1:51" ht="12.2" customHeight="1" x14ac:dyDescent="0.2">
      <c r="A38" s="2172"/>
      <c r="B38" s="2086">
        <v>1</v>
      </c>
      <c r="C38" s="4584"/>
      <c r="D38" s="4624"/>
      <c r="E38" s="4744"/>
      <c r="F38" s="4744"/>
      <c r="G38" s="4744"/>
      <c r="H38" s="4744"/>
      <c r="I38" s="4744"/>
      <c r="J38" s="4744"/>
      <c r="K38" s="4744"/>
      <c r="L38" s="4744"/>
      <c r="M38" s="4744"/>
      <c r="N38" s="4744"/>
      <c r="O38" s="4744"/>
      <c r="P38" s="4744"/>
      <c r="Q38" s="4744"/>
      <c r="R38" s="4744"/>
      <c r="S38" s="4744"/>
      <c r="T38" s="4744"/>
      <c r="U38" s="4744"/>
      <c r="V38" s="4744"/>
      <c r="W38" s="4744"/>
      <c r="X38" s="4744"/>
      <c r="Y38" s="4744"/>
      <c r="Z38" s="4744"/>
      <c r="AA38" s="4744"/>
      <c r="AB38" s="4744"/>
      <c r="AC38" s="4744"/>
      <c r="AD38" s="4744"/>
      <c r="AE38" s="4744"/>
      <c r="AF38" s="4744"/>
      <c r="AG38" s="4626"/>
      <c r="AH38" s="2180"/>
      <c r="AI38" s="4604"/>
      <c r="AJ38" s="3128" t="s">
        <v>9305</v>
      </c>
      <c r="AK38" s="3128"/>
      <c r="AL38" s="3128"/>
      <c r="AM38" s="3128" t="b">
        <f>AND((IF(SUM(V16:V20)&gt;0,1,0)+IF(SUM(X16:X20)&gt;0,1,0)+IF(SUM(Z16:Z20)&gt;0,1,0)+IF(SUM(AB16:AB20)&gt;0,1,0)+IF(SUM(AD16:AD20,)&gt;0,1,0)+IF(SUM(AF16:AF20)&gt;0,1,0))&lt;3,OR(V23&lt;0,X23&lt;0,Z23&lt;0,AB23&lt;0,AD23&lt;0,AF23&lt;0,Y21&lt;0))</f>
        <v>0</v>
      </c>
      <c r="AN38" s="3128"/>
      <c r="AO38" s="3128"/>
      <c r="AP38" s="3128"/>
      <c r="AQ38" s="3129"/>
      <c r="AR38" s="3128"/>
      <c r="AS38" s="3128"/>
      <c r="AT38" s="3128"/>
      <c r="AU38" s="3132"/>
      <c r="AV38" s="3132"/>
      <c r="AW38" s="3132"/>
      <c r="AX38" s="3132"/>
      <c r="AY38" s="3128"/>
    </row>
    <row r="39" spans="1:51" ht="12.2" customHeight="1" x14ac:dyDescent="0.2">
      <c r="A39" s="2172"/>
      <c r="B39" s="2086">
        <v>1</v>
      </c>
      <c r="C39" s="4584"/>
      <c r="D39" s="4624"/>
      <c r="E39" s="4744"/>
      <c r="F39" s="4744"/>
      <c r="G39" s="4744"/>
      <c r="H39" s="4744"/>
      <c r="I39" s="4744"/>
      <c r="J39" s="4744"/>
      <c r="K39" s="4744"/>
      <c r="L39" s="4744"/>
      <c r="M39" s="4744"/>
      <c r="N39" s="4744"/>
      <c r="O39" s="4744"/>
      <c r="P39" s="4744"/>
      <c r="Q39" s="4744"/>
      <c r="R39" s="4744"/>
      <c r="S39" s="4744"/>
      <c r="T39" s="4744"/>
      <c r="U39" s="4744"/>
      <c r="V39" s="4744"/>
      <c r="W39" s="4744"/>
      <c r="X39" s="4744"/>
      <c r="Y39" s="4744"/>
      <c r="Z39" s="4744"/>
      <c r="AA39" s="4744"/>
      <c r="AB39" s="4744"/>
      <c r="AC39" s="4744"/>
      <c r="AD39" s="4744"/>
      <c r="AE39" s="4744"/>
      <c r="AF39" s="4744"/>
      <c r="AG39" s="4626"/>
      <c r="AH39" s="2180"/>
      <c r="AI39" s="4604"/>
      <c r="AJ39" s="3128" t="s">
        <v>9320</v>
      </c>
      <c r="AK39" s="3128"/>
      <c r="AL39" s="3128"/>
      <c r="AM39" s="3128" t="b">
        <f>OR(-V23&gt;TRUNC(SUM(V16:V20)/2),-X23&gt;TRUNC(SUM(X16:X20)/2),-Z23&gt;TRUNC(SUM(Z16:Z20)/2),-AB23&gt;TRUNC(SUM(AB16:AB20)/2),-AD23&gt;TRUNC(SUM(AD16:AD20)/2),-AF23&gt;TRUNC(SUM(AF16:AF20)/2))</f>
        <v>0</v>
      </c>
      <c r="AN39" s="3128"/>
      <c r="AO39" s="3128"/>
      <c r="AP39" s="3128"/>
      <c r="AQ39" s="3129"/>
      <c r="AR39" s="3128"/>
      <c r="AS39" s="3128"/>
      <c r="AT39" s="3128"/>
      <c r="AU39" s="3132"/>
      <c r="AV39" s="3132"/>
      <c r="AW39" s="3132"/>
      <c r="AX39" s="3132"/>
      <c r="AY39" s="3128"/>
    </row>
    <row r="40" spans="1:51" ht="12.2" customHeight="1" x14ac:dyDescent="0.2">
      <c r="A40" s="2172"/>
      <c r="B40" s="2086">
        <v>1</v>
      </c>
      <c r="C40" s="4584"/>
      <c r="D40" s="4624"/>
      <c r="E40" s="4744"/>
      <c r="F40" s="4744"/>
      <c r="G40" s="4744"/>
      <c r="H40" s="4744"/>
      <c r="I40" s="4744"/>
      <c r="J40" s="4744"/>
      <c r="K40" s="4744"/>
      <c r="L40" s="4744"/>
      <c r="M40" s="4744"/>
      <c r="N40" s="4744"/>
      <c r="O40" s="4744"/>
      <c r="P40" s="4744"/>
      <c r="Q40" s="4744"/>
      <c r="R40" s="4744"/>
      <c r="S40" s="4744"/>
      <c r="T40" s="4744"/>
      <c r="U40" s="4744"/>
      <c r="V40" s="4744"/>
      <c r="W40" s="4744"/>
      <c r="X40" s="4744"/>
      <c r="Y40" s="4744"/>
      <c r="Z40" s="4744"/>
      <c r="AA40" s="4744"/>
      <c r="AB40" s="4744"/>
      <c r="AC40" s="4744"/>
      <c r="AD40" s="4744"/>
      <c r="AE40" s="4744"/>
      <c r="AF40" s="4744"/>
      <c r="AG40" s="4626"/>
      <c r="AH40" s="2180"/>
      <c r="AI40" s="4604"/>
      <c r="AJ40" s="3128" t="s">
        <v>9321</v>
      </c>
      <c r="AK40" s="3128"/>
      <c r="AL40" s="3128"/>
      <c r="AM40" s="3128" t="b">
        <f>COUNTIF(D16:E20,"Primario")&gt;1</f>
        <v>0</v>
      </c>
      <c r="AN40" s="3128"/>
      <c r="AO40" s="3128"/>
      <c r="AP40" s="3128"/>
      <c r="AQ40" s="3129"/>
      <c r="AR40" s="3129"/>
      <c r="AS40" s="3129"/>
      <c r="AT40" s="3129"/>
      <c r="AU40" s="3132"/>
      <c r="AV40" s="3132"/>
      <c r="AW40" s="3132"/>
      <c r="AX40" s="3128"/>
      <c r="AY40" s="3128"/>
    </row>
    <row r="41" spans="1:51" ht="12.2" customHeight="1" x14ac:dyDescent="0.2">
      <c r="A41" s="2172"/>
      <c r="B41" s="2086">
        <v>1</v>
      </c>
      <c r="C41" s="4584"/>
      <c r="D41" s="4624"/>
      <c r="E41" s="4744"/>
      <c r="F41" s="4744"/>
      <c r="G41" s="4744"/>
      <c r="H41" s="4744"/>
      <c r="I41" s="4744"/>
      <c r="J41" s="4744"/>
      <c r="K41" s="4744"/>
      <c r="L41" s="4744"/>
      <c r="M41" s="4744"/>
      <c r="N41" s="4744"/>
      <c r="O41" s="4744"/>
      <c r="P41" s="4744"/>
      <c r="Q41" s="4744"/>
      <c r="R41" s="4744"/>
      <c r="S41" s="4744"/>
      <c r="T41" s="4744"/>
      <c r="U41" s="4744"/>
      <c r="V41" s="4744"/>
      <c r="W41" s="4744"/>
      <c r="X41" s="4744"/>
      <c r="Y41" s="4744"/>
      <c r="Z41" s="4744"/>
      <c r="AA41" s="4744"/>
      <c r="AB41" s="4744"/>
      <c r="AC41" s="4744"/>
      <c r="AD41" s="4744"/>
      <c r="AE41" s="4744"/>
      <c r="AF41" s="4744"/>
      <c r="AG41" s="4626"/>
      <c r="AH41" s="2180"/>
      <c r="AI41" s="4604"/>
      <c r="AJ41" s="3128" t="s">
        <v>9304</v>
      </c>
      <c r="AK41" s="3128"/>
      <c r="AL41" s="3128"/>
      <c r="AM41" s="3128" t="b">
        <f>SUM(V23:AG23)&lt;&gt;Y21+ABS(AC21)*2/5+IF(S12="Sí",3*P12,0)</f>
        <v>0</v>
      </c>
      <c r="AN41" s="3128"/>
      <c r="AO41" s="3128"/>
      <c r="AP41" s="3128"/>
      <c r="AQ41" s="3129"/>
      <c r="AR41" s="3129"/>
      <c r="AS41" s="3129"/>
      <c r="AT41" s="3129"/>
      <c r="AU41" s="3132"/>
      <c r="AV41" s="3132"/>
      <c r="AW41" s="3132"/>
      <c r="AX41" s="3128"/>
      <c r="AY41" s="3128"/>
    </row>
    <row r="42" spans="1:51" ht="12.2" customHeight="1" x14ac:dyDescent="0.2">
      <c r="A42" s="2172"/>
      <c r="B42" s="2086">
        <v>1</v>
      </c>
      <c r="C42" s="4584"/>
      <c r="D42" s="4624"/>
      <c r="E42" s="4744"/>
      <c r="F42" s="4744"/>
      <c r="G42" s="4744"/>
      <c r="H42" s="4744"/>
      <c r="I42" s="4744"/>
      <c r="J42" s="4744"/>
      <c r="K42" s="4744"/>
      <c r="L42" s="4744"/>
      <c r="M42" s="4744"/>
      <c r="N42" s="4744"/>
      <c r="O42" s="4744"/>
      <c r="P42" s="4744"/>
      <c r="Q42" s="4744"/>
      <c r="R42" s="4744"/>
      <c r="S42" s="4744"/>
      <c r="T42" s="4744"/>
      <c r="U42" s="4744"/>
      <c r="V42" s="4744"/>
      <c r="W42" s="4744"/>
      <c r="X42" s="4744"/>
      <c r="Y42" s="4744"/>
      <c r="Z42" s="4744"/>
      <c r="AA42" s="4744"/>
      <c r="AB42" s="4744"/>
      <c r="AC42" s="4744"/>
      <c r="AD42" s="4744"/>
      <c r="AE42" s="4744"/>
      <c r="AF42" s="4744"/>
      <c r="AG42" s="4626"/>
      <c r="AH42" s="2180"/>
      <c r="AI42" s="4604"/>
      <c r="AJ42" s="3128" t="s">
        <v>9303</v>
      </c>
      <c r="AK42" s="3128"/>
      <c r="AL42" s="3128"/>
      <c r="AM42" s="3128" t="b">
        <f>AL29-AL30+AM29-AM30&lt;&gt;0</f>
        <v>0</v>
      </c>
      <c r="AN42" s="3132"/>
      <c r="AO42" s="3132"/>
      <c r="AP42" s="3132"/>
      <c r="AQ42" s="3132"/>
      <c r="AR42" s="3129"/>
      <c r="AS42" s="3129"/>
      <c r="AT42" s="3129"/>
      <c r="AU42" s="3132"/>
      <c r="AV42" s="3132"/>
      <c r="AW42" s="3132"/>
      <c r="AX42" s="3128"/>
      <c r="AY42" s="3128"/>
    </row>
    <row r="43" spans="1:51" ht="12.2" customHeight="1" thickBot="1" x14ac:dyDescent="0.25">
      <c r="A43" s="2172"/>
      <c r="B43" s="2086"/>
      <c r="C43" s="4585"/>
      <c r="D43" s="4586"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87"/>
      <c r="F43" s="4587"/>
      <c r="G43" s="4587"/>
      <c r="H43" s="4587"/>
      <c r="I43" s="4587"/>
      <c r="J43" s="4587"/>
      <c r="K43" s="4587"/>
      <c r="L43" s="4587"/>
      <c r="M43" s="4587"/>
      <c r="N43" s="4587"/>
      <c r="O43" s="4587"/>
      <c r="P43" s="4587"/>
      <c r="Q43" s="4587"/>
      <c r="R43" s="4587"/>
      <c r="S43" s="4587"/>
      <c r="T43" s="4587"/>
      <c r="U43" s="4587"/>
      <c r="V43" s="4587"/>
      <c r="W43" s="4587"/>
      <c r="X43" s="4587"/>
      <c r="Y43" s="4587"/>
      <c r="Z43" s="4587"/>
      <c r="AA43" s="4587"/>
      <c r="AB43" s="4587"/>
      <c r="AC43" s="4587"/>
      <c r="AD43" s="4587"/>
      <c r="AE43" s="4587"/>
      <c r="AF43" s="4587"/>
      <c r="AG43" s="4588"/>
      <c r="AH43" s="2180"/>
      <c r="AI43" s="4604"/>
      <c r="AJ43" s="3128" t="s">
        <v>9340</v>
      </c>
      <c r="AK43" s="3132"/>
      <c r="AL43" s="3132"/>
      <c r="AM43" s="3132" t="b">
        <f>ABS(SUM(N21:N23))&gt;(SUM(N16:N20)-10*Y21+AC21+IF(S12="Sí",10*P12,0)+IF(COUNTIF(K16:M20,"Mantenido")&gt;0,P12*10)+MAX(IF(COUNTIF(K16:M20,"Sostenimiento Menor")&gt;0,P12*20)+IF(COUNTIF(K16:M20,"Sostenimiento Mayor")&gt;0,P12*30)))/2</f>
        <v>0</v>
      </c>
      <c r="AN43" s="3128"/>
      <c r="AO43" s="3128"/>
      <c r="AP43" s="3128"/>
      <c r="AQ43" s="3128"/>
      <c r="AR43" s="3129"/>
      <c r="AS43" s="3129"/>
      <c r="AT43" s="3129"/>
      <c r="AU43" s="3132"/>
      <c r="AV43" s="3132"/>
      <c r="AW43" s="3132"/>
      <c r="AX43" s="3128"/>
      <c r="AY43" s="3128"/>
    </row>
    <row r="44" spans="1:51" ht="12.2" customHeight="1" x14ac:dyDescent="0.2">
      <c r="A44" s="2172"/>
      <c r="B44" s="2086"/>
      <c r="C44" s="4581"/>
      <c r="D44" s="4581" t="str">
        <f>IFERROR(VLOOKUP(D25,'Tablas Técnicas'!$O$9:$T$88,2,FALSE),"")</f>
        <v/>
      </c>
      <c r="E44" s="4581"/>
      <c r="F44" s="4581"/>
      <c r="G44" s="4581"/>
      <c r="H44" s="4581"/>
      <c r="I44" s="4581"/>
      <c r="J44" s="4581" t="str">
        <f>IFERROR(VLOOKUP(J25,'Tablas Técnicas'!$O$9:$T$88,2,FALSE),"")</f>
        <v/>
      </c>
      <c r="K44" s="4581"/>
      <c r="L44" s="4581"/>
      <c r="M44" s="4581"/>
      <c r="N44" s="4581"/>
      <c r="O44" s="4581"/>
      <c r="P44" s="4581" t="str">
        <f>IFERROR(VLOOKUP(P25,'Tablas Técnicas'!$O$9:$T$88,2,FALSE),"")</f>
        <v/>
      </c>
      <c r="Q44" s="4581"/>
      <c r="R44" s="4581"/>
      <c r="S44" s="4581"/>
      <c r="T44" s="4581"/>
      <c r="U44" s="4581"/>
      <c r="V44" s="4581" t="str">
        <f>IFERROR(VLOOKUP(V25,'Tablas Técnicas'!$O$9:$T$88,2,FALSE),"")</f>
        <v/>
      </c>
      <c r="W44" s="4581"/>
      <c r="X44" s="4581"/>
      <c r="Y44" s="4581"/>
      <c r="Z44" s="4581"/>
      <c r="AA44" s="4581"/>
      <c r="AB44" s="4581" t="str">
        <f>IFERROR(VLOOKUP(AB25,'Tablas Técnicas'!$O$9:$T$88,2,FALSE),"")</f>
        <v/>
      </c>
      <c r="AC44" s="4581"/>
      <c r="AD44" s="4581"/>
      <c r="AE44" s="4581"/>
      <c r="AF44" s="4581"/>
      <c r="AG44" s="4581"/>
      <c r="AH44" s="2180"/>
      <c r="AI44" s="2147"/>
      <c r="AJ44" s="3128"/>
      <c r="AK44" s="3128"/>
      <c r="AL44" s="3128"/>
      <c r="AM44" s="3128"/>
      <c r="AN44" s="3128"/>
      <c r="AO44" s="3128"/>
      <c r="AP44" s="3128"/>
      <c r="AQ44" s="3128"/>
      <c r="AR44" s="3129"/>
      <c r="AS44" s="3129"/>
      <c r="AT44" s="3129"/>
      <c r="AU44" s="3132"/>
      <c r="AV44" s="3132"/>
      <c r="AW44" s="3132"/>
      <c r="AX44" s="3132"/>
      <c r="AY44" s="3128"/>
    </row>
    <row r="45" spans="1:51" ht="12.2" customHeight="1" thickBot="1" x14ac:dyDescent="0.25">
      <c r="A45" s="2172"/>
      <c r="B45" s="2086"/>
      <c r="C45" s="4581"/>
      <c r="D45" s="2541"/>
      <c r="E45" s="2542"/>
      <c r="F45" s="2542"/>
      <c r="G45" s="2542"/>
      <c r="H45" s="2542"/>
      <c r="I45" s="2542"/>
      <c r="J45" s="2542"/>
      <c r="K45" s="2542"/>
      <c r="L45" s="2542"/>
      <c r="M45" s="2542"/>
      <c r="N45" s="2542"/>
      <c r="O45" s="2542"/>
      <c r="P45" s="2542"/>
      <c r="Q45" s="2542"/>
      <c r="R45" s="2542"/>
      <c r="S45" s="2542"/>
      <c r="T45" s="2542"/>
      <c r="U45" s="2542"/>
      <c r="V45" s="2543"/>
      <c r="W45" s="2543"/>
      <c r="X45" s="2543"/>
      <c r="Y45" s="2543"/>
      <c r="Z45" s="2543"/>
      <c r="AA45" s="2543"/>
      <c r="AB45" s="2543"/>
      <c r="AC45" s="2543"/>
      <c r="AD45" s="2543"/>
      <c r="AE45" s="2543"/>
      <c r="AF45" s="2542"/>
      <c r="AG45" s="2542"/>
      <c r="AH45" s="2180"/>
      <c r="AI45" s="1908"/>
      <c r="AJ45" s="3136"/>
      <c r="AK45" s="3136"/>
      <c r="AL45" s="3136"/>
      <c r="AM45" s="3136"/>
      <c r="AN45" s="3136"/>
      <c r="AO45" s="3136"/>
      <c r="AP45" s="3128"/>
      <c r="AQ45" s="3129"/>
      <c r="AR45" s="3132"/>
      <c r="AS45" s="3132"/>
      <c r="AT45" s="3132"/>
      <c r="AU45" s="3132"/>
      <c r="AV45" s="3132"/>
      <c r="AW45" s="3132"/>
      <c r="AX45" s="3132"/>
      <c r="AY45" s="3137"/>
    </row>
    <row r="46" spans="1:51" ht="12.2" customHeight="1" x14ac:dyDescent="0.2">
      <c r="A46" s="2172"/>
      <c r="B46" s="2086">
        <f t="shared" ref="B46:B76" si="0">1+B12</f>
        <v>2</v>
      </c>
      <c r="C46" s="4583" t="str">
        <f>"Técnica "&amp;B46</f>
        <v>Técnica 2</v>
      </c>
      <c r="D46" s="4682" t="s">
        <v>8711</v>
      </c>
      <c r="E46" s="4683"/>
      <c r="F46" s="4683"/>
      <c r="G46" s="4683"/>
      <c r="H46" s="4683"/>
      <c r="I46" s="4683"/>
      <c r="J46" s="4683"/>
      <c r="K46" s="4683"/>
      <c r="L46" s="4683"/>
      <c r="M46" s="4683"/>
      <c r="N46" s="4684"/>
      <c r="O46" s="4688" t="s">
        <v>1325</v>
      </c>
      <c r="P46" s="4690">
        <v>1</v>
      </c>
      <c r="Q46" s="4692" t="s">
        <v>8795</v>
      </c>
      <c r="R46" s="4693"/>
      <c r="S46" s="4696" t="s">
        <v>1381</v>
      </c>
      <c r="T46" s="4697" t="s">
        <v>1505</v>
      </c>
      <c r="U46" s="4699">
        <f>MAX(IF(P46=3,60,IF(P46=2,40,20)),MIN(SUM(N50:N57)-10*Y55+AC55+IF(S46="Sí",10*P46,0)+IF(COUNTIF(K50:M54,"Mantenido")&gt;0,P46*10)+MAX(IF(COUNTIF(K50:M54,"Sostenimiento Menor")&gt;0,P46*20)+IF(COUNTIF(K50:M54,"Sostenimiento Mayor")&gt;0,P46*30))))</f>
        <v>20</v>
      </c>
      <c r="V46" s="4692" t="s">
        <v>8796</v>
      </c>
      <c r="W46" s="4697"/>
      <c r="X46" s="4612" t="str">
        <f>IFERROR(LEFT(AK62&amp;AL62&amp;AM62&amp;AN62&amp;AO62&amp;AP62,LEN(AK62&amp;AL62&amp;AM62&amp;AN62&amp;AO62&amp;AP62)-2),"")</f>
        <v/>
      </c>
      <c r="Y46" s="4612"/>
      <c r="Z46" s="4612"/>
      <c r="AA46" s="4612"/>
      <c r="AB46" s="4612"/>
      <c r="AC46" s="4612"/>
      <c r="AD46" s="4612"/>
      <c r="AE46" s="4612"/>
      <c r="AF46" s="4612"/>
      <c r="AG46" s="4613"/>
      <c r="AH46" s="2180"/>
      <c r="AI46" s="4604"/>
      <c r="AJ46" s="3133" t="s">
        <v>9337</v>
      </c>
      <c r="AK46" s="3133"/>
      <c r="AL46" s="3133"/>
      <c r="AM46" s="3133"/>
      <c r="AN46" s="3133"/>
      <c r="AO46" s="3133"/>
      <c r="AP46" s="3133"/>
      <c r="AQ46" s="3133"/>
      <c r="AR46" s="3133"/>
      <c r="AS46" s="3128"/>
      <c r="AT46" s="3128"/>
      <c r="AU46" s="3128"/>
      <c r="AV46" s="3128"/>
      <c r="AW46" s="3132"/>
      <c r="AX46" s="3132"/>
      <c r="AY46" s="3128"/>
    </row>
    <row r="47" spans="1:51" ht="12.2" customHeight="1" x14ac:dyDescent="0.2">
      <c r="A47" s="2172"/>
      <c r="B47" s="2086">
        <f t="shared" si="0"/>
        <v>2</v>
      </c>
      <c r="C47" s="4584"/>
      <c r="D47" s="4685"/>
      <c r="E47" s="4731"/>
      <c r="F47" s="4731"/>
      <c r="G47" s="4731"/>
      <c r="H47" s="4731"/>
      <c r="I47" s="4731"/>
      <c r="J47" s="4731"/>
      <c r="K47" s="4731"/>
      <c r="L47" s="4731"/>
      <c r="M47" s="4731"/>
      <c r="N47" s="4732"/>
      <c r="O47" s="4689"/>
      <c r="P47" s="4691"/>
      <c r="Q47" s="4694"/>
      <c r="R47" s="4695"/>
      <c r="S47" s="4691"/>
      <c r="T47" s="4733"/>
      <c r="U47" s="4734"/>
      <c r="V47" s="4694"/>
      <c r="W47" s="4733"/>
      <c r="X47" s="4739"/>
      <c r="Y47" s="4739"/>
      <c r="Z47" s="4739"/>
      <c r="AA47" s="4739"/>
      <c r="AB47" s="4739"/>
      <c r="AC47" s="4739"/>
      <c r="AD47" s="4739"/>
      <c r="AE47" s="4739"/>
      <c r="AF47" s="4739"/>
      <c r="AG47" s="4615"/>
      <c r="AH47" s="2180"/>
      <c r="AI47" s="4604"/>
      <c r="AJ47" s="3133"/>
      <c r="AK47" s="3133" t="s">
        <v>9338</v>
      </c>
      <c r="AL47" s="3133" t="s">
        <v>10493</v>
      </c>
      <c r="AM47" s="3134"/>
      <c r="AN47" s="3134"/>
      <c r="AO47" s="3134"/>
      <c r="AP47" s="3134"/>
      <c r="AQ47" s="3134"/>
      <c r="AR47" s="3133"/>
      <c r="AS47" s="3128"/>
      <c r="AT47" s="3128"/>
      <c r="AU47" s="3128"/>
      <c r="AV47" s="3128"/>
      <c r="AW47" s="3132"/>
      <c r="AX47" s="4582" t="s">
        <v>9307</v>
      </c>
      <c r="AY47" s="4582"/>
    </row>
    <row r="48" spans="1:51" ht="12.2" customHeight="1" x14ac:dyDescent="0.2">
      <c r="A48" s="2172"/>
      <c r="B48" s="2086">
        <f t="shared" si="0"/>
        <v>2</v>
      </c>
      <c r="C48" s="4584"/>
      <c r="D48" s="4595" t="s">
        <v>2823</v>
      </c>
      <c r="E48" s="4596"/>
      <c r="F48" s="4596"/>
      <c r="G48" s="4596"/>
      <c r="H48" s="4596"/>
      <c r="I48" s="4596"/>
      <c r="J48" s="4596"/>
      <c r="K48" s="4679" t="s">
        <v>9630</v>
      </c>
      <c r="L48" s="4679"/>
      <c r="M48" s="4679"/>
      <c r="N48" s="4596" t="s">
        <v>1499</v>
      </c>
      <c r="O48" s="4679" t="s">
        <v>2821</v>
      </c>
      <c r="P48" s="4679" t="s">
        <v>8797</v>
      </c>
      <c r="Q48" s="4596" t="s">
        <v>1364</v>
      </c>
      <c r="R48" s="4596"/>
      <c r="S48" s="4596"/>
      <c r="T48" s="4596"/>
      <c r="U48" s="4596"/>
      <c r="V48" s="4659" t="s">
        <v>1373</v>
      </c>
      <c r="W48" s="4654"/>
      <c r="X48" s="4659" t="s">
        <v>1497</v>
      </c>
      <c r="Y48" s="4660"/>
      <c r="Z48" s="4654" t="s">
        <v>1378</v>
      </c>
      <c r="AA48" s="4654"/>
      <c r="AB48" s="4659" t="s">
        <v>1383</v>
      </c>
      <c r="AC48" s="4660"/>
      <c r="AD48" s="4654" t="s">
        <v>1390</v>
      </c>
      <c r="AE48" s="4654"/>
      <c r="AF48" s="4659" t="s">
        <v>1391</v>
      </c>
      <c r="AG48" s="4655"/>
      <c r="AH48" s="2180"/>
      <c r="AI48" s="4604"/>
      <c r="AJ48" s="3128"/>
      <c r="AK48" s="3128"/>
      <c r="AL48" s="3128" t="s">
        <v>9609</v>
      </c>
      <c r="AM48" s="3128"/>
      <c r="AN48" s="3128"/>
      <c r="AO48" s="3128"/>
      <c r="AP48" s="3128"/>
      <c r="AQ48" s="3128"/>
      <c r="AR48" s="3132"/>
      <c r="AS48" s="3132" t="s">
        <v>9327</v>
      </c>
      <c r="AT48" s="3132" t="s">
        <v>9328</v>
      </c>
      <c r="AU48" s="3128" t="s">
        <v>9316</v>
      </c>
      <c r="AV48" s="3128" t="s">
        <v>9317</v>
      </c>
      <c r="AW48" s="3132" t="s">
        <v>1499</v>
      </c>
      <c r="AX48" s="3132" t="s">
        <v>8799</v>
      </c>
      <c r="AY48" s="3128" t="s">
        <v>8800</v>
      </c>
    </row>
    <row r="49" spans="1:51" ht="12.2" customHeight="1" x14ac:dyDescent="0.2">
      <c r="A49" s="2172"/>
      <c r="B49" s="2086">
        <f t="shared" si="0"/>
        <v>2</v>
      </c>
      <c r="C49" s="4584"/>
      <c r="D49" s="4737"/>
      <c r="E49" s="4738"/>
      <c r="F49" s="4738"/>
      <c r="G49" s="4738"/>
      <c r="H49" s="4738"/>
      <c r="I49" s="4738"/>
      <c r="J49" s="4738"/>
      <c r="K49" s="4735"/>
      <c r="L49" s="4735"/>
      <c r="M49" s="4735"/>
      <c r="N49" s="4725"/>
      <c r="O49" s="4735"/>
      <c r="P49" s="4736"/>
      <c r="Q49" s="4725"/>
      <c r="R49" s="4725"/>
      <c r="S49" s="4725"/>
      <c r="T49" s="4725"/>
      <c r="U49" s="4725"/>
      <c r="V49" s="2522" t="s">
        <v>9306</v>
      </c>
      <c r="W49" s="2523" t="s">
        <v>2827</v>
      </c>
      <c r="X49" s="2522" t="s">
        <v>9306</v>
      </c>
      <c r="Y49" s="2523" t="s">
        <v>2827</v>
      </c>
      <c r="Z49" s="2522" t="s">
        <v>9306</v>
      </c>
      <c r="AA49" s="2523" t="s">
        <v>2827</v>
      </c>
      <c r="AB49" s="2522" t="s">
        <v>9306</v>
      </c>
      <c r="AC49" s="2523" t="s">
        <v>2827</v>
      </c>
      <c r="AD49" s="2522" t="s">
        <v>9306</v>
      </c>
      <c r="AE49" s="2523" t="s">
        <v>2827</v>
      </c>
      <c r="AF49" s="2522" t="s">
        <v>9306</v>
      </c>
      <c r="AG49" s="2524" t="s">
        <v>2827</v>
      </c>
      <c r="AH49" s="2180"/>
      <c r="AI49" s="4604"/>
      <c r="AJ49" s="3128"/>
      <c r="AK49" s="3128" t="s">
        <v>9308</v>
      </c>
      <c r="AL49" s="3128">
        <v>1</v>
      </c>
      <c r="AM49" s="3128">
        <v>2</v>
      </c>
      <c r="AN49" s="3128">
        <v>3</v>
      </c>
      <c r="AO49" s="3128">
        <v>4</v>
      </c>
      <c r="AP49" s="3128">
        <v>5</v>
      </c>
      <c r="AQ49" s="3128">
        <v>6</v>
      </c>
      <c r="AR49" s="3128">
        <v>7</v>
      </c>
      <c r="AS49" s="3132"/>
      <c r="AT49" s="3128" t="s">
        <v>9339</v>
      </c>
      <c r="AU49" s="3132"/>
      <c r="AV49" s="3132"/>
      <c r="AW49" s="3132" t="s">
        <v>9339</v>
      </c>
      <c r="AX49" s="3132"/>
      <c r="AY49" s="3128"/>
    </row>
    <row r="50" spans="1:51" ht="12.2" customHeight="1" x14ac:dyDescent="0.2">
      <c r="A50" s="2172"/>
      <c r="B50" s="2086">
        <f t="shared" si="0"/>
        <v>2</v>
      </c>
      <c r="C50" s="4584"/>
      <c r="D50" s="4670" t="s">
        <v>8801</v>
      </c>
      <c r="E50" s="4671"/>
      <c r="F50" s="4672"/>
      <c r="G50" s="4673"/>
      <c r="H50" s="4673"/>
      <c r="I50" s="4673"/>
      <c r="J50" s="4674"/>
      <c r="K50" s="4641" t="s">
        <v>1455</v>
      </c>
      <c r="L50" s="4642"/>
      <c r="M50" s="4643"/>
      <c r="N50" s="2516">
        <f>IF(AW50&gt;0,IF(VLOOKUP(F50,'Tablas Técnicas'!$O$9:$X$88,10,0),MAX(5,AW50-5),AW50),0)</f>
        <v>0</v>
      </c>
      <c r="O50" s="2516" t="str">
        <f>AS50&amp;" / "&amp;AT50</f>
        <v>0 / 0</v>
      </c>
      <c r="P50" s="2516" t="str">
        <f t="array" ref="P50">W50+Y50+AA50+AC50+AE50+AG50&amp;" / "&amp;IF(K50&lt;&gt;"Mantenido",0,SUM(IF($AL50:$AR50='Tablas Técnicas'!$L$10:$L$643,'Tablas Técnicas'!$H$10:$H$643,0)))</f>
        <v>0 / 0</v>
      </c>
      <c r="Q50" s="4678" t="str">
        <f>IFERROR(VLOOKUP(F50,'Tablas Técnicas'!$O$9:$T$88,5,FALSE),"")</f>
        <v/>
      </c>
      <c r="R50" s="4678"/>
      <c r="S50" s="4678"/>
      <c r="T50" s="4678"/>
      <c r="U50" s="4678"/>
      <c r="V50" s="2042"/>
      <c r="W50" s="2043"/>
      <c r="X50" s="2042"/>
      <c r="Y50" s="2044"/>
      <c r="Z50" s="2045"/>
      <c r="AA50" s="2043"/>
      <c r="AB50" s="2042"/>
      <c r="AC50" s="2044"/>
      <c r="AD50" s="2045"/>
      <c r="AE50" s="2043"/>
      <c r="AF50" s="2042"/>
      <c r="AG50" s="2046"/>
      <c r="AH50" s="2180"/>
      <c r="AI50" s="4604"/>
      <c r="AJ50" s="3128">
        <v>1</v>
      </c>
      <c r="AK50" s="3128">
        <f>P46</f>
        <v>1</v>
      </c>
      <c r="AL50" s="3128" t="str">
        <f>IF(AND(ISNUMBER(MATCH($F50,'Tablas Técnicas'!$L$10:$L$643,0)),INDEX($D63:$D69,Tablas!A$1)="",COUNTIF(AM50:$AS50,$F50)=0),$F50,IF(INDEX($D63:$D69,Tablas!A$1)="","",$F50&amp;INDEX($D63:$D69,Tablas!A$1)))</f>
        <v/>
      </c>
      <c r="AM50" s="3128" t="str">
        <f>IF(AND(ISNUMBER(MATCH($F50,'Tablas Técnicas'!$L$10:$L$643,0)),INDEX($D63:$D69,Tablas!B$1)="",COUNTIF(AN50:$AS50,$F50)=0),$F50,IF(INDEX($D63:$D69,Tablas!B$1)="","",$F50&amp;INDEX($D63:$D69,Tablas!B$1)))</f>
        <v/>
      </c>
      <c r="AN50" s="3128" t="str">
        <f>IF(AND(ISNUMBER(MATCH($F50,'Tablas Técnicas'!$L$10:$L$643,0)),INDEX($D63:$D69,Tablas!C$1)="",COUNTIF(AO50:$AS50,$F50)=0),$F50,IF(INDEX($D63:$D69,Tablas!C$1)="","",$F50&amp;INDEX($D63:$D69,Tablas!C$1)))</f>
        <v/>
      </c>
      <c r="AO50" s="3128" t="str">
        <f>IF(AND(ISNUMBER(MATCH($F50,'Tablas Técnicas'!$L$10:$L$643,0)),INDEX($D63:$D69,Tablas!D$1)="",COUNTIF(AP50:$AS50,$F50)=0),$F50,IF(INDEX($D63:$D69,Tablas!D$1)="","",$F50&amp;INDEX($D63:$D69,Tablas!D$1)))</f>
        <v/>
      </c>
      <c r="AP50" s="3128" t="str">
        <f>IF(AND(ISNUMBER(MATCH($F50,'Tablas Técnicas'!$L$10:$L$643,0)),INDEX($D63:$D69,Tablas!E$1)="",COUNTIF(AQ50:$AS50,$F50)=0),$F50,IF(INDEX($D63:$D69,Tablas!E$1)="","",$F50&amp;INDEX($D63:$D69,Tablas!E$1)))</f>
        <v/>
      </c>
      <c r="AQ50" s="3128" t="str">
        <f>IF(AND(ISNUMBER(MATCH($F50,'Tablas Técnicas'!$L$10:$L$643,0)),INDEX($D63:$D69,Tablas!F$1)="",COUNTIF(AR50:$AS50,$F50)=0),$F50,IF(INDEX($D63:$D69,Tablas!F$1)="","",$F50&amp;INDEX($D63:$D69,Tablas!F$1)))</f>
        <v/>
      </c>
      <c r="AR50" s="3128" t="str">
        <f>IF(AND(ISNUMBER(MATCH($F50,'Tablas Técnicas'!$L$10:$L$643,0)),INDEX($D63:$D69,Tablas!G$1)="",COUNTIF(AS50:$AS50,$F50)=0),$F50,IF(INDEX($D63:$D69,Tablas!G$1)="","",$F50&amp;INDEX($D63:$D69,Tablas!G$1)))</f>
        <v/>
      </c>
      <c r="AS50" s="3132">
        <f>V50+X50+Z50+AB50+AD50+AF50</f>
        <v>0</v>
      </c>
      <c r="AT50" s="3132">
        <f t="array" ref="AT50">SUM(IF($AL50:$AR50='Tablas Técnicas'!$L$10:$L$643,IF(D50="Primario",'Tablas Técnicas'!$E$10:$E$643,'Tablas Técnicas'!$F$10:$F$643)+IF(K50="Sostenimiento menor",'Tablas Técnicas'!$I$10:$I$643,IF(K50="sostenimiento mayor",'Tablas Técnicas'!$J$10:$J$643,0)),0),0)+VALUE(RIGHT(P50,2))+AU50+AV50</f>
        <v>0</v>
      </c>
      <c r="AU50" s="3132">
        <f>IFERROR(IF(V50=0,0,VALUE(MID(Q50,SEARCH("AGI",Q50)+4,1))),0)+IFERROR(IF(X50=0,0,VALUE(MID(Q50,SEARCH("CON",Q50)+4,1))),0)+IFERROR(IF(Z50=0,0,VALUE(MID(Q50,SEARCH("DES",Q50)+4,1))),0)+IFERROR(IF(AB50=0,0,VALUE(MID(Q50,SEARCH("FUE",Q50)+4,1))),0)+IFERROR(IF(AD50=0,0,VALUE(MID(Q50,SEARCH("POD",Q50)+4,1))),0)+IFERROR(IF(AF50=0,0,VALUE(MID(Q50,SEARCH("VOL",Q50)+4,1))),0)</f>
        <v>0</v>
      </c>
      <c r="AV50" s="3132">
        <f>(COUNTIF(AL50:AR50,"*Estado añadido:*")-1)*COUNTIF(AL50:AR50,"*Estado añadido:*")</f>
        <v>0</v>
      </c>
      <c r="AW50" s="3132">
        <f t="array" ref="AW50">SUM(IF($AL50:$AR50='Tablas Técnicas'!$L$10:$L$643,'Tablas Técnicas'!$G$10:$G$643,0))</f>
        <v>0</v>
      </c>
      <c r="AX50" s="3128" t="str">
        <f>IF(F50="","",F50&amp;" ("&amp;IF(AL50="","",SUBSTITUTE(AL50,F50,"")&amp;", ")&amp;IF(AM50="","",SUBSTITUTE(AM50,F50,"")&amp;", ")&amp;IF(AN50="","",SUBSTITUTE(AN50,F50,"")&amp;", ")&amp;IF(AO50="","",SUBSTITUTE(AO50,F50,"")&amp;", ")&amp;IF(AP50="","",SUBSTITUTE(AP50,F50,"")&amp;", ")&amp;IF(AQ50="","",SUBSTITUTE(AQ50,F50,"")&amp;", ")&amp;IF(AR50="","",SUBSTITUTE(AR50,F50,"")&amp;", ")&amp;IF(OR(K50="",K50="-"),"",K50&amp;", "))</f>
        <v/>
      </c>
      <c r="AY50" s="3128" t="str">
        <f>IFERROR(LEFT(AX50,LEN(AX50)-2)&amp;"), ","")</f>
        <v/>
      </c>
    </row>
    <row r="51" spans="1:51" ht="12.2" customHeight="1" x14ac:dyDescent="0.2">
      <c r="A51" s="2172"/>
      <c r="B51" s="2086">
        <f t="shared" si="0"/>
        <v>2</v>
      </c>
      <c r="C51" s="4584"/>
      <c r="D51" s="4629" t="s">
        <v>524</v>
      </c>
      <c r="E51" s="4630"/>
      <c r="F51" s="4661"/>
      <c r="G51" s="4662"/>
      <c r="H51" s="4662"/>
      <c r="I51" s="4662"/>
      <c r="J51" s="4663"/>
      <c r="K51" s="4664" t="s">
        <v>1455</v>
      </c>
      <c r="L51" s="4665"/>
      <c r="M51" s="4666"/>
      <c r="N51" s="2525">
        <f>IF(AW51&gt;0,IF(VLOOKUP(F51,'Tablas Técnicas'!$O$9:$X$88,10,0),MAX(5,AW51-5),AW51),0)</f>
        <v>0</v>
      </c>
      <c r="O51" s="2525" t="str">
        <f>AS51&amp;" / "&amp;AT51</f>
        <v>0 / 0</v>
      </c>
      <c r="P51" s="2525" t="str">
        <f t="array" ref="P51">W51+Y51+AA51+AC51+AE51+AG51&amp;" / "&amp;IF(K51&lt;&gt;"Mantenido",0,SUM(IF($AL51:$AR51='Tablas Técnicas'!$L$10:$L$643,'Tablas Técnicas'!$H$10:$H$643,0)))</f>
        <v>0 / 0</v>
      </c>
      <c r="Q51" s="4730" t="str">
        <f>IFERROR(VLOOKUP(F51,'Tablas Técnicas'!$O$9:$T$88,5,FALSE),"")</f>
        <v/>
      </c>
      <c r="R51" s="4730"/>
      <c r="S51" s="4730"/>
      <c r="T51" s="4730"/>
      <c r="U51" s="4730"/>
      <c r="V51" s="2047"/>
      <c r="W51" s="2048"/>
      <c r="X51" s="2047"/>
      <c r="Y51" s="2049"/>
      <c r="Z51" s="2050"/>
      <c r="AA51" s="2048"/>
      <c r="AB51" s="2047"/>
      <c r="AC51" s="2049"/>
      <c r="AD51" s="2050"/>
      <c r="AE51" s="2048"/>
      <c r="AF51" s="2047"/>
      <c r="AG51" s="2051"/>
      <c r="AH51" s="2180"/>
      <c r="AI51" s="4604"/>
      <c r="AJ51" s="3128">
        <v>2</v>
      </c>
      <c r="AK51" s="3128">
        <f>P46</f>
        <v>1</v>
      </c>
      <c r="AL51" s="3128" t="str">
        <f>IF(AND(ISNUMBER(MATCH($F51,'Tablas Técnicas'!$L$10:$L$643,0)),INDEX($J63:$J69,Tablas!A$1)="",COUNTIF(AM51:$AS51,$F51)=0),$F51,IF(INDEX($J63:$J69,Tablas!A$1)="","",$F51&amp;INDEX($J63:$J69,Tablas!A$1)))</f>
        <v/>
      </c>
      <c r="AM51" s="3128" t="str">
        <f>IF(AND(ISNUMBER(MATCH($F51,'Tablas Técnicas'!$L$10:$L$643,0)),INDEX($J63:$J69,Tablas!B$1)="",COUNTIF(AN51:$AS51,$F51)=0),$F51,IF(INDEX($J63:$J69,Tablas!B$1)="","",$F51&amp;INDEX($J63:$J69,Tablas!B$1)))</f>
        <v/>
      </c>
      <c r="AN51" s="3128" t="str">
        <f>IF(AND(ISNUMBER(MATCH($F51,'Tablas Técnicas'!$L$10:$L$643,0)),INDEX($J63:$J69,Tablas!C$1)="",COUNTIF(AO51:$AS51,$F51)=0),$F51,IF(INDEX($J63:$J69,Tablas!C$1)="","",$F51&amp;INDEX($J63:$J69,Tablas!C$1)))</f>
        <v/>
      </c>
      <c r="AO51" s="3128" t="str">
        <f>IF(AND(ISNUMBER(MATCH($F51,'Tablas Técnicas'!$L$10:$L$643,0)),INDEX($J63:$J69,Tablas!D$1)="",COUNTIF(AP51:$AS51,$F51)=0),$F51,IF(INDEX($J63:$J69,Tablas!D$1)="","",$F51&amp;INDEX($J63:$J69,Tablas!D$1)))</f>
        <v/>
      </c>
      <c r="AP51" s="3128" t="str">
        <f>IF(AND(ISNUMBER(MATCH($F51,'Tablas Técnicas'!$L$10:$L$643,0)),INDEX($J63:$J69,Tablas!E$1)="",COUNTIF(AQ51:$AS51,$F51)=0),$F51,IF(INDEX($J63:$J69,Tablas!E$1)="","",$F51&amp;INDEX($J63:$J69,Tablas!E$1)))</f>
        <v/>
      </c>
      <c r="AQ51" s="3128" t="str">
        <f>IF(AND(ISNUMBER(MATCH($F51,'Tablas Técnicas'!$L$10:$L$643,0)),INDEX($J63:$J69,Tablas!F$1)="",COUNTIF(AR51:$AS51,$F51)=0),$F51,IF(INDEX($J63:$J69,Tablas!F$1)="","",$F51&amp;INDEX($J63:$J69,Tablas!F$1)))</f>
        <v/>
      </c>
      <c r="AR51" s="3128" t="str">
        <f>IF(AND(ISNUMBER(MATCH($F51,'Tablas Técnicas'!$L$10:$L$643,0)),INDEX($J63:$J69,Tablas!G$1)="",COUNTIF(AS51:$AS51,$F51)=0),$F51,IF(INDEX($J63:$J69,Tablas!G$1)="","",$F51&amp;INDEX($J63:$J69,Tablas!G$1)))</f>
        <v/>
      </c>
      <c r="AS51" s="3132">
        <f>V51+X51+Z51+AB51+AD51+AF51</f>
        <v>0</v>
      </c>
      <c r="AT51" s="3132">
        <f t="array" ref="AT51">SUM(IF($AL51:$AR51='Tablas Técnicas'!$L$10:$L$643,IF(D51="Primario",'Tablas Técnicas'!$E$10:$E$643,'Tablas Técnicas'!$F$10:$F$643)+IF(K51="Sostenimiento menor",'Tablas Técnicas'!$I$10:$I$643,IF(K51="sostenimiento mayor",'Tablas Técnicas'!$J$10:$J$643,0)),0),0)+VALUE(RIGHT(P51,2))+AU51+AV51</f>
        <v>0</v>
      </c>
      <c r="AU51" s="3132">
        <f>IFERROR(IF(V51=0,0,VALUE(MID(Q51,SEARCH("AGI",Q51)+4,1))),0)+IFERROR(IF(X51=0,0,VALUE(MID(Q51,SEARCH("CON",Q51)+4,1))),0)+IFERROR(IF(Z51=0,0,VALUE(MID(Q51,SEARCH("DES",Q51)+4,1))),0)+IFERROR(IF(AB51=0,0,VALUE(MID(Q51,SEARCH("FUE",Q51)+4,1))),0)+IFERROR(IF(AD51=0,0,VALUE(MID(Q51,SEARCH("POD",Q51)+4,1))),0)+IFERROR(IF(AF51=0,0,VALUE(MID(Q51,SEARCH("VOL",Q51)+4,1))),0)</f>
        <v>0</v>
      </c>
      <c r="AV51" s="3132">
        <f>(COUNTIF(AL51:AR51,"*Estado añadido:*")-1)*COUNTIF(AL51:AR51,"*Estado añadido:*")</f>
        <v>0</v>
      </c>
      <c r="AW51" s="3132">
        <f t="array" ref="AW51">SUM(IF($AL51:$AR51='Tablas Técnicas'!$L$10:$L$643,'Tablas Técnicas'!$G$10:$G$643,0))</f>
        <v>0</v>
      </c>
      <c r="AX51" s="3128" t="str">
        <f>IF(F51="","",F51&amp;" ("&amp;IF(AL51="","",SUBSTITUTE(AL51,F51,"")&amp;", ")&amp;IF(AM51="","",SUBSTITUTE(AM51,F51,"")&amp;", ")&amp;IF(AN51="","",SUBSTITUTE(AN51,F51,"")&amp;", ")&amp;IF(AO51="","",SUBSTITUTE(AO51,F51,"")&amp;", ")&amp;IF(AP51="","",SUBSTITUTE(AP51,F51,"")&amp;", ")&amp;IF(AQ51="","",SUBSTITUTE(AQ51,F51,"")&amp;", ")&amp;IF(AR51="","",SUBSTITUTE(AR51,F51,"")&amp;", ")&amp;IF(OR(K51="",K51="-"),"",K51&amp;", "))</f>
        <v/>
      </c>
      <c r="AY51" s="3128" t="str">
        <f>IFERROR(LEFT(AX51,LEN(AX51)-2)&amp;"), ","")</f>
        <v/>
      </c>
    </row>
    <row r="52" spans="1:51" ht="12.2" customHeight="1" x14ac:dyDescent="0.2">
      <c r="A52" s="2172"/>
      <c r="B52" s="2086">
        <f t="shared" si="0"/>
        <v>2</v>
      </c>
      <c r="C52" s="4584"/>
      <c r="D52" s="4675" t="s">
        <v>524</v>
      </c>
      <c r="E52" s="4676"/>
      <c r="F52" s="4605"/>
      <c r="G52" s="4606"/>
      <c r="H52" s="4606"/>
      <c r="I52" s="4606"/>
      <c r="J52" s="4607"/>
      <c r="K52" s="4667" t="s">
        <v>1455</v>
      </c>
      <c r="L52" s="4668"/>
      <c r="M52" s="4669"/>
      <c r="N52" s="2521">
        <f>IF(AW52&gt;0,IF(VLOOKUP(F52,'Tablas Técnicas'!$O$9:$X$88,10,0),MAX(5,AW52-5),AW52),0)</f>
        <v>0</v>
      </c>
      <c r="O52" s="2521" t="str">
        <f>AS52&amp;" / "&amp;AT52</f>
        <v>0 / 0</v>
      </c>
      <c r="P52" s="2521" t="str">
        <f t="array" ref="P52">W52+Y52+AA52+AC52+AE52+AG52&amp;" / "&amp;IF(K52&lt;&gt;"Mantenido",0,SUM(IF($AL52:$AR52='Tablas Técnicas'!$L$10:$L$643,'Tablas Técnicas'!$H$10:$H$643,0)))</f>
        <v>0 / 0</v>
      </c>
      <c r="Q52" s="4726" t="str">
        <f>IFERROR(VLOOKUP(F52,'Tablas Técnicas'!$O$9:$T$88,5,FALSE),"")</f>
        <v/>
      </c>
      <c r="R52" s="4726"/>
      <c r="S52" s="4726"/>
      <c r="T52" s="4726"/>
      <c r="U52" s="4726"/>
      <c r="V52" s="2052"/>
      <c r="W52" s="2053"/>
      <c r="X52" s="2052"/>
      <c r="Y52" s="2054"/>
      <c r="Z52" s="2055"/>
      <c r="AA52" s="2053"/>
      <c r="AB52" s="2052"/>
      <c r="AC52" s="2054"/>
      <c r="AD52" s="2055"/>
      <c r="AE52" s="2053"/>
      <c r="AF52" s="2052"/>
      <c r="AG52" s="2056"/>
      <c r="AH52" s="2180"/>
      <c r="AI52" s="4604"/>
      <c r="AJ52" s="3128">
        <v>3</v>
      </c>
      <c r="AK52" s="3128">
        <f>P46</f>
        <v>1</v>
      </c>
      <c r="AL52" s="3128" t="str">
        <f>IF(AND(ISNUMBER(MATCH($F52,'Tablas Técnicas'!$L$10:$L$643,0)),INDEX($P63:$P69,Tablas!A$1)="",COUNTIF(AM52:$AS52,$F52)=0),$F52,IF(INDEX($P63:$P69,Tablas!A$1)="","",$F52&amp;INDEX($P63:$P69,Tablas!A$1)))</f>
        <v/>
      </c>
      <c r="AM52" s="3128" t="str">
        <f>IF(AND(ISNUMBER(MATCH($F52,'Tablas Técnicas'!$L$10:$L$643,0)),INDEX($P63:$P69,Tablas!B$1)="",COUNTIF(AN52:$AS52,$F52)=0),$F52,IF(INDEX($P63:$P69,Tablas!B$1)="","",$F52&amp;INDEX($P63:$P69,Tablas!B$1)))</f>
        <v/>
      </c>
      <c r="AN52" s="3128" t="str">
        <f>IF(AND(ISNUMBER(MATCH($F52,'Tablas Técnicas'!$L$10:$L$643,0)),INDEX($P63:$P69,Tablas!C$1)="",COUNTIF(AO52:$AS52,$F52)=0),$F52,IF(INDEX($P63:$P69,Tablas!C$1)="","",$F52&amp;INDEX($P63:$P69,Tablas!C$1)))</f>
        <v/>
      </c>
      <c r="AO52" s="3128" t="str">
        <f>IF(AND(ISNUMBER(MATCH($F52,'Tablas Técnicas'!$L$10:$L$643,0)),INDEX($P63:$P69,Tablas!D$1)="",COUNTIF(AP52:$AS52,$F52)=0),$F52,IF(INDEX($P63:$P69,Tablas!D$1)="","",$F52&amp;INDEX($P63:$P69,Tablas!D$1)))</f>
        <v/>
      </c>
      <c r="AP52" s="3128" t="str">
        <f>IF(AND(ISNUMBER(MATCH($F52,'Tablas Técnicas'!$L$10:$L$643,0)),INDEX($P63:$P69,Tablas!E$1)="",COUNTIF(AQ52:$AS52,$F52)=0),$F52,IF(INDEX($P63:$P69,Tablas!E$1)="","",$F52&amp;INDEX($P63:$P69,Tablas!E$1)))</f>
        <v/>
      </c>
      <c r="AQ52" s="3128" t="str">
        <f>IF(AND(ISNUMBER(MATCH($F52,'Tablas Técnicas'!$L$10:$L$643,0)),INDEX($P63:$P69,Tablas!F$1)="",COUNTIF(AR52:$AS52,$F52)=0),$F52,IF(INDEX($P63:$P69,Tablas!F$1)="","",$F52&amp;INDEX($P63:$P69,Tablas!F$1)))</f>
        <v/>
      </c>
      <c r="AR52" s="3128" t="str">
        <f>IF(AND(ISNUMBER(MATCH($F52,'Tablas Técnicas'!$L$10:$L$643,0)),INDEX($P63:$P69,Tablas!G$1)="",COUNTIF(AS52:$AS52,$F52)=0),$F52,IF(INDEX($P63:$P69,Tablas!G$1)="","",$F52&amp;INDEX($P63:$P69,Tablas!G$1)))</f>
        <v/>
      </c>
      <c r="AS52" s="3132">
        <f>V52+X52+Z52+AB52+AD52+AF52</f>
        <v>0</v>
      </c>
      <c r="AT52" s="3132">
        <f t="array" ref="AT52">SUM(IF($AL52:$AR52='Tablas Técnicas'!$L$10:$L$643,IF(D52="Primario",'Tablas Técnicas'!$E$10:$E$643,'Tablas Técnicas'!$F$10:$F$643)+IF(K52="Sostenimiento menor",'Tablas Técnicas'!$I$10:$I$643,IF(K52="sostenimiento mayor",'Tablas Técnicas'!$J$10:$J$643,0)),0),0)+VALUE(RIGHT(P52,2))+AU52+AV52</f>
        <v>0</v>
      </c>
      <c r="AU52" s="3132">
        <f>IFERROR(IF(V52=0,0,VALUE(MID(Q52,SEARCH("AGI",Q52)+4,1))),0)+IFERROR(IF(X52=0,0,VALUE(MID(Q52,SEARCH("CON",Q52)+4,1))),0)+IFERROR(IF(Z52=0,0,VALUE(MID(Q52,SEARCH("DES",Q52)+4,1))),0)+IFERROR(IF(AB52=0,0,VALUE(MID(Q52,SEARCH("FUE",Q52)+4,1))),0)+IFERROR(IF(AD52=0,0,VALUE(MID(Q52,SEARCH("POD",Q52)+4,1))),0)+IFERROR(IF(AF52=0,0,VALUE(MID(Q52,SEARCH("VOL",Q52)+4,1))),0)</f>
        <v>0</v>
      </c>
      <c r="AV52" s="3132">
        <f>(COUNTIF(AL52:AR52,"*Estado añadido:*")-1)*COUNTIF(AL52:AR52,"*Estado añadido:*")</f>
        <v>0</v>
      </c>
      <c r="AW52" s="3132">
        <f t="array" ref="AW52">SUM(IF($AL52:$AR52='Tablas Técnicas'!$L$10:$L$643,'Tablas Técnicas'!$G$10:$G$643,0))</f>
        <v>0</v>
      </c>
      <c r="AX52" s="3128" t="str">
        <f>IF(F52="","",F52&amp;" ("&amp;IF(AL52="","",SUBSTITUTE(AL52,F52,"")&amp;", ")&amp;IF(AM52="","",SUBSTITUTE(AM52,F52,"")&amp;", ")&amp;IF(AN52="","",SUBSTITUTE(AN52,F52,"")&amp;", ")&amp;IF(AO52="","",SUBSTITUTE(AO52,F52,"")&amp;", ")&amp;IF(AP52="","",SUBSTITUTE(AP52,F52,"")&amp;", ")&amp;IF(AQ52="","",SUBSTITUTE(AQ52,F52,"")&amp;", ")&amp;IF(AR52="","",SUBSTITUTE(AR52,F52,"")&amp;", ")&amp;IF(OR(K52="",K52="-"),"",K52&amp;", "))</f>
        <v/>
      </c>
      <c r="AY52" s="3128" t="str">
        <f>IFERROR(LEFT(AX52,LEN(AX52)-2)&amp;"), ","")</f>
        <v/>
      </c>
    </row>
    <row r="53" spans="1:51" ht="12.2" customHeight="1" x14ac:dyDescent="0.2">
      <c r="A53" s="2172"/>
      <c r="B53" s="2086">
        <f t="shared" si="0"/>
        <v>2</v>
      </c>
      <c r="C53" s="4584"/>
      <c r="D53" s="4629" t="s">
        <v>524</v>
      </c>
      <c r="E53" s="4630"/>
      <c r="F53" s="4661"/>
      <c r="G53" s="4662"/>
      <c r="H53" s="4662"/>
      <c r="I53" s="4662"/>
      <c r="J53" s="4663"/>
      <c r="K53" s="4664" t="s">
        <v>1455</v>
      </c>
      <c r="L53" s="4665"/>
      <c r="M53" s="4666"/>
      <c r="N53" s="2525">
        <f>IF(AW53&gt;0,IF(VLOOKUP(F53,'Tablas Técnicas'!$O$9:$X$88,10,0),MAX(5,AW53-5),AW53),0)</f>
        <v>0</v>
      </c>
      <c r="O53" s="2525" t="str">
        <f>AS53&amp;" / "&amp;AT53</f>
        <v>0 / 0</v>
      </c>
      <c r="P53" s="2525" t="str">
        <f t="array" ref="P53">W53+Y53+AA53+AC53+AE53+AG53&amp;" / "&amp;IF(K53&lt;&gt;"Mantenido",0,SUM(IF($AL53:$AR53='Tablas Técnicas'!$L$10:$L$643,'Tablas Técnicas'!$H$10:$H$643,0)))</f>
        <v>0 / 0</v>
      </c>
      <c r="Q53" s="4730" t="str">
        <f>IFERROR(VLOOKUP(F53,'Tablas Técnicas'!$O$9:$T$88,5,FALSE),"")</f>
        <v/>
      </c>
      <c r="R53" s="4730"/>
      <c r="S53" s="4730"/>
      <c r="T53" s="4730"/>
      <c r="U53" s="4730"/>
      <c r="V53" s="2047"/>
      <c r="W53" s="2048"/>
      <c r="X53" s="2047"/>
      <c r="Y53" s="2049"/>
      <c r="Z53" s="2050"/>
      <c r="AA53" s="2048"/>
      <c r="AB53" s="2047"/>
      <c r="AC53" s="2049"/>
      <c r="AD53" s="2050"/>
      <c r="AE53" s="2048"/>
      <c r="AF53" s="2047"/>
      <c r="AG53" s="2051"/>
      <c r="AH53" s="2180"/>
      <c r="AI53" s="4604"/>
      <c r="AJ53" s="3128">
        <v>4</v>
      </c>
      <c r="AK53" s="3128">
        <f>P46</f>
        <v>1</v>
      </c>
      <c r="AL53" s="3128" t="str">
        <f>IF(AND(ISNUMBER(MATCH($F53,'Tablas Técnicas'!$L$10:$L$643,0)),INDEX($V63:$V69,Tablas!A$1)="",COUNTIF(AM53:$AS53,$F53)=0),$F53,IF(INDEX($V63:$V69,Tablas!A$1)="","",$F53&amp;INDEX($V63:$V69,Tablas!A$1)))</f>
        <v/>
      </c>
      <c r="AM53" s="3128" t="str">
        <f>IF(AND(ISNUMBER(MATCH($F53,'Tablas Técnicas'!$L$10:$L$643,0)),INDEX($V63:$V69,Tablas!B$1)="",COUNTIF(AN53:$AS53,$F53)=0),$F53,IF(INDEX($V63:$V69,Tablas!B$1)="","",$F53&amp;INDEX($V63:$V69,Tablas!B$1)))</f>
        <v/>
      </c>
      <c r="AN53" s="3128" t="str">
        <f>IF(AND(ISNUMBER(MATCH($F53,'Tablas Técnicas'!$L$10:$L$643,0)),INDEX($V63:$V69,Tablas!C$1)="",COUNTIF(AO53:$AS53,$F53)=0),$F53,IF(INDEX($V63:$V69,Tablas!C$1)="","",$F53&amp;INDEX($V63:$V69,Tablas!C$1)))</f>
        <v/>
      </c>
      <c r="AO53" s="3128" t="str">
        <f>IF(AND(ISNUMBER(MATCH($F53,'Tablas Técnicas'!$L$10:$L$643,0)),INDEX($V63:$V69,Tablas!D$1)="",COUNTIF(AP53:$AS53,$F53)=0),$F53,IF(INDEX($V63:$V69,Tablas!D$1)="","",$F53&amp;INDEX($V63:$V69,Tablas!D$1)))</f>
        <v/>
      </c>
      <c r="AP53" s="3128" t="str">
        <f>IF(AND(ISNUMBER(MATCH($F53,'Tablas Técnicas'!$L$10:$L$643,0)),INDEX($V63:$V69,Tablas!E$1)="",COUNTIF(AQ53:$AS53,$F53)=0),$F53,IF(INDEX($V63:$V69,Tablas!E$1)="","",$F53&amp;INDEX($V63:$V69,Tablas!E$1)))</f>
        <v/>
      </c>
      <c r="AQ53" s="3128" t="str">
        <f>IF(AND(ISNUMBER(MATCH($F53,'Tablas Técnicas'!$L$10:$L$643,0)),INDEX($V63:$V69,Tablas!F$1)="",COUNTIF(AR53:$AS53,$F53)=0),$F53,IF(INDEX($V63:$V69,Tablas!F$1)="","",$F53&amp;INDEX($V63:$V69,Tablas!F$1)))</f>
        <v/>
      </c>
      <c r="AR53" s="3128" t="str">
        <f>IF(AND(ISNUMBER(MATCH($F53,'Tablas Técnicas'!$L$10:$L$643,0)),INDEX($V63:$V69,Tablas!G$1)="",COUNTIF(AS53:$AS53,$F53)=0),$F53,IF(INDEX($V63:$V69,Tablas!G$1)="","",$F53&amp;INDEX($V63:$V69,Tablas!G$1)))</f>
        <v/>
      </c>
      <c r="AS53" s="3132">
        <f>V53+X53+Z53+AB53+AD53+AF53</f>
        <v>0</v>
      </c>
      <c r="AT53" s="3132">
        <f t="array" ref="AT53">SUM(IF($AL53:$AR53='Tablas Técnicas'!$L$10:$L$643,IF(D53="Primario",'Tablas Técnicas'!$E$10:$E$643,'Tablas Técnicas'!$F$10:$F$643)+IF(K53="Sostenimiento menor",'Tablas Técnicas'!$I$10:$I$643,IF(K53="sostenimiento mayor",'Tablas Técnicas'!$J$10:$J$643,0)),0),0)+VALUE(RIGHT(P53,2))+AU53+AV53</f>
        <v>0</v>
      </c>
      <c r="AU53" s="3132">
        <f>IFERROR(IF(V53=0,0,VALUE(MID(Q53,SEARCH("AGI",Q53)+4,1))),0)+IFERROR(IF(X53=0,0,VALUE(MID(Q53,SEARCH("CON",Q53)+4,1))),0)+IFERROR(IF(Z53=0,0,VALUE(MID(Q53,SEARCH("DES",Q53)+4,1))),0)+IFERROR(IF(AB53=0,0,VALUE(MID(Q53,SEARCH("FUE",Q53)+4,1))),0)+IFERROR(IF(AD53=0,0,VALUE(MID(Q53,SEARCH("POD",Q53)+4,1))),0)+IFERROR(IF(AF53=0,0,VALUE(MID(Q53,SEARCH("VOL",Q53)+4,1))),0)</f>
        <v>0</v>
      </c>
      <c r="AV53" s="3132">
        <f>(COUNTIF(AL53:AR53,"*Estado añadido:*")-1)*COUNTIF(AL53:AR53,"*Estado añadido:*")</f>
        <v>0</v>
      </c>
      <c r="AW53" s="3132">
        <f t="array" ref="AW53">SUM(IF($AL53:$AR53='Tablas Técnicas'!$L$10:$L$643,'Tablas Técnicas'!$G$10:$G$643,0))</f>
        <v>0</v>
      </c>
      <c r="AX53" s="3128" t="str">
        <f>IF(F53="","",F53&amp;" ("&amp;IF(AL53="","",SUBSTITUTE(AL53,F53,"")&amp;", ")&amp;IF(AM53="","",SUBSTITUTE(AM53,F53,"")&amp;", ")&amp;IF(AN53="","",SUBSTITUTE(AN53,F53,"")&amp;", ")&amp;IF(AO53="","",SUBSTITUTE(AO53,F53,"")&amp;", ")&amp;IF(AP53="","",SUBSTITUTE(AP53,F53,"")&amp;", ")&amp;IF(AQ53="","",SUBSTITUTE(AQ53,F53,"")&amp;", ")&amp;IF(AR53="","",SUBSTITUTE(AR53,F53,"")&amp;", ")&amp;IF(OR(K53="",K53="-"),"",K53&amp;", "))</f>
        <v/>
      </c>
      <c r="AY53" s="3128" t="str">
        <f>IFERROR(LEFT(AX53,LEN(AX53)-2)&amp;"), ","")</f>
        <v/>
      </c>
    </row>
    <row r="54" spans="1:51" ht="12.2" customHeight="1" thickBot="1" x14ac:dyDescent="0.25">
      <c r="A54" s="2172"/>
      <c r="B54" s="2086">
        <f t="shared" si="0"/>
        <v>2</v>
      </c>
      <c r="C54" s="4584"/>
      <c r="D54" s="4632" t="s">
        <v>524</v>
      </c>
      <c r="E54" s="4633"/>
      <c r="F54" s="4589"/>
      <c r="G54" s="4590"/>
      <c r="H54" s="4590"/>
      <c r="I54" s="4590"/>
      <c r="J54" s="4591"/>
      <c r="K54" s="4592" t="s">
        <v>1455</v>
      </c>
      <c r="L54" s="4593"/>
      <c r="M54" s="4594"/>
      <c r="N54" s="2526">
        <f>IF(AW54&gt;0,IF(VLOOKUP(F54,'Tablas Técnicas'!$O$9:$X$88,10,0),MAX(5,AW54-5),AW54),0)</f>
        <v>0</v>
      </c>
      <c r="O54" s="2526" t="str">
        <f>AS54&amp;" / "&amp;AT54</f>
        <v>0 / 0</v>
      </c>
      <c r="P54" s="2526" t="str">
        <f t="array" ref="P54">W54+Y54+AA54+AC54+AE54+AG54&amp;" / "&amp;IF(K54&lt;&gt;"Mantenido",0,SUM(IF($AL54:$AR54='Tablas Técnicas'!$L$10:$L$643,'Tablas Técnicas'!$H$10:$H$643,0)))</f>
        <v>0 / 0</v>
      </c>
      <c r="Q54" s="4727" t="str">
        <f>IFERROR(VLOOKUP(F54,'Tablas Técnicas'!$O$9:$T$88,5,FALSE),"")</f>
        <v/>
      </c>
      <c r="R54" s="4727"/>
      <c r="S54" s="4727"/>
      <c r="T54" s="4727"/>
      <c r="U54" s="4727"/>
      <c r="V54" s="2057"/>
      <c r="W54" s="2058"/>
      <c r="X54" s="2057"/>
      <c r="Y54" s="2059"/>
      <c r="Z54" s="2060"/>
      <c r="AA54" s="2058"/>
      <c r="AB54" s="2057"/>
      <c r="AC54" s="2059"/>
      <c r="AD54" s="2060"/>
      <c r="AE54" s="2058"/>
      <c r="AF54" s="2057"/>
      <c r="AG54" s="2061"/>
      <c r="AH54" s="2180"/>
      <c r="AI54" s="4604"/>
      <c r="AJ54" s="3128">
        <v>5</v>
      </c>
      <c r="AK54" s="3128">
        <f>P46</f>
        <v>1</v>
      </c>
      <c r="AL54" s="3128" t="str">
        <f>IF(AND(ISNUMBER(MATCH($F54,'Tablas Técnicas'!$L$10:$L$643,0)),INDEX($AB63:$AB69,Tablas!A$1)="",COUNTIF(AM54:$AS54,$F54)=0),$F54,IF(INDEX($AB63:$AB69,Tablas!A$1)="","",$F54&amp;INDEX($AB63:$AB69,Tablas!A$1)))</f>
        <v/>
      </c>
      <c r="AM54" s="3128" t="str">
        <f>IF(AND(ISNUMBER(MATCH($F54,'Tablas Técnicas'!$L$10:$L$643,0)),INDEX($AB63:$AB69,Tablas!B$1)="",COUNTIF(AN54:$AS54,$F54)=0),$F54,IF(INDEX($AB63:$AB69,Tablas!B$1)="","",$F54&amp;INDEX($AB63:$AB69,Tablas!B$1)))</f>
        <v/>
      </c>
      <c r="AN54" s="3128" t="str">
        <f>IF(AND(ISNUMBER(MATCH($F54,'Tablas Técnicas'!$L$10:$L$643,0)),INDEX($AB63:$AB69,Tablas!C$1)="",COUNTIF(AO54:$AS54,$F54)=0),$F54,IF(INDEX($AB63:$AB69,Tablas!C$1)="","",$F54&amp;INDEX($AB63:$AB69,Tablas!C$1)))</f>
        <v/>
      </c>
      <c r="AO54" s="3128" t="str">
        <f>IF(AND(ISNUMBER(MATCH($F54,'Tablas Técnicas'!$L$10:$L$643,0)),INDEX($AB63:$AB69,Tablas!D$1)="",COUNTIF(AP54:$AS54,$F54)=0),$F54,IF(INDEX($AB63:$AB69,Tablas!D$1)="","",$F54&amp;INDEX($AB63:$AB69,Tablas!D$1)))</f>
        <v/>
      </c>
      <c r="AP54" s="3128" t="str">
        <f>IF(AND(ISNUMBER(MATCH($F54,'Tablas Técnicas'!$L$10:$L$643,0)),INDEX($AB63:$AB69,Tablas!E$1)="",COUNTIF(AQ54:$AS54,$F54)=0),$F54,IF(INDEX($AB63:$AB69,Tablas!E$1)="","",$F54&amp;INDEX($AB63:$AB69,Tablas!E$1)))</f>
        <v/>
      </c>
      <c r="AQ54" s="3128" t="str">
        <f>IF(AND(ISNUMBER(MATCH($F54,'Tablas Técnicas'!$L$10:$L$643,0)),INDEX($AB63:$AB69,Tablas!F$1)="",COUNTIF(AR54:$AS54,$F54)=0),$F54,IF(INDEX($AB63:$AB69,Tablas!F$1)="","",$F54&amp;INDEX($AB63:$AB69,Tablas!F$1)))</f>
        <v/>
      </c>
      <c r="AR54" s="3128" t="str">
        <f>IF(AND(ISNUMBER(MATCH($F54,'Tablas Técnicas'!$L$10:$L$643,0)),INDEX($AB63:$AB69,Tablas!G$1)="",COUNTIF(AS54:$AS54,$F54)=0),$F54,IF(INDEX($AB63:$AB69,Tablas!G$1)="","",$F54&amp;INDEX($AB63:$AB69,Tablas!G$1)))</f>
        <v/>
      </c>
      <c r="AS54" s="3132">
        <f>V54+X54+Z54+AB54+AD54+AF54</f>
        <v>0</v>
      </c>
      <c r="AT54" s="3132">
        <f t="array" ref="AT54">SUM(IF($AL54:$AR54='Tablas Técnicas'!$L$10:$L$643,IF(D54="Primario",'Tablas Técnicas'!$E$10:$E$643,'Tablas Técnicas'!$F$10:$F$643)+IF(K54="Sostenimiento menor",'Tablas Técnicas'!$I$10:$I$643,IF(K54="sostenimiento mayor",'Tablas Técnicas'!$J$10:$J$643,0)),0),0)+VALUE(RIGHT(P54,2))+AU54+AV54</f>
        <v>0</v>
      </c>
      <c r="AU54" s="3132">
        <f>IFERROR(IF(V54=0,0,VALUE(MID(Q54,SEARCH("AGI",Q54)+4,1))),0)+IFERROR(IF(X54=0,0,VALUE(MID(Q54,SEARCH("CON",Q54)+4,1))),0)+IFERROR(IF(Z54=0,0,VALUE(MID(Q54,SEARCH("DES",Q54)+4,1))),0)+IFERROR(IF(AB54=0,0,VALUE(MID(Q54,SEARCH("FUE",Q54)+4,1))),0)+IFERROR(IF(AD54=0,0,VALUE(MID(Q54,SEARCH("POD",Q54)+4,1))),0)+IFERROR(IF(AF54=0,0,VALUE(MID(Q54,SEARCH("VOL",Q54)+4,1))),0)</f>
        <v>0</v>
      </c>
      <c r="AV54" s="3132">
        <f>(COUNTIF(AL54:AR54,"*Estado añadido:*")-1)*COUNTIF(AL54:AR54,"*Estado añadido:*")</f>
        <v>0</v>
      </c>
      <c r="AW54" s="3132">
        <f t="array" ref="AW54">SUM(IF($AL54:$AR54='Tablas Técnicas'!$L$10:$L$643,'Tablas Técnicas'!$G$10:$G$643,0))</f>
        <v>0</v>
      </c>
      <c r="AX54" s="3128" t="str">
        <f>IF(F54="","",F54&amp;" ("&amp;IF(AL54="","",SUBSTITUTE(AL54,F54,"")&amp;", ")&amp;IF(AM54="","",SUBSTITUTE(AM54,F54,"")&amp;", ")&amp;IF(AN54="","",SUBSTITUTE(AN54,F54,"")&amp;", ")&amp;IF(AO54="","",SUBSTITUTE(AO54,F54,"")&amp;", ")&amp;IF(AP54="","",SUBSTITUTE(AP54,F54,"")&amp;", ")&amp;IF(AQ54="","",SUBSTITUTE(AQ54,F54,"")&amp;", ")&amp;IF(AR54="","",SUBSTITUTE(AR54,F54,"")&amp;", ")&amp;IF(OR(K54="",K54="-"),"",K54&amp;", "))</f>
        <v/>
      </c>
      <c r="AY54" s="3128" t="str">
        <f>IFERROR(LEFT(AX54,LEN(AX54)-2)&amp;"), ","")</f>
        <v/>
      </c>
    </row>
    <row r="55" spans="1:51" ht="12.2" customHeight="1" x14ac:dyDescent="0.2">
      <c r="A55" s="2172"/>
      <c r="B55" s="2086">
        <f t="shared" si="0"/>
        <v>2</v>
      </c>
      <c r="C55" s="4584"/>
      <c r="D55" s="4635" t="s">
        <v>2818</v>
      </c>
      <c r="E55" s="4636"/>
      <c r="F55" s="4656"/>
      <c r="G55" s="4657"/>
      <c r="H55" s="4657"/>
      <c r="I55" s="4657"/>
      <c r="J55" s="4658"/>
      <c r="K55" s="4674"/>
      <c r="L55" s="4703"/>
      <c r="M55" s="4704"/>
      <c r="N55" s="1916" t="str">
        <f>IFERROR(INDEX('Tablas Técnicas'!$Q$200:$Q$301,MATCH(F55&amp;K55,'Tablas Técnicas'!$S$200:$S$301,0)),"")</f>
        <v/>
      </c>
      <c r="O55" s="4705"/>
      <c r="P55" s="4706"/>
      <c r="Q55" s="4707"/>
      <c r="R55" s="4706"/>
      <c r="S55" s="2745" t="str">
        <f>IFERROR("Nivel: "&amp;MAX(1,INDEX('Tablas Técnicas'!$R$200:$R$301,MATCH(F55&amp;K55,'Tablas Técnicas'!$S$200:$S$301,0))),"")</f>
        <v/>
      </c>
      <c r="T55" s="1917"/>
      <c r="U55" s="1918" t="str">
        <f>IFERROR("("&amp;VLOOKUP(F55,'Tablas Técnicas'!$O$165:$Q$192,3,FALSE)&amp;")","")</f>
        <v/>
      </c>
      <c r="V55" s="4644" t="s">
        <v>9619</v>
      </c>
      <c r="W55" s="4645"/>
      <c r="X55" s="4646"/>
      <c r="Y55" s="2527">
        <v>0</v>
      </c>
      <c r="Z55" s="4740" t="s">
        <v>8806</v>
      </c>
      <c r="AA55" s="4648"/>
      <c r="AB55" s="4649"/>
      <c r="AC55" s="2527">
        <v>0</v>
      </c>
      <c r="AD55" s="4741" t="str">
        <f>"Ki sin repartir: "&amp;AL63-AL64&amp;IF(AM63=0,""," ("&amp;AM63-AM64&amp;")")</f>
        <v>Ki sin repartir: 0</v>
      </c>
      <c r="AE55" s="4651"/>
      <c r="AF55" s="4651"/>
      <c r="AG55" s="4652"/>
      <c r="AH55" s="2180"/>
      <c r="AI55" s="4604"/>
      <c r="AJ55" s="3128">
        <v>1</v>
      </c>
      <c r="AK55" s="3128">
        <f>P46</f>
        <v>1</v>
      </c>
      <c r="AL55" s="3128" t="e">
        <f>VLOOKUP(F55,'Tablas Técnicas'!$O$165:$Q$188,2,FALSE)</f>
        <v>#N/A</v>
      </c>
      <c r="AM55" s="3128"/>
      <c r="AN55" s="3129"/>
      <c r="AO55" s="3128"/>
      <c r="AP55" s="3128"/>
      <c r="AQ55" s="3129"/>
      <c r="AR55" s="3128"/>
      <c r="AS55" s="3128"/>
      <c r="AT55" s="3128"/>
      <c r="AU55" s="3128"/>
      <c r="AV55" s="3128"/>
      <c r="AW55" s="3132"/>
      <c r="AX55" s="3132"/>
      <c r="AY55" s="3128" t="str">
        <f>IF(F55="","",F55&amp;IF(K55="",""," ("&amp;IF(F55="Atadura Elemental",O55&amp;IF(Q55="","",", "&amp;Q55),K55)&amp;")")&amp;", ")</f>
        <v/>
      </c>
    </row>
    <row r="56" spans="1:51" ht="12.2" customHeight="1" x14ac:dyDescent="0.2">
      <c r="A56" s="2172"/>
      <c r="B56" s="2086">
        <f t="shared" si="0"/>
        <v>2</v>
      </c>
      <c r="C56" s="4584"/>
      <c r="D56" s="4637"/>
      <c r="E56" s="4638"/>
      <c r="F56" s="4708"/>
      <c r="G56" s="4709"/>
      <c r="H56" s="4709"/>
      <c r="I56" s="4709"/>
      <c r="J56" s="4710"/>
      <c r="K56" s="4663"/>
      <c r="L56" s="4723"/>
      <c r="M56" s="4724"/>
      <c r="N56" s="1919" t="str">
        <f>IFERROR(INDEX('Tablas Técnicas'!$Q$200:$Q$301,MATCH(F56&amp;K56,'Tablas Técnicas'!$S$200:$S$301,0)),"")</f>
        <v/>
      </c>
      <c r="O56" s="4711"/>
      <c r="P56" s="4712"/>
      <c r="Q56" s="4713"/>
      <c r="R56" s="4712"/>
      <c r="S56" s="2747" t="str">
        <f>IFERROR("Nivel: "&amp;MAX(1,INDEX('Tablas Técnicas'!$R$200:$R$301,MATCH(F56&amp;K56,'Tablas Técnicas'!$S$200:$S$301,0))),"")</f>
        <v/>
      </c>
      <c r="T56" s="2528"/>
      <c r="U56" s="2529" t="str">
        <f>IFERROR("("&amp;VLOOKUP(F56,'Tablas Técnicas'!$O$165:$Q$192,3,FALSE)&amp;")","")</f>
        <v/>
      </c>
      <c r="V56" s="4653" t="str">
        <f>"Mod. "&amp;V48</f>
        <v>Mod. AGI</v>
      </c>
      <c r="W56" s="4654"/>
      <c r="X56" s="4653" t="str">
        <f>"Mod. "&amp;X48</f>
        <v>Mod. CON</v>
      </c>
      <c r="Y56" s="4654"/>
      <c r="Z56" s="4653" t="str">
        <f>"Mod. "&amp;Z48</f>
        <v>Mod. DES</v>
      </c>
      <c r="AA56" s="4654"/>
      <c r="AB56" s="4653" t="str">
        <f>"Mod. "&amp;AB48</f>
        <v>Mod. FUE</v>
      </c>
      <c r="AC56" s="4654"/>
      <c r="AD56" s="4653" t="str">
        <f>"Mod. "&amp;AD48</f>
        <v>Mod. POD</v>
      </c>
      <c r="AE56" s="4654"/>
      <c r="AF56" s="4653" t="str">
        <f>"Mod. "&amp;AF48</f>
        <v>Mod. VOL</v>
      </c>
      <c r="AG56" s="4655"/>
      <c r="AH56" s="2180"/>
      <c r="AI56" s="4604"/>
      <c r="AJ56" s="3128">
        <v>2</v>
      </c>
      <c r="AK56" s="3128">
        <f>P46</f>
        <v>1</v>
      </c>
      <c r="AL56" s="3128" t="e">
        <f>VLOOKUP(F56,'Tablas Técnicas'!$O$165:$Q$188,2,FALSE)</f>
        <v>#N/A</v>
      </c>
      <c r="AM56" s="3128"/>
      <c r="AN56" s="3129"/>
      <c r="AO56" s="3128"/>
      <c r="AP56" s="3128"/>
      <c r="AQ56" s="3129"/>
      <c r="AR56" s="3128"/>
      <c r="AS56" s="3128"/>
      <c r="AT56" s="3128"/>
      <c r="AU56" s="3128"/>
      <c r="AV56" s="3128"/>
      <c r="AW56" s="3132"/>
      <c r="AX56" s="3132"/>
      <c r="AY56" s="3128" t="str">
        <f>IF(F56="","",F56&amp;IF(K56="",""," ("&amp;IF(F56="Atadura Elemental",O56&amp;IF(Q56="","",", "&amp;Q56),K56)&amp;")")&amp;", ")</f>
        <v/>
      </c>
    </row>
    <row r="57" spans="1:51" ht="12.2" customHeight="1" thickBot="1" x14ac:dyDescent="0.25">
      <c r="A57" s="2172"/>
      <c r="B57" s="2086">
        <f t="shared" si="0"/>
        <v>2</v>
      </c>
      <c r="C57" s="4584"/>
      <c r="D57" s="4728"/>
      <c r="E57" s="4729"/>
      <c r="F57" s="4714"/>
      <c r="G57" s="4715"/>
      <c r="H57" s="4715"/>
      <c r="I57" s="4715"/>
      <c r="J57" s="4716"/>
      <c r="K57" s="4718"/>
      <c r="L57" s="4719"/>
      <c r="M57" s="4720"/>
      <c r="N57" s="1920" t="str">
        <f>IFERROR(INDEX('Tablas Técnicas'!$Q$200:$Q$301,MATCH(F57&amp;K57,'Tablas Técnicas'!$S$200:$S$301,0)),"")</f>
        <v/>
      </c>
      <c r="O57" s="4701"/>
      <c r="P57" s="4702"/>
      <c r="Q57" s="4717"/>
      <c r="R57" s="4702"/>
      <c r="S57" s="2746" t="str">
        <f>IFERROR("Nivel: "&amp;MAX(1,INDEX('Tablas Técnicas'!$R$200:$R$301,MATCH(F57&amp;K57,'Tablas Técnicas'!$S$200:$S$301,0))),"")</f>
        <v/>
      </c>
      <c r="T57" s="2530"/>
      <c r="U57" s="2531" t="str">
        <f>IFERROR("("&amp;VLOOKUP(F57,'Tablas Técnicas'!$O$165:$Q$192,3,FALSE)&amp;")","")</f>
        <v/>
      </c>
      <c r="V57" s="4610"/>
      <c r="W57" s="4608"/>
      <c r="X57" s="4608"/>
      <c r="Y57" s="4608"/>
      <c r="Z57" s="4608"/>
      <c r="AA57" s="4608"/>
      <c r="AB57" s="4608"/>
      <c r="AC57" s="4608"/>
      <c r="AD57" s="4608"/>
      <c r="AE57" s="4608"/>
      <c r="AF57" s="4608"/>
      <c r="AG57" s="4620"/>
      <c r="AH57" s="2180"/>
      <c r="AI57" s="4604"/>
      <c r="AJ57" s="3128">
        <v>3</v>
      </c>
      <c r="AK57" s="3128">
        <f>P46</f>
        <v>1</v>
      </c>
      <c r="AL57" s="3128" t="e">
        <f>VLOOKUP(F57,'Tablas Técnicas'!$O$165:$Q$188,2,FALSE)</f>
        <v>#N/A</v>
      </c>
      <c r="AM57" s="3128"/>
      <c r="AN57" s="3129"/>
      <c r="AO57" s="3128"/>
      <c r="AP57" s="3128"/>
      <c r="AQ57" s="3129"/>
      <c r="AR57" s="3132"/>
      <c r="AS57" s="3132"/>
      <c r="AT57" s="3132"/>
      <c r="AU57" s="3132"/>
      <c r="AV57" s="3132"/>
      <c r="AW57" s="3132"/>
      <c r="AX57" s="3132"/>
      <c r="AY57" s="3128" t="str">
        <f>IF(F57="","",F57&amp;IF(K57="",""," ("&amp;IF(F57="Atadura Elemental",O57&amp;IF(Q57="","",", "&amp;Q57),K57)&amp;")")&amp;", ")</f>
        <v/>
      </c>
    </row>
    <row r="58" spans="1:51" ht="12.2" customHeight="1" x14ac:dyDescent="0.2">
      <c r="A58" s="2172"/>
      <c r="B58" s="2086">
        <f t="shared" si="0"/>
        <v>2</v>
      </c>
      <c r="C58" s="4584"/>
      <c r="D58" s="4595" t="s">
        <v>9301</v>
      </c>
      <c r="E58" s="4596"/>
      <c r="F58" s="4596"/>
      <c r="G58" s="4596"/>
      <c r="H58" s="4596"/>
      <c r="I58" s="4596"/>
      <c r="J58" s="4596"/>
      <c r="K58" s="4596"/>
      <c r="L58" s="4596"/>
      <c r="M58" s="4596"/>
      <c r="N58" s="4596"/>
      <c r="O58" s="4596"/>
      <c r="P58" s="4596"/>
      <c r="Q58" s="4596"/>
      <c r="R58" s="4596"/>
      <c r="S58" s="4596"/>
      <c r="T58" s="4596"/>
      <c r="U58" s="4596"/>
      <c r="V58" s="4725"/>
      <c r="W58" s="4725"/>
      <c r="X58" s="4725"/>
      <c r="Y58" s="4725"/>
      <c r="Z58" s="4725"/>
      <c r="AA58" s="4725"/>
      <c r="AB58" s="4725"/>
      <c r="AC58" s="4725"/>
      <c r="AD58" s="4725"/>
      <c r="AE58" s="4725"/>
      <c r="AF58" s="4725"/>
      <c r="AG58" s="4598"/>
      <c r="AH58" s="2180"/>
      <c r="AI58" s="4604"/>
      <c r="AJ58" s="3128"/>
      <c r="AK58" s="3128"/>
      <c r="AL58" s="3128"/>
      <c r="AM58" s="3128"/>
      <c r="AN58" s="3129" t="s">
        <v>8807</v>
      </c>
      <c r="AO58" s="3128" t="e">
        <f>LEFT(AY50&amp;AY51&amp;AY52&amp;AY53&amp;AY54,LEN(AY50&amp;AY51&amp;AY52&amp;AY53&amp;AY54)-2)</f>
        <v>#VALUE!</v>
      </c>
      <c r="AP58" s="3128"/>
      <c r="AQ58" s="3129"/>
      <c r="AR58" s="3132"/>
      <c r="AS58" s="3132"/>
      <c r="AT58" s="3132"/>
      <c r="AU58" s="3129"/>
      <c r="AV58" s="3129"/>
      <c r="AW58" s="3132"/>
      <c r="AX58" s="3132"/>
      <c r="AY58" s="3128"/>
    </row>
    <row r="59" spans="1:51" ht="12.2" customHeight="1" x14ac:dyDescent="0.2">
      <c r="A59" s="2172"/>
      <c r="B59" s="2086">
        <f t="shared" si="0"/>
        <v>2</v>
      </c>
      <c r="C59" s="4584"/>
      <c r="D59" s="4599" t="str">
        <f>IF(F50="","",F50)</f>
        <v/>
      </c>
      <c r="E59" s="4600"/>
      <c r="F59" s="4600"/>
      <c r="G59" s="4600"/>
      <c r="H59" s="4600"/>
      <c r="I59" s="4601"/>
      <c r="J59" s="4599" t="str">
        <f>IF(F51="","",F51)</f>
        <v/>
      </c>
      <c r="K59" s="4600"/>
      <c r="L59" s="4600"/>
      <c r="M59" s="4600"/>
      <c r="N59" s="4600"/>
      <c r="O59" s="4601"/>
      <c r="P59" s="4600" t="str">
        <f>IF(F52="","",F52)</f>
        <v/>
      </c>
      <c r="Q59" s="4600"/>
      <c r="R59" s="4600"/>
      <c r="S59" s="4600"/>
      <c r="T59" s="4600"/>
      <c r="U59" s="4601"/>
      <c r="V59" s="4599" t="str">
        <f>IF(F53="","",F53)</f>
        <v/>
      </c>
      <c r="W59" s="4600"/>
      <c r="X59" s="4600"/>
      <c r="Y59" s="4600"/>
      <c r="Z59" s="4600"/>
      <c r="AA59" s="4601"/>
      <c r="AB59" s="4600" t="str">
        <f>IF(F54="","",F54)</f>
        <v/>
      </c>
      <c r="AC59" s="4600"/>
      <c r="AD59" s="4600"/>
      <c r="AE59" s="4600"/>
      <c r="AF59" s="4600"/>
      <c r="AG59" s="4623"/>
      <c r="AH59" s="2180"/>
      <c r="AI59" s="4604"/>
      <c r="AJ59" s="3128"/>
      <c r="AK59" s="3128"/>
      <c r="AL59" s="3128"/>
      <c r="AM59" s="3128"/>
      <c r="AN59" s="3129" t="s">
        <v>8808</v>
      </c>
      <c r="AO59" s="3128" t="e">
        <f>LEFT(AY55&amp;AY56&amp;AY57,LEN(AY55&amp;AY56&amp;AY57)-2)</f>
        <v>#VALUE!</v>
      </c>
      <c r="AP59" s="3128"/>
      <c r="AQ59" s="3129"/>
      <c r="AR59" s="3132"/>
      <c r="AS59" s="3132"/>
      <c r="AT59" s="3132"/>
      <c r="AU59" s="3129"/>
      <c r="AV59" s="3129"/>
      <c r="AW59" s="3132"/>
      <c r="AX59" s="3132"/>
      <c r="AY59" s="3128"/>
    </row>
    <row r="60" spans="1:51" ht="12.2" customHeight="1" x14ac:dyDescent="0.2">
      <c r="A60" s="2172"/>
      <c r="B60" s="2086">
        <f t="shared" si="0"/>
        <v>2</v>
      </c>
      <c r="C60" s="4584"/>
      <c r="D60" s="2031" t="s">
        <v>1835</v>
      </c>
      <c r="E60" s="2521" t="str">
        <f>IFERROR(VLOOKUP(D59,'Tablas Técnicas'!$O$9:$T$88,3,FALSE),"")</f>
        <v/>
      </c>
      <c r="F60" s="2532"/>
      <c r="G60" s="2533"/>
      <c r="H60" s="2533" t="s">
        <v>1363</v>
      </c>
      <c r="I60" s="2521" t="str">
        <f>IFERROR(VLOOKUP(D59,'Tablas Técnicas'!$O$9:$T$88,4,FALSE),"")</f>
        <v/>
      </c>
      <c r="J60" s="2031" t="s">
        <v>1835</v>
      </c>
      <c r="K60" s="2521" t="str">
        <f>IFERROR(VLOOKUP(J59,'Tablas Técnicas'!$O$9:$T$88,3,FALSE),"")</f>
        <v/>
      </c>
      <c r="L60" s="2532"/>
      <c r="M60" s="2533"/>
      <c r="N60" s="2533" t="s">
        <v>1363</v>
      </c>
      <c r="O60" s="1921" t="str">
        <f>IFERROR(VLOOKUP(J59,'Tablas Técnicas'!$O$9:$T$88,4,FALSE),"")</f>
        <v/>
      </c>
      <c r="P60" s="2533" t="s">
        <v>1835</v>
      </c>
      <c r="Q60" s="2521" t="str">
        <f>IFERROR(VLOOKUP(P59,'Tablas Técnicas'!$O$9:$T$88,3,FALSE),"")</f>
        <v/>
      </c>
      <c r="R60" s="2532"/>
      <c r="S60" s="2533"/>
      <c r="T60" s="2533" t="s">
        <v>1363</v>
      </c>
      <c r="U60" s="2521" t="str">
        <f>IFERROR(VLOOKUP(P59,'Tablas Técnicas'!$O$9:$T$88,4,FALSE),"")</f>
        <v/>
      </c>
      <c r="V60" s="2031" t="s">
        <v>1835</v>
      </c>
      <c r="W60" s="2521" t="str">
        <f>IFERROR(VLOOKUP(V59,'Tablas Técnicas'!$O$9:$T$88,3,FALSE),"")</f>
        <v/>
      </c>
      <c r="X60" s="2532"/>
      <c r="Y60" s="2533"/>
      <c r="Z60" s="2533" t="s">
        <v>1363</v>
      </c>
      <c r="AA60" s="1921" t="str">
        <f>IFERROR(VLOOKUP(V59,'Tablas Técnicas'!$O$9:$T$88,4,FALSE),"")</f>
        <v/>
      </c>
      <c r="AB60" s="2533" t="s">
        <v>1835</v>
      </c>
      <c r="AC60" s="2521" t="str">
        <f>IFERROR(VLOOKUP(AB59,'Tablas Técnicas'!$O$9:$T$88,3,FALSE),"")</f>
        <v/>
      </c>
      <c r="AD60" s="2532"/>
      <c r="AE60" s="2533"/>
      <c r="AF60" s="2533" t="s">
        <v>1363</v>
      </c>
      <c r="AG60" s="1922" t="str">
        <f>IFERROR(VLOOKUP(AB59,'Tablas Técnicas'!$O$9:$T$88,4,FALSE),"")</f>
        <v/>
      </c>
      <c r="AH60" s="2180"/>
      <c r="AI60" s="4604"/>
      <c r="AJ60" s="3128"/>
      <c r="AK60" s="3128"/>
      <c r="AL60" s="3128"/>
      <c r="AM60" s="3128"/>
      <c r="AN60" s="3129"/>
      <c r="AO60" s="3128"/>
      <c r="AP60" s="3128"/>
      <c r="AQ60" s="3129"/>
      <c r="AR60" s="3132"/>
      <c r="AS60" s="3132"/>
      <c r="AT60" s="3132"/>
      <c r="AU60" s="3132"/>
      <c r="AV60" s="3132"/>
      <c r="AW60" s="3132"/>
      <c r="AX60" s="3132"/>
      <c r="AY60" s="3128"/>
    </row>
    <row r="61" spans="1:51" ht="12.2" customHeight="1" x14ac:dyDescent="0.2">
      <c r="A61" s="2172"/>
      <c r="B61" s="2086">
        <f t="shared" si="0"/>
        <v>2</v>
      </c>
      <c r="C61" s="4584"/>
      <c r="D61" s="2032" t="s">
        <v>8809</v>
      </c>
      <c r="E61" s="2533"/>
      <c r="F61" s="2532"/>
      <c r="G61" s="2534"/>
      <c r="H61" s="2534"/>
      <c r="I61" s="2531" t="str">
        <f>IFERROR(IF(D59="Ataque Elemental",IF(NOT(ISNA(VLOOKUP(D63,'Tablas Técnicas'!$O$100:$O$105,1,0))),D63,"Variable"),VLOOKUP(D59,'Tablas Técnicas'!$O$9:$W$88,9,FALSE)),"")</f>
        <v/>
      </c>
      <c r="J61" s="2535" t="s">
        <v>8809</v>
      </c>
      <c r="K61" s="2536"/>
      <c r="L61" s="2537"/>
      <c r="M61" s="2538"/>
      <c r="N61" s="2538"/>
      <c r="O61" s="2539" t="str">
        <f>IFERROR(IF(J59="Ataque Elemental",IF(NOT(ISNA(VLOOKUP(J63,'Tablas Técnicas'!$O$100:$O$105,1,0))),J63,"Variable"),VLOOKUP(J59,'Tablas Técnicas'!$O$9:$W$88,9,FALSE)),"")</f>
        <v/>
      </c>
      <c r="P61" s="2540" t="s">
        <v>8809</v>
      </c>
      <c r="Q61" s="2536"/>
      <c r="R61" s="2537"/>
      <c r="S61" s="2538"/>
      <c r="T61" s="2538"/>
      <c r="U61" s="2531" t="str">
        <f>IFERROR(IF(P59="Ataque Elemental",IF(NOT(ISNA(VLOOKUP(P63,'Tablas Técnicas'!$O$100:$O$105,1,0))),P63,"Variable"),VLOOKUP(P59,'Tablas Técnicas'!$O$9:$W$88,9,FALSE)),"")</f>
        <v/>
      </c>
      <c r="V61" s="2535" t="s">
        <v>8809</v>
      </c>
      <c r="W61" s="2536"/>
      <c r="X61" s="2537"/>
      <c r="Y61" s="2538"/>
      <c r="Z61" s="2538"/>
      <c r="AA61" s="2539" t="str">
        <f>IFERROR(IF(V59="Ataque Elemental",IF(NOT(ISNA(VLOOKUP(V63,'Tablas Técnicas'!$O$100:$O$105,1,0))),V63,"Variable"),VLOOKUP(V59,'Tablas Técnicas'!$O$9:$W$88,9,FALSE)),"")</f>
        <v/>
      </c>
      <c r="AB61" s="2540" t="s">
        <v>8809</v>
      </c>
      <c r="AC61" s="2536"/>
      <c r="AD61" s="2537"/>
      <c r="AE61" s="2538"/>
      <c r="AF61" s="2538"/>
      <c r="AG61" s="2037" t="str">
        <f>IFERROR(IF(AB59="Ataque Elemental",IF(NOT(ISNA(VLOOKUP(AB63,'Tablas Técnicas'!$O$100:$O$105,1,0))),AB63,"Variable"),VLOOKUP(AB59,'Tablas Técnicas'!$O$9:$W$88,9,FALSE)),"")</f>
        <v/>
      </c>
      <c r="AH61" s="2180"/>
      <c r="AI61" s="4604"/>
      <c r="AJ61" s="3128"/>
      <c r="AK61" s="3132" t="s">
        <v>1373</v>
      </c>
      <c r="AL61" s="3132" t="s">
        <v>1497</v>
      </c>
      <c r="AM61" s="3132" t="s">
        <v>1378</v>
      </c>
      <c r="AN61" s="3132" t="s">
        <v>1383</v>
      </c>
      <c r="AO61" s="3132" t="s">
        <v>1390</v>
      </c>
      <c r="AP61" s="3132" t="s">
        <v>1391</v>
      </c>
      <c r="AQ61" s="3129"/>
      <c r="AR61" s="3132"/>
      <c r="AS61" s="3132"/>
      <c r="AT61" s="3132"/>
      <c r="AU61" s="3132"/>
      <c r="AV61" s="3132"/>
      <c r="AW61" s="3132"/>
      <c r="AX61" s="3132"/>
      <c r="AY61" s="3128"/>
    </row>
    <row r="62" spans="1:51" ht="12.2" customHeight="1" x14ac:dyDescent="0.2">
      <c r="A62" s="2172"/>
      <c r="B62" s="2086">
        <f t="shared" si="0"/>
        <v>2</v>
      </c>
      <c r="C62" s="4584"/>
      <c r="D62" s="4599" t="s">
        <v>2826</v>
      </c>
      <c r="E62" s="4600"/>
      <c r="F62" s="4600"/>
      <c r="G62" s="4600"/>
      <c r="H62" s="4601"/>
      <c r="I62" s="1925" t="s">
        <v>1402</v>
      </c>
      <c r="J62" s="4599" t="s">
        <v>2826</v>
      </c>
      <c r="K62" s="4600"/>
      <c r="L62" s="4600"/>
      <c r="M62" s="4600"/>
      <c r="N62" s="4601"/>
      <c r="O62" s="1926" t="s">
        <v>1402</v>
      </c>
      <c r="P62" s="4599" t="s">
        <v>2826</v>
      </c>
      <c r="Q62" s="4600"/>
      <c r="R62" s="4600"/>
      <c r="S62" s="4600"/>
      <c r="T62" s="4601"/>
      <c r="U62" s="1926" t="s">
        <v>1402</v>
      </c>
      <c r="V62" s="4599"/>
      <c r="W62" s="4600"/>
      <c r="X62" s="4600"/>
      <c r="Y62" s="4600"/>
      <c r="Z62" s="4601"/>
      <c r="AA62" s="1926" t="s">
        <v>1402</v>
      </c>
      <c r="AB62" s="4599" t="s">
        <v>2826</v>
      </c>
      <c r="AC62" s="4600"/>
      <c r="AD62" s="4600"/>
      <c r="AE62" s="4600"/>
      <c r="AF62" s="4601"/>
      <c r="AG62" s="1927" t="s">
        <v>1402</v>
      </c>
      <c r="AH62" s="2180"/>
      <c r="AI62" s="4604"/>
      <c r="AJ62" s="3133" t="s">
        <v>9338</v>
      </c>
      <c r="AK62" s="3128" t="str">
        <f>IF(V48="","",IF(SUM(V50:V54)=0,"",V48&amp;" "&amp;SUM(V50:V54)+V57&amp;IF(SUM(W50:W54)=0,""," ("&amp;SUM(W50:W54)&amp;")")&amp;", "))</f>
        <v/>
      </c>
      <c r="AL62" s="3128" t="str">
        <f>IF(X48="","",IF(SUM(X50:X54)=0,"",X48&amp;" "&amp;SUM(X50:X54)+X57&amp;IF(SUM(Y50:Y54)=0,""," ("&amp;SUM(Y50:Y54)&amp;")")&amp;", "))</f>
        <v/>
      </c>
      <c r="AM62" s="3128" t="str">
        <f>IF(Z48="","",IF(SUM(Z50:Z54)=0,"",Z48&amp;" "&amp;SUM(Z50:Z54)+Z57&amp;IF(SUM(AA50:AA54)=0,""," ("&amp;SUM(AA50:AA54)&amp;")")&amp;", "))</f>
        <v/>
      </c>
      <c r="AN62" s="3128" t="str">
        <f>IF(AB48="","",IF(SUM(AB50:AB54)=0,"",AB48&amp;" "&amp;SUM(AB50:AB54)+AB57&amp;IF(SUM(AC50:AC54)=0,""," ("&amp;SUM(AC50:AC54)&amp;")")&amp;", "))</f>
        <v/>
      </c>
      <c r="AO62" s="3128" t="str">
        <f>IF(AD48="","",IF(SUM(AD50:AD54)=0,"",AD48&amp;" "&amp;SUM(AD50:AD54)+AD57&amp;IF(SUM(AE50:AE54)=0,""," ("&amp;SUM(AE50:AE54)&amp;")")&amp;", "))</f>
        <v/>
      </c>
      <c r="AP62" s="3128" t="str">
        <f>IF(AF48="","",IF(SUM(AF50:AF54)=0,"",AF48&amp;" "&amp;SUM(AF50:AF54)+AF57&amp;IF(SUM(AG50:AG54)=0,""," ("&amp;SUM(AG50:AG54)&amp;")")&amp;", "))</f>
        <v/>
      </c>
      <c r="AQ62" s="3128"/>
      <c r="AR62" s="3128"/>
      <c r="AS62" s="3128"/>
      <c r="AT62" s="3128"/>
      <c r="AU62" s="3128"/>
      <c r="AV62" s="3128"/>
      <c r="AW62" s="3128"/>
      <c r="AX62" s="3128"/>
      <c r="AY62" s="3128"/>
    </row>
    <row r="63" spans="1:51" ht="12.2" customHeight="1" x14ac:dyDescent="0.2">
      <c r="A63" s="2172"/>
      <c r="B63" s="2086">
        <f t="shared" si="0"/>
        <v>2</v>
      </c>
      <c r="C63" s="4584"/>
      <c r="D63" s="4621"/>
      <c r="E63" s="4619"/>
      <c r="F63" s="4619"/>
      <c r="G63" s="4619"/>
      <c r="H63" s="4619"/>
      <c r="I63" s="1928" t="str">
        <f>IF(OR(D59="",D63=""),"",MAX(1,SUMPRODUCT(--(INDEX('Tablas Técnicas'!$C$10:$L$643,,1)=D59),--(INDEX('Tablas Técnicas'!$C$10:$L$643,,2)=D63),INDEX('Tablas Técnicas'!$C$10:$L$643,,9))))</f>
        <v/>
      </c>
      <c r="J63" s="4618"/>
      <c r="K63" s="4619"/>
      <c r="L63" s="4619"/>
      <c r="M63" s="4619"/>
      <c r="N63" s="4619"/>
      <c r="O63" s="1928" t="str">
        <f>IF(OR(J59="",J63=""),"",MAX(1,SUMPRODUCT(--(INDEX('Tablas Técnicas'!$C$10:$L$643,,1)=J59),--(INDEX('Tablas Técnicas'!$C$10:$L$643,,2)=J63),INDEX('Tablas Técnicas'!$C$10:$L$643,,9))))</f>
        <v/>
      </c>
      <c r="P63" s="4618"/>
      <c r="Q63" s="4619"/>
      <c r="R63" s="4619"/>
      <c r="S63" s="4619"/>
      <c r="T63" s="4619"/>
      <c r="U63" s="1928" t="str">
        <f>IF(OR(P59="",P63=""),"",MAX(1,SUMPRODUCT(--(INDEX('Tablas Técnicas'!$C$10:$L$643,,1)=P59),--(INDEX('Tablas Técnicas'!$C$10:$L$643,,2)=P63),INDEX('Tablas Técnicas'!$C$10:$L$643,,9))))</f>
        <v/>
      </c>
      <c r="V63" s="4618"/>
      <c r="W63" s="4619"/>
      <c r="X63" s="4619"/>
      <c r="Y63" s="4619"/>
      <c r="Z63" s="4619"/>
      <c r="AA63" s="1928" t="str">
        <f>IF(OR(V59="",V63=""),"",MAX(1,SUMPRODUCT(--(INDEX('Tablas Técnicas'!$C$10:$L$643,,1)=V59),--(INDEX('Tablas Técnicas'!$C$10:$L$643,,2)=V63),INDEX('Tablas Técnicas'!$C$10:$L$643,,9))))</f>
        <v/>
      </c>
      <c r="AB63" s="4618"/>
      <c r="AC63" s="4619"/>
      <c r="AD63" s="4619"/>
      <c r="AE63" s="4619"/>
      <c r="AF63" s="4619"/>
      <c r="AG63" s="1929" t="str">
        <f>IF(OR(AB59="",AB63=""),"",MAX(1,SUMPRODUCT(--(INDEX('Tablas Técnicas'!$C$10:$L$643,,1)=AB59),--(INDEX('Tablas Técnicas'!$C$10:$L$643,,2)=AB63),INDEX('Tablas Técnicas'!$C$10:$L$643,,9))))</f>
        <v/>
      </c>
      <c r="AH63" s="2180">
        <f>P46</f>
        <v>1</v>
      </c>
      <c r="AI63" s="4604"/>
      <c r="AJ63" s="3128" t="s">
        <v>9302</v>
      </c>
      <c r="AK63" s="3128"/>
      <c r="AL63" s="3128">
        <f>MAX(0,SUM(AT50:AT54)+ABS($AC55*2/5))+IF(AM72,0,Y55)+IF(S46="Sí",3*P46,0)</f>
        <v>0</v>
      </c>
      <c r="AM63" s="3128">
        <f t="array" ref="AM63">IF(ISNUMBER(SEARCH("Mantenido",K50&amp;K51&amp;K52&amp;K53&amp;K54)),MAX(0,SUM(VALUE(RIGHT($P50:$P54,2)))),0)</f>
        <v>0</v>
      </c>
      <c r="AN63" s="3132"/>
      <c r="AO63" s="3132"/>
      <c r="AP63" s="3135"/>
      <c r="AQ63" s="3135"/>
      <c r="AR63" s="3135"/>
      <c r="AS63" s="3135"/>
      <c r="AT63" s="3135"/>
      <c r="AU63" s="3135"/>
      <c r="AV63" s="3135"/>
      <c r="AW63" s="3135"/>
      <c r="AX63" s="3135"/>
      <c r="AY63" s="3128"/>
    </row>
    <row r="64" spans="1:51" ht="12.2" customHeight="1" x14ac:dyDescent="0.2">
      <c r="A64" s="2172"/>
      <c r="B64" s="2086">
        <f t="shared" si="0"/>
        <v>2</v>
      </c>
      <c r="C64" s="4584"/>
      <c r="D64" s="4602"/>
      <c r="E64" s="4603"/>
      <c r="F64" s="4603"/>
      <c r="G64" s="4603"/>
      <c r="H64" s="4603"/>
      <c r="I64" s="1930" t="str">
        <f>IF(OR(D59="",D64=""),"",MAX(1,SUMPRODUCT(--(INDEX('Tablas Técnicas'!$C$10:$L$643,,1)=D59),--(INDEX('Tablas Técnicas'!$C$10:$L$643,,2)=D64),INDEX('Tablas Técnicas'!$C$10:$L$643,,9))))</f>
        <v/>
      </c>
      <c r="J64" s="4602"/>
      <c r="K64" s="4603"/>
      <c r="L64" s="4603"/>
      <c r="M64" s="4603"/>
      <c r="N64" s="4603"/>
      <c r="O64" s="1930" t="str">
        <f>IF(OR(J59="",J64=""),"",MAX(1,SUMPRODUCT(--(INDEX('Tablas Técnicas'!$C$10:$L$643,,1)=J59),--(INDEX('Tablas Técnicas'!$C$10:$L$643,,2)=J64),INDEX('Tablas Técnicas'!$C$10:$L$643,,9))))</f>
        <v/>
      </c>
      <c r="P64" s="4602"/>
      <c r="Q64" s="4603"/>
      <c r="R64" s="4603"/>
      <c r="S64" s="4603"/>
      <c r="T64" s="4603"/>
      <c r="U64" s="1930" t="str">
        <f>IF(OR(P59="",P64=""),"",MAX(1,SUMPRODUCT(--(INDEX('Tablas Técnicas'!$C$10:$L$643,,1)=P59),--(INDEX('Tablas Técnicas'!$C$10:$L$643,,2)=P64),INDEX('Tablas Técnicas'!$C$10:$L$643,,9))))</f>
        <v/>
      </c>
      <c r="V64" s="4602"/>
      <c r="W64" s="4603"/>
      <c r="X64" s="4603"/>
      <c r="Y64" s="4603"/>
      <c r="Z64" s="4603"/>
      <c r="AA64" s="1930" t="str">
        <f>IF(OR(V59="",V64=""),"",MAX(1,SUMPRODUCT(--(INDEX('Tablas Técnicas'!$C$10:$L$643,,1)=V59),--(INDEX('Tablas Técnicas'!$C$10:$L$643,,2)=V64),INDEX('Tablas Técnicas'!$C$10:$L$643,,9))))</f>
        <v/>
      </c>
      <c r="AB64" s="4602"/>
      <c r="AC64" s="4603"/>
      <c r="AD64" s="4603"/>
      <c r="AE64" s="4603"/>
      <c r="AF64" s="4603"/>
      <c r="AG64" s="1931" t="str">
        <f>IF(OR(AB59="",AB64=""),"",MAX(1,SUMPRODUCT(--(INDEX('Tablas Técnicas'!$C$10:$L$643,,1)=AB59),--(INDEX('Tablas Técnicas'!$C$10:$L$643,,2)=AB64),INDEX('Tablas Técnicas'!$C$10:$L$643,,9))))</f>
        <v/>
      </c>
      <c r="AH64" s="2180">
        <f>P46</f>
        <v>1</v>
      </c>
      <c r="AI64" s="4604"/>
      <c r="AJ64" s="3128" t="s">
        <v>8811</v>
      </c>
      <c r="AK64" s="3128"/>
      <c r="AL64" s="3128">
        <f>SUM(V50:V54,X50:X54,Z50:Z54,AB50:AB54,AD50:AD54,AF50:AF54)+SUM(V57:AG57)</f>
        <v>0</v>
      </c>
      <c r="AM64" s="3128">
        <f>SUM(W50:W54,Y50:Y54,AA50:AA54,AC50:AC54,AE50:AE54,AG50:AG54)</f>
        <v>0</v>
      </c>
      <c r="AN64" s="3128"/>
      <c r="AO64" s="3128"/>
      <c r="AP64" s="3128"/>
      <c r="AQ64" s="3128"/>
      <c r="AR64" s="3128"/>
      <c r="AS64" s="3128"/>
      <c r="AT64" s="3128"/>
      <c r="AU64" s="3128"/>
      <c r="AV64" s="3128"/>
      <c r="AW64" s="3132"/>
      <c r="AX64" s="3128"/>
      <c r="AY64" s="3128"/>
    </row>
    <row r="65" spans="1:51" ht="12.2" customHeight="1" x14ac:dyDescent="0.2">
      <c r="A65" s="2172"/>
      <c r="B65" s="2086">
        <f t="shared" si="0"/>
        <v>2</v>
      </c>
      <c r="C65" s="4584"/>
      <c r="D65" s="4602"/>
      <c r="E65" s="4603"/>
      <c r="F65" s="4603"/>
      <c r="G65" s="4603"/>
      <c r="H65" s="4603"/>
      <c r="I65" s="1930" t="str">
        <f>IF(OR(D59="",D65=""),"",MAX(1,SUMPRODUCT(--(INDEX('Tablas Técnicas'!$C$10:$L$643,,1)=D59),--(INDEX('Tablas Técnicas'!$C$10:$L$643,,2)=D65),INDEX('Tablas Técnicas'!$C$10:$L$643,,9))))</f>
        <v/>
      </c>
      <c r="J65" s="4602"/>
      <c r="K65" s="4603"/>
      <c r="L65" s="4603"/>
      <c r="M65" s="4603"/>
      <c r="N65" s="4603"/>
      <c r="O65" s="1930" t="str">
        <f>IF(OR(J59="",J65=""),"",MAX(1,SUMPRODUCT(--(INDEX('Tablas Técnicas'!$C$10:$L$643,,1)=J59),--(INDEX('Tablas Técnicas'!$C$10:$L$643,,2)=J65),INDEX('Tablas Técnicas'!$C$10:$L$643,,9))))</f>
        <v/>
      </c>
      <c r="P65" s="4602"/>
      <c r="Q65" s="4603"/>
      <c r="R65" s="4603"/>
      <c r="S65" s="4603"/>
      <c r="T65" s="4603"/>
      <c r="U65" s="1930" t="str">
        <f>IF(OR(P59="",P65=""),"",MAX(1,SUMPRODUCT(--(INDEX('Tablas Técnicas'!$C$10:$L$643,,1)=P59),--(INDEX('Tablas Técnicas'!$C$10:$L$643,,2)=P65),INDEX('Tablas Técnicas'!$C$10:$L$643,,9))))</f>
        <v/>
      </c>
      <c r="V65" s="4602"/>
      <c r="W65" s="4603"/>
      <c r="X65" s="4603"/>
      <c r="Y65" s="4603"/>
      <c r="Z65" s="4603"/>
      <c r="AA65" s="1930" t="str">
        <f>IF(OR(V59="",V65=""),"",MAX(1,SUMPRODUCT(--(INDEX('Tablas Técnicas'!$C$10:$L$643,,1)=V59),--(INDEX('Tablas Técnicas'!$C$10:$L$643,,2)=V65),INDEX('Tablas Técnicas'!$C$10:$L$643,,9))))</f>
        <v/>
      </c>
      <c r="AB65" s="4602"/>
      <c r="AC65" s="4603"/>
      <c r="AD65" s="4603"/>
      <c r="AE65" s="4603"/>
      <c r="AF65" s="4603"/>
      <c r="AG65" s="1931" t="str">
        <f>IF(OR(AB59="",AB65=""),"",MAX(1,SUMPRODUCT(--(INDEX('Tablas Técnicas'!$C$10:$L$643,,1)=AB59),--(INDEX('Tablas Técnicas'!$C$10:$L$643,,2)=AB65),INDEX('Tablas Técnicas'!$C$10:$L$643,,9))))</f>
        <v/>
      </c>
      <c r="AH65" s="2180">
        <f>P46</f>
        <v>1</v>
      </c>
      <c r="AI65" s="4604"/>
      <c r="AJ65" s="3128"/>
      <c r="AK65" s="3128"/>
      <c r="AL65" s="3128"/>
      <c r="AM65" s="3128"/>
      <c r="AN65" s="3128"/>
      <c r="AO65" s="3128"/>
      <c r="AP65" s="3128"/>
      <c r="AQ65" s="3128"/>
      <c r="AR65" s="3128"/>
      <c r="AS65" s="3128"/>
      <c r="AT65" s="3128"/>
      <c r="AU65" s="3128"/>
      <c r="AV65" s="3128"/>
      <c r="AW65" s="3132"/>
      <c r="AX65" s="3132"/>
      <c r="AY65" s="3128"/>
    </row>
    <row r="66" spans="1:51" ht="12.2" customHeight="1" x14ac:dyDescent="0.2">
      <c r="A66" s="2172"/>
      <c r="B66" s="2086">
        <f t="shared" si="0"/>
        <v>2</v>
      </c>
      <c r="C66" s="4584"/>
      <c r="D66" s="4602"/>
      <c r="E66" s="4603"/>
      <c r="F66" s="4603"/>
      <c r="G66" s="4603"/>
      <c r="H66" s="4603"/>
      <c r="I66" s="1930" t="str">
        <f>IF(OR(D59="",D66=""),"",MAX(1,SUMPRODUCT(--(INDEX('Tablas Técnicas'!$C$10:$L$643,,1)=D59),--(INDEX('Tablas Técnicas'!$C$10:$L$643,,2)=D66),INDEX('Tablas Técnicas'!$C$10:$L$643,,9))))</f>
        <v/>
      </c>
      <c r="J66" s="4602"/>
      <c r="K66" s="4603"/>
      <c r="L66" s="4603"/>
      <c r="M66" s="4603"/>
      <c r="N66" s="4603"/>
      <c r="O66" s="1930" t="str">
        <f>IF(OR(J59="",J66=""),"",MAX(1,SUMPRODUCT(--(INDEX('Tablas Técnicas'!$C$10:$L$643,,1)=J59),--(INDEX('Tablas Técnicas'!$C$10:$L$643,,2)=J66),INDEX('Tablas Técnicas'!$C$10:$L$643,,9))))</f>
        <v/>
      </c>
      <c r="P66" s="4602"/>
      <c r="Q66" s="4603"/>
      <c r="R66" s="4603"/>
      <c r="S66" s="4603"/>
      <c r="T66" s="4603"/>
      <c r="U66" s="1930" t="str">
        <f>IF(OR(P59="",P66=""),"",MAX(1,SUMPRODUCT(--(INDEX('Tablas Técnicas'!$C$10:$L$643,,1)=P59),--(INDEX('Tablas Técnicas'!$C$10:$L$643,,2)=P66),INDEX('Tablas Técnicas'!$C$10:$L$643,,9))))</f>
        <v/>
      </c>
      <c r="V66" s="4602"/>
      <c r="W66" s="4603"/>
      <c r="X66" s="4603"/>
      <c r="Y66" s="4603"/>
      <c r="Z66" s="4603"/>
      <c r="AA66" s="1930" t="str">
        <f>IF(OR(V59="",V66=""),"",MAX(1,SUMPRODUCT(--(INDEX('Tablas Técnicas'!$C$10:$L$643,,1)=V59),--(INDEX('Tablas Técnicas'!$C$10:$L$643,,2)=V66),INDEX('Tablas Técnicas'!$C$10:$L$643,,9))))</f>
        <v/>
      </c>
      <c r="AB66" s="4602"/>
      <c r="AC66" s="4603"/>
      <c r="AD66" s="4603"/>
      <c r="AE66" s="4603"/>
      <c r="AF66" s="4603"/>
      <c r="AG66" s="1931" t="str">
        <f>IF(OR(AB59="",AB66=""),"",MAX(1,SUMPRODUCT(--(INDEX('Tablas Técnicas'!$C$10:$L$643,,1)=AB59),--(INDEX('Tablas Técnicas'!$C$10:$L$643,,2)=AB66),INDEX('Tablas Técnicas'!$C$10:$L$643,,9))))</f>
        <v/>
      </c>
      <c r="AH66" s="2180">
        <f>P46</f>
        <v>1</v>
      </c>
      <c r="AI66" s="4604"/>
      <c r="AJ66" s="3128" t="s">
        <v>8812</v>
      </c>
      <c r="AK66" s="3128"/>
      <c r="AL66" s="3128"/>
      <c r="AM66" s="3128"/>
      <c r="AN66" s="3128"/>
      <c r="AO66" s="3128"/>
      <c r="AP66" s="3128"/>
      <c r="AQ66" s="3129"/>
      <c r="AR66" s="3132"/>
      <c r="AS66" s="3132"/>
      <c r="AT66" s="3132"/>
      <c r="AU66" s="3132"/>
      <c r="AV66" s="3132"/>
      <c r="AW66" s="3132"/>
      <c r="AX66" s="3132"/>
      <c r="AY66" s="3128"/>
    </row>
    <row r="67" spans="1:51" ht="12.2" customHeight="1" x14ac:dyDescent="0.2">
      <c r="A67" s="2172"/>
      <c r="B67" s="2086">
        <f t="shared" si="0"/>
        <v>2</v>
      </c>
      <c r="C67" s="4584"/>
      <c r="D67" s="4602"/>
      <c r="E67" s="4603"/>
      <c r="F67" s="4603"/>
      <c r="G67" s="4603"/>
      <c r="H67" s="4603"/>
      <c r="I67" s="1930" t="str">
        <f>IF(OR(D59="",D67=""),"",MAX(1,SUMPRODUCT(--(INDEX('Tablas Técnicas'!$C$10:$L$643,,1)=D59),--(INDEX('Tablas Técnicas'!$C$10:$L$643,,2)=D67),INDEX('Tablas Técnicas'!$C$10:$L$643,,9))))</f>
        <v/>
      </c>
      <c r="J67" s="4602"/>
      <c r="K67" s="4603"/>
      <c r="L67" s="4603"/>
      <c r="M67" s="4603"/>
      <c r="N67" s="4603"/>
      <c r="O67" s="1930" t="str">
        <f>IF(OR(J59="",J67=""),"",MAX(1,SUMPRODUCT(--(INDEX('Tablas Técnicas'!$C$10:$L$643,,1)=J59),--(INDEX('Tablas Técnicas'!$C$10:$L$643,,2)=J67),INDEX('Tablas Técnicas'!$C$10:$L$643,,9))))</f>
        <v/>
      </c>
      <c r="P67" s="4602"/>
      <c r="Q67" s="4603"/>
      <c r="R67" s="4603"/>
      <c r="S67" s="4603"/>
      <c r="T67" s="4603"/>
      <c r="U67" s="1930" t="str">
        <f>IF(OR(P59="",P67=""),"",MAX(1,SUMPRODUCT(--(INDEX('Tablas Técnicas'!$C$10:$L$643,,1)=P59),--(INDEX('Tablas Técnicas'!$C$10:$L$643,,2)=P67),INDEX('Tablas Técnicas'!$C$10:$L$643,,9))))</f>
        <v/>
      </c>
      <c r="V67" s="4602"/>
      <c r="W67" s="4603"/>
      <c r="X67" s="4603"/>
      <c r="Y67" s="4603"/>
      <c r="Z67" s="4603"/>
      <c r="AA67" s="1930" t="str">
        <f>IF(OR(V59="",V67=""),"",MAX(1,SUMPRODUCT(--(INDEX('Tablas Técnicas'!$C$10:$L$643,,1)=V59),--(INDEX('Tablas Técnicas'!$C$10:$L$643,,2)=V67),INDEX('Tablas Técnicas'!$C$10:$L$643,,9))))</f>
        <v/>
      </c>
      <c r="AB67" s="4602"/>
      <c r="AC67" s="4603"/>
      <c r="AD67" s="4603"/>
      <c r="AE67" s="4603"/>
      <c r="AF67" s="4603"/>
      <c r="AG67" s="1931" t="str">
        <f>IF(OR(AB59="",AB67=""),"",MAX(1,SUMPRODUCT(--(INDEX('Tablas Técnicas'!$C$10:$L$643,,1)=AB59),--(INDEX('Tablas Técnicas'!$C$10:$L$643,,2)=AB67),INDEX('Tablas Técnicas'!$C$10:$L$643,,9))))</f>
        <v/>
      </c>
      <c r="AH67" s="2180">
        <f>P46</f>
        <v>1</v>
      </c>
      <c r="AI67" s="4604"/>
      <c r="AJ67" s="3128" t="s">
        <v>9965</v>
      </c>
      <c r="AK67" s="3128"/>
      <c r="AL67" s="3128"/>
      <c r="AM67" s="3128" t="b">
        <f>U46&gt;IF(P46=3,200,IF(P46=2,100,50))</f>
        <v>0</v>
      </c>
      <c r="AN67" s="3128"/>
      <c r="AO67" s="3128"/>
      <c r="AP67" s="3128"/>
      <c r="AQ67" s="3128"/>
      <c r="AR67" s="3132"/>
      <c r="AS67" s="3132"/>
      <c r="AT67" s="3132"/>
      <c r="AU67" s="3132"/>
      <c r="AV67" s="3132"/>
      <c r="AW67" s="3132"/>
      <c r="AX67" s="3132"/>
      <c r="AY67" s="3128"/>
    </row>
    <row r="68" spans="1:51" ht="12.2" customHeight="1" x14ac:dyDescent="0.2">
      <c r="A68" s="2172"/>
      <c r="B68" s="2086">
        <f t="shared" si="0"/>
        <v>2</v>
      </c>
      <c r="C68" s="4584"/>
      <c r="D68" s="4602"/>
      <c r="E68" s="4603"/>
      <c r="F68" s="4603"/>
      <c r="G68" s="4603"/>
      <c r="H68" s="4603"/>
      <c r="I68" s="1930" t="str">
        <f>IF(OR(D59="",D68=""),"",MAX(1,SUMPRODUCT(--(INDEX('Tablas Técnicas'!$C$10:$L$643,,1)=D59),--(INDEX('Tablas Técnicas'!$C$10:$L$643,,2)=D68),INDEX('Tablas Técnicas'!$C$10:$L$643,,9))))</f>
        <v/>
      </c>
      <c r="J68" s="4602"/>
      <c r="K68" s="4603"/>
      <c r="L68" s="4603"/>
      <c r="M68" s="4603"/>
      <c r="N68" s="4603"/>
      <c r="O68" s="1930" t="str">
        <f>IF(OR(J59="",J68=""),"",MAX(1,SUMPRODUCT(--(INDEX('Tablas Técnicas'!$C$10:$L$643,,1)=J59),--(INDEX('Tablas Técnicas'!$C$10:$L$643,,2)=J68),INDEX('Tablas Técnicas'!$C$10:$L$643,,9))))</f>
        <v/>
      </c>
      <c r="P68" s="4602"/>
      <c r="Q68" s="4603"/>
      <c r="R68" s="4603"/>
      <c r="S68" s="4603"/>
      <c r="T68" s="4603"/>
      <c r="U68" s="1930" t="str">
        <f>IF(OR(P59="",P68=""),"",MAX(1,SUMPRODUCT(--(INDEX('Tablas Técnicas'!$C$10:$L$643,,1)=P59),--(INDEX('Tablas Técnicas'!$C$10:$L$643,,2)=P68),INDEX('Tablas Técnicas'!$C$10:$L$643,,9))))</f>
        <v/>
      </c>
      <c r="V68" s="4602"/>
      <c r="W68" s="4603"/>
      <c r="X68" s="4603"/>
      <c r="Y68" s="4603"/>
      <c r="Z68" s="4603"/>
      <c r="AA68" s="1930" t="str">
        <f>IF(OR(V59="",V68=""),"",MAX(1,SUMPRODUCT(--(INDEX('Tablas Técnicas'!$C$10:$L$643,,1)=V59),--(INDEX('Tablas Técnicas'!$C$10:$L$643,,2)=V68),INDEX('Tablas Técnicas'!$C$10:$L$643,,9))))</f>
        <v/>
      </c>
      <c r="AB68" s="4602"/>
      <c r="AC68" s="4603"/>
      <c r="AD68" s="4603"/>
      <c r="AE68" s="4603"/>
      <c r="AF68" s="4603"/>
      <c r="AG68" s="1931" t="str">
        <f>IF(OR(AB59="",AB68=""),"",MAX(1,SUMPRODUCT(--(INDEX('Tablas Técnicas'!$C$10:$L$643,,1)=AB59),--(INDEX('Tablas Técnicas'!$C$10:$L$643,,2)=AB68),INDEX('Tablas Técnicas'!$C$10:$L$643,,9))))</f>
        <v/>
      </c>
      <c r="AH68" s="2180">
        <f>P46</f>
        <v>1</v>
      </c>
      <c r="AI68" s="4604"/>
      <c r="AJ68" s="3128" t="s">
        <v>8813</v>
      </c>
      <c r="AK68" s="3128"/>
      <c r="AL68" s="3128"/>
      <c r="AM68" s="3128" t="b">
        <f t="array" ref="AM68">MAX(I63:I69,O63:O69,U63:U69,AA63:AA69,AG63:AG69,RIGHT(S55:S57,1))&gt;P46</f>
        <v>0</v>
      </c>
      <c r="AN68" s="3128"/>
      <c r="AO68" s="3128"/>
      <c r="AP68" s="3128"/>
      <c r="AQ68" s="3129"/>
      <c r="AR68" s="3132"/>
      <c r="AS68" s="3132"/>
      <c r="AT68" s="3132"/>
      <c r="AU68" s="3132"/>
      <c r="AV68" s="3132"/>
      <c r="AW68" s="3132"/>
      <c r="AX68" s="3132"/>
      <c r="AY68" s="3128"/>
    </row>
    <row r="69" spans="1:51" ht="12.2" customHeight="1" x14ac:dyDescent="0.2">
      <c r="A69" s="2172"/>
      <c r="B69" s="2086">
        <f t="shared" si="0"/>
        <v>2</v>
      </c>
      <c r="C69" s="4584"/>
      <c r="D69" s="4616"/>
      <c r="E69" s="4617"/>
      <c r="F69" s="4617"/>
      <c r="G69" s="4617"/>
      <c r="H69" s="4617"/>
      <c r="I69" s="1932" t="str">
        <f>IF(OR(D59="",D69=""),"",MAX(1,SUMPRODUCT(--(INDEX('Tablas Técnicas'!$C$10:$L$643,,1)=D59),--(INDEX('Tablas Técnicas'!$C$10:$L$643,,2)=D69),INDEX('Tablas Técnicas'!$C$10:$L$643,,9))))</f>
        <v/>
      </c>
      <c r="J69" s="4616"/>
      <c r="K69" s="4617"/>
      <c r="L69" s="4617"/>
      <c r="M69" s="4617"/>
      <c r="N69" s="4617"/>
      <c r="O69" s="1932" t="str">
        <f>IF(OR(J59="",J69=""),"",MAX(1,SUMPRODUCT(--(INDEX('Tablas Técnicas'!$C$10:$L$643,,1)=J59),--(INDEX('Tablas Técnicas'!$C$10:$L$643,,2)=J69),INDEX('Tablas Técnicas'!$C$10:$L$643,,9))))</f>
        <v/>
      </c>
      <c r="P69" s="4616"/>
      <c r="Q69" s="4617"/>
      <c r="R69" s="4617"/>
      <c r="S69" s="4617"/>
      <c r="T69" s="4617"/>
      <c r="U69" s="1932" t="str">
        <f>IF(OR(P59="",P69=""),"",MAX(1,SUMPRODUCT(--(INDEX('Tablas Técnicas'!$C$10:$L$643,,1)=P59),--(INDEX('Tablas Técnicas'!$C$10:$L$643,,2)=P69),INDEX('Tablas Técnicas'!$C$10:$L$643,,9))))</f>
        <v/>
      </c>
      <c r="V69" s="4616"/>
      <c r="W69" s="4617"/>
      <c r="X69" s="4617"/>
      <c r="Y69" s="4617"/>
      <c r="Z69" s="4617"/>
      <c r="AA69" s="1932" t="str">
        <f>IF(OR(V59="",V69=""),"",MAX(1,SUMPRODUCT(--(INDEX('Tablas Técnicas'!$C$10:$L$643,,1)=V59),--(INDEX('Tablas Técnicas'!$C$10:$L$643,,2)=V69),INDEX('Tablas Técnicas'!$C$10:$L$643,,9))))</f>
        <v/>
      </c>
      <c r="AB69" s="4616"/>
      <c r="AC69" s="4617"/>
      <c r="AD69" s="4617"/>
      <c r="AE69" s="4617"/>
      <c r="AF69" s="4617"/>
      <c r="AG69" s="1933" t="str">
        <f>IF(OR(AB59="",AB69=""),"",MAX(1,SUMPRODUCT(--(INDEX('Tablas Técnicas'!$C$10:$L$643,,1)=AB59),--(INDEX('Tablas Técnicas'!$C$10:$L$643,,2)=AB69),INDEX('Tablas Técnicas'!$C$10:$L$643,,9))))</f>
        <v/>
      </c>
      <c r="AH69" s="2180">
        <f>P46</f>
        <v>1</v>
      </c>
      <c r="AI69" s="4604"/>
      <c r="AJ69" s="3128" t="s">
        <v>9319</v>
      </c>
      <c r="AK69" s="3128"/>
      <c r="AL69" s="3128"/>
      <c r="AM69" s="3128" t="b">
        <f>AND(COUNTIF(K50:M54,"Mantenido"),OR(COUNTIF(K50:M54,"Sostenimiento Menor"),COUNTIF(K50:M54,"Sostenimiento Mayor")))</f>
        <v>0</v>
      </c>
      <c r="AN69" s="3129"/>
      <c r="AO69" s="3128"/>
      <c r="AP69" s="3128"/>
      <c r="AQ69" s="3128"/>
      <c r="AR69" s="3128"/>
      <c r="AS69" s="3128"/>
      <c r="AT69" s="3128"/>
      <c r="AU69" s="3132"/>
      <c r="AV69" s="3132"/>
      <c r="AW69" s="3132"/>
      <c r="AX69" s="3132"/>
      <c r="AY69" s="3128"/>
    </row>
    <row r="70" spans="1:51" ht="12.2" customHeight="1" x14ac:dyDescent="0.2">
      <c r="A70" s="2172"/>
      <c r="B70" s="2086">
        <f t="shared" si="0"/>
        <v>2</v>
      </c>
      <c r="C70" s="4584"/>
      <c r="D70" s="4595" t="s">
        <v>1548</v>
      </c>
      <c r="E70" s="4596"/>
      <c r="F70" s="4596"/>
      <c r="G70" s="4596"/>
      <c r="H70" s="4596"/>
      <c r="I70" s="4596"/>
      <c r="J70" s="4596"/>
      <c r="K70" s="4596"/>
      <c r="L70" s="4596"/>
      <c r="M70" s="4596"/>
      <c r="N70" s="4596"/>
      <c r="O70" s="4596"/>
      <c r="P70" s="4596"/>
      <c r="Q70" s="4596"/>
      <c r="R70" s="4596"/>
      <c r="S70" s="4596"/>
      <c r="T70" s="4596"/>
      <c r="U70" s="4596"/>
      <c r="V70" s="4596"/>
      <c r="W70" s="4596"/>
      <c r="X70" s="4596"/>
      <c r="Y70" s="4596"/>
      <c r="Z70" s="4596"/>
      <c r="AA70" s="4596"/>
      <c r="AB70" s="4596"/>
      <c r="AC70" s="4596"/>
      <c r="AD70" s="4596"/>
      <c r="AE70" s="4596"/>
      <c r="AF70" s="4596"/>
      <c r="AG70" s="4622"/>
      <c r="AH70" s="2180"/>
      <c r="AI70" s="4604"/>
      <c r="AJ70" s="3128" t="s">
        <v>9318</v>
      </c>
      <c r="AK70" s="3128"/>
      <c r="AL70" s="3128"/>
      <c r="AM70" s="3128" t="b">
        <f>OR(AND(ISNUMBER(SEARCH("Sostenimiento",K50)),OR(P46=1,MAX(I63:I69)=3)),AND(ISNUMBER(SEARCH("Sostenimiento",K51)),OR(P46=1,MAX(O63:O69)=3)),AND(ISNUMBER(SEARCH("Sostenimiento",K52)),OR(P46=1,MAX(U63:U69)=3)),AND(ISNUMBER(SEARCH("Sostenimiento",K53)),OR(P46=1,MAX(AA63:AA69)=3)),AND(ISNUMBER(SEARCH("Sostenimiento",K54)),OR(P46=1,MAX(AG63:AG69)=3)))</f>
        <v>0</v>
      </c>
      <c r="AN70" s="3128"/>
      <c r="AO70" s="3128"/>
      <c r="AP70" s="3128"/>
      <c r="AQ70" s="3129"/>
      <c r="AR70" s="3128"/>
      <c r="AS70" s="3128"/>
      <c r="AT70" s="3128"/>
      <c r="AU70" s="3132"/>
      <c r="AV70" s="3132"/>
      <c r="AW70" s="3132"/>
      <c r="AX70" s="3132"/>
      <c r="AY70" s="3128"/>
    </row>
    <row r="71" spans="1:51" ht="12.2" customHeight="1" x14ac:dyDescent="0.2">
      <c r="A71" s="2172"/>
      <c r="B71" s="2086">
        <f t="shared" si="0"/>
        <v>2</v>
      </c>
      <c r="C71" s="4584"/>
      <c r="D71" s="4624"/>
      <c r="E71" s="4744"/>
      <c r="F71" s="4744"/>
      <c r="G71" s="4744"/>
      <c r="H71" s="4744"/>
      <c r="I71" s="4744"/>
      <c r="J71" s="4744"/>
      <c r="K71" s="4744"/>
      <c r="L71" s="4744"/>
      <c r="M71" s="4744"/>
      <c r="N71" s="4744"/>
      <c r="O71" s="4744"/>
      <c r="P71" s="4744"/>
      <c r="Q71" s="4744"/>
      <c r="R71" s="4744"/>
      <c r="S71" s="4744"/>
      <c r="T71" s="4744"/>
      <c r="U71" s="4744"/>
      <c r="V71" s="4744"/>
      <c r="W71" s="4744"/>
      <c r="X71" s="4744"/>
      <c r="Y71" s="4744"/>
      <c r="Z71" s="4744"/>
      <c r="AA71" s="4744"/>
      <c r="AB71" s="4744"/>
      <c r="AC71" s="4744"/>
      <c r="AD71" s="4744"/>
      <c r="AE71" s="4744"/>
      <c r="AF71" s="4744"/>
      <c r="AG71" s="4626"/>
      <c r="AH71" s="2180"/>
      <c r="AI71" s="4604"/>
      <c r="AJ71" s="3128" t="s">
        <v>9326</v>
      </c>
      <c r="AK71" s="3128"/>
      <c r="AL71" s="3128"/>
      <c r="AM71" s="312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8"/>
      <c r="AO71" s="3128"/>
      <c r="AP71" s="3128"/>
      <c r="AQ71" s="3129"/>
      <c r="AR71" s="3128"/>
      <c r="AS71" s="3128"/>
      <c r="AT71" s="3128"/>
      <c r="AU71" s="3132"/>
      <c r="AV71" s="3132"/>
      <c r="AW71" s="3132"/>
      <c r="AX71" s="3132"/>
      <c r="AY71" s="3128"/>
    </row>
    <row r="72" spans="1:51" ht="12.2" customHeight="1" x14ac:dyDescent="0.2">
      <c r="A72" s="2172"/>
      <c r="B72" s="2086">
        <f t="shared" si="0"/>
        <v>2</v>
      </c>
      <c r="C72" s="4584"/>
      <c r="D72" s="4624"/>
      <c r="E72" s="4744"/>
      <c r="F72" s="4744"/>
      <c r="G72" s="4744"/>
      <c r="H72" s="4744"/>
      <c r="I72" s="4744"/>
      <c r="J72" s="4744"/>
      <c r="K72" s="4744"/>
      <c r="L72" s="4744"/>
      <c r="M72" s="4744"/>
      <c r="N72" s="4744"/>
      <c r="O72" s="4744"/>
      <c r="P72" s="4744"/>
      <c r="Q72" s="4744"/>
      <c r="R72" s="4744"/>
      <c r="S72" s="4744"/>
      <c r="T72" s="4744"/>
      <c r="U72" s="4744"/>
      <c r="V72" s="4744"/>
      <c r="W72" s="4744"/>
      <c r="X72" s="4744"/>
      <c r="Y72" s="4744"/>
      <c r="Z72" s="4744"/>
      <c r="AA72" s="4744"/>
      <c r="AB72" s="4744"/>
      <c r="AC72" s="4744"/>
      <c r="AD72" s="4744"/>
      <c r="AE72" s="4744"/>
      <c r="AF72" s="4744"/>
      <c r="AG72" s="4626"/>
      <c r="AH72" s="2180"/>
      <c r="AI72" s="4604"/>
      <c r="AJ72" s="3128" t="s">
        <v>9305</v>
      </c>
      <c r="AK72" s="3128"/>
      <c r="AL72" s="3128"/>
      <c r="AM72" s="3128" t="b">
        <f>AND((IF(SUM(V50:V54)&gt;0,1,0)+IF(SUM(X50:X54)&gt;0,1,0)+IF(SUM(Z50:Z54)&gt;0,1,0)+IF(SUM(AB50:AB54)&gt;0,1,0)+IF(SUM(AD50:AD54,)&gt;0,1,0)+IF(SUM(AF50:AF54)&gt;0,1,0))&lt;3,OR(V57&lt;0,X57&lt;0,Z57&lt;0,AB57&lt;0,AD57&lt;0,AF57&lt;0,Y55&lt;0))</f>
        <v>0</v>
      </c>
      <c r="AN72" s="3128"/>
      <c r="AO72" s="3128"/>
      <c r="AP72" s="3128"/>
      <c r="AQ72" s="3129"/>
      <c r="AR72" s="3128"/>
      <c r="AS72" s="3128"/>
      <c r="AT72" s="3128"/>
      <c r="AU72" s="3132"/>
      <c r="AV72" s="3132"/>
      <c r="AW72" s="3132"/>
      <c r="AX72" s="3132"/>
      <c r="AY72" s="3128"/>
    </row>
    <row r="73" spans="1:51" ht="12.2" customHeight="1" x14ac:dyDescent="0.2">
      <c r="A73" s="2172"/>
      <c r="B73" s="2086">
        <f t="shared" si="0"/>
        <v>2</v>
      </c>
      <c r="C73" s="4584"/>
      <c r="D73" s="4624"/>
      <c r="E73" s="4744"/>
      <c r="F73" s="4744"/>
      <c r="G73" s="4744"/>
      <c r="H73" s="4744"/>
      <c r="I73" s="4744"/>
      <c r="J73" s="4744"/>
      <c r="K73" s="4744"/>
      <c r="L73" s="4744"/>
      <c r="M73" s="4744"/>
      <c r="N73" s="4744"/>
      <c r="O73" s="4744"/>
      <c r="P73" s="4744"/>
      <c r="Q73" s="4744"/>
      <c r="R73" s="4744"/>
      <c r="S73" s="4744"/>
      <c r="T73" s="4744"/>
      <c r="U73" s="4744"/>
      <c r="V73" s="4744"/>
      <c r="W73" s="4744"/>
      <c r="X73" s="4744"/>
      <c r="Y73" s="4744"/>
      <c r="Z73" s="4744"/>
      <c r="AA73" s="4744"/>
      <c r="AB73" s="4744"/>
      <c r="AC73" s="4744"/>
      <c r="AD73" s="4744"/>
      <c r="AE73" s="4744"/>
      <c r="AF73" s="4744"/>
      <c r="AG73" s="4626"/>
      <c r="AH73" s="2180"/>
      <c r="AI73" s="4604"/>
      <c r="AJ73" s="3128" t="s">
        <v>9320</v>
      </c>
      <c r="AK73" s="3128"/>
      <c r="AL73" s="3128"/>
      <c r="AM73" s="3128" t="b">
        <f>OR(-V57&gt;TRUNC(SUM(V50:V54)/2),-X57&gt;TRUNC(SUM(X50:X54)/2),-Z57&gt;TRUNC(SUM(Z50:Z54)/2),-AB57&gt;TRUNC(SUM(AB50:AB54)/2),-AD57&gt;TRUNC(SUM(AD50:AD54)/2),-AF57&gt;TRUNC(SUM(AF50:AF54)/2))</f>
        <v>0</v>
      </c>
      <c r="AN73" s="3128"/>
      <c r="AO73" s="3128"/>
      <c r="AP73" s="3128"/>
      <c r="AQ73" s="3129"/>
      <c r="AR73" s="3128"/>
      <c r="AS73" s="3128"/>
      <c r="AT73" s="3128"/>
      <c r="AU73" s="3132"/>
      <c r="AV73" s="3132"/>
      <c r="AW73" s="3132"/>
      <c r="AX73" s="3132"/>
      <c r="AY73" s="3128"/>
    </row>
    <row r="74" spans="1:51" ht="12.2" customHeight="1" x14ac:dyDescent="0.2">
      <c r="A74" s="2172"/>
      <c r="B74" s="2086">
        <f t="shared" si="0"/>
        <v>2</v>
      </c>
      <c r="C74" s="4584"/>
      <c r="D74" s="4624"/>
      <c r="E74" s="4744"/>
      <c r="F74" s="4744"/>
      <c r="G74" s="4744"/>
      <c r="H74" s="4744"/>
      <c r="I74" s="4744"/>
      <c r="J74" s="4744"/>
      <c r="K74" s="4744"/>
      <c r="L74" s="4744"/>
      <c r="M74" s="4744"/>
      <c r="N74" s="4744"/>
      <c r="O74" s="4744"/>
      <c r="P74" s="4744"/>
      <c r="Q74" s="4744"/>
      <c r="R74" s="4744"/>
      <c r="S74" s="4744"/>
      <c r="T74" s="4744"/>
      <c r="U74" s="4744"/>
      <c r="V74" s="4744"/>
      <c r="W74" s="4744"/>
      <c r="X74" s="4744"/>
      <c r="Y74" s="4744"/>
      <c r="Z74" s="4744"/>
      <c r="AA74" s="4744"/>
      <c r="AB74" s="4744"/>
      <c r="AC74" s="4744"/>
      <c r="AD74" s="4744"/>
      <c r="AE74" s="4744"/>
      <c r="AF74" s="4744"/>
      <c r="AG74" s="4626"/>
      <c r="AH74" s="2180"/>
      <c r="AI74" s="4604"/>
      <c r="AJ74" s="3128" t="s">
        <v>9321</v>
      </c>
      <c r="AK74" s="3128"/>
      <c r="AL74" s="3128"/>
      <c r="AM74" s="3128" t="b">
        <f>COUNTIF(D50:E54,"Primario")&gt;1</f>
        <v>0</v>
      </c>
      <c r="AN74" s="3128"/>
      <c r="AO74" s="3128"/>
      <c r="AP74" s="3128"/>
      <c r="AQ74" s="3129"/>
      <c r="AR74" s="3129"/>
      <c r="AS74" s="3129"/>
      <c r="AT74" s="3129"/>
      <c r="AU74" s="3132"/>
      <c r="AV74" s="3132"/>
      <c r="AW74" s="3132"/>
      <c r="AX74" s="3128"/>
      <c r="AY74" s="3128"/>
    </row>
    <row r="75" spans="1:51" ht="12.2" customHeight="1" x14ac:dyDescent="0.2">
      <c r="A75" s="2172"/>
      <c r="B75" s="2086">
        <f t="shared" si="0"/>
        <v>2</v>
      </c>
      <c r="C75" s="4584"/>
      <c r="D75" s="4624"/>
      <c r="E75" s="4744"/>
      <c r="F75" s="4744"/>
      <c r="G75" s="4744"/>
      <c r="H75" s="4744"/>
      <c r="I75" s="4744"/>
      <c r="J75" s="4744"/>
      <c r="K75" s="4744"/>
      <c r="L75" s="4744"/>
      <c r="M75" s="4744"/>
      <c r="N75" s="4744"/>
      <c r="O75" s="4744"/>
      <c r="P75" s="4744"/>
      <c r="Q75" s="4744"/>
      <c r="R75" s="4744"/>
      <c r="S75" s="4744"/>
      <c r="T75" s="4744"/>
      <c r="U75" s="4744"/>
      <c r="V75" s="4744"/>
      <c r="W75" s="4744"/>
      <c r="X75" s="4744"/>
      <c r="Y75" s="4744"/>
      <c r="Z75" s="4744"/>
      <c r="AA75" s="4744"/>
      <c r="AB75" s="4744"/>
      <c r="AC75" s="4744"/>
      <c r="AD75" s="4744"/>
      <c r="AE75" s="4744"/>
      <c r="AF75" s="4744"/>
      <c r="AG75" s="4626"/>
      <c r="AH75" s="2180"/>
      <c r="AI75" s="4604"/>
      <c r="AJ75" s="3128" t="s">
        <v>9304</v>
      </c>
      <c r="AK75" s="3128"/>
      <c r="AL75" s="3128"/>
      <c r="AM75" s="3128" t="b">
        <f>SUM(V57:AG57)&lt;&gt;Y55+ABS(AC55)*2/5+IF(S46="Sí",3*P46,0)</f>
        <v>0</v>
      </c>
      <c r="AN75" s="3128"/>
      <c r="AO75" s="3128"/>
      <c r="AP75" s="3128"/>
      <c r="AQ75" s="3129"/>
      <c r="AR75" s="3129"/>
      <c r="AS75" s="3129"/>
      <c r="AT75" s="3129"/>
      <c r="AU75" s="3132"/>
      <c r="AV75" s="3132"/>
      <c r="AW75" s="3132"/>
      <c r="AX75" s="3128"/>
      <c r="AY75" s="3128"/>
    </row>
    <row r="76" spans="1:51" ht="12.2" customHeight="1" x14ac:dyDescent="0.2">
      <c r="A76" s="2172"/>
      <c r="B76" s="2086">
        <f t="shared" si="0"/>
        <v>2</v>
      </c>
      <c r="C76" s="4584"/>
      <c r="D76" s="4624"/>
      <c r="E76" s="4744"/>
      <c r="F76" s="4744"/>
      <c r="G76" s="4744"/>
      <c r="H76" s="4744"/>
      <c r="I76" s="4744"/>
      <c r="J76" s="4744"/>
      <c r="K76" s="4744"/>
      <c r="L76" s="4744"/>
      <c r="M76" s="4744"/>
      <c r="N76" s="4744"/>
      <c r="O76" s="4744"/>
      <c r="P76" s="4744"/>
      <c r="Q76" s="4744"/>
      <c r="R76" s="4744"/>
      <c r="S76" s="4744"/>
      <c r="T76" s="4744"/>
      <c r="U76" s="4744"/>
      <c r="V76" s="4744"/>
      <c r="W76" s="4744"/>
      <c r="X76" s="4744"/>
      <c r="Y76" s="4744"/>
      <c r="Z76" s="4744"/>
      <c r="AA76" s="4744"/>
      <c r="AB76" s="4744"/>
      <c r="AC76" s="4744"/>
      <c r="AD76" s="4744"/>
      <c r="AE76" s="4744"/>
      <c r="AF76" s="4744"/>
      <c r="AG76" s="4626"/>
      <c r="AH76" s="2180"/>
      <c r="AI76" s="4604"/>
      <c r="AJ76" s="3128" t="s">
        <v>9303</v>
      </c>
      <c r="AK76" s="3128"/>
      <c r="AL76" s="3128"/>
      <c r="AM76" s="3128" t="b">
        <f>AL63-AL64+AM63-AM64&lt;&gt;0</f>
        <v>0</v>
      </c>
      <c r="AN76" s="3132"/>
      <c r="AO76" s="3132"/>
      <c r="AP76" s="3132"/>
      <c r="AQ76" s="3132"/>
      <c r="AR76" s="3129"/>
      <c r="AS76" s="3129"/>
      <c r="AT76" s="3129"/>
      <c r="AU76" s="3132"/>
      <c r="AV76" s="3132"/>
      <c r="AW76" s="3132"/>
      <c r="AX76" s="3128"/>
      <c r="AY76" s="3128"/>
    </row>
    <row r="77" spans="1:51" ht="12.2" customHeight="1" thickBot="1" x14ac:dyDescent="0.25">
      <c r="A77" s="2172"/>
      <c r="B77" s="2086"/>
      <c r="C77" s="4585"/>
      <c r="D77" s="4586"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87"/>
      <c r="F77" s="4587"/>
      <c r="G77" s="4587"/>
      <c r="H77" s="4587"/>
      <c r="I77" s="4587"/>
      <c r="J77" s="4587"/>
      <c r="K77" s="4587"/>
      <c r="L77" s="4587"/>
      <c r="M77" s="4587"/>
      <c r="N77" s="4587"/>
      <c r="O77" s="4587"/>
      <c r="P77" s="4587"/>
      <c r="Q77" s="4587"/>
      <c r="R77" s="4587"/>
      <c r="S77" s="4587"/>
      <c r="T77" s="4587"/>
      <c r="U77" s="4587"/>
      <c r="V77" s="4587"/>
      <c r="W77" s="4587"/>
      <c r="X77" s="4587"/>
      <c r="Y77" s="4587"/>
      <c r="Z77" s="4587"/>
      <c r="AA77" s="4587"/>
      <c r="AB77" s="4587"/>
      <c r="AC77" s="4587"/>
      <c r="AD77" s="4587"/>
      <c r="AE77" s="4587"/>
      <c r="AF77" s="4587"/>
      <c r="AG77" s="4588"/>
      <c r="AH77" s="2180"/>
      <c r="AI77" s="4604"/>
      <c r="AJ77" s="3128" t="s">
        <v>9340</v>
      </c>
      <c r="AK77" s="3132"/>
      <c r="AL77" s="3132"/>
      <c r="AM77" s="3132" t="b">
        <f>ABS(SUM(N55:N57))&gt;(SUM(N50:N54)-10*Y55+AC55+IF(S46="Sí",10*P46,0)+IF(COUNTIF(K50:M54,"Mantenido")&gt;0,P46*10)+MAX(IF(COUNTIF(K50:M54,"Sostenimiento Menor")&gt;0,P46*20)+IF(COUNTIF(K50:M54,"Sostenimiento Mayor")&gt;0,P46*30)))/2</f>
        <v>0</v>
      </c>
      <c r="AN77" s="3128"/>
      <c r="AO77" s="3128"/>
      <c r="AP77" s="3128"/>
      <c r="AQ77" s="3128"/>
      <c r="AR77" s="3129"/>
      <c r="AS77" s="3129"/>
      <c r="AT77" s="3129"/>
      <c r="AU77" s="3132"/>
      <c r="AV77" s="3132"/>
      <c r="AW77" s="3132"/>
      <c r="AX77" s="3128"/>
      <c r="AY77" s="3128"/>
    </row>
    <row r="78" spans="1:51" ht="12.2" customHeight="1" x14ac:dyDescent="0.2">
      <c r="A78" s="2172"/>
      <c r="B78" s="2086"/>
      <c r="C78" s="4721"/>
      <c r="D78" s="4721" t="str">
        <f>IFERROR(VLOOKUP(D59,'Tablas Técnicas'!$O$9:$T$88,2,FALSE),"")</f>
        <v/>
      </c>
      <c r="E78" s="4721"/>
      <c r="F78" s="4721"/>
      <c r="G78" s="4721"/>
      <c r="H78" s="4721"/>
      <c r="I78" s="4721"/>
      <c r="J78" s="4721" t="str">
        <f>IFERROR(VLOOKUP(J59,'Tablas Técnicas'!$O$9:$T$88,2,FALSE),"")</f>
        <v/>
      </c>
      <c r="K78" s="4721"/>
      <c r="L78" s="4721"/>
      <c r="M78" s="4721"/>
      <c r="N78" s="4721"/>
      <c r="O78" s="4721"/>
      <c r="P78" s="4721" t="str">
        <f>IFERROR(VLOOKUP(P59,'Tablas Técnicas'!$O$9:$T$88,2,FALSE),"")</f>
        <v/>
      </c>
      <c r="Q78" s="4721"/>
      <c r="R78" s="4721"/>
      <c r="S78" s="4721"/>
      <c r="T78" s="4721"/>
      <c r="U78" s="4721"/>
      <c r="V78" s="4721" t="str">
        <f>IFERROR(VLOOKUP(V59,'Tablas Técnicas'!$O$9:$T$88,2,FALSE),"")</f>
        <v/>
      </c>
      <c r="W78" s="4721"/>
      <c r="X78" s="4721"/>
      <c r="Y78" s="4721"/>
      <c r="Z78" s="4721"/>
      <c r="AA78" s="4721"/>
      <c r="AB78" s="4721" t="str">
        <f>IFERROR(VLOOKUP(AB59,'Tablas Técnicas'!$O$9:$T$88,2,FALSE),"")</f>
        <v/>
      </c>
      <c r="AC78" s="4721"/>
      <c r="AD78" s="4721"/>
      <c r="AE78" s="4721"/>
      <c r="AF78" s="4721"/>
      <c r="AG78" s="4721"/>
      <c r="AH78" s="2180"/>
      <c r="AI78" s="1908"/>
      <c r="AJ78" s="3128"/>
      <c r="AK78" s="3128"/>
      <c r="AL78" s="3128"/>
      <c r="AM78" s="3128"/>
      <c r="AN78" s="3128"/>
      <c r="AO78" s="3128"/>
      <c r="AP78" s="3128"/>
      <c r="AQ78" s="3128"/>
      <c r="AR78" s="3129"/>
      <c r="AS78" s="3129"/>
      <c r="AT78" s="3129"/>
      <c r="AU78" s="3132"/>
      <c r="AV78" s="3132"/>
      <c r="AW78" s="3132"/>
      <c r="AX78" s="3132"/>
      <c r="AY78" s="3128"/>
    </row>
    <row r="79" spans="1:51" ht="12.2" customHeight="1" thickBot="1" x14ac:dyDescent="0.25">
      <c r="A79" s="2172"/>
      <c r="B79" s="2086"/>
      <c r="C79" s="4722"/>
      <c r="D79" s="2541"/>
      <c r="E79" s="2542"/>
      <c r="F79" s="2542"/>
      <c r="G79" s="2542"/>
      <c r="H79" s="2542"/>
      <c r="I79" s="2542"/>
      <c r="J79" s="2542"/>
      <c r="K79" s="2542"/>
      <c r="L79" s="2542"/>
      <c r="M79" s="2542"/>
      <c r="N79" s="2542"/>
      <c r="O79" s="2542"/>
      <c r="P79" s="2542"/>
      <c r="Q79" s="2542"/>
      <c r="R79" s="2542"/>
      <c r="S79" s="2542"/>
      <c r="T79" s="2542"/>
      <c r="U79" s="2542"/>
      <c r="V79" s="2543"/>
      <c r="W79" s="2543"/>
      <c r="X79" s="2543"/>
      <c r="Y79" s="2543"/>
      <c r="Z79" s="2543"/>
      <c r="AA79" s="2543"/>
      <c r="AB79" s="2543"/>
      <c r="AC79" s="2543"/>
      <c r="AD79" s="2543"/>
      <c r="AE79" s="2543"/>
      <c r="AF79" s="2542"/>
      <c r="AG79" s="2542"/>
      <c r="AH79" s="2180"/>
      <c r="AI79" s="1908"/>
      <c r="AJ79" s="3136"/>
      <c r="AK79" s="3136"/>
      <c r="AL79" s="3136"/>
      <c r="AM79" s="3136"/>
      <c r="AN79" s="3136"/>
      <c r="AO79" s="3136"/>
      <c r="AP79" s="3128"/>
      <c r="AQ79" s="3129"/>
      <c r="AR79" s="3132"/>
      <c r="AS79" s="3132"/>
      <c r="AT79" s="3132"/>
      <c r="AU79" s="3132"/>
      <c r="AV79" s="3132"/>
      <c r="AW79" s="3132"/>
      <c r="AX79" s="3132"/>
      <c r="AY79" s="3137"/>
    </row>
    <row r="80" spans="1:51" ht="12.2" customHeight="1" x14ac:dyDescent="0.2">
      <c r="A80" s="2172"/>
      <c r="B80" s="2086">
        <f t="shared" ref="B80:B110" si="1">1+B46</f>
        <v>3</v>
      </c>
      <c r="C80" s="4583" t="str">
        <f>"Técnica "&amp;B80</f>
        <v>Técnica 3</v>
      </c>
      <c r="D80" s="4682" t="s">
        <v>8711</v>
      </c>
      <c r="E80" s="4683"/>
      <c r="F80" s="4683"/>
      <c r="G80" s="4683"/>
      <c r="H80" s="4683"/>
      <c r="I80" s="4683"/>
      <c r="J80" s="4683"/>
      <c r="K80" s="4683"/>
      <c r="L80" s="4683"/>
      <c r="M80" s="4683"/>
      <c r="N80" s="4684"/>
      <c r="O80" s="4688" t="s">
        <v>1325</v>
      </c>
      <c r="P80" s="4690">
        <v>1</v>
      </c>
      <c r="Q80" s="4692" t="s">
        <v>8795</v>
      </c>
      <c r="R80" s="4693"/>
      <c r="S80" s="4696" t="s">
        <v>1381</v>
      </c>
      <c r="T80" s="4697" t="s">
        <v>1505</v>
      </c>
      <c r="U80" s="4699">
        <f>MAX(IF(P80=3,60,IF(P80=2,40,20)),MIN(SUM(N84:N91)-10*Y89+AC89+IF(S80="Sí",10*P80,0)+IF(COUNTIF(K84:M88,"Mantenido")&gt;0,P80*10)+MAX(IF(COUNTIF(K84:M88,"Sostenimiento Menor")&gt;0,P80*20)+IF(COUNTIF(K84:M88,"Sostenimiento Mayor")&gt;0,P80*30))))</f>
        <v>20</v>
      </c>
      <c r="V80" s="4692" t="s">
        <v>8796</v>
      </c>
      <c r="W80" s="4697"/>
      <c r="X80" s="4612" t="str">
        <f>IFERROR(LEFT(AK96&amp;AL96&amp;AM96&amp;AN96&amp;AO96&amp;AP96,LEN(AK96&amp;AL96&amp;AM96&amp;AN96&amp;AO96&amp;AP96)-2),"")</f>
        <v/>
      </c>
      <c r="Y80" s="4612"/>
      <c r="Z80" s="4612"/>
      <c r="AA80" s="4612"/>
      <c r="AB80" s="4612"/>
      <c r="AC80" s="4612"/>
      <c r="AD80" s="4612"/>
      <c r="AE80" s="4612"/>
      <c r="AF80" s="4612"/>
      <c r="AG80" s="4613"/>
      <c r="AH80" s="2180"/>
      <c r="AI80" s="4604"/>
      <c r="AJ80" s="3133" t="s">
        <v>9337</v>
      </c>
      <c r="AK80" s="3133"/>
      <c r="AL80" s="3133"/>
      <c r="AM80" s="3133"/>
      <c r="AN80" s="3133"/>
      <c r="AO80" s="3133"/>
      <c r="AP80" s="3133"/>
      <c r="AQ80" s="3133"/>
      <c r="AR80" s="3133"/>
      <c r="AS80" s="3128"/>
      <c r="AT80" s="3128"/>
      <c r="AU80" s="3128"/>
      <c r="AV80" s="3128"/>
      <c r="AW80" s="3132"/>
      <c r="AX80" s="3132"/>
      <c r="AY80" s="3128"/>
    </row>
    <row r="81" spans="1:51" ht="12.2" customHeight="1" x14ac:dyDescent="0.2">
      <c r="A81" s="2172"/>
      <c r="B81" s="2086">
        <f t="shared" si="1"/>
        <v>3</v>
      </c>
      <c r="C81" s="4584"/>
      <c r="D81" s="4685"/>
      <c r="E81" s="4731"/>
      <c r="F81" s="4731"/>
      <c r="G81" s="4731"/>
      <c r="H81" s="4731"/>
      <c r="I81" s="4731"/>
      <c r="J81" s="4731"/>
      <c r="K81" s="4731"/>
      <c r="L81" s="4731"/>
      <c r="M81" s="4731"/>
      <c r="N81" s="4732"/>
      <c r="O81" s="4689"/>
      <c r="P81" s="4691"/>
      <c r="Q81" s="4694"/>
      <c r="R81" s="4695"/>
      <c r="S81" s="4691"/>
      <c r="T81" s="4733"/>
      <c r="U81" s="4734"/>
      <c r="V81" s="4694"/>
      <c r="W81" s="4733"/>
      <c r="X81" s="4739"/>
      <c r="Y81" s="4739"/>
      <c r="Z81" s="4739"/>
      <c r="AA81" s="4739"/>
      <c r="AB81" s="4739"/>
      <c r="AC81" s="4739"/>
      <c r="AD81" s="4739"/>
      <c r="AE81" s="4739"/>
      <c r="AF81" s="4739"/>
      <c r="AG81" s="4615"/>
      <c r="AH81" s="2180"/>
      <c r="AI81" s="4604"/>
      <c r="AJ81" s="3133"/>
      <c r="AK81" s="3133" t="s">
        <v>9338</v>
      </c>
      <c r="AL81" s="3133" t="s">
        <v>10493</v>
      </c>
      <c r="AM81" s="3134"/>
      <c r="AN81" s="3134"/>
      <c r="AO81" s="3134"/>
      <c r="AP81" s="3134"/>
      <c r="AQ81" s="3134"/>
      <c r="AR81" s="3133"/>
      <c r="AS81" s="3128"/>
      <c r="AT81" s="3128"/>
      <c r="AU81" s="3128"/>
      <c r="AV81" s="3128"/>
      <c r="AW81" s="3132"/>
      <c r="AX81" s="4582" t="s">
        <v>9307</v>
      </c>
      <c r="AY81" s="4582"/>
    </row>
    <row r="82" spans="1:51" ht="12.2" customHeight="1" x14ac:dyDescent="0.2">
      <c r="A82" s="2172"/>
      <c r="B82" s="2086">
        <f t="shared" si="1"/>
        <v>3</v>
      </c>
      <c r="C82" s="4584"/>
      <c r="D82" s="4595" t="s">
        <v>2823</v>
      </c>
      <c r="E82" s="4596"/>
      <c r="F82" s="4596"/>
      <c r="G82" s="4596"/>
      <c r="H82" s="4596"/>
      <c r="I82" s="4596"/>
      <c r="J82" s="4596"/>
      <c r="K82" s="4679" t="s">
        <v>9630</v>
      </c>
      <c r="L82" s="4679"/>
      <c r="M82" s="4679"/>
      <c r="N82" s="4596" t="s">
        <v>1499</v>
      </c>
      <c r="O82" s="4679" t="s">
        <v>2821</v>
      </c>
      <c r="P82" s="4679" t="s">
        <v>8797</v>
      </c>
      <c r="Q82" s="4596" t="s">
        <v>1364</v>
      </c>
      <c r="R82" s="4596"/>
      <c r="S82" s="4596"/>
      <c r="T82" s="4596"/>
      <c r="U82" s="4596"/>
      <c r="V82" s="4659" t="s">
        <v>1373</v>
      </c>
      <c r="W82" s="4654"/>
      <c r="X82" s="4659" t="s">
        <v>1497</v>
      </c>
      <c r="Y82" s="4660"/>
      <c r="Z82" s="4654" t="s">
        <v>1378</v>
      </c>
      <c r="AA82" s="4654"/>
      <c r="AB82" s="4659" t="s">
        <v>1383</v>
      </c>
      <c r="AC82" s="4660"/>
      <c r="AD82" s="4654" t="s">
        <v>1390</v>
      </c>
      <c r="AE82" s="4654"/>
      <c r="AF82" s="4659" t="s">
        <v>1391</v>
      </c>
      <c r="AG82" s="4655"/>
      <c r="AH82" s="2180"/>
      <c r="AI82" s="4604"/>
      <c r="AJ82" s="3128"/>
      <c r="AK82" s="3128"/>
      <c r="AL82" s="3128" t="s">
        <v>9609</v>
      </c>
      <c r="AM82" s="3128"/>
      <c r="AN82" s="3128"/>
      <c r="AO82" s="3128"/>
      <c r="AP82" s="3128"/>
      <c r="AQ82" s="3128"/>
      <c r="AR82" s="3132"/>
      <c r="AS82" s="3132" t="s">
        <v>9327</v>
      </c>
      <c r="AT82" s="3132" t="s">
        <v>9328</v>
      </c>
      <c r="AU82" s="3128" t="s">
        <v>9316</v>
      </c>
      <c r="AV82" s="3128" t="s">
        <v>9317</v>
      </c>
      <c r="AW82" s="3132" t="s">
        <v>1499</v>
      </c>
      <c r="AX82" s="3132" t="s">
        <v>8799</v>
      </c>
      <c r="AY82" s="3128" t="s">
        <v>8800</v>
      </c>
    </row>
    <row r="83" spans="1:51" ht="12.2" customHeight="1" x14ac:dyDescent="0.2">
      <c r="A83" s="2172"/>
      <c r="B83" s="2086">
        <f t="shared" si="1"/>
        <v>3</v>
      </c>
      <c r="C83" s="4584"/>
      <c r="D83" s="4737"/>
      <c r="E83" s="4738"/>
      <c r="F83" s="4738"/>
      <c r="G83" s="4738"/>
      <c r="H83" s="4738"/>
      <c r="I83" s="4738"/>
      <c r="J83" s="4738"/>
      <c r="K83" s="4735"/>
      <c r="L83" s="4735"/>
      <c r="M83" s="4735"/>
      <c r="N83" s="4725"/>
      <c r="O83" s="4735"/>
      <c r="P83" s="4736"/>
      <c r="Q83" s="4725"/>
      <c r="R83" s="4725"/>
      <c r="S83" s="4725"/>
      <c r="T83" s="4725"/>
      <c r="U83" s="4725"/>
      <c r="V83" s="2522" t="s">
        <v>9306</v>
      </c>
      <c r="W83" s="2523" t="s">
        <v>2827</v>
      </c>
      <c r="X83" s="2522" t="s">
        <v>9306</v>
      </c>
      <c r="Y83" s="2523" t="s">
        <v>2827</v>
      </c>
      <c r="Z83" s="2522" t="s">
        <v>9306</v>
      </c>
      <c r="AA83" s="2523" t="s">
        <v>2827</v>
      </c>
      <c r="AB83" s="2522" t="s">
        <v>9306</v>
      </c>
      <c r="AC83" s="2523" t="s">
        <v>2827</v>
      </c>
      <c r="AD83" s="2522" t="s">
        <v>9306</v>
      </c>
      <c r="AE83" s="2523" t="s">
        <v>2827</v>
      </c>
      <c r="AF83" s="2522" t="s">
        <v>9306</v>
      </c>
      <c r="AG83" s="2524" t="s">
        <v>2827</v>
      </c>
      <c r="AH83" s="2180"/>
      <c r="AI83" s="4604"/>
      <c r="AJ83" s="3128"/>
      <c r="AK83" s="3128" t="s">
        <v>9308</v>
      </c>
      <c r="AL83" s="3128">
        <v>1</v>
      </c>
      <c r="AM83" s="3128">
        <v>2</v>
      </c>
      <c r="AN83" s="3128">
        <v>3</v>
      </c>
      <c r="AO83" s="3128">
        <v>4</v>
      </c>
      <c r="AP83" s="3128">
        <v>5</v>
      </c>
      <c r="AQ83" s="3128">
        <v>6</v>
      </c>
      <c r="AR83" s="3128">
        <v>7</v>
      </c>
      <c r="AS83" s="3132"/>
      <c r="AT83" s="3128" t="s">
        <v>9339</v>
      </c>
      <c r="AU83" s="3132"/>
      <c r="AV83" s="3132"/>
      <c r="AW83" s="3132" t="s">
        <v>9339</v>
      </c>
      <c r="AX83" s="3132"/>
      <c r="AY83" s="3128"/>
    </row>
    <row r="84" spans="1:51" ht="12.2" customHeight="1" x14ac:dyDescent="0.2">
      <c r="A84" s="2172"/>
      <c r="B84" s="2086">
        <f t="shared" si="1"/>
        <v>3</v>
      </c>
      <c r="C84" s="4584"/>
      <c r="D84" s="4670" t="s">
        <v>8801</v>
      </c>
      <c r="E84" s="4671"/>
      <c r="F84" s="4672"/>
      <c r="G84" s="4673"/>
      <c r="H84" s="4673"/>
      <c r="I84" s="4673"/>
      <c r="J84" s="4674"/>
      <c r="K84" s="4641" t="s">
        <v>1455</v>
      </c>
      <c r="L84" s="4642"/>
      <c r="M84" s="4643"/>
      <c r="N84" s="2516">
        <f>IF(AW84&gt;0,IF(VLOOKUP(F84,'Tablas Técnicas'!$O$9:$X$88,10,0),MAX(5,AW84-5),AW84),0)</f>
        <v>0</v>
      </c>
      <c r="O84" s="2516" t="str">
        <f>AS84&amp;" / "&amp;AT84</f>
        <v>0 / 0</v>
      </c>
      <c r="P84" s="2516" t="str">
        <f t="array" ref="P84">W84+Y84+AA84+AC84+AE84+AG84&amp;" / "&amp;IF(K84&lt;&gt;"Mantenido",0,SUM(IF($AL84:$AR84='Tablas Técnicas'!$L$10:$L$643,'Tablas Técnicas'!$H$10:$H$643,0)))</f>
        <v>0 / 0</v>
      </c>
      <c r="Q84" s="4678" t="str">
        <f>IFERROR(VLOOKUP(F84,'Tablas Técnicas'!$O$9:$T$88,5,FALSE),"")</f>
        <v/>
      </c>
      <c r="R84" s="4678"/>
      <c r="S84" s="4678"/>
      <c r="T84" s="4678"/>
      <c r="U84" s="4678"/>
      <c r="V84" s="2042"/>
      <c r="W84" s="2043"/>
      <c r="X84" s="2042"/>
      <c r="Y84" s="2044"/>
      <c r="Z84" s="2045"/>
      <c r="AA84" s="2043"/>
      <c r="AB84" s="2042"/>
      <c r="AC84" s="2044"/>
      <c r="AD84" s="2045"/>
      <c r="AE84" s="2043"/>
      <c r="AF84" s="2042"/>
      <c r="AG84" s="2046"/>
      <c r="AH84" s="2180"/>
      <c r="AI84" s="4604"/>
      <c r="AJ84" s="3128">
        <v>1</v>
      </c>
      <c r="AK84" s="3128">
        <f>P80</f>
        <v>1</v>
      </c>
      <c r="AL84" s="3128" t="str">
        <f>IF(AND(ISNUMBER(MATCH($F84,'Tablas Técnicas'!$L$10:$L$643,0)),INDEX($D97:$D103,Tablas!A$1)="",COUNTIF(AM84:$AS84,$F84)=0),$F84,IF(INDEX($D97:$D103,Tablas!A$1)="","",$F84&amp;INDEX($D97:$D103,Tablas!A$1)))</f>
        <v/>
      </c>
      <c r="AM84" s="3128" t="str">
        <f>IF(AND(ISNUMBER(MATCH($F84,'Tablas Técnicas'!$L$10:$L$643,0)),INDEX($D97:$D103,Tablas!B$1)="",COUNTIF(AN84:$AS84,$F84)=0),$F84,IF(INDEX($D97:$D103,Tablas!B$1)="","",$F84&amp;INDEX($D97:$D103,Tablas!B$1)))</f>
        <v/>
      </c>
      <c r="AN84" s="3128" t="str">
        <f>IF(AND(ISNUMBER(MATCH($F84,'Tablas Técnicas'!$L$10:$L$643,0)),INDEX($D97:$D103,Tablas!C$1)="",COUNTIF(AO84:$AS84,$F84)=0),$F84,IF(INDEX($D97:$D103,Tablas!C$1)="","",$F84&amp;INDEX($D97:$D103,Tablas!C$1)))</f>
        <v/>
      </c>
      <c r="AO84" s="3128" t="str">
        <f>IF(AND(ISNUMBER(MATCH($F84,'Tablas Técnicas'!$L$10:$L$643,0)),INDEX($D97:$D103,Tablas!D$1)="",COUNTIF(AP84:$AS84,$F84)=0),$F84,IF(INDEX($D97:$D103,Tablas!D$1)="","",$F84&amp;INDEX($D97:$D103,Tablas!D$1)))</f>
        <v/>
      </c>
      <c r="AP84" s="3128" t="str">
        <f>IF(AND(ISNUMBER(MATCH($F84,'Tablas Técnicas'!$L$10:$L$643,0)),INDEX($D97:$D103,Tablas!E$1)="",COUNTIF(AQ84:$AS84,$F84)=0),$F84,IF(INDEX($D97:$D103,Tablas!E$1)="","",$F84&amp;INDEX($D97:$D103,Tablas!E$1)))</f>
        <v/>
      </c>
      <c r="AQ84" s="3128" t="str">
        <f>IF(AND(ISNUMBER(MATCH($F84,'Tablas Técnicas'!$L$10:$L$643,0)),INDEX($D97:$D103,Tablas!F$1)="",COUNTIF(AR84:$AS84,$F84)=0),$F84,IF(INDEX($D97:$D103,Tablas!F$1)="","",$F84&amp;INDEX($D97:$D103,Tablas!F$1)))</f>
        <v/>
      </c>
      <c r="AR84" s="3128" t="str">
        <f>IF(AND(ISNUMBER(MATCH($F84,'Tablas Técnicas'!$L$10:$L$643,0)),INDEX($D97:$D103,Tablas!G$1)="",COUNTIF(AS84:$AS84,$F84)=0),$F84,IF(INDEX($D97:$D103,Tablas!G$1)="","",$F84&amp;INDEX($D97:$D103,Tablas!G$1)))</f>
        <v/>
      </c>
      <c r="AS84" s="3132">
        <f>V84+X84+Z84+AB84+AD84+AF84</f>
        <v>0</v>
      </c>
      <c r="AT84" s="3132">
        <f t="array" ref="AT84">SUM(IF($AL84:$AR84='Tablas Técnicas'!$L$10:$L$643,IF(D84="Primario",'Tablas Técnicas'!$E$10:$E$643,'Tablas Técnicas'!$F$10:$F$643)+IF(K84="Sostenimiento menor",'Tablas Técnicas'!$I$10:$I$643,IF(K84="sostenimiento mayor",'Tablas Técnicas'!$J$10:$J$643,0)),0),0)+VALUE(RIGHT(P84,2))+AU84+AV84</f>
        <v>0</v>
      </c>
      <c r="AU84" s="3132">
        <f>IFERROR(IF(V84=0,0,VALUE(MID(Q84,SEARCH("AGI",Q84)+4,1))),0)+IFERROR(IF(X84=0,0,VALUE(MID(Q84,SEARCH("CON",Q84)+4,1))),0)+IFERROR(IF(Z84=0,0,VALUE(MID(Q84,SEARCH("DES",Q84)+4,1))),0)+IFERROR(IF(AB84=0,0,VALUE(MID(Q84,SEARCH("FUE",Q84)+4,1))),0)+IFERROR(IF(AD84=0,0,VALUE(MID(Q84,SEARCH("POD",Q84)+4,1))),0)+IFERROR(IF(AF84=0,0,VALUE(MID(Q84,SEARCH("VOL",Q84)+4,1))),0)</f>
        <v>0</v>
      </c>
      <c r="AV84" s="3132">
        <f>(COUNTIF(AL84:AR84,"*Estado añadido:*")-1)*COUNTIF(AL84:AR84,"*Estado añadido:*")</f>
        <v>0</v>
      </c>
      <c r="AW84" s="3132">
        <f t="array" ref="AW84">SUM(IF($AL84:$AR84='Tablas Técnicas'!$L$10:$L$643,'Tablas Técnicas'!$G$10:$G$643,0))</f>
        <v>0</v>
      </c>
      <c r="AX84" s="3128" t="str">
        <f>IF(F84="","",F84&amp;" ("&amp;IF(AL84="","",SUBSTITUTE(AL84,F84,"")&amp;", ")&amp;IF(AM84="","",SUBSTITUTE(AM84,F84,"")&amp;", ")&amp;IF(AN84="","",SUBSTITUTE(AN84,F84,"")&amp;", ")&amp;IF(AO84="","",SUBSTITUTE(AO84,F84,"")&amp;", ")&amp;IF(AP84="","",SUBSTITUTE(AP84,F84,"")&amp;", ")&amp;IF(AQ84="","",SUBSTITUTE(AQ84,F84,"")&amp;", ")&amp;IF(AR84="","",SUBSTITUTE(AR84,F84,"")&amp;", ")&amp;IF(OR(K84="",K84="-"),"",K84&amp;", "))</f>
        <v/>
      </c>
      <c r="AY84" s="3128" t="str">
        <f>IFERROR(LEFT(AX84,LEN(AX84)-2)&amp;"), ","")</f>
        <v/>
      </c>
    </row>
    <row r="85" spans="1:51" ht="12.2" customHeight="1" x14ac:dyDescent="0.2">
      <c r="A85" s="2172"/>
      <c r="B85" s="2086">
        <f t="shared" si="1"/>
        <v>3</v>
      </c>
      <c r="C85" s="4584"/>
      <c r="D85" s="4629" t="s">
        <v>524</v>
      </c>
      <c r="E85" s="4630"/>
      <c r="F85" s="4661"/>
      <c r="G85" s="4662"/>
      <c r="H85" s="4662"/>
      <c r="I85" s="4662"/>
      <c r="J85" s="4663"/>
      <c r="K85" s="4664" t="s">
        <v>1455</v>
      </c>
      <c r="L85" s="4665"/>
      <c r="M85" s="4666"/>
      <c r="N85" s="2525">
        <f>IF(AW85&gt;0,IF(VLOOKUP(F85,'Tablas Técnicas'!$O$9:$X$88,10,0),MAX(5,AW85-5),AW85),0)</f>
        <v>0</v>
      </c>
      <c r="O85" s="2525" t="str">
        <f>AS85&amp;" / "&amp;AT85</f>
        <v>0 / 0</v>
      </c>
      <c r="P85" s="2525" t="str">
        <f t="array" ref="P85">W85+Y85+AA85+AC85+AE85+AG85&amp;" / "&amp;IF(K85&lt;&gt;"Mantenido",0,SUM(IF($AL85:$AR85='Tablas Técnicas'!$L$10:$L$643,'Tablas Técnicas'!$H$10:$H$643,0)))</f>
        <v>0 / 0</v>
      </c>
      <c r="Q85" s="4730" t="str">
        <f>IFERROR(VLOOKUP(F85,'Tablas Técnicas'!$O$9:$T$88,5,FALSE),"")</f>
        <v/>
      </c>
      <c r="R85" s="4730"/>
      <c r="S85" s="4730"/>
      <c r="T85" s="4730"/>
      <c r="U85" s="4730"/>
      <c r="V85" s="2047"/>
      <c r="W85" s="2048"/>
      <c r="X85" s="2047"/>
      <c r="Y85" s="2049"/>
      <c r="Z85" s="2050"/>
      <c r="AA85" s="2048"/>
      <c r="AB85" s="2047"/>
      <c r="AC85" s="2049"/>
      <c r="AD85" s="2050"/>
      <c r="AE85" s="2048"/>
      <c r="AF85" s="2047"/>
      <c r="AG85" s="2051"/>
      <c r="AH85" s="2180"/>
      <c r="AI85" s="4604"/>
      <c r="AJ85" s="3128">
        <v>2</v>
      </c>
      <c r="AK85" s="3128">
        <f>P80</f>
        <v>1</v>
      </c>
      <c r="AL85" s="3128" t="str">
        <f>IF(AND(ISNUMBER(MATCH($F85,'Tablas Técnicas'!$L$10:$L$643,0)),INDEX($J97:$J103,Tablas!A$1)="",COUNTIF(AM85:$AS85,$F85)=0),$F85,IF(INDEX($J97:$J103,Tablas!A$1)="","",$F85&amp;INDEX($J97:$J103,Tablas!A$1)))</f>
        <v/>
      </c>
      <c r="AM85" s="3128" t="str">
        <f>IF(AND(ISNUMBER(MATCH($F85,'Tablas Técnicas'!$L$10:$L$643,0)),INDEX($J97:$J103,Tablas!B$1)="",COUNTIF(AN85:$AS85,$F85)=0),$F85,IF(INDEX($J97:$J103,Tablas!B$1)="","",$F85&amp;INDEX($J97:$J103,Tablas!B$1)))</f>
        <v/>
      </c>
      <c r="AN85" s="3128" t="str">
        <f>IF(AND(ISNUMBER(MATCH($F85,'Tablas Técnicas'!$L$10:$L$643,0)),INDEX($J97:$J103,Tablas!C$1)="",COUNTIF(AO85:$AS85,$F85)=0),$F85,IF(INDEX($J97:$J103,Tablas!C$1)="","",$F85&amp;INDEX($J97:$J103,Tablas!C$1)))</f>
        <v/>
      </c>
      <c r="AO85" s="3128" t="str">
        <f>IF(AND(ISNUMBER(MATCH($F85,'Tablas Técnicas'!$L$10:$L$643,0)),INDEX($J97:$J103,Tablas!D$1)="",COUNTIF(AP85:$AS85,$F85)=0),$F85,IF(INDEX($J97:$J103,Tablas!D$1)="","",$F85&amp;INDEX($J97:$J103,Tablas!D$1)))</f>
        <v/>
      </c>
      <c r="AP85" s="3128" t="str">
        <f>IF(AND(ISNUMBER(MATCH($F85,'Tablas Técnicas'!$L$10:$L$643,0)),INDEX($J97:$J103,Tablas!E$1)="",COUNTIF(AQ85:$AS85,$F85)=0),$F85,IF(INDEX($J97:$J103,Tablas!E$1)="","",$F85&amp;INDEX($J97:$J103,Tablas!E$1)))</f>
        <v/>
      </c>
      <c r="AQ85" s="3128" t="str">
        <f>IF(AND(ISNUMBER(MATCH($F85,'Tablas Técnicas'!$L$10:$L$643,0)),INDEX($J97:$J103,Tablas!F$1)="",COUNTIF(AR85:$AS85,$F85)=0),$F85,IF(INDEX($J97:$J103,Tablas!F$1)="","",$F85&amp;INDEX($J97:$J103,Tablas!F$1)))</f>
        <v/>
      </c>
      <c r="AR85" s="3128" t="str">
        <f>IF(AND(ISNUMBER(MATCH($F85,'Tablas Técnicas'!$L$10:$L$643,0)),INDEX($J97:$J103,Tablas!G$1)="",COUNTIF(AS85:$AS85,$F85)=0),$F85,IF(INDEX($J97:$J103,Tablas!G$1)="","",$F85&amp;INDEX($J97:$J103,Tablas!G$1)))</f>
        <v/>
      </c>
      <c r="AS85" s="3132">
        <f>V85+X85+Z85+AB85+AD85+AF85</f>
        <v>0</v>
      </c>
      <c r="AT85" s="3132">
        <f t="array" ref="AT85">SUM(IF($AL85:$AR85='Tablas Técnicas'!$L$10:$L$643,IF(D85="Primario",'Tablas Técnicas'!$E$10:$E$643,'Tablas Técnicas'!$F$10:$F$643)+IF(K85="Sostenimiento menor",'Tablas Técnicas'!$I$10:$I$643,IF(K85="sostenimiento mayor",'Tablas Técnicas'!$J$10:$J$643,0)),0),0)+VALUE(RIGHT(P85,2))+AU85+AV85</f>
        <v>0</v>
      </c>
      <c r="AU85" s="3132">
        <f>IFERROR(IF(V85=0,0,VALUE(MID(Q85,SEARCH("AGI",Q85)+4,1))),0)+IFERROR(IF(X85=0,0,VALUE(MID(Q85,SEARCH("CON",Q85)+4,1))),0)+IFERROR(IF(Z85=0,0,VALUE(MID(Q85,SEARCH("DES",Q85)+4,1))),0)+IFERROR(IF(AB85=0,0,VALUE(MID(Q85,SEARCH("FUE",Q85)+4,1))),0)+IFERROR(IF(AD85=0,0,VALUE(MID(Q85,SEARCH("POD",Q85)+4,1))),0)+IFERROR(IF(AF85=0,0,VALUE(MID(Q85,SEARCH("VOL",Q85)+4,1))),0)</f>
        <v>0</v>
      </c>
      <c r="AV85" s="3132">
        <f>(COUNTIF(AL85:AR85,"*Estado añadido:*")-1)*COUNTIF(AL85:AR85,"*Estado añadido:*")</f>
        <v>0</v>
      </c>
      <c r="AW85" s="3132">
        <f t="array" ref="AW85">SUM(IF($AL85:$AR85='Tablas Técnicas'!$L$10:$L$643,'Tablas Técnicas'!$G$10:$G$643,0))</f>
        <v>0</v>
      </c>
      <c r="AX85" s="3128" t="str">
        <f>IF(F85="","",F85&amp;" ("&amp;IF(AL85="","",SUBSTITUTE(AL85,F85,"")&amp;", ")&amp;IF(AM85="","",SUBSTITUTE(AM85,F85,"")&amp;", ")&amp;IF(AN85="","",SUBSTITUTE(AN85,F85,"")&amp;", ")&amp;IF(AO85="","",SUBSTITUTE(AO85,F85,"")&amp;", ")&amp;IF(AP85="","",SUBSTITUTE(AP85,F85,"")&amp;", ")&amp;IF(AQ85="","",SUBSTITUTE(AQ85,F85,"")&amp;", ")&amp;IF(AR85="","",SUBSTITUTE(AR85,F85,"")&amp;", ")&amp;IF(OR(K85="",K85="-"),"",K85&amp;", "))</f>
        <v/>
      </c>
      <c r="AY85" s="3128" t="str">
        <f>IFERROR(LEFT(AX85,LEN(AX85)-2)&amp;"), ","")</f>
        <v/>
      </c>
    </row>
    <row r="86" spans="1:51" ht="12.2" customHeight="1" x14ac:dyDescent="0.2">
      <c r="A86" s="2172"/>
      <c r="B86" s="2086">
        <f t="shared" si="1"/>
        <v>3</v>
      </c>
      <c r="C86" s="4584"/>
      <c r="D86" s="4675" t="s">
        <v>524</v>
      </c>
      <c r="E86" s="4676"/>
      <c r="F86" s="4605"/>
      <c r="G86" s="4606"/>
      <c r="H86" s="4606"/>
      <c r="I86" s="4606"/>
      <c r="J86" s="4607"/>
      <c r="K86" s="4667" t="s">
        <v>1455</v>
      </c>
      <c r="L86" s="4668"/>
      <c r="M86" s="4669"/>
      <c r="N86" s="2521">
        <f>IF(AW86&gt;0,IF(VLOOKUP(F86,'Tablas Técnicas'!$O$9:$X$88,10,0),MAX(5,AW86-5),AW86),0)</f>
        <v>0</v>
      </c>
      <c r="O86" s="2521" t="str">
        <f>AS86&amp;" / "&amp;AT86</f>
        <v>0 / 0</v>
      </c>
      <c r="P86" s="2521" t="str">
        <f t="array" ref="P86">W86+Y86+AA86+AC86+AE86+AG86&amp;" / "&amp;IF(K86&lt;&gt;"Mantenido",0,SUM(IF($AL86:$AR86='Tablas Técnicas'!$L$10:$L$643,'Tablas Técnicas'!$H$10:$H$643,0)))</f>
        <v>0 / 0</v>
      </c>
      <c r="Q86" s="4726" t="str">
        <f>IFERROR(VLOOKUP(F86,'Tablas Técnicas'!$O$9:$T$88,5,FALSE),"")</f>
        <v/>
      </c>
      <c r="R86" s="4726"/>
      <c r="S86" s="4726"/>
      <c r="T86" s="4726"/>
      <c r="U86" s="4726"/>
      <c r="V86" s="2052"/>
      <c r="W86" s="2053"/>
      <c r="X86" s="2052"/>
      <c r="Y86" s="2054"/>
      <c r="Z86" s="2055"/>
      <c r="AA86" s="2053"/>
      <c r="AB86" s="2052"/>
      <c r="AC86" s="2054"/>
      <c r="AD86" s="2055"/>
      <c r="AE86" s="2053"/>
      <c r="AF86" s="2052"/>
      <c r="AG86" s="2056"/>
      <c r="AH86" s="2180"/>
      <c r="AI86" s="4604"/>
      <c r="AJ86" s="3128">
        <v>3</v>
      </c>
      <c r="AK86" s="3128">
        <f>P80</f>
        <v>1</v>
      </c>
      <c r="AL86" s="3128" t="str">
        <f>IF(AND(ISNUMBER(MATCH($F86,'Tablas Técnicas'!$L$10:$L$643,0)),INDEX($P97:$P103,Tablas!A$1)="",COUNTIF(AM86:$AS86,$F86)=0),$F86,IF(INDEX($P97:$P103,Tablas!A$1)="","",$F86&amp;INDEX($P97:$P103,Tablas!A$1)))</f>
        <v/>
      </c>
      <c r="AM86" s="3128" t="str">
        <f>IF(AND(ISNUMBER(MATCH($F86,'Tablas Técnicas'!$L$10:$L$643,0)),INDEX($P97:$P103,Tablas!B$1)="",COUNTIF(AN86:$AS86,$F86)=0),$F86,IF(INDEX($P97:$P103,Tablas!B$1)="","",$F86&amp;INDEX($P97:$P103,Tablas!B$1)))</f>
        <v/>
      </c>
      <c r="AN86" s="3128" t="str">
        <f>IF(AND(ISNUMBER(MATCH($F86,'Tablas Técnicas'!$L$10:$L$643,0)),INDEX($P97:$P103,Tablas!C$1)="",COUNTIF(AO86:$AS86,$F86)=0),$F86,IF(INDEX($P97:$P103,Tablas!C$1)="","",$F86&amp;INDEX($P97:$P103,Tablas!C$1)))</f>
        <v/>
      </c>
      <c r="AO86" s="3128" t="str">
        <f>IF(AND(ISNUMBER(MATCH($F86,'Tablas Técnicas'!$L$10:$L$643,0)),INDEX($P97:$P103,Tablas!D$1)="",COUNTIF(AP86:$AS86,$F86)=0),$F86,IF(INDEX($P97:$P103,Tablas!D$1)="","",$F86&amp;INDEX($P97:$P103,Tablas!D$1)))</f>
        <v/>
      </c>
      <c r="AP86" s="3128" t="str">
        <f>IF(AND(ISNUMBER(MATCH($F86,'Tablas Técnicas'!$L$10:$L$643,0)),INDEX($P97:$P103,Tablas!E$1)="",COUNTIF(AQ86:$AS86,$F86)=0),$F86,IF(INDEX($P97:$P103,Tablas!E$1)="","",$F86&amp;INDEX($P97:$P103,Tablas!E$1)))</f>
        <v/>
      </c>
      <c r="AQ86" s="3128" t="str">
        <f>IF(AND(ISNUMBER(MATCH($F86,'Tablas Técnicas'!$L$10:$L$643,0)),INDEX($P97:$P103,Tablas!F$1)="",COUNTIF(AR86:$AS86,$F86)=0),$F86,IF(INDEX($P97:$P103,Tablas!F$1)="","",$F86&amp;INDEX($P97:$P103,Tablas!F$1)))</f>
        <v/>
      </c>
      <c r="AR86" s="3128" t="str">
        <f>IF(AND(ISNUMBER(MATCH($F86,'Tablas Técnicas'!$L$10:$L$643,0)),INDEX($P97:$P103,Tablas!G$1)="",COUNTIF(AS86:$AS86,$F86)=0),$F86,IF(INDEX($P97:$P103,Tablas!G$1)="","",$F86&amp;INDEX($P97:$P103,Tablas!G$1)))</f>
        <v/>
      </c>
      <c r="AS86" s="3132">
        <f>V86+X86+Z86+AB86+AD86+AF86</f>
        <v>0</v>
      </c>
      <c r="AT86" s="3132">
        <f t="array" ref="AT86">SUM(IF($AL86:$AR86='Tablas Técnicas'!$L$10:$L$643,IF(D86="Primario",'Tablas Técnicas'!$E$10:$E$643,'Tablas Técnicas'!$F$10:$F$643)+IF(K86="Sostenimiento menor",'Tablas Técnicas'!$I$10:$I$643,IF(K86="sostenimiento mayor",'Tablas Técnicas'!$J$10:$J$643,0)),0),0)+VALUE(RIGHT(P86,2))+AU86+AV86</f>
        <v>0</v>
      </c>
      <c r="AU86" s="3132">
        <f>IFERROR(IF(V86=0,0,VALUE(MID(Q86,SEARCH("AGI",Q86)+4,1))),0)+IFERROR(IF(X86=0,0,VALUE(MID(Q86,SEARCH("CON",Q86)+4,1))),0)+IFERROR(IF(Z86=0,0,VALUE(MID(Q86,SEARCH("DES",Q86)+4,1))),0)+IFERROR(IF(AB86=0,0,VALUE(MID(Q86,SEARCH("FUE",Q86)+4,1))),0)+IFERROR(IF(AD86=0,0,VALUE(MID(Q86,SEARCH("POD",Q86)+4,1))),0)+IFERROR(IF(AF86=0,0,VALUE(MID(Q86,SEARCH("VOL",Q86)+4,1))),0)</f>
        <v>0</v>
      </c>
      <c r="AV86" s="3132">
        <f>(COUNTIF(AL86:AR86,"*Estado añadido:*")-1)*COUNTIF(AL86:AR86,"*Estado añadido:*")</f>
        <v>0</v>
      </c>
      <c r="AW86" s="3132">
        <f t="array" ref="AW86">SUM(IF($AL86:$AR86='Tablas Técnicas'!$L$10:$L$643,'Tablas Técnicas'!$G$10:$G$643,0))</f>
        <v>0</v>
      </c>
      <c r="AX86" s="3128" t="str">
        <f>IF(F86="","",F86&amp;" ("&amp;IF(AL86="","",SUBSTITUTE(AL86,F86,"")&amp;", ")&amp;IF(AM86="","",SUBSTITUTE(AM86,F86,"")&amp;", ")&amp;IF(AN86="","",SUBSTITUTE(AN86,F86,"")&amp;", ")&amp;IF(AO86="","",SUBSTITUTE(AO86,F86,"")&amp;", ")&amp;IF(AP86="","",SUBSTITUTE(AP86,F86,"")&amp;", ")&amp;IF(AQ86="","",SUBSTITUTE(AQ86,F86,"")&amp;", ")&amp;IF(AR86="","",SUBSTITUTE(AR86,F86,"")&amp;", ")&amp;IF(OR(K86="",K86="-"),"",K86&amp;", "))</f>
        <v/>
      </c>
      <c r="AY86" s="3128" t="str">
        <f>IFERROR(LEFT(AX86,LEN(AX86)-2)&amp;"), ","")</f>
        <v/>
      </c>
    </row>
    <row r="87" spans="1:51" ht="12.2" customHeight="1" x14ac:dyDescent="0.2">
      <c r="A87" s="2172"/>
      <c r="B87" s="2086">
        <f t="shared" si="1"/>
        <v>3</v>
      </c>
      <c r="C87" s="4584"/>
      <c r="D87" s="4629" t="s">
        <v>524</v>
      </c>
      <c r="E87" s="4630"/>
      <c r="F87" s="4661"/>
      <c r="G87" s="4662"/>
      <c r="H87" s="4662"/>
      <c r="I87" s="4662"/>
      <c r="J87" s="4663"/>
      <c r="K87" s="4664" t="s">
        <v>1455</v>
      </c>
      <c r="L87" s="4665"/>
      <c r="M87" s="4666"/>
      <c r="N87" s="2525">
        <f>IF(AW87&gt;0,IF(VLOOKUP(F87,'Tablas Técnicas'!$O$9:$X$88,10,0),MAX(5,AW87-5),AW87),0)</f>
        <v>0</v>
      </c>
      <c r="O87" s="2525" t="str">
        <f>AS87&amp;" / "&amp;AT87</f>
        <v>0 / 0</v>
      </c>
      <c r="P87" s="2525" t="str">
        <f t="array" ref="P87">W87+Y87+AA87+AC87+AE87+AG87&amp;" / "&amp;IF(K87&lt;&gt;"Mantenido",0,SUM(IF($AL87:$AR87='Tablas Técnicas'!$L$10:$L$643,'Tablas Técnicas'!$H$10:$H$643,0)))</f>
        <v>0 / 0</v>
      </c>
      <c r="Q87" s="4730" t="str">
        <f>IFERROR(VLOOKUP(F87,'Tablas Técnicas'!$O$9:$T$88,5,FALSE),"")</f>
        <v/>
      </c>
      <c r="R87" s="4730"/>
      <c r="S87" s="4730"/>
      <c r="T87" s="4730"/>
      <c r="U87" s="4730"/>
      <c r="V87" s="2047"/>
      <c r="W87" s="2048"/>
      <c r="X87" s="2047"/>
      <c r="Y87" s="2049"/>
      <c r="Z87" s="2050"/>
      <c r="AA87" s="2048"/>
      <c r="AB87" s="2047"/>
      <c r="AC87" s="2049"/>
      <c r="AD87" s="2050"/>
      <c r="AE87" s="2048"/>
      <c r="AF87" s="2047"/>
      <c r="AG87" s="2051"/>
      <c r="AH87" s="2180"/>
      <c r="AI87" s="4604"/>
      <c r="AJ87" s="3128">
        <v>4</v>
      </c>
      <c r="AK87" s="3128">
        <f>P80</f>
        <v>1</v>
      </c>
      <c r="AL87" s="3128" t="str">
        <f>IF(AND(ISNUMBER(MATCH($F87,'Tablas Técnicas'!$L$10:$L$643,0)),INDEX($V97:$V103,Tablas!A$1)="",COUNTIF(AM87:$AS87,$F87)=0),$F87,IF(INDEX($V97:$V103,Tablas!A$1)="","",$F87&amp;INDEX($V97:$V103,Tablas!A$1)))</f>
        <v/>
      </c>
      <c r="AM87" s="3128" t="str">
        <f>IF(AND(ISNUMBER(MATCH($F87,'Tablas Técnicas'!$L$10:$L$643,0)),INDEX($V97:$V103,Tablas!B$1)="",COUNTIF(AN87:$AS87,$F87)=0),$F87,IF(INDEX($V97:$V103,Tablas!B$1)="","",$F87&amp;INDEX($V97:$V103,Tablas!B$1)))</f>
        <v/>
      </c>
      <c r="AN87" s="3128" t="str">
        <f>IF(AND(ISNUMBER(MATCH($F87,'Tablas Técnicas'!$L$10:$L$643,0)),INDEX($V97:$V103,Tablas!C$1)="",COUNTIF(AO87:$AS87,$F87)=0),$F87,IF(INDEX($V97:$V103,Tablas!C$1)="","",$F87&amp;INDEX($V97:$V103,Tablas!C$1)))</f>
        <v/>
      </c>
      <c r="AO87" s="3128" t="str">
        <f>IF(AND(ISNUMBER(MATCH($F87,'Tablas Técnicas'!$L$10:$L$643,0)),INDEX($V97:$V103,Tablas!D$1)="",COUNTIF(AP87:$AS87,$F87)=0),$F87,IF(INDEX($V97:$V103,Tablas!D$1)="","",$F87&amp;INDEX($V97:$V103,Tablas!D$1)))</f>
        <v/>
      </c>
      <c r="AP87" s="3128" t="str">
        <f>IF(AND(ISNUMBER(MATCH($F87,'Tablas Técnicas'!$L$10:$L$643,0)),INDEX($V97:$V103,Tablas!E$1)="",COUNTIF(AQ87:$AS87,$F87)=0),$F87,IF(INDEX($V97:$V103,Tablas!E$1)="","",$F87&amp;INDEX($V97:$V103,Tablas!E$1)))</f>
        <v/>
      </c>
      <c r="AQ87" s="3128" t="str">
        <f>IF(AND(ISNUMBER(MATCH($F87,'Tablas Técnicas'!$L$10:$L$643,0)),INDEX($V97:$V103,Tablas!F$1)="",COUNTIF(AR87:$AS87,$F87)=0),$F87,IF(INDEX($V97:$V103,Tablas!F$1)="","",$F87&amp;INDEX($V97:$V103,Tablas!F$1)))</f>
        <v/>
      </c>
      <c r="AR87" s="3128" t="str">
        <f>IF(AND(ISNUMBER(MATCH($F87,'Tablas Técnicas'!$L$10:$L$643,0)),INDEX($V97:$V103,Tablas!G$1)="",COUNTIF(AS87:$AS87,$F87)=0),$F87,IF(INDEX($V97:$V103,Tablas!G$1)="","",$F87&amp;INDEX($V97:$V103,Tablas!G$1)))</f>
        <v/>
      </c>
      <c r="AS87" s="3132">
        <f>V87+X87+Z87+AB87+AD87+AF87</f>
        <v>0</v>
      </c>
      <c r="AT87" s="3132">
        <f t="array" ref="AT87">SUM(IF($AL87:$AR87='Tablas Técnicas'!$L$10:$L$643,IF(D87="Primario",'Tablas Técnicas'!$E$10:$E$643,'Tablas Técnicas'!$F$10:$F$643)+IF(K87="Sostenimiento menor",'Tablas Técnicas'!$I$10:$I$643,IF(K87="sostenimiento mayor",'Tablas Técnicas'!$J$10:$J$643,0)),0),0)+VALUE(RIGHT(P87,2))+AU87+AV87</f>
        <v>0</v>
      </c>
      <c r="AU87" s="3132">
        <f>IFERROR(IF(V87=0,0,VALUE(MID(Q87,SEARCH("AGI",Q87)+4,1))),0)+IFERROR(IF(X87=0,0,VALUE(MID(Q87,SEARCH("CON",Q87)+4,1))),0)+IFERROR(IF(Z87=0,0,VALUE(MID(Q87,SEARCH("DES",Q87)+4,1))),0)+IFERROR(IF(AB87=0,0,VALUE(MID(Q87,SEARCH("FUE",Q87)+4,1))),0)+IFERROR(IF(AD87=0,0,VALUE(MID(Q87,SEARCH("POD",Q87)+4,1))),0)+IFERROR(IF(AF87=0,0,VALUE(MID(Q87,SEARCH("VOL",Q87)+4,1))),0)</f>
        <v>0</v>
      </c>
      <c r="AV87" s="3132">
        <f>(COUNTIF(AL87:AR87,"*Estado añadido:*")-1)*COUNTIF(AL87:AR87,"*Estado añadido:*")</f>
        <v>0</v>
      </c>
      <c r="AW87" s="3132">
        <f t="array" ref="AW87">SUM(IF($AL87:$AR87='Tablas Técnicas'!$L$10:$L$643,'Tablas Técnicas'!$G$10:$G$643,0))</f>
        <v>0</v>
      </c>
      <c r="AX87" s="3128" t="str">
        <f>IF(F87="","",F87&amp;" ("&amp;IF(AL87="","",SUBSTITUTE(AL87,F87,"")&amp;", ")&amp;IF(AM87="","",SUBSTITUTE(AM87,F87,"")&amp;", ")&amp;IF(AN87="","",SUBSTITUTE(AN87,F87,"")&amp;", ")&amp;IF(AO87="","",SUBSTITUTE(AO87,F87,"")&amp;", ")&amp;IF(AP87="","",SUBSTITUTE(AP87,F87,"")&amp;", ")&amp;IF(AQ87="","",SUBSTITUTE(AQ87,F87,"")&amp;", ")&amp;IF(AR87="","",SUBSTITUTE(AR87,F87,"")&amp;", ")&amp;IF(OR(K87="",K87="-"),"",K87&amp;", "))</f>
        <v/>
      </c>
      <c r="AY87" s="3128" t="str">
        <f>IFERROR(LEFT(AX87,LEN(AX87)-2)&amp;"), ","")</f>
        <v/>
      </c>
    </row>
    <row r="88" spans="1:51" ht="12.2" customHeight="1" thickBot="1" x14ac:dyDescent="0.25">
      <c r="A88" s="2172"/>
      <c r="B88" s="2086">
        <f t="shared" si="1"/>
        <v>3</v>
      </c>
      <c r="C88" s="4584"/>
      <c r="D88" s="4632" t="s">
        <v>524</v>
      </c>
      <c r="E88" s="4633"/>
      <c r="F88" s="4589"/>
      <c r="G88" s="4590"/>
      <c r="H88" s="4590"/>
      <c r="I88" s="4590"/>
      <c r="J88" s="4591"/>
      <c r="K88" s="4592" t="s">
        <v>1455</v>
      </c>
      <c r="L88" s="4593"/>
      <c r="M88" s="4594"/>
      <c r="N88" s="2526">
        <f>IF(AW88&gt;0,IF(VLOOKUP(F88,'Tablas Técnicas'!$O$9:$X$88,10,0),MAX(5,AW88-5),AW88),0)</f>
        <v>0</v>
      </c>
      <c r="O88" s="2526" t="str">
        <f>AS88&amp;" / "&amp;AT88</f>
        <v>0 / 0</v>
      </c>
      <c r="P88" s="2526" t="str">
        <f t="array" ref="P88">W88+Y88+AA88+AC88+AE88+AG88&amp;" / "&amp;IF(K88&lt;&gt;"Mantenido",0,SUM(IF($AL88:$AR88='Tablas Técnicas'!$L$10:$L$643,'Tablas Técnicas'!$H$10:$H$643,0)))</f>
        <v>0 / 0</v>
      </c>
      <c r="Q88" s="4727" t="str">
        <f>IFERROR(VLOOKUP(F88,'Tablas Técnicas'!$O$9:$T$88,5,FALSE),"")</f>
        <v/>
      </c>
      <c r="R88" s="4727"/>
      <c r="S88" s="4727"/>
      <c r="T88" s="4727"/>
      <c r="U88" s="4727"/>
      <c r="V88" s="2057"/>
      <c r="W88" s="2058"/>
      <c r="X88" s="2057"/>
      <c r="Y88" s="2059"/>
      <c r="Z88" s="2060"/>
      <c r="AA88" s="2058"/>
      <c r="AB88" s="2057"/>
      <c r="AC88" s="2059"/>
      <c r="AD88" s="2060"/>
      <c r="AE88" s="2058"/>
      <c r="AF88" s="2057"/>
      <c r="AG88" s="2061"/>
      <c r="AH88" s="2180"/>
      <c r="AI88" s="4604"/>
      <c r="AJ88" s="3128">
        <v>5</v>
      </c>
      <c r="AK88" s="3128">
        <f>P80</f>
        <v>1</v>
      </c>
      <c r="AL88" s="3128" t="str">
        <f>IF(AND(ISNUMBER(MATCH($F88,'Tablas Técnicas'!$L$10:$L$643,0)),INDEX($AB97:$AB103,Tablas!A$1)="",COUNTIF(AM88:$AS88,$F88)=0),$F88,IF(INDEX($AB97:$AB103,Tablas!A$1)="","",$F88&amp;INDEX($AB97:$AB103,Tablas!A$1)))</f>
        <v/>
      </c>
      <c r="AM88" s="3128" t="str">
        <f>IF(AND(ISNUMBER(MATCH($F88,'Tablas Técnicas'!$L$10:$L$643,0)),INDEX($AB97:$AB103,Tablas!B$1)="",COUNTIF(AN88:$AS88,$F88)=0),$F88,IF(INDEX($AB97:$AB103,Tablas!B$1)="","",$F88&amp;INDEX($AB97:$AB103,Tablas!B$1)))</f>
        <v/>
      </c>
      <c r="AN88" s="3128" t="str">
        <f>IF(AND(ISNUMBER(MATCH($F88,'Tablas Técnicas'!$L$10:$L$643,0)),INDEX($AB97:$AB103,Tablas!C$1)="",COUNTIF(AO88:$AS88,$F88)=0),$F88,IF(INDEX($AB97:$AB103,Tablas!C$1)="","",$F88&amp;INDEX($AB97:$AB103,Tablas!C$1)))</f>
        <v/>
      </c>
      <c r="AO88" s="3128" t="str">
        <f>IF(AND(ISNUMBER(MATCH($F88,'Tablas Técnicas'!$L$10:$L$643,0)),INDEX($AB97:$AB103,Tablas!D$1)="",COUNTIF(AP88:$AS88,$F88)=0),$F88,IF(INDEX($AB97:$AB103,Tablas!D$1)="","",$F88&amp;INDEX($AB97:$AB103,Tablas!D$1)))</f>
        <v/>
      </c>
      <c r="AP88" s="3128" t="str">
        <f>IF(AND(ISNUMBER(MATCH($F88,'Tablas Técnicas'!$L$10:$L$643,0)),INDEX($AB97:$AB103,Tablas!E$1)="",COUNTIF(AQ88:$AS88,$F88)=0),$F88,IF(INDEX($AB97:$AB103,Tablas!E$1)="","",$F88&amp;INDEX($AB97:$AB103,Tablas!E$1)))</f>
        <v/>
      </c>
      <c r="AQ88" s="3128" t="str">
        <f>IF(AND(ISNUMBER(MATCH($F88,'Tablas Técnicas'!$L$10:$L$643,0)),INDEX($AB97:$AB103,Tablas!F$1)="",COUNTIF(AR88:$AS88,$F88)=0),$F88,IF(INDEX($AB97:$AB103,Tablas!F$1)="","",$F88&amp;INDEX($AB97:$AB103,Tablas!F$1)))</f>
        <v/>
      </c>
      <c r="AR88" s="3128" t="str">
        <f>IF(AND(ISNUMBER(MATCH($F88,'Tablas Técnicas'!$L$10:$L$643,0)),INDEX($AB97:$AB103,Tablas!G$1)="",COUNTIF(AS88:$AS88,$F88)=0),$F88,IF(INDEX($AB97:$AB103,Tablas!G$1)="","",$F88&amp;INDEX($AB97:$AB103,Tablas!G$1)))</f>
        <v/>
      </c>
      <c r="AS88" s="3132">
        <f>V88+X88+Z88+AB88+AD88+AF88</f>
        <v>0</v>
      </c>
      <c r="AT88" s="3132">
        <f t="array" ref="AT88">SUM(IF($AL88:$AR88='Tablas Técnicas'!$L$10:$L$643,IF(D88="Primario",'Tablas Técnicas'!$E$10:$E$643,'Tablas Técnicas'!$F$10:$F$643)+IF(K88="Sostenimiento menor",'Tablas Técnicas'!$I$10:$I$643,IF(K88="sostenimiento mayor",'Tablas Técnicas'!$J$10:$J$643,0)),0),0)+VALUE(RIGHT(P88,2))+AU88+AV88</f>
        <v>0</v>
      </c>
      <c r="AU88" s="3132">
        <f>IFERROR(IF(V88=0,0,VALUE(MID(Q88,SEARCH("AGI",Q88)+4,1))),0)+IFERROR(IF(X88=0,0,VALUE(MID(Q88,SEARCH("CON",Q88)+4,1))),0)+IFERROR(IF(Z88=0,0,VALUE(MID(Q88,SEARCH("DES",Q88)+4,1))),0)+IFERROR(IF(AB88=0,0,VALUE(MID(Q88,SEARCH("FUE",Q88)+4,1))),0)+IFERROR(IF(AD88=0,0,VALUE(MID(Q88,SEARCH("POD",Q88)+4,1))),0)+IFERROR(IF(AF88=0,0,VALUE(MID(Q88,SEARCH("VOL",Q88)+4,1))),0)</f>
        <v>0</v>
      </c>
      <c r="AV88" s="3132">
        <f>(COUNTIF(AL88:AR88,"*Estado añadido:*")-1)*COUNTIF(AL88:AR88,"*Estado añadido:*")</f>
        <v>0</v>
      </c>
      <c r="AW88" s="3132">
        <f t="array" ref="AW88">SUM(IF($AL88:$AR88='Tablas Técnicas'!$L$10:$L$643,'Tablas Técnicas'!$G$10:$G$643,0))</f>
        <v>0</v>
      </c>
      <c r="AX88" s="3128" t="str">
        <f>IF(F88="","",F88&amp;" ("&amp;IF(AL88="","",SUBSTITUTE(AL88,F88,"")&amp;", ")&amp;IF(AM88="","",SUBSTITUTE(AM88,F88,"")&amp;", ")&amp;IF(AN88="","",SUBSTITUTE(AN88,F88,"")&amp;", ")&amp;IF(AO88="","",SUBSTITUTE(AO88,F88,"")&amp;", ")&amp;IF(AP88="","",SUBSTITUTE(AP88,F88,"")&amp;", ")&amp;IF(AQ88="","",SUBSTITUTE(AQ88,F88,"")&amp;", ")&amp;IF(AR88="","",SUBSTITUTE(AR88,F88,"")&amp;", ")&amp;IF(OR(K88="",K88="-"),"",K88&amp;", "))</f>
        <v/>
      </c>
      <c r="AY88" s="3128" t="str">
        <f>IFERROR(LEFT(AX88,LEN(AX88)-2)&amp;"), ","")</f>
        <v/>
      </c>
    </row>
    <row r="89" spans="1:51" ht="12.2" customHeight="1" x14ac:dyDescent="0.2">
      <c r="A89" s="2172"/>
      <c r="B89" s="2086">
        <f t="shared" si="1"/>
        <v>3</v>
      </c>
      <c r="C89" s="4584"/>
      <c r="D89" s="4635" t="s">
        <v>2818</v>
      </c>
      <c r="E89" s="4636"/>
      <c r="F89" s="4656"/>
      <c r="G89" s="4657"/>
      <c r="H89" s="4657"/>
      <c r="I89" s="4657"/>
      <c r="J89" s="4658"/>
      <c r="K89" s="4674"/>
      <c r="L89" s="4703"/>
      <c r="M89" s="4704"/>
      <c r="N89" s="1916" t="str">
        <f>IFERROR(INDEX('Tablas Técnicas'!$Q$200:$Q$301,MATCH(F89&amp;K89,'Tablas Técnicas'!$S$200:$S$301,0)),"")</f>
        <v/>
      </c>
      <c r="O89" s="4705"/>
      <c r="P89" s="4706"/>
      <c r="Q89" s="4707"/>
      <c r="R89" s="4706"/>
      <c r="S89" s="2745" t="str">
        <f>IFERROR("Nivel: "&amp;MAX(1,INDEX('Tablas Técnicas'!$R$200:$R$301,MATCH(F89&amp;K89,'Tablas Técnicas'!$S$200:$S$301,0))),"")</f>
        <v/>
      </c>
      <c r="T89" s="1917"/>
      <c r="U89" s="1918" t="str">
        <f>IFERROR("("&amp;VLOOKUP(F89,'Tablas Técnicas'!$O$165:$Q$192,3,FALSE)&amp;")","")</f>
        <v/>
      </c>
      <c r="V89" s="4644" t="s">
        <v>9619</v>
      </c>
      <c r="W89" s="4645"/>
      <c r="X89" s="4646"/>
      <c r="Y89" s="2527">
        <v>0</v>
      </c>
      <c r="Z89" s="4740" t="s">
        <v>8806</v>
      </c>
      <c r="AA89" s="4648"/>
      <c r="AB89" s="4649"/>
      <c r="AC89" s="2527">
        <v>0</v>
      </c>
      <c r="AD89" s="4741" t="str">
        <f>"Ki sin repartir: "&amp;AL97-AL98&amp;IF(AM97=0,""," ("&amp;AM97-AM98&amp;")")</f>
        <v>Ki sin repartir: 0</v>
      </c>
      <c r="AE89" s="4651"/>
      <c r="AF89" s="4651"/>
      <c r="AG89" s="4652"/>
      <c r="AH89" s="2180"/>
      <c r="AI89" s="4604"/>
      <c r="AJ89" s="3128">
        <v>1</v>
      </c>
      <c r="AK89" s="3128">
        <f>P80</f>
        <v>1</v>
      </c>
      <c r="AL89" s="3128" t="e">
        <f>VLOOKUP(F89,'Tablas Técnicas'!$O$165:$Q$188,2,FALSE)</f>
        <v>#N/A</v>
      </c>
      <c r="AM89" s="3128"/>
      <c r="AN89" s="3129"/>
      <c r="AO89" s="3128"/>
      <c r="AP89" s="3128"/>
      <c r="AQ89" s="3129"/>
      <c r="AR89" s="3128"/>
      <c r="AS89" s="3128"/>
      <c r="AT89" s="3128"/>
      <c r="AU89" s="3128"/>
      <c r="AV89" s="3128"/>
      <c r="AW89" s="3132"/>
      <c r="AX89" s="3132"/>
      <c r="AY89" s="3128" t="str">
        <f>IF(F89="","",F89&amp;IF(K89="",""," ("&amp;IF(F89="Atadura Elemental",O89&amp;IF(Q89="","",", "&amp;Q89),K89)&amp;")")&amp;", ")</f>
        <v/>
      </c>
    </row>
    <row r="90" spans="1:51" ht="12.2" customHeight="1" x14ac:dyDescent="0.2">
      <c r="A90" s="2172"/>
      <c r="B90" s="2086">
        <f t="shared" si="1"/>
        <v>3</v>
      </c>
      <c r="C90" s="4584"/>
      <c r="D90" s="4637"/>
      <c r="E90" s="4638"/>
      <c r="F90" s="4708"/>
      <c r="G90" s="4709"/>
      <c r="H90" s="4709"/>
      <c r="I90" s="4709"/>
      <c r="J90" s="4710"/>
      <c r="K90" s="4663"/>
      <c r="L90" s="4723"/>
      <c r="M90" s="4724"/>
      <c r="N90" s="1919" t="str">
        <f>IFERROR(INDEX('Tablas Técnicas'!$Q$200:$Q$301,MATCH(F90&amp;K90,'Tablas Técnicas'!$S$200:$S$301,0)),"")</f>
        <v/>
      </c>
      <c r="O90" s="4711"/>
      <c r="P90" s="4712"/>
      <c r="Q90" s="4713"/>
      <c r="R90" s="4712"/>
      <c r="S90" s="2747" t="str">
        <f>IFERROR("Nivel: "&amp;MAX(1,INDEX('Tablas Técnicas'!$R$200:$R$301,MATCH(F90&amp;K90,'Tablas Técnicas'!$S$200:$S$301,0))),"")</f>
        <v/>
      </c>
      <c r="T90" s="2528"/>
      <c r="U90" s="2529" t="str">
        <f>IFERROR("("&amp;VLOOKUP(F90,'Tablas Técnicas'!$O$165:$Q$192,3,FALSE)&amp;")","")</f>
        <v/>
      </c>
      <c r="V90" s="4653" t="str">
        <f>"Mod. "&amp;V82</f>
        <v>Mod. AGI</v>
      </c>
      <c r="W90" s="4654"/>
      <c r="X90" s="4653" t="str">
        <f>"Mod. "&amp;X82</f>
        <v>Mod. CON</v>
      </c>
      <c r="Y90" s="4654"/>
      <c r="Z90" s="4653" t="str">
        <f>"Mod. "&amp;Z82</f>
        <v>Mod. DES</v>
      </c>
      <c r="AA90" s="4654"/>
      <c r="AB90" s="4653" t="str">
        <f>"Mod. "&amp;AB82</f>
        <v>Mod. FUE</v>
      </c>
      <c r="AC90" s="4654"/>
      <c r="AD90" s="4653" t="str">
        <f>"Mod. "&amp;AD82</f>
        <v>Mod. POD</v>
      </c>
      <c r="AE90" s="4654"/>
      <c r="AF90" s="4653" t="str">
        <f>"Mod. "&amp;AF82</f>
        <v>Mod. VOL</v>
      </c>
      <c r="AG90" s="4655"/>
      <c r="AH90" s="2180"/>
      <c r="AI90" s="4604"/>
      <c r="AJ90" s="3128">
        <v>2</v>
      </c>
      <c r="AK90" s="3128">
        <f>P80</f>
        <v>1</v>
      </c>
      <c r="AL90" s="3128" t="e">
        <f>VLOOKUP(F90,'Tablas Técnicas'!$O$165:$Q$188,2,FALSE)</f>
        <v>#N/A</v>
      </c>
      <c r="AM90" s="3128"/>
      <c r="AN90" s="3129"/>
      <c r="AO90" s="3128"/>
      <c r="AP90" s="3128"/>
      <c r="AQ90" s="3129"/>
      <c r="AR90" s="3128"/>
      <c r="AS90" s="3128"/>
      <c r="AT90" s="3128"/>
      <c r="AU90" s="3128"/>
      <c r="AV90" s="3128"/>
      <c r="AW90" s="3132"/>
      <c r="AX90" s="3132"/>
      <c r="AY90" s="3128" t="str">
        <f>IF(F90="","",F90&amp;IF(K90="",""," ("&amp;IF(F90="Atadura Elemental",O90&amp;IF(Q90="","",", "&amp;Q90),K90)&amp;")")&amp;", ")</f>
        <v/>
      </c>
    </row>
    <row r="91" spans="1:51" ht="12.2" customHeight="1" thickBot="1" x14ac:dyDescent="0.25">
      <c r="A91" s="2172"/>
      <c r="B91" s="2086">
        <f t="shared" si="1"/>
        <v>3</v>
      </c>
      <c r="C91" s="4584"/>
      <c r="D91" s="4728"/>
      <c r="E91" s="4729"/>
      <c r="F91" s="4714"/>
      <c r="G91" s="4715"/>
      <c r="H91" s="4715"/>
      <c r="I91" s="4715"/>
      <c r="J91" s="4716"/>
      <c r="K91" s="4718"/>
      <c r="L91" s="4719"/>
      <c r="M91" s="4720"/>
      <c r="N91" s="1920" t="str">
        <f>IFERROR(INDEX('Tablas Técnicas'!$Q$200:$Q$301,MATCH(F91&amp;K91,'Tablas Técnicas'!$S$200:$S$301,0)),"")</f>
        <v/>
      </c>
      <c r="O91" s="4701"/>
      <c r="P91" s="4702"/>
      <c r="Q91" s="4717"/>
      <c r="R91" s="4702"/>
      <c r="S91" s="2746" t="str">
        <f>IFERROR("Nivel: "&amp;MAX(1,INDEX('Tablas Técnicas'!$R$200:$R$301,MATCH(F91&amp;K91,'Tablas Técnicas'!$S$200:$S$301,0))),"")</f>
        <v/>
      </c>
      <c r="T91" s="2530"/>
      <c r="U91" s="2531" t="str">
        <f>IFERROR("("&amp;VLOOKUP(F91,'Tablas Técnicas'!$O$165:$Q$192,3,FALSE)&amp;")","")</f>
        <v/>
      </c>
      <c r="V91" s="4610"/>
      <c r="W91" s="4608"/>
      <c r="X91" s="4608"/>
      <c r="Y91" s="4608"/>
      <c r="Z91" s="4608"/>
      <c r="AA91" s="4608"/>
      <c r="AB91" s="4608"/>
      <c r="AC91" s="4608"/>
      <c r="AD91" s="4608"/>
      <c r="AE91" s="4608"/>
      <c r="AF91" s="4608"/>
      <c r="AG91" s="4620"/>
      <c r="AH91" s="2180"/>
      <c r="AI91" s="4604"/>
      <c r="AJ91" s="3128">
        <v>3</v>
      </c>
      <c r="AK91" s="3128">
        <f>P80</f>
        <v>1</v>
      </c>
      <c r="AL91" s="3128" t="e">
        <f>VLOOKUP(F91,'Tablas Técnicas'!$O$165:$Q$188,2,FALSE)</f>
        <v>#N/A</v>
      </c>
      <c r="AM91" s="3128"/>
      <c r="AN91" s="3129"/>
      <c r="AO91" s="3128"/>
      <c r="AP91" s="3128"/>
      <c r="AQ91" s="3129"/>
      <c r="AR91" s="3132"/>
      <c r="AS91" s="3132"/>
      <c r="AT91" s="3132"/>
      <c r="AU91" s="3132"/>
      <c r="AV91" s="3132"/>
      <c r="AW91" s="3132"/>
      <c r="AX91" s="3132"/>
      <c r="AY91" s="3128" t="str">
        <f>IF(F91="","",F91&amp;IF(K91="",""," ("&amp;IF(F91="Atadura Elemental",O91&amp;IF(Q91="","",", "&amp;Q91),K91)&amp;")")&amp;", ")</f>
        <v/>
      </c>
    </row>
    <row r="92" spans="1:51" ht="12.2" customHeight="1" x14ac:dyDescent="0.2">
      <c r="A92" s="2172"/>
      <c r="B92" s="2086">
        <f t="shared" si="1"/>
        <v>3</v>
      </c>
      <c r="C92" s="4584"/>
      <c r="D92" s="4595" t="s">
        <v>9301</v>
      </c>
      <c r="E92" s="4596"/>
      <c r="F92" s="4596"/>
      <c r="G92" s="4596"/>
      <c r="H92" s="4596"/>
      <c r="I92" s="4596"/>
      <c r="J92" s="4596"/>
      <c r="K92" s="4596"/>
      <c r="L92" s="4596"/>
      <c r="M92" s="4596"/>
      <c r="N92" s="4596"/>
      <c r="O92" s="4596"/>
      <c r="P92" s="4596"/>
      <c r="Q92" s="4596"/>
      <c r="R92" s="4596"/>
      <c r="S92" s="4596"/>
      <c r="T92" s="4596"/>
      <c r="U92" s="4596"/>
      <c r="V92" s="4725"/>
      <c r="W92" s="4725"/>
      <c r="X92" s="4725"/>
      <c r="Y92" s="4725"/>
      <c r="Z92" s="4725"/>
      <c r="AA92" s="4725"/>
      <c r="AB92" s="4725"/>
      <c r="AC92" s="4725"/>
      <c r="AD92" s="4725"/>
      <c r="AE92" s="4725"/>
      <c r="AF92" s="4725"/>
      <c r="AG92" s="4598"/>
      <c r="AH92" s="2180"/>
      <c r="AI92" s="4604"/>
      <c r="AJ92" s="3128"/>
      <c r="AK92" s="3128"/>
      <c r="AL92" s="3128"/>
      <c r="AM92" s="3128"/>
      <c r="AN92" s="3129" t="s">
        <v>8807</v>
      </c>
      <c r="AO92" s="3128" t="e">
        <f>LEFT(AY84&amp;AY85&amp;AY86&amp;AY87&amp;AY88,LEN(AY84&amp;AY85&amp;AY86&amp;AY87&amp;AY88)-2)</f>
        <v>#VALUE!</v>
      </c>
      <c r="AP92" s="3128"/>
      <c r="AQ92" s="3129"/>
      <c r="AR92" s="3132"/>
      <c r="AS92" s="3132"/>
      <c r="AT92" s="3132"/>
      <c r="AU92" s="3129"/>
      <c r="AV92" s="3129"/>
      <c r="AW92" s="3132"/>
      <c r="AX92" s="3132"/>
      <c r="AY92" s="3128"/>
    </row>
    <row r="93" spans="1:51" ht="12.2" customHeight="1" x14ac:dyDescent="0.2">
      <c r="A93" s="2172"/>
      <c r="B93" s="2086">
        <f t="shared" si="1"/>
        <v>3</v>
      </c>
      <c r="C93" s="4584"/>
      <c r="D93" s="4599" t="str">
        <f>IF(F84="","",F84)</f>
        <v/>
      </c>
      <c r="E93" s="4600"/>
      <c r="F93" s="4600"/>
      <c r="G93" s="4600"/>
      <c r="H93" s="4600"/>
      <c r="I93" s="4601"/>
      <c r="J93" s="4599" t="str">
        <f>IF(F85="","",F85)</f>
        <v/>
      </c>
      <c r="K93" s="4600"/>
      <c r="L93" s="4600"/>
      <c r="M93" s="4600"/>
      <c r="N93" s="4600"/>
      <c r="O93" s="4601"/>
      <c r="P93" s="4600" t="str">
        <f>IF(F86="","",F86)</f>
        <v/>
      </c>
      <c r="Q93" s="4600"/>
      <c r="R93" s="4600"/>
      <c r="S93" s="4600"/>
      <c r="T93" s="4600"/>
      <c r="U93" s="4601"/>
      <c r="V93" s="4599" t="str">
        <f>IF(F87="","",F87)</f>
        <v/>
      </c>
      <c r="W93" s="4600"/>
      <c r="X93" s="4600"/>
      <c r="Y93" s="4600"/>
      <c r="Z93" s="4600"/>
      <c r="AA93" s="4601"/>
      <c r="AB93" s="4600" t="str">
        <f>IF(F88="","",F88)</f>
        <v/>
      </c>
      <c r="AC93" s="4600"/>
      <c r="AD93" s="4600"/>
      <c r="AE93" s="4600"/>
      <c r="AF93" s="4600"/>
      <c r="AG93" s="4623"/>
      <c r="AH93" s="2180"/>
      <c r="AI93" s="4604"/>
      <c r="AJ93" s="3128"/>
      <c r="AK93" s="3128"/>
      <c r="AL93" s="3128"/>
      <c r="AM93" s="3128"/>
      <c r="AN93" s="3129" t="s">
        <v>8808</v>
      </c>
      <c r="AO93" s="3128" t="e">
        <f>LEFT(AY89&amp;AY90&amp;AY91,LEN(AY89&amp;AY90&amp;AY91)-2)</f>
        <v>#VALUE!</v>
      </c>
      <c r="AP93" s="3128"/>
      <c r="AQ93" s="3129"/>
      <c r="AR93" s="3132"/>
      <c r="AS93" s="3132"/>
      <c r="AT93" s="3132"/>
      <c r="AU93" s="3129"/>
      <c r="AV93" s="3129"/>
      <c r="AW93" s="3132"/>
      <c r="AX93" s="3132"/>
      <c r="AY93" s="3128"/>
    </row>
    <row r="94" spans="1:51" ht="12.2" customHeight="1" x14ac:dyDescent="0.2">
      <c r="A94" s="2172"/>
      <c r="B94" s="2086">
        <f t="shared" si="1"/>
        <v>3</v>
      </c>
      <c r="C94" s="4584"/>
      <c r="D94" s="2031" t="s">
        <v>1835</v>
      </c>
      <c r="E94" s="2521" t="str">
        <f>IFERROR(VLOOKUP(D93,'Tablas Técnicas'!$O$9:$T$88,3,FALSE),"")</f>
        <v/>
      </c>
      <c r="F94" s="2532"/>
      <c r="G94" s="2533"/>
      <c r="H94" s="2533" t="s">
        <v>1363</v>
      </c>
      <c r="I94" s="2521" t="str">
        <f>IFERROR(VLOOKUP(D93,'Tablas Técnicas'!$O$9:$T$88,4,FALSE),"")</f>
        <v/>
      </c>
      <c r="J94" s="2031" t="s">
        <v>1835</v>
      </c>
      <c r="K94" s="2521" t="str">
        <f>IFERROR(VLOOKUP(J93,'Tablas Técnicas'!$O$9:$T$88,3,FALSE),"")</f>
        <v/>
      </c>
      <c r="L94" s="2532"/>
      <c r="M94" s="2533"/>
      <c r="N94" s="2533" t="s">
        <v>1363</v>
      </c>
      <c r="O94" s="1921" t="str">
        <f>IFERROR(VLOOKUP(J93,'Tablas Técnicas'!$O$9:$T$88,4,FALSE),"")</f>
        <v/>
      </c>
      <c r="P94" s="2533" t="s">
        <v>1835</v>
      </c>
      <c r="Q94" s="2521" t="str">
        <f>IFERROR(VLOOKUP(P93,'Tablas Técnicas'!$O$9:$T$88,3,FALSE),"")</f>
        <v/>
      </c>
      <c r="R94" s="2532"/>
      <c r="S94" s="2533"/>
      <c r="T94" s="2533" t="s">
        <v>1363</v>
      </c>
      <c r="U94" s="2521" t="str">
        <f>IFERROR(VLOOKUP(P93,'Tablas Técnicas'!$O$9:$T$88,4,FALSE),"")</f>
        <v/>
      </c>
      <c r="V94" s="2031" t="s">
        <v>1835</v>
      </c>
      <c r="W94" s="2521" t="str">
        <f>IFERROR(VLOOKUP(V93,'Tablas Técnicas'!$O$9:$T$88,3,FALSE),"")</f>
        <v/>
      </c>
      <c r="X94" s="2532"/>
      <c r="Y94" s="2533"/>
      <c r="Z94" s="2533" t="s">
        <v>1363</v>
      </c>
      <c r="AA94" s="1921" t="str">
        <f>IFERROR(VLOOKUP(V93,'Tablas Técnicas'!$O$9:$T$88,4,FALSE),"")</f>
        <v/>
      </c>
      <c r="AB94" s="2533" t="s">
        <v>1835</v>
      </c>
      <c r="AC94" s="2521" t="str">
        <f>IFERROR(VLOOKUP(AB93,'Tablas Técnicas'!$O$9:$T$88,3,FALSE),"")</f>
        <v/>
      </c>
      <c r="AD94" s="2532"/>
      <c r="AE94" s="2533"/>
      <c r="AF94" s="2533" t="s">
        <v>1363</v>
      </c>
      <c r="AG94" s="1922" t="str">
        <f>IFERROR(VLOOKUP(AB93,'Tablas Técnicas'!$O$9:$T$88,4,FALSE),"")</f>
        <v/>
      </c>
      <c r="AH94" s="2180"/>
      <c r="AI94" s="4604"/>
      <c r="AJ94" s="3128"/>
      <c r="AK94" s="3128"/>
      <c r="AL94" s="3128"/>
      <c r="AM94" s="3128"/>
      <c r="AN94" s="3129"/>
      <c r="AO94" s="3128"/>
      <c r="AP94" s="3128"/>
      <c r="AQ94" s="3129"/>
      <c r="AR94" s="3132"/>
      <c r="AS94" s="3132"/>
      <c r="AT94" s="3132"/>
      <c r="AU94" s="3132"/>
      <c r="AV94" s="3132"/>
      <c r="AW94" s="3132"/>
      <c r="AX94" s="3132"/>
      <c r="AY94" s="3128"/>
    </row>
    <row r="95" spans="1:51" ht="12.2" customHeight="1" x14ac:dyDescent="0.2">
      <c r="A95" s="2172"/>
      <c r="B95" s="2086">
        <f t="shared" si="1"/>
        <v>3</v>
      </c>
      <c r="C95" s="4584"/>
      <c r="D95" s="2032" t="s">
        <v>8809</v>
      </c>
      <c r="E95" s="2533"/>
      <c r="F95" s="2532"/>
      <c r="G95" s="2534"/>
      <c r="H95" s="2534"/>
      <c r="I95" s="2531" t="str">
        <f>IFERROR(IF(D93="Ataque Elemental",IF(NOT(ISNA(VLOOKUP(D97,'Tablas Técnicas'!$O$100:$O$105,1,0))),D97,"Variable"),VLOOKUP(D93,'Tablas Técnicas'!$O$9:$W$88,9,FALSE)),"")</f>
        <v/>
      </c>
      <c r="J95" s="2535" t="s">
        <v>8809</v>
      </c>
      <c r="K95" s="2536"/>
      <c r="L95" s="2537"/>
      <c r="M95" s="2538"/>
      <c r="N95" s="2538"/>
      <c r="O95" s="2539" t="str">
        <f>IFERROR(IF(J93="Ataque Elemental",IF(NOT(ISNA(VLOOKUP(J97,'Tablas Técnicas'!$O$100:$O$105,1,0))),J97,"Variable"),VLOOKUP(J93,'Tablas Técnicas'!$O$9:$W$88,9,FALSE)),"")</f>
        <v/>
      </c>
      <c r="P95" s="2540" t="s">
        <v>8809</v>
      </c>
      <c r="Q95" s="2536"/>
      <c r="R95" s="2537"/>
      <c r="S95" s="2538"/>
      <c r="T95" s="2538"/>
      <c r="U95" s="2531" t="str">
        <f>IFERROR(IF(P93="Ataque Elemental",IF(NOT(ISNA(VLOOKUP(P97,'Tablas Técnicas'!$O$100:$O$105,1,0))),P97,"Variable"),VLOOKUP(P93,'Tablas Técnicas'!$O$9:$W$88,9,FALSE)),"")</f>
        <v/>
      </c>
      <c r="V95" s="2535" t="s">
        <v>8809</v>
      </c>
      <c r="W95" s="2536"/>
      <c r="X95" s="2537"/>
      <c r="Y95" s="2538"/>
      <c r="Z95" s="2538"/>
      <c r="AA95" s="2539" t="str">
        <f>IFERROR(IF(V93="Ataque Elemental",IF(NOT(ISNA(VLOOKUP(V97,'Tablas Técnicas'!$O$100:$O$105,1,0))),V97,"Variable"),VLOOKUP(V93,'Tablas Técnicas'!$O$9:$W$88,9,FALSE)),"")</f>
        <v/>
      </c>
      <c r="AB95" s="2540" t="s">
        <v>8809</v>
      </c>
      <c r="AC95" s="2536"/>
      <c r="AD95" s="2537"/>
      <c r="AE95" s="2538"/>
      <c r="AF95" s="2538"/>
      <c r="AG95" s="2037" t="str">
        <f>IFERROR(IF(AB93="Ataque Elemental",IF(NOT(ISNA(VLOOKUP(AB97,'Tablas Técnicas'!$O$100:$O$105,1,0))),AB97,"Variable"),VLOOKUP(AB93,'Tablas Técnicas'!$O$9:$W$88,9,FALSE)),"")</f>
        <v/>
      </c>
      <c r="AH95" s="2180"/>
      <c r="AI95" s="4604"/>
      <c r="AJ95" s="3128"/>
      <c r="AK95" s="3132" t="s">
        <v>1373</v>
      </c>
      <c r="AL95" s="3132" t="s">
        <v>1497</v>
      </c>
      <c r="AM95" s="3132" t="s">
        <v>1378</v>
      </c>
      <c r="AN95" s="3132" t="s">
        <v>1383</v>
      </c>
      <c r="AO95" s="3132" t="s">
        <v>1390</v>
      </c>
      <c r="AP95" s="3132" t="s">
        <v>1391</v>
      </c>
      <c r="AQ95" s="3129"/>
      <c r="AR95" s="3132"/>
      <c r="AS95" s="3132"/>
      <c r="AT95" s="3132"/>
      <c r="AU95" s="3132"/>
      <c r="AV95" s="3132"/>
      <c r="AW95" s="3132"/>
      <c r="AX95" s="3132"/>
      <c r="AY95" s="3128"/>
    </row>
    <row r="96" spans="1:51" ht="12.2" customHeight="1" x14ac:dyDescent="0.2">
      <c r="A96" s="2172"/>
      <c r="B96" s="2086">
        <f t="shared" si="1"/>
        <v>3</v>
      </c>
      <c r="C96" s="4584"/>
      <c r="D96" s="4599" t="s">
        <v>2826</v>
      </c>
      <c r="E96" s="4600"/>
      <c r="F96" s="4600"/>
      <c r="G96" s="4600"/>
      <c r="H96" s="4601"/>
      <c r="I96" s="1925" t="s">
        <v>1402</v>
      </c>
      <c r="J96" s="4599" t="s">
        <v>2826</v>
      </c>
      <c r="K96" s="4600"/>
      <c r="L96" s="4600"/>
      <c r="M96" s="4600"/>
      <c r="N96" s="4601"/>
      <c r="O96" s="1926" t="s">
        <v>1402</v>
      </c>
      <c r="P96" s="4599" t="s">
        <v>2826</v>
      </c>
      <c r="Q96" s="4600"/>
      <c r="R96" s="4600"/>
      <c r="S96" s="4600"/>
      <c r="T96" s="4601"/>
      <c r="U96" s="1926" t="s">
        <v>1402</v>
      </c>
      <c r="V96" s="4599"/>
      <c r="W96" s="4600"/>
      <c r="X96" s="4600"/>
      <c r="Y96" s="4600"/>
      <c r="Z96" s="4601"/>
      <c r="AA96" s="1926" t="s">
        <v>1402</v>
      </c>
      <c r="AB96" s="4599" t="s">
        <v>2826</v>
      </c>
      <c r="AC96" s="4600"/>
      <c r="AD96" s="4600"/>
      <c r="AE96" s="4600"/>
      <c r="AF96" s="4601"/>
      <c r="AG96" s="1927" t="s">
        <v>1402</v>
      </c>
      <c r="AH96" s="2180"/>
      <c r="AI96" s="4604"/>
      <c r="AJ96" s="3133" t="s">
        <v>9338</v>
      </c>
      <c r="AK96" s="3128" t="str">
        <f>IF(V82="","",IF(SUM(V84:V88)=0,"",V82&amp;" "&amp;SUM(V84:V88)+V91&amp;IF(SUM(W84:W88)=0,""," ("&amp;SUM(W84:W88)&amp;")")&amp;", "))</f>
        <v/>
      </c>
      <c r="AL96" s="3128" t="str">
        <f>IF(X82="","",IF(SUM(X84:X88)=0,"",X82&amp;" "&amp;SUM(X84:X88)+X91&amp;IF(SUM(Y84:Y88)=0,""," ("&amp;SUM(Y84:Y88)&amp;")")&amp;", "))</f>
        <v/>
      </c>
      <c r="AM96" s="3128" t="str">
        <f>IF(Z82="","",IF(SUM(Z84:Z88)=0,"",Z82&amp;" "&amp;SUM(Z84:Z88)+Z91&amp;IF(SUM(AA84:AA88)=0,""," ("&amp;SUM(AA84:AA88)&amp;")")&amp;", "))</f>
        <v/>
      </c>
      <c r="AN96" s="3128" t="str">
        <f>IF(AB82="","",IF(SUM(AB84:AB88)=0,"",AB82&amp;" "&amp;SUM(AB84:AB88)+AB91&amp;IF(SUM(AC84:AC88)=0,""," ("&amp;SUM(AC84:AC88)&amp;")")&amp;", "))</f>
        <v/>
      </c>
      <c r="AO96" s="3128" t="str">
        <f>IF(AD82="","",IF(SUM(AD84:AD88)=0,"",AD82&amp;" "&amp;SUM(AD84:AD88)+AD91&amp;IF(SUM(AE84:AE88)=0,""," ("&amp;SUM(AE84:AE88)&amp;")")&amp;", "))</f>
        <v/>
      </c>
      <c r="AP96" s="3128" t="str">
        <f>IF(AF82="","",IF(SUM(AF84:AF88)=0,"",AF82&amp;" "&amp;SUM(AF84:AF88)+AF91&amp;IF(SUM(AG84:AG88)=0,""," ("&amp;SUM(AG84:AG88)&amp;")")&amp;", "))</f>
        <v/>
      </c>
      <c r="AQ96" s="3128"/>
      <c r="AR96" s="3128"/>
      <c r="AS96" s="3128"/>
      <c r="AT96" s="3128"/>
      <c r="AU96" s="3128"/>
      <c r="AV96" s="3128"/>
      <c r="AW96" s="3128"/>
      <c r="AX96" s="3128"/>
      <c r="AY96" s="3128"/>
    </row>
    <row r="97" spans="1:51" ht="12.2" customHeight="1" x14ac:dyDescent="0.2">
      <c r="A97" s="2172"/>
      <c r="B97" s="2086">
        <f t="shared" si="1"/>
        <v>3</v>
      </c>
      <c r="C97" s="4584"/>
      <c r="D97" s="4621"/>
      <c r="E97" s="4619"/>
      <c r="F97" s="4619"/>
      <c r="G97" s="4619"/>
      <c r="H97" s="4619"/>
      <c r="I97" s="1928" t="str">
        <f>IF(OR(D93="",D97=""),"",MAX(1,SUMPRODUCT(--(INDEX('Tablas Técnicas'!$C$10:$L$643,,1)=D93),--(INDEX('Tablas Técnicas'!$C$10:$L$643,,2)=D97),INDEX('Tablas Técnicas'!$C$10:$L$643,,9))))</f>
        <v/>
      </c>
      <c r="J97" s="4618"/>
      <c r="K97" s="4619"/>
      <c r="L97" s="4619"/>
      <c r="M97" s="4619"/>
      <c r="N97" s="4619"/>
      <c r="O97" s="1928" t="str">
        <f>IF(OR(J93="",J97=""),"",MAX(1,SUMPRODUCT(--(INDEX('Tablas Técnicas'!$C$10:$L$643,,1)=J93),--(INDEX('Tablas Técnicas'!$C$10:$L$643,,2)=J97),INDEX('Tablas Técnicas'!$C$10:$L$643,,9))))</f>
        <v/>
      </c>
      <c r="P97" s="4618"/>
      <c r="Q97" s="4619"/>
      <c r="R97" s="4619"/>
      <c r="S97" s="4619"/>
      <c r="T97" s="4619"/>
      <c r="U97" s="1928" t="str">
        <f>IF(OR(P93="",P97=""),"",MAX(1,SUMPRODUCT(--(INDEX('Tablas Técnicas'!$C$10:$L$643,,1)=P93),--(INDEX('Tablas Técnicas'!$C$10:$L$643,,2)=P97),INDEX('Tablas Técnicas'!$C$10:$L$643,,9))))</f>
        <v/>
      </c>
      <c r="V97" s="4618"/>
      <c r="W97" s="4619"/>
      <c r="X97" s="4619"/>
      <c r="Y97" s="4619"/>
      <c r="Z97" s="4619"/>
      <c r="AA97" s="1928" t="str">
        <f>IF(OR(V93="",V97=""),"",MAX(1,SUMPRODUCT(--(INDEX('Tablas Técnicas'!$C$10:$L$643,,1)=V93),--(INDEX('Tablas Técnicas'!$C$10:$L$643,,2)=V97),INDEX('Tablas Técnicas'!$C$10:$L$643,,9))))</f>
        <v/>
      </c>
      <c r="AB97" s="4618"/>
      <c r="AC97" s="4619"/>
      <c r="AD97" s="4619"/>
      <c r="AE97" s="4619"/>
      <c r="AF97" s="4619"/>
      <c r="AG97" s="1929" t="str">
        <f>IF(OR(AB93="",AB97=""),"",MAX(1,SUMPRODUCT(--(INDEX('Tablas Técnicas'!$C$10:$L$643,,1)=AB93),--(INDEX('Tablas Técnicas'!$C$10:$L$643,,2)=AB97),INDEX('Tablas Técnicas'!$C$10:$L$643,,9))))</f>
        <v/>
      </c>
      <c r="AH97" s="2180">
        <f>P80</f>
        <v>1</v>
      </c>
      <c r="AI97" s="4604"/>
      <c r="AJ97" s="3128" t="s">
        <v>9302</v>
      </c>
      <c r="AK97" s="3128"/>
      <c r="AL97" s="3128">
        <f>MAX(0,SUM(AT84:AT88)+ABS($AC89*2/5))+IF(AM106,0,Y89)+IF(S80="Sí",3*P80,0)</f>
        <v>0</v>
      </c>
      <c r="AM97" s="3128">
        <f t="array" ref="AM97">IF(ISNUMBER(SEARCH("Mantenido",K84&amp;K85&amp;K86&amp;K87&amp;K88)),MAX(0,SUM(VALUE(RIGHT($P84:$P88,2)))),0)</f>
        <v>0</v>
      </c>
      <c r="AN97" s="3132"/>
      <c r="AO97" s="3132"/>
      <c r="AP97" s="3135"/>
      <c r="AQ97" s="3135"/>
      <c r="AR97" s="3135"/>
      <c r="AS97" s="3135"/>
      <c r="AT97" s="3135"/>
      <c r="AU97" s="3135"/>
      <c r="AV97" s="3135"/>
      <c r="AW97" s="3135"/>
      <c r="AX97" s="3135"/>
      <c r="AY97" s="3128"/>
    </row>
    <row r="98" spans="1:51" ht="12.2" customHeight="1" x14ac:dyDescent="0.2">
      <c r="A98" s="2172"/>
      <c r="B98" s="2086">
        <f t="shared" si="1"/>
        <v>3</v>
      </c>
      <c r="C98" s="4584"/>
      <c r="D98" s="4602"/>
      <c r="E98" s="4603"/>
      <c r="F98" s="4603"/>
      <c r="G98" s="4603"/>
      <c r="H98" s="4603"/>
      <c r="I98" s="1930" t="str">
        <f>IF(OR(D93="",D98=""),"",MAX(1,SUMPRODUCT(--(INDEX('Tablas Técnicas'!$C$10:$L$643,,1)=D93),--(INDEX('Tablas Técnicas'!$C$10:$L$643,,2)=D98),INDEX('Tablas Técnicas'!$C$10:$L$643,,9))))</f>
        <v/>
      </c>
      <c r="J98" s="4602"/>
      <c r="K98" s="4603"/>
      <c r="L98" s="4603"/>
      <c r="M98" s="4603"/>
      <c r="N98" s="4603"/>
      <c r="O98" s="1930" t="str">
        <f>IF(OR(J93="",J98=""),"",MAX(1,SUMPRODUCT(--(INDEX('Tablas Técnicas'!$C$10:$L$643,,1)=J93),--(INDEX('Tablas Técnicas'!$C$10:$L$643,,2)=J98),INDEX('Tablas Técnicas'!$C$10:$L$643,,9))))</f>
        <v/>
      </c>
      <c r="P98" s="4602"/>
      <c r="Q98" s="4603"/>
      <c r="R98" s="4603"/>
      <c r="S98" s="4603"/>
      <c r="T98" s="4603"/>
      <c r="U98" s="1930" t="str">
        <f>IF(OR(P93="",P98=""),"",MAX(1,SUMPRODUCT(--(INDEX('Tablas Técnicas'!$C$10:$L$643,,1)=P93),--(INDEX('Tablas Técnicas'!$C$10:$L$643,,2)=P98),INDEX('Tablas Técnicas'!$C$10:$L$643,,9))))</f>
        <v/>
      </c>
      <c r="V98" s="4602"/>
      <c r="W98" s="4603"/>
      <c r="X98" s="4603"/>
      <c r="Y98" s="4603"/>
      <c r="Z98" s="4603"/>
      <c r="AA98" s="1930" t="str">
        <f>IF(OR(V93="",V98=""),"",MAX(1,SUMPRODUCT(--(INDEX('Tablas Técnicas'!$C$10:$L$643,,1)=V93),--(INDEX('Tablas Técnicas'!$C$10:$L$643,,2)=V98),INDEX('Tablas Técnicas'!$C$10:$L$643,,9))))</f>
        <v/>
      </c>
      <c r="AB98" s="4602"/>
      <c r="AC98" s="4603"/>
      <c r="AD98" s="4603"/>
      <c r="AE98" s="4603"/>
      <c r="AF98" s="4603"/>
      <c r="AG98" s="1931" t="str">
        <f>IF(OR(AB93="",AB98=""),"",MAX(1,SUMPRODUCT(--(INDEX('Tablas Técnicas'!$C$10:$L$643,,1)=AB93),--(INDEX('Tablas Técnicas'!$C$10:$L$643,,2)=AB98),INDEX('Tablas Técnicas'!$C$10:$L$643,,9))))</f>
        <v/>
      </c>
      <c r="AH98" s="2180">
        <f>P80</f>
        <v>1</v>
      </c>
      <c r="AI98" s="4604"/>
      <c r="AJ98" s="3128" t="s">
        <v>8811</v>
      </c>
      <c r="AK98" s="3128"/>
      <c r="AL98" s="3128">
        <f>SUM(V84:V88,X84:X88,Z84:Z88,AB84:AB88,AD84:AD88,AF84:AF88)+SUM(V91:AG91)</f>
        <v>0</v>
      </c>
      <c r="AM98" s="3128">
        <f>SUM(W84:W88,Y84:Y88,AA84:AA88,AC84:AC88,AE84:AE88,AG84:AG88)</f>
        <v>0</v>
      </c>
      <c r="AN98" s="3128"/>
      <c r="AO98" s="3128"/>
      <c r="AP98" s="3128"/>
      <c r="AQ98" s="3128"/>
      <c r="AR98" s="3128"/>
      <c r="AS98" s="3128"/>
      <c r="AT98" s="3128"/>
      <c r="AU98" s="3128"/>
      <c r="AV98" s="3128"/>
      <c r="AW98" s="3132"/>
      <c r="AX98" s="3128"/>
      <c r="AY98" s="3128"/>
    </row>
    <row r="99" spans="1:51" ht="12.2" customHeight="1" x14ac:dyDescent="0.2">
      <c r="A99" s="2172"/>
      <c r="B99" s="2086">
        <f t="shared" si="1"/>
        <v>3</v>
      </c>
      <c r="C99" s="4584"/>
      <c r="D99" s="4602"/>
      <c r="E99" s="4603"/>
      <c r="F99" s="4603"/>
      <c r="G99" s="4603"/>
      <c r="H99" s="4603"/>
      <c r="I99" s="1930" t="str">
        <f>IF(OR(D93="",D99=""),"",MAX(1,SUMPRODUCT(--(INDEX('Tablas Técnicas'!$C$10:$L$643,,1)=D93),--(INDEX('Tablas Técnicas'!$C$10:$L$643,,2)=D99),INDEX('Tablas Técnicas'!$C$10:$L$643,,9))))</f>
        <v/>
      </c>
      <c r="J99" s="4602"/>
      <c r="K99" s="4603"/>
      <c r="L99" s="4603"/>
      <c r="M99" s="4603"/>
      <c r="N99" s="4603"/>
      <c r="O99" s="1930" t="str">
        <f>IF(OR(J93="",J99=""),"",MAX(1,SUMPRODUCT(--(INDEX('Tablas Técnicas'!$C$10:$L$643,,1)=J93),--(INDEX('Tablas Técnicas'!$C$10:$L$643,,2)=J99),INDEX('Tablas Técnicas'!$C$10:$L$643,,9))))</f>
        <v/>
      </c>
      <c r="P99" s="4602"/>
      <c r="Q99" s="4603"/>
      <c r="R99" s="4603"/>
      <c r="S99" s="4603"/>
      <c r="T99" s="4603"/>
      <c r="U99" s="1930" t="str">
        <f>IF(OR(P93="",P99=""),"",MAX(1,SUMPRODUCT(--(INDEX('Tablas Técnicas'!$C$10:$L$643,,1)=P93),--(INDEX('Tablas Técnicas'!$C$10:$L$643,,2)=P99),INDEX('Tablas Técnicas'!$C$10:$L$643,,9))))</f>
        <v/>
      </c>
      <c r="V99" s="4602"/>
      <c r="W99" s="4603"/>
      <c r="X99" s="4603"/>
      <c r="Y99" s="4603"/>
      <c r="Z99" s="4603"/>
      <c r="AA99" s="1930" t="str">
        <f>IF(OR(V93="",V99=""),"",MAX(1,SUMPRODUCT(--(INDEX('Tablas Técnicas'!$C$10:$L$643,,1)=V93),--(INDEX('Tablas Técnicas'!$C$10:$L$643,,2)=V99),INDEX('Tablas Técnicas'!$C$10:$L$643,,9))))</f>
        <v/>
      </c>
      <c r="AB99" s="4602"/>
      <c r="AC99" s="4603"/>
      <c r="AD99" s="4603"/>
      <c r="AE99" s="4603"/>
      <c r="AF99" s="4603"/>
      <c r="AG99" s="1931" t="str">
        <f>IF(OR(AB93="",AB99=""),"",MAX(1,SUMPRODUCT(--(INDEX('Tablas Técnicas'!$C$10:$L$643,,1)=AB93),--(INDEX('Tablas Técnicas'!$C$10:$L$643,,2)=AB99),INDEX('Tablas Técnicas'!$C$10:$L$643,,9))))</f>
        <v/>
      </c>
      <c r="AH99" s="2180">
        <f>P80</f>
        <v>1</v>
      </c>
      <c r="AI99" s="4604"/>
      <c r="AJ99" s="3128"/>
      <c r="AK99" s="3128"/>
      <c r="AL99" s="3128"/>
      <c r="AM99" s="3128"/>
      <c r="AN99" s="3128"/>
      <c r="AO99" s="3128"/>
      <c r="AP99" s="3128"/>
      <c r="AQ99" s="3128"/>
      <c r="AR99" s="3128"/>
      <c r="AS99" s="3128"/>
      <c r="AT99" s="3128"/>
      <c r="AU99" s="3128"/>
      <c r="AV99" s="3128"/>
      <c r="AW99" s="3132"/>
      <c r="AX99" s="3132"/>
      <c r="AY99" s="3128"/>
    </row>
    <row r="100" spans="1:51" ht="12.2" customHeight="1" x14ac:dyDescent="0.2">
      <c r="A100" s="2172"/>
      <c r="B100" s="2086">
        <f t="shared" si="1"/>
        <v>3</v>
      </c>
      <c r="C100" s="4584"/>
      <c r="D100" s="4602"/>
      <c r="E100" s="4603"/>
      <c r="F100" s="4603"/>
      <c r="G100" s="4603"/>
      <c r="H100" s="4603"/>
      <c r="I100" s="1930" t="str">
        <f>IF(OR(D93="",D100=""),"",MAX(1,SUMPRODUCT(--(INDEX('Tablas Técnicas'!$C$10:$L$643,,1)=D93),--(INDEX('Tablas Técnicas'!$C$10:$L$643,,2)=D100),INDEX('Tablas Técnicas'!$C$10:$L$643,,9))))</f>
        <v/>
      </c>
      <c r="J100" s="4602"/>
      <c r="K100" s="4603"/>
      <c r="L100" s="4603"/>
      <c r="M100" s="4603"/>
      <c r="N100" s="4603"/>
      <c r="O100" s="1930" t="str">
        <f>IF(OR(J93="",J100=""),"",MAX(1,SUMPRODUCT(--(INDEX('Tablas Técnicas'!$C$10:$L$643,,1)=J93),--(INDEX('Tablas Técnicas'!$C$10:$L$643,,2)=J100),INDEX('Tablas Técnicas'!$C$10:$L$643,,9))))</f>
        <v/>
      </c>
      <c r="P100" s="4602"/>
      <c r="Q100" s="4603"/>
      <c r="R100" s="4603"/>
      <c r="S100" s="4603"/>
      <c r="T100" s="4603"/>
      <c r="U100" s="1930" t="str">
        <f>IF(OR(P93="",P100=""),"",MAX(1,SUMPRODUCT(--(INDEX('Tablas Técnicas'!$C$10:$L$643,,1)=P93),--(INDEX('Tablas Técnicas'!$C$10:$L$643,,2)=P100),INDEX('Tablas Técnicas'!$C$10:$L$643,,9))))</f>
        <v/>
      </c>
      <c r="V100" s="4602"/>
      <c r="W100" s="4603"/>
      <c r="X100" s="4603"/>
      <c r="Y100" s="4603"/>
      <c r="Z100" s="4603"/>
      <c r="AA100" s="1930" t="str">
        <f>IF(OR(V93="",V100=""),"",MAX(1,SUMPRODUCT(--(INDEX('Tablas Técnicas'!$C$10:$L$643,,1)=V93),--(INDEX('Tablas Técnicas'!$C$10:$L$643,,2)=V100),INDEX('Tablas Técnicas'!$C$10:$L$643,,9))))</f>
        <v/>
      </c>
      <c r="AB100" s="4602"/>
      <c r="AC100" s="4603"/>
      <c r="AD100" s="4603"/>
      <c r="AE100" s="4603"/>
      <c r="AF100" s="4603"/>
      <c r="AG100" s="1931" t="str">
        <f>IF(OR(AB93="",AB100=""),"",MAX(1,SUMPRODUCT(--(INDEX('Tablas Técnicas'!$C$10:$L$643,,1)=AB93),--(INDEX('Tablas Técnicas'!$C$10:$L$643,,2)=AB100),INDEX('Tablas Técnicas'!$C$10:$L$643,,9))))</f>
        <v/>
      </c>
      <c r="AH100" s="2180">
        <f>P80</f>
        <v>1</v>
      </c>
      <c r="AI100" s="4604"/>
      <c r="AJ100" s="3128" t="s">
        <v>8812</v>
      </c>
      <c r="AK100" s="3128"/>
      <c r="AL100" s="3128"/>
      <c r="AM100" s="3128"/>
      <c r="AN100" s="3128"/>
      <c r="AO100" s="3128"/>
      <c r="AP100" s="3128"/>
      <c r="AQ100" s="3129"/>
      <c r="AR100" s="3132"/>
      <c r="AS100" s="3132"/>
      <c r="AT100" s="3132"/>
      <c r="AU100" s="3132"/>
      <c r="AV100" s="3132"/>
      <c r="AW100" s="3132"/>
      <c r="AX100" s="3132"/>
      <c r="AY100" s="3128"/>
    </row>
    <row r="101" spans="1:51" ht="12.2" customHeight="1" x14ac:dyDescent="0.2">
      <c r="A101" s="2172"/>
      <c r="B101" s="2086">
        <f t="shared" si="1"/>
        <v>3</v>
      </c>
      <c r="C101" s="4584"/>
      <c r="D101" s="4602"/>
      <c r="E101" s="4603"/>
      <c r="F101" s="4603"/>
      <c r="G101" s="4603"/>
      <c r="H101" s="4603"/>
      <c r="I101" s="1930" t="str">
        <f>IF(OR(D93="",D101=""),"",MAX(1,SUMPRODUCT(--(INDEX('Tablas Técnicas'!$C$10:$L$643,,1)=D93),--(INDEX('Tablas Técnicas'!$C$10:$L$643,,2)=D101),INDEX('Tablas Técnicas'!$C$10:$L$643,,9))))</f>
        <v/>
      </c>
      <c r="J101" s="4602"/>
      <c r="K101" s="4603"/>
      <c r="L101" s="4603"/>
      <c r="M101" s="4603"/>
      <c r="N101" s="4603"/>
      <c r="O101" s="1930" t="str">
        <f>IF(OR(J93="",J101=""),"",MAX(1,SUMPRODUCT(--(INDEX('Tablas Técnicas'!$C$10:$L$643,,1)=J93),--(INDEX('Tablas Técnicas'!$C$10:$L$643,,2)=J101),INDEX('Tablas Técnicas'!$C$10:$L$643,,9))))</f>
        <v/>
      </c>
      <c r="P101" s="4602"/>
      <c r="Q101" s="4603"/>
      <c r="R101" s="4603"/>
      <c r="S101" s="4603"/>
      <c r="T101" s="4603"/>
      <c r="U101" s="1930" t="str">
        <f>IF(OR(P93="",P101=""),"",MAX(1,SUMPRODUCT(--(INDEX('Tablas Técnicas'!$C$10:$L$643,,1)=P93),--(INDEX('Tablas Técnicas'!$C$10:$L$643,,2)=P101),INDEX('Tablas Técnicas'!$C$10:$L$643,,9))))</f>
        <v/>
      </c>
      <c r="V101" s="4602"/>
      <c r="W101" s="4603"/>
      <c r="X101" s="4603"/>
      <c r="Y101" s="4603"/>
      <c r="Z101" s="4603"/>
      <c r="AA101" s="1930" t="str">
        <f>IF(OR(V93="",V101=""),"",MAX(1,SUMPRODUCT(--(INDEX('Tablas Técnicas'!$C$10:$L$643,,1)=V93),--(INDEX('Tablas Técnicas'!$C$10:$L$643,,2)=V101),INDEX('Tablas Técnicas'!$C$10:$L$643,,9))))</f>
        <v/>
      </c>
      <c r="AB101" s="4602"/>
      <c r="AC101" s="4603"/>
      <c r="AD101" s="4603"/>
      <c r="AE101" s="4603"/>
      <c r="AF101" s="4603"/>
      <c r="AG101" s="1931" t="str">
        <f>IF(OR(AB93="",AB101=""),"",MAX(1,SUMPRODUCT(--(INDEX('Tablas Técnicas'!$C$10:$L$643,,1)=AB93),--(INDEX('Tablas Técnicas'!$C$10:$L$643,,2)=AB101),INDEX('Tablas Técnicas'!$C$10:$L$643,,9))))</f>
        <v/>
      </c>
      <c r="AH101" s="2180">
        <f>P80</f>
        <v>1</v>
      </c>
      <c r="AI101" s="4604"/>
      <c r="AJ101" s="3128" t="s">
        <v>9965</v>
      </c>
      <c r="AK101" s="3128"/>
      <c r="AL101" s="3128"/>
      <c r="AM101" s="3128" t="b">
        <f>U80&gt;IF(P80=3,200,IF(P80=2,100,50))</f>
        <v>0</v>
      </c>
      <c r="AN101" s="3128"/>
      <c r="AO101" s="3128"/>
      <c r="AP101" s="3128"/>
      <c r="AQ101" s="3128"/>
      <c r="AR101" s="3132"/>
      <c r="AS101" s="3132"/>
      <c r="AT101" s="3132"/>
      <c r="AU101" s="3132"/>
      <c r="AV101" s="3132"/>
      <c r="AW101" s="3132"/>
      <c r="AX101" s="3132"/>
      <c r="AY101" s="3128"/>
    </row>
    <row r="102" spans="1:51" ht="12.2" customHeight="1" x14ac:dyDescent="0.2">
      <c r="A102" s="2172"/>
      <c r="B102" s="2086">
        <f t="shared" si="1"/>
        <v>3</v>
      </c>
      <c r="C102" s="4584"/>
      <c r="D102" s="4602"/>
      <c r="E102" s="4603"/>
      <c r="F102" s="4603"/>
      <c r="G102" s="4603"/>
      <c r="H102" s="4603"/>
      <c r="I102" s="1930" t="str">
        <f>IF(OR(D93="",D102=""),"",MAX(1,SUMPRODUCT(--(INDEX('Tablas Técnicas'!$C$10:$L$643,,1)=D93),--(INDEX('Tablas Técnicas'!$C$10:$L$643,,2)=D102),INDEX('Tablas Técnicas'!$C$10:$L$643,,9))))</f>
        <v/>
      </c>
      <c r="J102" s="4602"/>
      <c r="K102" s="4603"/>
      <c r="L102" s="4603"/>
      <c r="M102" s="4603"/>
      <c r="N102" s="4603"/>
      <c r="O102" s="1930" t="str">
        <f>IF(OR(J93="",J102=""),"",MAX(1,SUMPRODUCT(--(INDEX('Tablas Técnicas'!$C$10:$L$643,,1)=J93),--(INDEX('Tablas Técnicas'!$C$10:$L$643,,2)=J102),INDEX('Tablas Técnicas'!$C$10:$L$643,,9))))</f>
        <v/>
      </c>
      <c r="P102" s="4602"/>
      <c r="Q102" s="4603"/>
      <c r="R102" s="4603"/>
      <c r="S102" s="4603"/>
      <c r="T102" s="4603"/>
      <c r="U102" s="1930" t="str">
        <f>IF(OR(P93="",P102=""),"",MAX(1,SUMPRODUCT(--(INDEX('Tablas Técnicas'!$C$10:$L$643,,1)=P93),--(INDEX('Tablas Técnicas'!$C$10:$L$643,,2)=P102),INDEX('Tablas Técnicas'!$C$10:$L$643,,9))))</f>
        <v/>
      </c>
      <c r="V102" s="4602"/>
      <c r="W102" s="4603"/>
      <c r="X102" s="4603"/>
      <c r="Y102" s="4603"/>
      <c r="Z102" s="4603"/>
      <c r="AA102" s="1930" t="str">
        <f>IF(OR(V93="",V102=""),"",MAX(1,SUMPRODUCT(--(INDEX('Tablas Técnicas'!$C$10:$L$643,,1)=V93),--(INDEX('Tablas Técnicas'!$C$10:$L$643,,2)=V102),INDEX('Tablas Técnicas'!$C$10:$L$643,,9))))</f>
        <v/>
      </c>
      <c r="AB102" s="4602"/>
      <c r="AC102" s="4603"/>
      <c r="AD102" s="4603"/>
      <c r="AE102" s="4603"/>
      <c r="AF102" s="4603"/>
      <c r="AG102" s="1931" t="str">
        <f>IF(OR(AB93="",AB102=""),"",MAX(1,SUMPRODUCT(--(INDEX('Tablas Técnicas'!$C$10:$L$643,,1)=AB93),--(INDEX('Tablas Técnicas'!$C$10:$L$643,,2)=AB102),INDEX('Tablas Técnicas'!$C$10:$L$643,,9))))</f>
        <v/>
      </c>
      <c r="AH102" s="2180">
        <f>P80</f>
        <v>1</v>
      </c>
      <c r="AI102" s="4604"/>
      <c r="AJ102" s="3128" t="s">
        <v>8813</v>
      </c>
      <c r="AK102" s="3128"/>
      <c r="AL102" s="3128"/>
      <c r="AM102" s="3128" t="b">
        <f t="array" ref="AM102">MAX(I97:I103,O97:O103,U97:U103,AA97:AA103,AG97:AG103,RIGHT(S89:S91,1))&gt;P80</f>
        <v>0</v>
      </c>
      <c r="AN102" s="3128"/>
      <c r="AO102" s="3128"/>
      <c r="AP102" s="3128"/>
      <c r="AQ102" s="3129"/>
      <c r="AR102" s="3132"/>
      <c r="AS102" s="3132"/>
      <c r="AT102" s="3132"/>
      <c r="AU102" s="3132"/>
      <c r="AV102" s="3132"/>
      <c r="AW102" s="3132"/>
      <c r="AX102" s="3132"/>
      <c r="AY102" s="3128"/>
    </row>
    <row r="103" spans="1:51" ht="12.2" customHeight="1" x14ac:dyDescent="0.2">
      <c r="A103" s="2172"/>
      <c r="B103" s="2086">
        <f t="shared" si="1"/>
        <v>3</v>
      </c>
      <c r="C103" s="4584"/>
      <c r="D103" s="4616"/>
      <c r="E103" s="4617"/>
      <c r="F103" s="4617"/>
      <c r="G103" s="4617"/>
      <c r="H103" s="4617"/>
      <c r="I103" s="1932" t="str">
        <f>IF(OR(D93="",D103=""),"",MAX(1,SUMPRODUCT(--(INDEX('Tablas Técnicas'!$C$10:$L$643,,1)=D93),--(INDEX('Tablas Técnicas'!$C$10:$L$643,,2)=D103),INDEX('Tablas Técnicas'!$C$10:$L$643,,9))))</f>
        <v/>
      </c>
      <c r="J103" s="4616"/>
      <c r="K103" s="4617"/>
      <c r="L103" s="4617"/>
      <c r="M103" s="4617"/>
      <c r="N103" s="4617"/>
      <c r="O103" s="1932" t="str">
        <f>IF(OR(J93="",J103=""),"",MAX(1,SUMPRODUCT(--(INDEX('Tablas Técnicas'!$C$10:$L$643,,1)=J93),--(INDEX('Tablas Técnicas'!$C$10:$L$643,,2)=J103),INDEX('Tablas Técnicas'!$C$10:$L$643,,9))))</f>
        <v/>
      </c>
      <c r="P103" s="4616"/>
      <c r="Q103" s="4617"/>
      <c r="R103" s="4617"/>
      <c r="S103" s="4617"/>
      <c r="T103" s="4617"/>
      <c r="U103" s="1932" t="str">
        <f>IF(OR(P93="",P103=""),"",MAX(1,SUMPRODUCT(--(INDEX('Tablas Técnicas'!$C$10:$L$643,,1)=P93),--(INDEX('Tablas Técnicas'!$C$10:$L$643,,2)=P103),INDEX('Tablas Técnicas'!$C$10:$L$643,,9))))</f>
        <v/>
      </c>
      <c r="V103" s="4616"/>
      <c r="W103" s="4617"/>
      <c r="X103" s="4617"/>
      <c r="Y103" s="4617"/>
      <c r="Z103" s="4617"/>
      <c r="AA103" s="1932" t="str">
        <f>IF(OR(V93="",V103=""),"",MAX(1,SUMPRODUCT(--(INDEX('Tablas Técnicas'!$C$10:$L$643,,1)=V93),--(INDEX('Tablas Técnicas'!$C$10:$L$643,,2)=V103),INDEX('Tablas Técnicas'!$C$10:$L$643,,9))))</f>
        <v/>
      </c>
      <c r="AB103" s="4616"/>
      <c r="AC103" s="4617"/>
      <c r="AD103" s="4617"/>
      <c r="AE103" s="4617"/>
      <c r="AF103" s="4617"/>
      <c r="AG103" s="1933" t="str">
        <f>IF(OR(AB93="",AB103=""),"",MAX(1,SUMPRODUCT(--(INDEX('Tablas Técnicas'!$C$10:$L$643,,1)=AB93),--(INDEX('Tablas Técnicas'!$C$10:$L$643,,2)=AB103),INDEX('Tablas Técnicas'!$C$10:$L$643,,9))))</f>
        <v/>
      </c>
      <c r="AH103" s="2180">
        <f>P80</f>
        <v>1</v>
      </c>
      <c r="AI103" s="4604"/>
      <c r="AJ103" s="3128" t="s">
        <v>9319</v>
      </c>
      <c r="AK103" s="3128"/>
      <c r="AL103" s="3128"/>
      <c r="AM103" s="3128" t="b">
        <f>AND(COUNTIF(K84:M88,"Mantenido"),OR(COUNTIF(K84:M88,"Sostenimiento Menor"),COUNTIF(K84:M88,"Sostenimiento Mayor")))</f>
        <v>0</v>
      </c>
      <c r="AN103" s="3129"/>
      <c r="AO103" s="3128"/>
      <c r="AP103" s="3128"/>
      <c r="AQ103" s="3128"/>
      <c r="AR103" s="3128"/>
      <c r="AS103" s="3128"/>
      <c r="AT103" s="3128"/>
      <c r="AU103" s="3132"/>
      <c r="AV103" s="3132"/>
      <c r="AW103" s="3132"/>
      <c r="AX103" s="3132"/>
      <c r="AY103" s="3128"/>
    </row>
    <row r="104" spans="1:51" ht="12.2" customHeight="1" x14ac:dyDescent="0.2">
      <c r="A104" s="2172"/>
      <c r="B104" s="2086">
        <f t="shared" si="1"/>
        <v>3</v>
      </c>
      <c r="C104" s="4584"/>
      <c r="D104" s="4595" t="s">
        <v>1548</v>
      </c>
      <c r="E104" s="4596"/>
      <c r="F104" s="4596"/>
      <c r="G104" s="4596"/>
      <c r="H104" s="4596"/>
      <c r="I104" s="4596"/>
      <c r="J104" s="4596"/>
      <c r="K104" s="4596"/>
      <c r="L104" s="4596"/>
      <c r="M104" s="4596"/>
      <c r="N104" s="4596"/>
      <c r="O104" s="4596"/>
      <c r="P104" s="4596"/>
      <c r="Q104" s="4596"/>
      <c r="R104" s="4596"/>
      <c r="S104" s="4596"/>
      <c r="T104" s="4596"/>
      <c r="U104" s="4596"/>
      <c r="V104" s="4596"/>
      <c r="W104" s="4596"/>
      <c r="X104" s="4596"/>
      <c r="Y104" s="4596"/>
      <c r="Z104" s="4596"/>
      <c r="AA104" s="4596"/>
      <c r="AB104" s="4596"/>
      <c r="AC104" s="4596"/>
      <c r="AD104" s="4596"/>
      <c r="AE104" s="4596"/>
      <c r="AF104" s="4596"/>
      <c r="AG104" s="4622"/>
      <c r="AH104" s="2180"/>
      <c r="AI104" s="4604"/>
      <c r="AJ104" s="3128" t="s">
        <v>9318</v>
      </c>
      <c r="AK104" s="3128"/>
      <c r="AL104" s="3128"/>
      <c r="AM104" s="312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8"/>
      <c r="AO104" s="3128"/>
      <c r="AP104" s="3128"/>
      <c r="AQ104" s="3129"/>
      <c r="AR104" s="3128"/>
      <c r="AS104" s="3128"/>
      <c r="AT104" s="3128"/>
      <c r="AU104" s="3132"/>
      <c r="AV104" s="3132"/>
      <c r="AW104" s="3132"/>
      <c r="AX104" s="3132"/>
      <c r="AY104" s="3128"/>
    </row>
    <row r="105" spans="1:51" ht="12.2" customHeight="1" x14ac:dyDescent="0.2">
      <c r="A105" s="2172"/>
      <c r="B105" s="2086">
        <f t="shared" si="1"/>
        <v>3</v>
      </c>
      <c r="C105" s="4584"/>
      <c r="D105" s="4624"/>
      <c r="E105" s="4744"/>
      <c r="F105" s="4744"/>
      <c r="G105" s="4744"/>
      <c r="H105" s="4744"/>
      <c r="I105" s="4744"/>
      <c r="J105" s="4744"/>
      <c r="K105" s="4744"/>
      <c r="L105" s="4744"/>
      <c r="M105" s="4744"/>
      <c r="N105" s="4744"/>
      <c r="O105" s="4744"/>
      <c r="P105" s="4744"/>
      <c r="Q105" s="4744"/>
      <c r="R105" s="4744"/>
      <c r="S105" s="4744"/>
      <c r="T105" s="4744"/>
      <c r="U105" s="4744"/>
      <c r="V105" s="4744"/>
      <c r="W105" s="4744"/>
      <c r="X105" s="4744"/>
      <c r="Y105" s="4744"/>
      <c r="Z105" s="4744"/>
      <c r="AA105" s="4744"/>
      <c r="AB105" s="4744"/>
      <c r="AC105" s="4744"/>
      <c r="AD105" s="4744"/>
      <c r="AE105" s="4744"/>
      <c r="AF105" s="4744"/>
      <c r="AG105" s="4626"/>
      <c r="AH105" s="2180"/>
      <c r="AI105" s="4604"/>
      <c r="AJ105" s="3128" t="s">
        <v>9326</v>
      </c>
      <c r="AK105" s="3128"/>
      <c r="AL105" s="3128"/>
      <c r="AM105" s="312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8"/>
      <c r="AO105" s="3128"/>
      <c r="AP105" s="3128"/>
      <c r="AQ105" s="3129"/>
      <c r="AR105" s="3128"/>
      <c r="AS105" s="3128"/>
      <c r="AT105" s="3128"/>
      <c r="AU105" s="3132"/>
      <c r="AV105" s="3132"/>
      <c r="AW105" s="3132"/>
      <c r="AX105" s="3132"/>
      <c r="AY105" s="3128"/>
    </row>
    <row r="106" spans="1:51" ht="12.2" customHeight="1" x14ac:dyDescent="0.2">
      <c r="A106" s="2172"/>
      <c r="B106" s="2086">
        <f t="shared" si="1"/>
        <v>3</v>
      </c>
      <c r="C106" s="4584"/>
      <c r="D106" s="4624"/>
      <c r="E106" s="4744"/>
      <c r="F106" s="4744"/>
      <c r="G106" s="4744"/>
      <c r="H106" s="4744"/>
      <c r="I106" s="4744"/>
      <c r="J106" s="4744"/>
      <c r="K106" s="4744"/>
      <c r="L106" s="4744"/>
      <c r="M106" s="4744"/>
      <c r="N106" s="4744"/>
      <c r="O106" s="4744"/>
      <c r="P106" s="4744"/>
      <c r="Q106" s="4744"/>
      <c r="R106" s="4744"/>
      <c r="S106" s="4744"/>
      <c r="T106" s="4744"/>
      <c r="U106" s="4744"/>
      <c r="V106" s="4744"/>
      <c r="W106" s="4744"/>
      <c r="X106" s="4744"/>
      <c r="Y106" s="4744"/>
      <c r="Z106" s="4744"/>
      <c r="AA106" s="4744"/>
      <c r="AB106" s="4744"/>
      <c r="AC106" s="4744"/>
      <c r="AD106" s="4744"/>
      <c r="AE106" s="4744"/>
      <c r="AF106" s="4744"/>
      <c r="AG106" s="4626"/>
      <c r="AH106" s="2180"/>
      <c r="AI106" s="4604"/>
      <c r="AJ106" s="3128" t="s">
        <v>9305</v>
      </c>
      <c r="AK106" s="3128"/>
      <c r="AL106" s="3128"/>
      <c r="AM106" s="3128" t="b">
        <f>AND((IF(SUM(V84:V88)&gt;0,1,0)+IF(SUM(X84:X88)&gt;0,1,0)+IF(SUM(Z84:Z88)&gt;0,1,0)+IF(SUM(AB84:AB88)&gt;0,1,0)+IF(SUM(AD84:AD88,)&gt;0,1,0)+IF(SUM(AF84:AF88)&gt;0,1,0))&lt;3,OR(V91&lt;0,X91&lt;0,Z91&lt;0,AB91&lt;0,AD91&lt;0,AF91&lt;0,Y89&lt;0))</f>
        <v>0</v>
      </c>
      <c r="AN106" s="3128"/>
      <c r="AO106" s="3128"/>
      <c r="AP106" s="3128"/>
      <c r="AQ106" s="3129"/>
      <c r="AR106" s="3128"/>
      <c r="AS106" s="3128"/>
      <c r="AT106" s="3128"/>
      <c r="AU106" s="3132"/>
      <c r="AV106" s="3132"/>
      <c r="AW106" s="3132"/>
      <c r="AX106" s="3132"/>
      <c r="AY106" s="3128"/>
    </row>
    <row r="107" spans="1:51" ht="12.2" customHeight="1" x14ac:dyDescent="0.2">
      <c r="A107" s="2172"/>
      <c r="B107" s="2086">
        <f t="shared" si="1"/>
        <v>3</v>
      </c>
      <c r="C107" s="4584"/>
      <c r="D107" s="4624"/>
      <c r="E107" s="4744"/>
      <c r="F107" s="4744"/>
      <c r="G107" s="4744"/>
      <c r="H107" s="4744"/>
      <c r="I107" s="4744"/>
      <c r="J107" s="4744"/>
      <c r="K107" s="4744"/>
      <c r="L107" s="4744"/>
      <c r="M107" s="4744"/>
      <c r="N107" s="4744"/>
      <c r="O107" s="4744"/>
      <c r="P107" s="4744"/>
      <c r="Q107" s="4744"/>
      <c r="R107" s="4744"/>
      <c r="S107" s="4744"/>
      <c r="T107" s="4744"/>
      <c r="U107" s="4744"/>
      <c r="V107" s="4744"/>
      <c r="W107" s="4744"/>
      <c r="X107" s="4744"/>
      <c r="Y107" s="4744"/>
      <c r="Z107" s="4744"/>
      <c r="AA107" s="4744"/>
      <c r="AB107" s="4744"/>
      <c r="AC107" s="4744"/>
      <c r="AD107" s="4744"/>
      <c r="AE107" s="4744"/>
      <c r="AF107" s="4744"/>
      <c r="AG107" s="4626"/>
      <c r="AH107" s="2180"/>
      <c r="AI107" s="4604"/>
      <c r="AJ107" s="3128" t="s">
        <v>9320</v>
      </c>
      <c r="AK107" s="3128"/>
      <c r="AL107" s="3128"/>
      <c r="AM107" s="3128" t="b">
        <f>OR(-V91&gt;TRUNC(SUM(V84:V88)/2),-X91&gt;TRUNC(SUM(X84:X88)/2),-Z91&gt;TRUNC(SUM(Z84:Z88)/2),-AB91&gt;TRUNC(SUM(AB84:AB88)/2),-AD91&gt;TRUNC(SUM(AD84:AD88)/2),-AF91&gt;TRUNC(SUM(AF84:AF88)/2))</f>
        <v>0</v>
      </c>
      <c r="AN107" s="3128"/>
      <c r="AO107" s="3128"/>
      <c r="AP107" s="3128"/>
      <c r="AQ107" s="3129"/>
      <c r="AR107" s="3128"/>
      <c r="AS107" s="3128"/>
      <c r="AT107" s="3128"/>
      <c r="AU107" s="3132"/>
      <c r="AV107" s="3132"/>
      <c r="AW107" s="3132"/>
      <c r="AX107" s="3132"/>
      <c r="AY107" s="3128"/>
    </row>
    <row r="108" spans="1:51" ht="12.2" customHeight="1" x14ac:dyDescent="0.2">
      <c r="A108" s="2172"/>
      <c r="B108" s="2086">
        <f t="shared" si="1"/>
        <v>3</v>
      </c>
      <c r="C108" s="4584"/>
      <c r="D108" s="4624"/>
      <c r="E108" s="4744"/>
      <c r="F108" s="4744"/>
      <c r="G108" s="4744"/>
      <c r="H108" s="4744"/>
      <c r="I108" s="4744"/>
      <c r="J108" s="4744"/>
      <c r="K108" s="4744"/>
      <c r="L108" s="4744"/>
      <c r="M108" s="4744"/>
      <c r="N108" s="4744"/>
      <c r="O108" s="4744"/>
      <c r="P108" s="4744"/>
      <c r="Q108" s="4744"/>
      <c r="R108" s="4744"/>
      <c r="S108" s="4744"/>
      <c r="T108" s="4744"/>
      <c r="U108" s="4744"/>
      <c r="V108" s="4744"/>
      <c r="W108" s="4744"/>
      <c r="X108" s="4744"/>
      <c r="Y108" s="4744"/>
      <c r="Z108" s="4744"/>
      <c r="AA108" s="4744"/>
      <c r="AB108" s="4744"/>
      <c r="AC108" s="4744"/>
      <c r="AD108" s="4744"/>
      <c r="AE108" s="4744"/>
      <c r="AF108" s="4744"/>
      <c r="AG108" s="4626"/>
      <c r="AH108" s="2180"/>
      <c r="AI108" s="4604"/>
      <c r="AJ108" s="3128" t="s">
        <v>9321</v>
      </c>
      <c r="AK108" s="3128"/>
      <c r="AL108" s="3128"/>
      <c r="AM108" s="3128" t="b">
        <f>COUNTIF(D84:E88,"Primario")&gt;1</f>
        <v>0</v>
      </c>
      <c r="AN108" s="3128"/>
      <c r="AO108" s="3128"/>
      <c r="AP108" s="3128"/>
      <c r="AQ108" s="3129"/>
      <c r="AR108" s="3129"/>
      <c r="AS108" s="3129"/>
      <c r="AT108" s="3129"/>
      <c r="AU108" s="3132"/>
      <c r="AV108" s="3132"/>
      <c r="AW108" s="3132"/>
      <c r="AX108" s="3128"/>
      <c r="AY108" s="3128"/>
    </row>
    <row r="109" spans="1:51" ht="12.2" customHeight="1" x14ac:dyDescent="0.2">
      <c r="A109" s="2172"/>
      <c r="B109" s="2086">
        <f t="shared" si="1"/>
        <v>3</v>
      </c>
      <c r="C109" s="4584"/>
      <c r="D109" s="4624"/>
      <c r="E109" s="4744"/>
      <c r="F109" s="4744"/>
      <c r="G109" s="4744"/>
      <c r="H109" s="4744"/>
      <c r="I109" s="4744"/>
      <c r="J109" s="4744"/>
      <c r="K109" s="4744"/>
      <c r="L109" s="4744"/>
      <c r="M109" s="4744"/>
      <c r="N109" s="4744"/>
      <c r="O109" s="4744"/>
      <c r="P109" s="4744"/>
      <c r="Q109" s="4744"/>
      <c r="R109" s="4744"/>
      <c r="S109" s="4744"/>
      <c r="T109" s="4744"/>
      <c r="U109" s="4744"/>
      <c r="V109" s="4744"/>
      <c r="W109" s="4744"/>
      <c r="X109" s="4744"/>
      <c r="Y109" s="4744"/>
      <c r="Z109" s="4744"/>
      <c r="AA109" s="4744"/>
      <c r="AB109" s="4744"/>
      <c r="AC109" s="4744"/>
      <c r="AD109" s="4744"/>
      <c r="AE109" s="4744"/>
      <c r="AF109" s="4744"/>
      <c r="AG109" s="4626"/>
      <c r="AH109" s="2180"/>
      <c r="AI109" s="4604"/>
      <c r="AJ109" s="3128" t="s">
        <v>9304</v>
      </c>
      <c r="AK109" s="3128"/>
      <c r="AL109" s="3128"/>
      <c r="AM109" s="3128" t="b">
        <f>SUM(V91:AG91)&lt;&gt;Y89+ABS(AC89)*2/5+IF(S80="Sí",3*P80,0)</f>
        <v>0</v>
      </c>
      <c r="AN109" s="3128"/>
      <c r="AO109" s="3128"/>
      <c r="AP109" s="3128"/>
      <c r="AQ109" s="3129"/>
      <c r="AR109" s="3129"/>
      <c r="AS109" s="3129"/>
      <c r="AT109" s="3129"/>
      <c r="AU109" s="3132"/>
      <c r="AV109" s="3132"/>
      <c r="AW109" s="3132"/>
      <c r="AX109" s="3128"/>
      <c r="AY109" s="3128"/>
    </row>
    <row r="110" spans="1:51" ht="12.2" customHeight="1" x14ac:dyDescent="0.2">
      <c r="A110" s="2172"/>
      <c r="B110" s="2086">
        <f t="shared" si="1"/>
        <v>3</v>
      </c>
      <c r="C110" s="4584"/>
      <c r="D110" s="4624"/>
      <c r="E110" s="4744"/>
      <c r="F110" s="4744"/>
      <c r="G110" s="4744"/>
      <c r="H110" s="4744"/>
      <c r="I110" s="4744"/>
      <c r="J110" s="4744"/>
      <c r="K110" s="4744"/>
      <c r="L110" s="4744"/>
      <c r="M110" s="4744"/>
      <c r="N110" s="4744"/>
      <c r="O110" s="4744"/>
      <c r="P110" s="4744"/>
      <c r="Q110" s="4744"/>
      <c r="R110" s="4744"/>
      <c r="S110" s="4744"/>
      <c r="T110" s="4744"/>
      <c r="U110" s="4744"/>
      <c r="V110" s="4744"/>
      <c r="W110" s="4744"/>
      <c r="X110" s="4744"/>
      <c r="Y110" s="4744"/>
      <c r="Z110" s="4744"/>
      <c r="AA110" s="4744"/>
      <c r="AB110" s="4744"/>
      <c r="AC110" s="4744"/>
      <c r="AD110" s="4744"/>
      <c r="AE110" s="4744"/>
      <c r="AF110" s="4744"/>
      <c r="AG110" s="4626"/>
      <c r="AH110" s="2180"/>
      <c r="AI110" s="4604"/>
      <c r="AJ110" s="3128" t="s">
        <v>9303</v>
      </c>
      <c r="AK110" s="3128"/>
      <c r="AL110" s="3128"/>
      <c r="AM110" s="3128" t="b">
        <f>AL97-AL98+AM97-AM98&lt;&gt;0</f>
        <v>0</v>
      </c>
      <c r="AN110" s="3132"/>
      <c r="AO110" s="3132"/>
      <c r="AP110" s="3132"/>
      <c r="AQ110" s="3132"/>
      <c r="AR110" s="3129"/>
      <c r="AS110" s="3129"/>
      <c r="AT110" s="3129"/>
      <c r="AU110" s="3132"/>
      <c r="AV110" s="3132"/>
      <c r="AW110" s="3132"/>
      <c r="AX110" s="3128"/>
      <c r="AY110" s="3128"/>
    </row>
    <row r="111" spans="1:51" ht="12.2" customHeight="1" thickBot="1" x14ac:dyDescent="0.25">
      <c r="A111" s="2172"/>
      <c r="B111" s="2086"/>
      <c r="C111" s="4585"/>
      <c r="D111" s="4586"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87"/>
      <c r="F111" s="4587"/>
      <c r="G111" s="4587"/>
      <c r="H111" s="4587"/>
      <c r="I111" s="4587"/>
      <c r="J111" s="4587"/>
      <c r="K111" s="4587"/>
      <c r="L111" s="4587"/>
      <c r="M111" s="4587"/>
      <c r="N111" s="4587"/>
      <c r="O111" s="4587"/>
      <c r="P111" s="4587"/>
      <c r="Q111" s="4587"/>
      <c r="R111" s="4587"/>
      <c r="S111" s="4587"/>
      <c r="T111" s="4587"/>
      <c r="U111" s="4587"/>
      <c r="V111" s="4587"/>
      <c r="W111" s="4587"/>
      <c r="X111" s="4587"/>
      <c r="Y111" s="4587"/>
      <c r="Z111" s="4587"/>
      <c r="AA111" s="4587"/>
      <c r="AB111" s="4587"/>
      <c r="AC111" s="4587"/>
      <c r="AD111" s="4587"/>
      <c r="AE111" s="4587"/>
      <c r="AF111" s="4587"/>
      <c r="AG111" s="4588"/>
      <c r="AH111" s="2180"/>
      <c r="AI111" s="4604"/>
      <c r="AJ111" s="3128" t="s">
        <v>9340</v>
      </c>
      <c r="AK111" s="3132"/>
      <c r="AL111" s="3132"/>
      <c r="AM111" s="3132" t="b">
        <f>ABS(SUM(N89:N91))&gt;(SUM(N84:N88)-10*Y89+AC89+IF(S80="Sí",10*P80,0)+IF(COUNTIF(K84:M88,"Mantenido")&gt;0,P80*10)+MAX(IF(COUNTIF(K84:M88,"Sostenimiento Menor")&gt;0,P80*20)+IF(COUNTIF(K84:M88,"Sostenimiento Mayor")&gt;0,P80*30)))/2</f>
        <v>0</v>
      </c>
      <c r="AN111" s="3128"/>
      <c r="AO111" s="3128"/>
      <c r="AP111" s="3128"/>
      <c r="AQ111" s="3128"/>
      <c r="AR111" s="3129"/>
      <c r="AS111" s="3129"/>
      <c r="AT111" s="3129"/>
      <c r="AU111" s="3132"/>
      <c r="AV111" s="3132"/>
      <c r="AW111" s="3132"/>
      <c r="AX111" s="3128"/>
      <c r="AY111" s="3128"/>
    </row>
    <row r="112" spans="1:51" ht="12.2" customHeight="1" x14ac:dyDescent="0.2">
      <c r="A112" s="2172"/>
      <c r="B112" s="2086"/>
      <c r="C112" s="4581"/>
      <c r="D112" s="4581" t="str">
        <f>IFERROR(VLOOKUP(D93,'Tablas Técnicas'!$O$9:$T$88,2,FALSE),"")</f>
        <v/>
      </c>
      <c r="E112" s="4581"/>
      <c r="F112" s="4581"/>
      <c r="G112" s="4581"/>
      <c r="H112" s="4581"/>
      <c r="I112" s="4581"/>
      <c r="J112" s="4581" t="str">
        <f>IFERROR(VLOOKUP(J93,'Tablas Técnicas'!$O$9:$T$88,2,FALSE),"")</f>
        <v/>
      </c>
      <c r="K112" s="4581"/>
      <c r="L112" s="4581"/>
      <c r="M112" s="4581"/>
      <c r="N112" s="4581"/>
      <c r="O112" s="4581"/>
      <c r="P112" s="4581" t="str">
        <f>IFERROR(VLOOKUP(P93,'Tablas Técnicas'!$O$9:$T$88,2,FALSE),"")</f>
        <v/>
      </c>
      <c r="Q112" s="4581"/>
      <c r="R112" s="4581"/>
      <c r="S112" s="4581"/>
      <c r="T112" s="4581"/>
      <c r="U112" s="4581"/>
      <c r="V112" s="4581" t="str">
        <f>IFERROR(VLOOKUP(V93,'Tablas Técnicas'!$O$9:$T$88,2,FALSE),"")</f>
        <v/>
      </c>
      <c r="W112" s="4581"/>
      <c r="X112" s="4581"/>
      <c r="Y112" s="4581"/>
      <c r="Z112" s="4581"/>
      <c r="AA112" s="4581"/>
      <c r="AB112" s="4581" t="str">
        <f>IFERROR(VLOOKUP(AB93,'Tablas Técnicas'!$O$9:$T$88,2,FALSE),"")</f>
        <v/>
      </c>
      <c r="AC112" s="4581"/>
      <c r="AD112" s="4581"/>
      <c r="AE112" s="4581"/>
      <c r="AF112" s="4581"/>
      <c r="AG112" s="4581"/>
      <c r="AH112" s="2180"/>
      <c r="AI112" s="1908"/>
      <c r="AJ112" s="3128"/>
      <c r="AK112" s="3128"/>
      <c r="AL112" s="3128"/>
      <c r="AM112" s="3128"/>
      <c r="AN112" s="3128"/>
      <c r="AO112" s="3128"/>
      <c r="AP112" s="3128"/>
      <c r="AQ112" s="3128"/>
      <c r="AR112" s="3129"/>
      <c r="AS112" s="3129"/>
      <c r="AT112" s="3129"/>
      <c r="AU112" s="3132"/>
      <c r="AV112" s="3132"/>
      <c r="AW112" s="3132"/>
      <c r="AX112" s="3132"/>
      <c r="AY112" s="3128"/>
    </row>
    <row r="113" spans="1:51" ht="12.2" customHeight="1" thickBot="1" x14ac:dyDescent="0.25">
      <c r="A113" s="2172"/>
      <c r="B113" s="2086"/>
      <c r="C113" s="4581"/>
      <c r="D113" s="2541"/>
      <c r="E113" s="2542"/>
      <c r="F113" s="2542"/>
      <c r="G113" s="2542"/>
      <c r="H113" s="2542"/>
      <c r="I113" s="2542"/>
      <c r="J113" s="2542"/>
      <c r="K113" s="2542"/>
      <c r="L113" s="2542"/>
      <c r="M113" s="2542"/>
      <c r="N113" s="2542"/>
      <c r="O113" s="2542"/>
      <c r="P113" s="2542"/>
      <c r="Q113" s="2542"/>
      <c r="R113" s="2542"/>
      <c r="S113" s="2542"/>
      <c r="T113" s="2542"/>
      <c r="U113" s="2542"/>
      <c r="V113" s="2543"/>
      <c r="W113" s="2543"/>
      <c r="X113" s="2543"/>
      <c r="Y113" s="2543"/>
      <c r="Z113" s="2543"/>
      <c r="AA113" s="2543"/>
      <c r="AB113" s="2543"/>
      <c r="AC113" s="2543"/>
      <c r="AD113" s="2543"/>
      <c r="AE113" s="2543"/>
      <c r="AF113" s="2542"/>
      <c r="AG113" s="2542"/>
      <c r="AH113" s="2180"/>
      <c r="AI113" s="1908"/>
      <c r="AJ113" s="3136"/>
      <c r="AK113" s="3136"/>
      <c r="AL113" s="3136"/>
      <c r="AM113" s="3136"/>
      <c r="AN113" s="3136"/>
      <c r="AO113" s="3136"/>
      <c r="AP113" s="3128"/>
      <c r="AQ113" s="3129"/>
      <c r="AR113" s="3132"/>
      <c r="AS113" s="3132"/>
      <c r="AT113" s="3132"/>
      <c r="AU113" s="3132"/>
      <c r="AV113" s="3132"/>
      <c r="AW113" s="3132"/>
      <c r="AX113" s="3132"/>
      <c r="AY113" s="3137"/>
    </row>
    <row r="114" spans="1:51" ht="12.2" customHeight="1" x14ac:dyDescent="0.2">
      <c r="A114" s="2172"/>
      <c r="B114" s="2086">
        <f t="shared" ref="B114:B144" si="2">1+B80</f>
        <v>4</v>
      </c>
      <c r="C114" s="4583" t="str">
        <f>"Técnica "&amp;B114</f>
        <v>Técnica 4</v>
      </c>
      <c r="D114" s="4682" t="s">
        <v>8711</v>
      </c>
      <c r="E114" s="4683"/>
      <c r="F114" s="4683"/>
      <c r="G114" s="4683"/>
      <c r="H114" s="4683"/>
      <c r="I114" s="4683"/>
      <c r="J114" s="4683"/>
      <c r="K114" s="4683"/>
      <c r="L114" s="4683"/>
      <c r="M114" s="4683"/>
      <c r="N114" s="4684"/>
      <c r="O114" s="4688" t="s">
        <v>1325</v>
      </c>
      <c r="P114" s="4690">
        <v>1</v>
      </c>
      <c r="Q114" s="4692" t="s">
        <v>8795</v>
      </c>
      <c r="R114" s="4693"/>
      <c r="S114" s="4696" t="s">
        <v>1381</v>
      </c>
      <c r="T114" s="4697" t="s">
        <v>1505</v>
      </c>
      <c r="U114" s="4699">
        <f>MAX(IF(P114=3,60,IF(P114=2,40,20)),MIN(SUM(N118:N125)-10*Y123+AC123+IF(S114="Sí",10*P114,0)+IF(COUNTIF(K118:M122,"Mantenido")&gt;0,P114*10)+MAX(IF(COUNTIF(K118:M122,"Sostenimiento Menor")&gt;0,P114*20)+IF(COUNTIF(K118:M122,"Sostenimiento Mayor")&gt;0,P114*30))))</f>
        <v>20</v>
      </c>
      <c r="V114" s="4692" t="s">
        <v>8796</v>
      </c>
      <c r="W114" s="4697"/>
      <c r="X114" s="4612" t="str">
        <f>IFERROR(LEFT(AK130&amp;AL130&amp;AM130&amp;AN130&amp;AO130&amp;AP130,LEN(AK130&amp;AL130&amp;AM130&amp;AN130&amp;AO130&amp;AP130)-2),"")</f>
        <v/>
      </c>
      <c r="Y114" s="4612"/>
      <c r="Z114" s="4612"/>
      <c r="AA114" s="4612"/>
      <c r="AB114" s="4612"/>
      <c r="AC114" s="4612"/>
      <c r="AD114" s="4612"/>
      <c r="AE114" s="4612"/>
      <c r="AF114" s="4612"/>
      <c r="AG114" s="4613"/>
      <c r="AH114" s="2180"/>
      <c r="AI114" s="4604"/>
      <c r="AJ114" s="3133" t="s">
        <v>9337</v>
      </c>
      <c r="AK114" s="3133"/>
      <c r="AL114" s="3133"/>
      <c r="AM114" s="3133"/>
      <c r="AN114" s="3133"/>
      <c r="AO114" s="3133"/>
      <c r="AP114" s="3133"/>
      <c r="AQ114" s="3133"/>
      <c r="AR114" s="3133"/>
      <c r="AS114" s="3128"/>
      <c r="AT114" s="3128"/>
      <c r="AU114" s="3128"/>
      <c r="AV114" s="3128"/>
      <c r="AW114" s="3132"/>
      <c r="AX114" s="3132"/>
      <c r="AY114" s="3128"/>
    </row>
    <row r="115" spans="1:51" ht="12.2" customHeight="1" x14ac:dyDescent="0.2">
      <c r="A115" s="2172"/>
      <c r="B115" s="2086">
        <f t="shared" si="2"/>
        <v>4</v>
      </c>
      <c r="C115" s="4584"/>
      <c r="D115" s="4685"/>
      <c r="E115" s="4731"/>
      <c r="F115" s="4731"/>
      <c r="G115" s="4731"/>
      <c r="H115" s="4731"/>
      <c r="I115" s="4731"/>
      <c r="J115" s="4731"/>
      <c r="K115" s="4731"/>
      <c r="L115" s="4731"/>
      <c r="M115" s="4731"/>
      <c r="N115" s="4732"/>
      <c r="O115" s="4689"/>
      <c r="P115" s="4691"/>
      <c r="Q115" s="4694"/>
      <c r="R115" s="4695"/>
      <c r="S115" s="4691"/>
      <c r="T115" s="4733"/>
      <c r="U115" s="4734"/>
      <c r="V115" s="4694"/>
      <c r="W115" s="4733"/>
      <c r="X115" s="4739"/>
      <c r="Y115" s="4739"/>
      <c r="Z115" s="4739"/>
      <c r="AA115" s="4739"/>
      <c r="AB115" s="4739"/>
      <c r="AC115" s="4739"/>
      <c r="AD115" s="4739"/>
      <c r="AE115" s="4739"/>
      <c r="AF115" s="4739"/>
      <c r="AG115" s="4615"/>
      <c r="AH115" s="2180"/>
      <c r="AI115" s="4604"/>
      <c r="AJ115" s="3133"/>
      <c r="AK115" s="3133" t="s">
        <v>9338</v>
      </c>
      <c r="AL115" s="3133" t="s">
        <v>10493</v>
      </c>
      <c r="AM115" s="3134"/>
      <c r="AN115" s="3134"/>
      <c r="AO115" s="3134"/>
      <c r="AP115" s="3134"/>
      <c r="AQ115" s="3134"/>
      <c r="AR115" s="3133"/>
      <c r="AS115" s="3128"/>
      <c r="AT115" s="3128"/>
      <c r="AU115" s="3128"/>
      <c r="AV115" s="3128"/>
      <c r="AW115" s="3132"/>
      <c r="AX115" s="4582" t="s">
        <v>9307</v>
      </c>
      <c r="AY115" s="4582"/>
    </row>
    <row r="116" spans="1:51" ht="12.2" customHeight="1" x14ac:dyDescent="0.2">
      <c r="A116" s="2172"/>
      <c r="B116" s="2086">
        <f t="shared" si="2"/>
        <v>4</v>
      </c>
      <c r="C116" s="4584"/>
      <c r="D116" s="4595" t="s">
        <v>2823</v>
      </c>
      <c r="E116" s="4596"/>
      <c r="F116" s="4596"/>
      <c r="G116" s="4596"/>
      <c r="H116" s="4596"/>
      <c r="I116" s="4596"/>
      <c r="J116" s="4596"/>
      <c r="K116" s="4679" t="s">
        <v>9630</v>
      </c>
      <c r="L116" s="4679"/>
      <c r="M116" s="4679"/>
      <c r="N116" s="4596" t="s">
        <v>1499</v>
      </c>
      <c r="O116" s="4679" t="s">
        <v>2821</v>
      </c>
      <c r="P116" s="4679" t="s">
        <v>8797</v>
      </c>
      <c r="Q116" s="4596" t="s">
        <v>1364</v>
      </c>
      <c r="R116" s="4596"/>
      <c r="S116" s="4596"/>
      <c r="T116" s="4596"/>
      <c r="U116" s="4596"/>
      <c r="V116" s="4659" t="s">
        <v>1373</v>
      </c>
      <c r="W116" s="4654"/>
      <c r="X116" s="4659" t="s">
        <v>1497</v>
      </c>
      <c r="Y116" s="4660"/>
      <c r="Z116" s="4654" t="s">
        <v>1378</v>
      </c>
      <c r="AA116" s="4654"/>
      <c r="AB116" s="4659" t="s">
        <v>1383</v>
      </c>
      <c r="AC116" s="4660"/>
      <c r="AD116" s="4654" t="s">
        <v>1390</v>
      </c>
      <c r="AE116" s="4654"/>
      <c r="AF116" s="4659" t="s">
        <v>1391</v>
      </c>
      <c r="AG116" s="4655"/>
      <c r="AH116" s="2180"/>
      <c r="AI116" s="4604"/>
      <c r="AJ116" s="3128"/>
      <c r="AK116" s="3128"/>
      <c r="AL116" s="3128" t="s">
        <v>9609</v>
      </c>
      <c r="AM116" s="3128"/>
      <c r="AN116" s="3128"/>
      <c r="AO116" s="3128"/>
      <c r="AP116" s="3128"/>
      <c r="AQ116" s="3128"/>
      <c r="AR116" s="3132"/>
      <c r="AS116" s="3132" t="s">
        <v>9327</v>
      </c>
      <c r="AT116" s="3132" t="s">
        <v>9328</v>
      </c>
      <c r="AU116" s="3128" t="s">
        <v>9316</v>
      </c>
      <c r="AV116" s="3128" t="s">
        <v>9317</v>
      </c>
      <c r="AW116" s="3132" t="s">
        <v>1499</v>
      </c>
      <c r="AX116" s="3132" t="s">
        <v>8799</v>
      </c>
      <c r="AY116" s="3128" t="s">
        <v>8800</v>
      </c>
    </row>
    <row r="117" spans="1:51" ht="12.2" customHeight="1" x14ac:dyDescent="0.2">
      <c r="A117" s="2172"/>
      <c r="B117" s="2086">
        <f t="shared" si="2"/>
        <v>4</v>
      </c>
      <c r="C117" s="4584"/>
      <c r="D117" s="4737"/>
      <c r="E117" s="4738"/>
      <c r="F117" s="4738"/>
      <c r="G117" s="4738"/>
      <c r="H117" s="4738"/>
      <c r="I117" s="4738"/>
      <c r="J117" s="4738"/>
      <c r="K117" s="4735"/>
      <c r="L117" s="4735"/>
      <c r="M117" s="4735"/>
      <c r="N117" s="4725"/>
      <c r="O117" s="4735"/>
      <c r="P117" s="4736"/>
      <c r="Q117" s="4725"/>
      <c r="R117" s="4725"/>
      <c r="S117" s="4725"/>
      <c r="T117" s="4725"/>
      <c r="U117" s="4725"/>
      <c r="V117" s="2522" t="s">
        <v>9306</v>
      </c>
      <c r="W117" s="2523" t="s">
        <v>2827</v>
      </c>
      <c r="X117" s="2522" t="s">
        <v>9306</v>
      </c>
      <c r="Y117" s="2523" t="s">
        <v>2827</v>
      </c>
      <c r="Z117" s="2522" t="s">
        <v>9306</v>
      </c>
      <c r="AA117" s="2523" t="s">
        <v>2827</v>
      </c>
      <c r="AB117" s="2522" t="s">
        <v>9306</v>
      </c>
      <c r="AC117" s="2523" t="s">
        <v>2827</v>
      </c>
      <c r="AD117" s="2522" t="s">
        <v>9306</v>
      </c>
      <c r="AE117" s="2523" t="s">
        <v>2827</v>
      </c>
      <c r="AF117" s="2522" t="s">
        <v>9306</v>
      </c>
      <c r="AG117" s="2524" t="s">
        <v>2827</v>
      </c>
      <c r="AH117" s="2180"/>
      <c r="AI117" s="4604"/>
      <c r="AJ117" s="3128"/>
      <c r="AK117" s="3128" t="s">
        <v>9308</v>
      </c>
      <c r="AL117" s="3128">
        <v>1</v>
      </c>
      <c r="AM117" s="3128">
        <v>2</v>
      </c>
      <c r="AN117" s="3128">
        <v>3</v>
      </c>
      <c r="AO117" s="3128">
        <v>4</v>
      </c>
      <c r="AP117" s="3128">
        <v>5</v>
      </c>
      <c r="AQ117" s="3128">
        <v>6</v>
      </c>
      <c r="AR117" s="3128">
        <v>7</v>
      </c>
      <c r="AS117" s="3132"/>
      <c r="AT117" s="3128" t="s">
        <v>9339</v>
      </c>
      <c r="AU117" s="3132"/>
      <c r="AV117" s="3132"/>
      <c r="AW117" s="3132" t="s">
        <v>9339</v>
      </c>
      <c r="AX117" s="3132"/>
      <c r="AY117" s="3128"/>
    </row>
    <row r="118" spans="1:51" ht="12.2" customHeight="1" x14ac:dyDescent="0.2">
      <c r="A118" s="2172"/>
      <c r="B118" s="2086">
        <f t="shared" si="2"/>
        <v>4</v>
      </c>
      <c r="C118" s="4584"/>
      <c r="D118" s="4670" t="s">
        <v>8801</v>
      </c>
      <c r="E118" s="4671"/>
      <c r="F118" s="4672"/>
      <c r="G118" s="4673"/>
      <c r="H118" s="4673"/>
      <c r="I118" s="4673"/>
      <c r="J118" s="4674"/>
      <c r="K118" s="4641" t="s">
        <v>1455</v>
      </c>
      <c r="L118" s="4642"/>
      <c r="M118" s="4643"/>
      <c r="N118" s="2516">
        <f>IF(AW118&gt;0,IF(VLOOKUP(F118,'Tablas Técnicas'!$O$9:$X$88,10,0),MAX(5,AW118-5),AW118),0)</f>
        <v>0</v>
      </c>
      <c r="O118" s="2516" t="str">
        <f>AS118&amp;" / "&amp;AT118</f>
        <v>0 / 0</v>
      </c>
      <c r="P118" s="2516" t="str">
        <f t="array" ref="P118">W118+Y118+AA118+AC118+AE118+AG118&amp;" / "&amp;IF(K118&lt;&gt;"Mantenido",0,SUM(IF($AL118:$AR118='Tablas Técnicas'!$L$10:$L$643,'Tablas Técnicas'!$H$10:$H$643,0)))</f>
        <v>0 / 0</v>
      </c>
      <c r="Q118" s="4678" t="str">
        <f>IFERROR(VLOOKUP(F118,'Tablas Técnicas'!$O$9:$T$88,5,FALSE),"")</f>
        <v/>
      </c>
      <c r="R118" s="4678"/>
      <c r="S118" s="4678"/>
      <c r="T118" s="4678"/>
      <c r="U118" s="4678"/>
      <c r="V118" s="2042"/>
      <c r="W118" s="2043"/>
      <c r="X118" s="2042"/>
      <c r="Y118" s="2044"/>
      <c r="Z118" s="2045"/>
      <c r="AA118" s="2043"/>
      <c r="AB118" s="2042"/>
      <c r="AC118" s="2044"/>
      <c r="AD118" s="2045"/>
      <c r="AE118" s="2043"/>
      <c r="AF118" s="2042"/>
      <c r="AG118" s="2046"/>
      <c r="AH118" s="2180"/>
      <c r="AI118" s="4604"/>
      <c r="AJ118" s="3128">
        <v>1</v>
      </c>
      <c r="AK118" s="3128">
        <f>P114</f>
        <v>1</v>
      </c>
      <c r="AL118" s="3128" t="str">
        <f>IF(AND(ISNUMBER(MATCH($F118,'Tablas Técnicas'!$L$10:$L$643,0)),INDEX($D131:$D137,Tablas!A$1)="",COUNTIF(AM118:$AS118,$F118)=0),$F118,IF(INDEX($D131:$D137,Tablas!A$1)="","",$F118&amp;INDEX($D131:$D137,Tablas!A$1)))</f>
        <v/>
      </c>
      <c r="AM118" s="3128" t="str">
        <f>IF(AND(ISNUMBER(MATCH($F118,'Tablas Técnicas'!$L$10:$L$643,0)),INDEX($D131:$D137,Tablas!B$1)="",COUNTIF(AN118:$AS118,$F118)=0),$F118,IF(INDEX($D131:$D137,Tablas!B$1)="","",$F118&amp;INDEX($D131:$D137,Tablas!B$1)))</f>
        <v/>
      </c>
      <c r="AN118" s="3128" t="str">
        <f>IF(AND(ISNUMBER(MATCH($F118,'Tablas Técnicas'!$L$10:$L$643,0)),INDEX($D131:$D137,Tablas!C$1)="",COUNTIF(AO118:$AS118,$F118)=0),$F118,IF(INDEX($D131:$D137,Tablas!C$1)="","",$F118&amp;INDEX($D131:$D137,Tablas!C$1)))</f>
        <v/>
      </c>
      <c r="AO118" s="3128" t="str">
        <f>IF(AND(ISNUMBER(MATCH($F118,'Tablas Técnicas'!$L$10:$L$643,0)),INDEX($D131:$D137,Tablas!D$1)="",COUNTIF(AP118:$AS118,$F118)=0),$F118,IF(INDEX($D131:$D137,Tablas!D$1)="","",$F118&amp;INDEX($D131:$D137,Tablas!D$1)))</f>
        <v/>
      </c>
      <c r="AP118" s="3128" t="str">
        <f>IF(AND(ISNUMBER(MATCH($F118,'Tablas Técnicas'!$L$10:$L$643,0)),INDEX($D131:$D137,Tablas!E$1)="",COUNTIF(AQ118:$AS118,$F118)=0),$F118,IF(INDEX($D131:$D137,Tablas!E$1)="","",$F118&amp;INDEX($D131:$D137,Tablas!E$1)))</f>
        <v/>
      </c>
      <c r="AQ118" s="3128" t="str">
        <f>IF(AND(ISNUMBER(MATCH($F118,'Tablas Técnicas'!$L$10:$L$643,0)),INDEX($D131:$D137,Tablas!F$1)="",COUNTIF(AR118:$AS118,$F118)=0),$F118,IF(INDEX($D131:$D137,Tablas!F$1)="","",$F118&amp;INDEX($D131:$D137,Tablas!F$1)))</f>
        <v/>
      </c>
      <c r="AR118" s="3128" t="str">
        <f>IF(AND(ISNUMBER(MATCH($F118,'Tablas Técnicas'!$L$10:$L$643,0)),INDEX($D131:$D137,Tablas!G$1)="",COUNTIF(AS118:$AS118,$F118)=0),$F118,IF(INDEX($D131:$D137,Tablas!G$1)="","",$F118&amp;INDEX($D131:$D137,Tablas!G$1)))</f>
        <v/>
      </c>
      <c r="AS118" s="3132">
        <f>V118+X118+Z118+AB118+AD118+AF118</f>
        <v>0</v>
      </c>
      <c r="AT118" s="3132">
        <f t="array" ref="AT118">SUM(IF($AL118:$AR118='Tablas Técnicas'!$L$10:$L$643,IF(D118="Primario",'Tablas Técnicas'!$E$10:$E$643,'Tablas Técnicas'!$F$10:$F$643)+IF(K118="Sostenimiento menor",'Tablas Técnicas'!$I$10:$I$643,IF(K118="sostenimiento mayor",'Tablas Técnicas'!$J$10:$J$643,0)),0),0)+VALUE(RIGHT(P118,2))+AU118+AV118</f>
        <v>0</v>
      </c>
      <c r="AU118" s="313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32">
        <f>(COUNTIF(AL118:AR118,"*Estado añadido:*")-1)*COUNTIF(AL118:AR118,"*Estado añadido:*")</f>
        <v>0</v>
      </c>
      <c r="AW118" s="3132">
        <f t="array" ref="AW118">SUM(IF($AL118:$AR118='Tablas Técnicas'!$L$10:$L$643,'Tablas Técnicas'!$G$10:$G$643,0))</f>
        <v>0</v>
      </c>
      <c r="AX118" s="312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8" t="str">
        <f>IFERROR(LEFT(AX118,LEN(AX118)-2)&amp;"), ","")</f>
        <v/>
      </c>
    </row>
    <row r="119" spans="1:51" ht="12.2" customHeight="1" x14ac:dyDescent="0.2">
      <c r="A119" s="2172"/>
      <c r="B119" s="2086">
        <f t="shared" si="2"/>
        <v>4</v>
      </c>
      <c r="C119" s="4584"/>
      <c r="D119" s="4629" t="s">
        <v>524</v>
      </c>
      <c r="E119" s="4630"/>
      <c r="F119" s="4661"/>
      <c r="G119" s="4662"/>
      <c r="H119" s="4662"/>
      <c r="I119" s="4662"/>
      <c r="J119" s="4663"/>
      <c r="K119" s="4664" t="s">
        <v>1455</v>
      </c>
      <c r="L119" s="4665"/>
      <c r="M119" s="4666"/>
      <c r="N119" s="2525">
        <f>IF(AW119&gt;0,IF(VLOOKUP(F119,'Tablas Técnicas'!$O$9:$X$88,10,0),MAX(5,AW119-5),AW119),0)</f>
        <v>0</v>
      </c>
      <c r="O119" s="2525" t="str">
        <f>AS119&amp;" / "&amp;AT119</f>
        <v>0 / 0</v>
      </c>
      <c r="P119" s="2525" t="str">
        <f t="array" ref="P119">W119+Y119+AA119+AC119+AE119+AG119&amp;" / "&amp;IF(K119&lt;&gt;"Mantenido",0,SUM(IF($AL119:$AR119='Tablas Técnicas'!$L$10:$L$643,'Tablas Técnicas'!$H$10:$H$643,0)))</f>
        <v>0 / 0</v>
      </c>
      <c r="Q119" s="4730" t="str">
        <f>IFERROR(VLOOKUP(F119,'Tablas Técnicas'!$O$9:$T$88,5,FALSE),"")</f>
        <v/>
      </c>
      <c r="R119" s="4730"/>
      <c r="S119" s="4730"/>
      <c r="T119" s="4730"/>
      <c r="U119" s="4730"/>
      <c r="V119" s="2047"/>
      <c r="W119" s="2048"/>
      <c r="X119" s="2047"/>
      <c r="Y119" s="2049"/>
      <c r="Z119" s="2050"/>
      <c r="AA119" s="2048"/>
      <c r="AB119" s="2047"/>
      <c r="AC119" s="2049"/>
      <c r="AD119" s="2050"/>
      <c r="AE119" s="2048"/>
      <c r="AF119" s="2047"/>
      <c r="AG119" s="2051"/>
      <c r="AH119" s="2180"/>
      <c r="AI119" s="4604"/>
      <c r="AJ119" s="3128">
        <v>2</v>
      </c>
      <c r="AK119" s="3128">
        <f>P114</f>
        <v>1</v>
      </c>
      <c r="AL119" s="3128" t="str">
        <f>IF(AND(ISNUMBER(MATCH($F119,'Tablas Técnicas'!$L$10:$L$643,0)),INDEX($J131:$J137,Tablas!A$1)="",COUNTIF(AM119:$AS119,$F119)=0),$F119,IF(INDEX($J131:$J137,Tablas!A$1)="","",$F119&amp;INDEX($J131:$J137,Tablas!A$1)))</f>
        <v/>
      </c>
      <c r="AM119" s="3128" t="str">
        <f>IF(AND(ISNUMBER(MATCH($F119,'Tablas Técnicas'!$L$10:$L$643,0)),INDEX($J131:$J137,Tablas!B$1)="",COUNTIF(AN119:$AS119,$F119)=0),$F119,IF(INDEX($J131:$J137,Tablas!B$1)="","",$F119&amp;INDEX($J131:$J137,Tablas!B$1)))</f>
        <v/>
      </c>
      <c r="AN119" s="3128" t="str">
        <f>IF(AND(ISNUMBER(MATCH($F119,'Tablas Técnicas'!$L$10:$L$643,0)),INDEX($J131:$J137,Tablas!C$1)="",COUNTIF(AO119:$AS119,$F119)=0),$F119,IF(INDEX($J131:$J137,Tablas!C$1)="","",$F119&amp;INDEX($J131:$J137,Tablas!C$1)))</f>
        <v/>
      </c>
      <c r="AO119" s="3128" t="str">
        <f>IF(AND(ISNUMBER(MATCH($F119,'Tablas Técnicas'!$L$10:$L$643,0)),INDEX($J131:$J137,Tablas!D$1)="",COUNTIF(AP119:$AS119,$F119)=0),$F119,IF(INDEX($J131:$J137,Tablas!D$1)="","",$F119&amp;INDEX($J131:$J137,Tablas!D$1)))</f>
        <v/>
      </c>
      <c r="AP119" s="3128" t="str">
        <f>IF(AND(ISNUMBER(MATCH($F119,'Tablas Técnicas'!$L$10:$L$643,0)),INDEX($J131:$J137,Tablas!E$1)="",COUNTIF(AQ119:$AS119,$F119)=0),$F119,IF(INDEX($J131:$J137,Tablas!E$1)="","",$F119&amp;INDEX($J131:$J137,Tablas!E$1)))</f>
        <v/>
      </c>
      <c r="AQ119" s="3128" t="str">
        <f>IF(AND(ISNUMBER(MATCH($F119,'Tablas Técnicas'!$L$10:$L$643,0)),INDEX($J131:$J137,Tablas!F$1)="",COUNTIF(AR119:$AS119,$F119)=0),$F119,IF(INDEX($J131:$J137,Tablas!F$1)="","",$F119&amp;INDEX($J131:$J137,Tablas!F$1)))</f>
        <v/>
      </c>
      <c r="AR119" s="3128" t="str">
        <f>IF(AND(ISNUMBER(MATCH($F119,'Tablas Técnicas'!$L$10:$L$643,0)),INDEX($J131:$J137,Tablas!G$1)="",COUNTIF(AS119:$AS119,$F119)=0),$F119,IF(INDEX($J131:$J137,Tablas!G$1)="","",$F119&amp;INDEX($J131:$J137,Tablas!G$1)))</f>
        <v/>
      </c>
      <c r="AS119" s="3132">
        <f>V119+X119+Z119+AB119+AD119+AF119</f>
        <v>0</v>
      </c>
      <c r="AT119" s="3132">
        <f t="array" ref="AT119">SUM(IF($AL119:$AR119='Tablas Técnicas'!$L$10:$L$643,IF(D119="Primario",'Tablas Técnicas'!$E$10:$E$643,'Tablas Técnicas'!$F$10:$F$643)+IF(K119="Sostenimiento menor",'Tablas Técnicas'!$I$10:$I$643,IF(K119="sostenimiento mayor",'Tablas Técnicas'!$J$10:$J$643,0)),0),0)+VALUE(RIGHT(P119,2))+AU119+AV119</f>
        <v>0</v>
      </c>
      <c r="AU119" s="313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32">
        <f>(COUNTIF(AL119:AR119,"*Estado añadido:*")-1)*COUNTIF(AL119:AR119,"*Estado añadido:*")</f>
        <v>0</v>
      </c>
      <c r="AW119" s="3132">
        <f t="array" ref="AW119">SUM(IF($AL119:$AR119='Tablas Técnicas'!$L$10:$L$643,'Tablas Técnicas'!$G$10:$G$643,0))</f>
        <v>0</v>
      </c>
      <c r="AX119" s="312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8" t="str">
        <f>IFERROR(LEFT(AX119,LEN(AX119)-2)&amp;"), ","")</f>
        <v/>
      </c>
    </row>
    <row r="120" spans="1:51" ht="12.2" customHeight="1" x14ac:dyDescent="0.2">
      <c r="A120" s="2172"/>
      <c r="B120" s="2086">
        <f t="shared" si="2"/>
        <v>4</v>
      </c>
      <c r="C120" s="4584"/>
      <c r="D120" s="4675" t="s">
        <v>524</v>
      </c>
      <c r="E120" s="4676"/>
      <c r="F120" s="4605"/>
      <c r="G120" s="4606"/>
      <c r="H120" s="4606"/>
      <c r="I120" s="4606"/>
      <c r="J120" s="4607"/>
      <c r="K120" s="4667" t="s">
        <v>1455</v>
      </c>
      <c r="L120" s="4668"/>
      <c r="M120" s="4669"/>
      <c r="N120" s="2521">
        <f>IF(AW120&gt;0,IF(VLOOKUP(F120,'Tablas Técnicas'!$O$9:$X$88,10,0),MAX(5,AW120-5),AW120),0)</f>
        <v>0</v>
      </c>
      <c r="O120" s="2521" t="str">
        <f>AS120&amp;" / "&amp;AT120</f>
        <v>0 / 0</v>
      </c>
      <c r="P120" s="2521" t="str">
        <f t="array" ref="P120">W120+Y120+AA120+AC120+AE120+AG120&amp;" / "&amp;IF(K120&lt;&gt;"Mantenido",0,SUM(IF($AL120:$AR120='Tablas Técnicas'!$L$10:$L$643,'Tablas Técnicas'!$H$10:$H$643,0)))</f>
        <v>0 / 0</v>
      </c>
      <c r="Q120" s="4726" t="str">
        <f>IFERROR(VLOOKUP(F120,'Tablas Técnicas'!$O$9:$T$88,5,FALSE),"")</f>
        <v/>
      </c>
      <c r="R120" s="4726"/>
      <c r="S120" s="4726"/>
      <c r="T120" s="4726"/>
      <c r="U120" s="4726"/>
      <c r="V120" s="2052"/>
      <c r="W120" s="2053"/>
      <c r="X120" s="2052"/>
      <c r="Y120" s="2054"/>
      <c r="Z120" s="2055"/>
      <c r="AA120" s="2053"/>
      <c r="AB120" s="2052"/>
      <c r="AC120" s="2054"/>
      <c r="AD120" s="2055"/>
      <c r="AE120" s="2053"/>
      <c r="AF120" s="2052"/>
      <c r="AG120" s="2056"/>
      <c r="AH120" s="2180"/>
      <c r="AI120" s="4604"/>
      <c r="AJ120" s="3128">
        <v>3</v>
      </c>
      <c r="AK120" s="3128">
        <f>P114</f>
        <v>1</v>
      </c>
      <c r="AL120" s="3128" t="str">
        <f>IF(AND(ISNUMBER(MATCH($F120,'Tablas Técnicas'!$L$10:$L$643,0)),INDEX($P131:$P137,Tablas!A$1)="",COUNTIF(AM120:$AS120,$F120)=0),$F120,IF(INDEX($P131:$P137,Tablas!A$1)="","",$F120&amp;INDEX($P131:$P137,Tablas!A$1)))</f>
        <v/>
      </c>
      <c r="AM120" s="3128" t="str">
        <f>IF(AND(ISNUMBER(MATCH($F120,'Tablas Técnicas'!$L$10:$L$643,0)),INDEX($P131:$P137,Tablas!B$1)="",COUNTIF(AN120:$AS120,$F120)=0),$F120,IF(INDEX($P131:$P137,Tablas!B$1)="","",$F120&amp;INDEX($P131:$P137,Tablas!B$1)))</f>
        <v/>
      </c>
      <c r="AN120" s="3128" t="str">
        <f>IF(AND(ISNUMBER(MATCH($F120,'Tablas Técnicas'!$L$10:$L$643,0)),INDEX($P131:$P137,Tablas!C$1)="",COUNTIF(AO120:$AS120,$F120)=0),$F120,IF(INDEX($P131:$P137,Tablas!C$1)="","",$F120&amp;INDEX($P131:$P137,Tablas!C$1)))</f>
        <v/>
      </c>
      <c r="AO120" s="3128" t="str">
        <f>IF(AND(ISNUMBER(MATCH($F120,'Tablas Técnicas'!$L$10:$L$643,0)),INDEX($P131:$P137,Tablas!D$1)="",COUNTIF(AP120:$AS120,$F120)=0),$F120,IF(INDEX($P131:$P137,Tablas!D$1)="","",$F120&amp;INDEX($P131:$P137,Tablas!D$1)))</f>
        <v/>
      </c>
      <c r="AP120" s="3128" t="str">
        <f>IF(AND(ISNUMBER(MATCH($F120,'Tablas Técnicas'!$L$10:$L$643,0)),INDEX($P131:$P137,Tablas!E$1)="",COUNTIF(AQ120:$AS120,$F120)=0),$F120,IF(INDEX($P131:$P137,Tablas!E$1)="","",$F120&amp;INDEX($P131:$P137,Tablas!E$1)))</f>
        <v/>
      </c>
      <c r="AQ120" s="3128" t="str">
        <f>IF(AND(ISNUMBER(MATCH($F120,'Tablas Técnicas'!$L$10:$L$643,0)),INDEX($P131:$P137,Tablas!F$1)="",COUNTIF(AR120:$AS120,$F120)=0),$F120,IF(INDEX($P131:$P137,Tablas!F$1)="","",$F120&amp;INDEX($P131:$P137,Tablas!F$1)))</f>
        <v/>
      </c>
      <c r="AR120" s="3128" t="str">
        <f>IF(AND(ISNUMBER(MATCH($F120,'Tablas Técnicas'!$L$10:$L$643,0)),INDEX($P131:$P137,Tablas!G$1)="",COUNTIF(AS120:$AS120,$F120)=0),$F120,IF(INDEX($P131:$P137,Tablas!G$1)="","",$F120&amp;INDEX($P131:$P137,Tablas!G$1)))</f>
        <v/>
      </c>
      <c r="AS120" s="3132">
        <f>V120+X120+Z120+AB120+AD120+AF120</f>
        <v>0</v>
      </c>
      <c r="AT120" s="3132">
        <f t="array" ref="AT120">SUM(IF($AL120:$AR120='Tablas Técnicas'!$L$10:$L$643,IF(D120="Primario",'Tablas Técnicas'!$E$10:$E$643,'Tablas Técnicas'!$F$10:$F$643)+IF(K120="Sostenimiento menor",'Tablas Técnicas'!$I$10:$I$643,IF(K120="sostenimiento mayor",'Tablas Técnicas'!$J$10:$J$643,0)),0),0)+VALUE(RIGHT(P120,2))+AU120+AV120</f>
        <v>0</v>
      </c>
      <c r="AU120" s="313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32">
        <f>(COUNTIF(AL120:AR120,"*Estado añadido:*")-1)*COUNTIF(AL120:AR120,"*Estado añadido:*")</f>
        <v>0</v>
      </c>
      <c r="AW120" s="3132">
        <f t="array" ref="AW120">SUM(IF($AL120:$AR120='Tablas Técnicas'!$L$10:$L$643,'Tablas Técnicas'!$G$10:$G$643,0))</f>
        <v>0</v>
      </c>
      <c r="AX120" s="312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8" t="str">
        <f>IFERROR(LEFT(AX120,LEN(AX120)-2)&amp;"), ","")</f>
        <v/>
      </c>
    </row>
    <row r="121" spans="1:51" ht="12.2" customHeight="1" x14ac:dyDescent="0.2">
      <c r="A121" s="2172"/>
      <c r="B121" s="2086">
        <f t="shared" si="2"/>
        <v>4</v>
      </c>
      <c r="C121" s="4584"/>
      <c r="D121" s="4629" t="s">
        <v>524</v>
      </c>
      <c r="E121" s="4630"/>
      <c r="F121" s="4661"/>
      <c r="G121" s="4662"/>
      <c r="H121" s="4662"/>
      <c r="I121" s="4662"/>
      <c r="J121" s="4663"/>
      <c r="K121" s="4664" t="s">
        <v>1455</v>
      </c>
      <c r="L121" s="4665"/>
      <c r="M121" s="4666"/>
      <c r="N121" s="2525">
        <f>IF(AW121&gt;0,IF(VLOOKUP(F121,'Tablas Técnicas'!$O$9:$X$88,10,0),MAX(5,AW121-5),AW121),0)</f>
        <v>0</v>
      </c>
      <c r="O121" s="2525" t="str">
        <f>AS121&amp;" / "&amp;AT121</f>
        <v>0 / 0</v>
      </c>
      <c r="P121" s="2525" t="str">
        <f t="array" ref="P121">W121+Y121+AA121+AC121+AE121+AG121&amp;" / "&amp;IF(K121&lt;&gt;"Mantenido",0,SUM(IF($AL121:$AR121='Tablas Técnicas'!$L$10:$L$643,'Tablas Técnicas'!$H$10:$H$643,0)))</f>
        <v>0 / 0</v>
      </c>
      <c r="Q121" s="4730" t="str">
        <f>IFERROR(VLOOKUP(F121,'Tablas Técnicas'!$O$9:$T$88,5,FALSE),"")</f>
        <v/>
      </c>
      <c r="R121" s="4730"/>
      <c r="S121" s="4730"/>
      <c r="T121" s="4730"/>
      <c r="U121" s="4730"/>
      <c r="V121" s="2047"/>
      <c r="W121" s="2048"/>
      <c r="X121" s="2047"/>
      <c r="Y121" s="2049"/>
      <c r="Z121" s="2050"/>
      <c r="AA121" s="2048"/>
      <c r="AB121" s="2047"/>
      <c r="AC121" s="2049"/>
      <c r="AD121" s="2050"/>
      <c r="AE121" s="2048"/>
      <c r="AF121" s="2047"/>
      <c r="AG121" s="2051"/>
      <c r="AH121" s="2180"/>
      <c r="AI121" s="4604"/>
      <c r="AJ121" s="3128">
        <v>4</v>
      </c>
      <c r="AK121" s="3128">
        <f>P114</f>
        <v>1</v>
      </c>
      <c r="AL121" s="3128" t="str">
        <f>IF(AND(ISNUMBER(MATCH($F121,'Tablas Técnicas'!$L$10:$L$643,0)),INDEX($V131:$V137,Tablas!A$1)="",COUNTIF(AM121:$AS121,$F121)=0),$F121,IF(INDEX($V131:$V137,Tablas!A$1)="","",$F121&amp;INDEX($V131:$V137,Tablas!A$1)))</f>
        <v/>
      </c>
      <c r="AM121" s="3128" t="str">
        <f>IF(AND(ISNUMBER(MATCH($F121,'Tablas Técnicas'!$L$10:$L$643,0)),INDEX($V131:$V137,Tablas!B$1)="",COUNTIF(AN121:$AS121,$F121)=0),$F121,IF(INDEX($V131:$V137,Tablas!B$1)="","",$F121&amp;INDEX($V131:$V137,Tablas!B$1)))</f>
        <v/>
      </c>
      <c r="AN121" s="3128" t="str">
        <f>IF(AND(ISNUMBER(MATCH($F121,'Tablas Técnicas'!$L$10:$L$643,0)),INDEX($V131:$V137,Tablas!C$1)="",COUNTIF(AO121:$AS121,$F121)=0),$F121,IF(INDEX($V131:$V137,Tablas!C$1)="","",$F121&amp;INDEX($V131:$V137,Tablas!C$1)))</f>
        <v/>
      </c>
      <c r="AO121" s="3128" t="str">
        <f>IF(AND(ISNUMBER(MATCH($F121,'Tablas Técnicas'!$L$10:$L$643,0)),INDEX($V131:$V137,Tablas!D$1)="",COUNTIF(AP121:$AS121,$F121)=0),$F121,IF(INDEX($V131:$V137,Tablas!D$1)="","",$F121&amp;INDEX($V131:$V137,Tablas!D$1)))</f>
        <v/>
      </c>
      <c r="AP121" s="3128" t="str">
        <f>IF(AND(ISNUMBER(MATCH($F121,'Tablas Técnicas'!$L$10:$L$643,0)),INDEX($V131:$V137,Tablas!E$1)="",COUNTIF(AQ121:$AS121,$F121)=0),$F121,IF(INDEX($V131:$V137,Tablas!E$1)="","",$F121&amp;INDEX($V131:$V137,Tablas!E$1)))</f>
        <v/>
      </c>
      <c r="AQ121" s="3128" t="str">
        <f>IF(AND(ISNUMBER(MATCH($F121,'Tablas Técnicas'!$L$10:$L$643,0)),INDEX($V131:$V137,Tablas!F$1)="",COUNTIF(AR121:$AS121,$F121)=0),$F121,IF(INDEX($V131:$V137,Tablas!F$1)="","",$F121&amp;INDEX($V131:$V137,Tablas!F$1)))</f>
        <v/>
      </c>
      <c r="AR121" s="3128" t="str">
        <f>IF(AND(ISNUMBER(MATCH($F121,'Tablas Técnicas'!$L$10:$L$643,0)),INDEX($V131:$V137,Tablas!G$1)="",COUNTIF(AS121:$AS121,$F121)=0),$F121,IF(INDEX($V131:$V137,Tablas!G$1)="","",$F121&amp;INDEX($V131:$V137,Tablas!G$1)))</f>
        <v/>
      </c>
      <c r="AS121" s="3132">
        <f>V121+X121+Z121+AB121+AD121+AF121</f>
        <v>0</v>
      </c>
      <c r="AT121" s="3132">
        <f t="array" ref="AT121">SUM(IF($AL121:$AR121='Tablas Técnicas'!$L$10:$L$643,IF(D121="Primario",'Tablas Técnicas'!$E$10:$E$643,'Tablas Técnicas'!$F$10:$F$643)+IF(K121="Sostenimiento menor",'Tablas Técnicas'!$I$10:$I$643,IF(K121="sostenimiento mayor",'Tablas Técnicas'!$J$10:$J$643,0)),0),0)+VALUE(RIGHT(P121,2))+AU121+AV121</f>
        <v>0</v>
      </c>
      <c r="AU121" s="313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32">
        <f>(COUNTIF(AL121:AR121,"*Estado añadido:*")-1)*COUNTIF(AL121:AR121,"*Estado añadido:*")</f>
        <v>0</v>
      </c>
      <c r="AW121" s="3132">
        <f t="array" ref="AW121">SUM(IF($AL121:$AR121='Tablas Técnicas'!$L$10:$L$643,'Tablas Técnicas'!$G$10:$G$643,0))</f>
        <v>0</v>
      </c>
      <c r="AX121" s="312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8" t="str">
        <f>IFERROR(LEFT(AX121,LEN(AX121)-2)&amp;"), ","")</f>
        <v/>
      </c>
    </row>
    <row r="122" spans="1:51" ht="12.2" customHeight="1" thickBot="1" x14ac:dyDescent="0.25">
      <c r="A122" s="2172"/>
      <c r="B122" s="2086">
        <f t="shared" si="2"/>
        <v>4</v>
      </c>
      <c r="C122" s="4584"/>
      <c r="D122" s="4632" t="s">
        <v>524</v>
      </c>
      <c r="E122" s="4633"/>
      <c r="F122" s="4589"/>
      <c r="G122" s="4590"/>
      <c r="H122" s="4590"/>
      <c r="I122" s="4590"/>
      <c r="J122" s="4591"/>
      <c r="K122" s="4592" t="s">
        <v>1455</v>
      </c>
      <c r="L122" s="4593"/>
      <c r="M122" s="4594"/>
      <c r="N122" s="2526">
        <f>IF(AW122&gt;0,IF(VLOOKUP(F122,'Tablas Técnicas'!$O$9:$X$88,10,0),MAX(5,AW122-5),AW122),0)</f>
        <v>0</v>
      </c>
      <c r="O122" s="2526" t="str">
        <f>AS122&amp;" / "&amp;AT122</f>
        <v>0 / 0</v>
      </c>
      <c r="P122" s="2526" t="str">
        <f t="array" ref="P122">W122+Y122+AA122+AC122+AE122+AG122&amp;" / "&amp;IF(K122&lt;&gt;"Mantenido",0,SUM(IF($AL122:$AR122='Tablas Técnicas'!$L$10:$L$643,'Tablas Técnicas'!$H$10:$H$643,0)))</f>
        <v>0 / 0</v>
      </c>
      <c r="Q122" s="4727" t="str">
        <f>IFERROR(VLOOKUP(F122,'Tablas Técnicas'!$O$9:$T$88,5,FALSE),"")</f>
        <v/>
      </c>
      <c r="R122" s="4727"/>
      <c r="S122" s="4727"/>
      <c r="T122" s="4727"/>
      <c r="U122" s="4727"/>
      <c r="V122" s="2057"/>
      <c r="W122" s="2058"/>
      <c r="X122" s="2057"/>
      <c r="Y122" s="2059"/>
      <c r="Z122" s="2060"/>
      <c r="AA122" s="2058"/>
      <c r="AB122" s="2057"/>
      <c r="AC122" s="2059"/>
      <c r="AD122" s="2060"/>
      <c r="AE122" s="2058"/>
      <c r="AF122" s="2057"/>
      <c r="AG122" s="2061"/>
      <c r="AH122" s="2180"/>
      <c r="AI122" s="4604"/>
      <c r="AJ122" s="3128">
        <v>5</v>
      </c>
      <c r="AK122" s="3128">
        <f>P114</f>
        <v>1</v>
      </c>
      <c r="AL122" s="3128" t="str">
        <f>IF(AND(ISNUMBER(MATCH($F122,'Tablas Técnicas'!$L$10:$L$643,0)),INDEX($AB131:$AB137,Tablas!A$1)="",COUNTIF(AM122:$AS122,$F122)=0),$F122,IF(INDEX($AB131:$AB137,Tablas!A$1)="","",$F122&amp;INDEX($AB131:$AB137,Tablas!A$1)))</f>
        <v/>
      </c>
      <c r="AM122" s="3128" t="str">
        <f>IF(AND(ISNUMBER(MATCH($F122,'Tablas Técnicas'!$L$10:$L$643,0)),INDEX($AB131:$AB137,Tablas!B$1)="",COUNTIF(AN122:$AS122,$F122)=0),$F122,IF(INDEX($AB131:$AB137,Tablas!B$1)="","",$F122&amp;INDEX($AB131:$AB137,Tablas!B$1)))</f>
        <v/>
      </c>
      <c r="AN122" s="3128" t="str">
        <f>IF(AND(ISNUMBER(MATCH($F122,'Tablas Técnicas'!$L$10:$L$643,0)),INDEX($AB131:$AB137,Tablas!C$1)="",COUNTIF(AO122:$AS122,$F122)=0),$F122,IF(INDEX($AB131:$AB137,Tablas!C$1)="","",$F122&amp;INDEX($AB131:$AB137,Tablas!C$1)))</f>
        <v/>
      </c>
      <c r="AO122" s="3128" t="str">
        <f>IF(AND(ISNUMBER(MATCH($F122,'Tablas Técnicas'!$L$10:$L$643,0)),INDEX($AB131:$AB137,Tablas!D$1)="",COUNTIF(AP122:$AS122,$F122)=0),$F122,IF(INDEX($AB131:$AB137,Tablas!D$1)="","",$F122&amp;INDEX($AB131:$AB137,Tablas!D$1)))</f>
        <v/>
      </c>
      <c r="AP122" s="3128" t="str">
        <f>IF(AND(ISNUMBER(MATCH($F122,'Tablas Técnicas'!$L$10:$L$643,0)),INDEX($AB131:$AB137,Tablas!E$1)="",COUNTIF(AQ122:$AS122,$F122)=0),$F122,IF(INDEX($AB131:$AB137,Tablas!E$1)="","",$F122&amp;INDEX($AB131:$AB137,Tablas!E$1)))</f>
        <v/>
      </c>
      <c r="AQ122" s="3128" t="str">
        <f>IF(AND(ISNUMBER(MATCH($F122,'Tablas Técnicas'!$L$10:$L$643,0)),INDEX($AB131:$AB137,Tablas!F$1)="",COUNTIF(AR122:$AS122,$F122)=0),$F122,IF(INDEX($AB131:$AB137,Tablas!F$1)="","",$F122&amp;INDEX($AB131:$AB137,Tablas!F$1)))</f>
        <v/>
      </c>
      <c r="AR122" s="3128" t="str">
        <f>IF(AND(ISNUMBER(MATCH($F122,'Tablas Técnicas'!$L$10:$L$643,0)),INDEX($AB131:$AB137,Tablas!G$1)="",COUNTIF(AS122:$AS122,$F122)=0),$F122,IF(INDEX($AB131:$AB137,Tablas!G$1)="","",$F122&amp;INDEX($AB131:$AB137,Tablas!G$1)))</f>
        <v/>
      </c>
      <c r="AS122" s="3132">
        <f>V122+X122+Z122+AB122+AD122+AF122</f>
        <v>0</v>
      </c>
      <c r="AT122" s="3132">
        <f t="array" ref="AT122">SUM(IF($AL122:$AR122='Tablas Técnicas'!$L$10:$L$643,IF(D122="Primario",'Tablas Técnicas'!$E$10:$E$643,'Tablas Técnicas'!$F$10:$F$643)+IF(K122="Sostenimiento menor",'Tablas Técnicas'!$I$10:$I$643,IF(K122="sostenimiento mayor",'Tablas Técnicas'!$J$10:$J$643,0)),0),0)+VALUE(RIGHT(P122,2))+AU122+AV122</f>
        <v>0</v>
      </c>
      <c r="AU122" s="313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32">
        <f>(COUNTIF(AL122:AR122,"*Estado añadido:*")-1)*COUNTIF(AL122:AR122,"*Estado añadido:*")</f>
        <v>0</v>
      </c>
      <c r="AW122" s="3132">
        <f t="array" ref="AW122">SUM(IF($AL122:$AR122='Tablas Técnicas'!$L$10:$L$643,'Tablas Técnicas'!$G$10:$G$643,0))</f>
        <v>0</v>
      </c>
      <c r="AX122" s="312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8" t="str">
        <f>IFERROR(LEFT(AX122,LEN(AX122)-2)&amp;"), ","")</f>
        <v/>
      </c>
    </row>
    <row r="123" spans="1:51" ht="12.2" customHeight="1" x14ac:dyDescent="0.2">
      <c r="A123" s="2172"/>
      <c r="B123" s="2086">
        <f t="shared" si="2"/>
        <v>4</v>
      </c>
      <c r="C123" s="4584"/>
      <c r="D123" s="4635" t="s">
        <v>2818</v>
      </c>
      <c r="E123" s="4636"/>
      <c r="F123" s="4656"/>
      <c r="G123" s="4657"/>
      <c r="H123" s="4657"/>
      <c r="I123" s="4657"/>
      <c r="J123" s="4658"/>
      <c r="K123" s="4674"/>
      <c r="L123" s="4703"/>
      <c r="M123" s="4704"/>
      <c r="N123" s="1916" t="str">
        <f>IFERROR(INDEX('Tablas Técnicas'!$Q$200:$Q$301,MATCH(F123&amp;K123,'Tablas Técnicas'!$S$200:$S$301,0)),"")</f>
        <v/>
      </c>
      <c r="O123" s="4705"/>
      <c r="P123" s="4706"/>
      <c r="Q123" s="4707"/>
      <c r="R123" s="4706"/>
      <c r="S123" s="2745" t="str">
        <f>IFERROR("Nivel: "&amp;MAX(1,INDEX('Tablas Técnicas'!$R$200:$R$301,MATCH(F123&amp;K123,'Tablas Técnicas'!$S$200:$S$301,0))),"")</f>
        <v/>
      </c>
      <c r="T123" s="1917"/>
      <c r="U123" s="1918" t="str">
        <f>IFERROR("("&amp;VLOOKUP(F123,'Tablas Técnicas'!$O$165:$Q$192,3,FALSE)&amp;")","")</f>
        <v/>
      </c>
      <c r="V123" s="4644" t="s">
        <v>9619</v>
      </c>
      <c r="W123" s="4645"/>
      <c r="X123" s="4646"/>
      <c r="Y123" s="2527">
        <v>0</v>
      </c>
      <c r="Z123" s="4740" t="s">
        <v>8806</v>
      </c>
      <c r="AA123" s="4648"/>
      <c r="AB123" s="4649"/>
      <c r="AC123" s="2527">
        <v>0</v>
      </c>
      <c r="AD123" s="4741" t="str">
        <f>"Ki sin repartir: "&amp;AL131-AL132&amp;IF(AM131=0,""," ("&amp;AM131-AM132&amp;")")</f>
        <v>Ki sin repartir: 0</v>
      </c>
      <c r="AE123" s="4651"/>
      <c r="AF123" s="4651"/>
      <c r="AG123" s="4652"/>
      <c r="AH123" s="2180"/>
      <c r="AI123" s="4604"/>
      <c r="AJ123" s="3128">
        <v>1</v>
      </c>
      <c r="AK123" s="3128">
        <f>P114</f>
        <v>1</v>
      </c>
      <c r="AL123" s="3128" t="e">
        <f>VLOOKUP(F123,'Tablas Técnicas'!$O$165:$Q$188,2,FALSE)</f>
        <v>#N/A</v>
      </c>
      <c r="AM123" s="3128"/>
      <c r="AN123" s="3129"/>
      <c r="AO123" s="3128"/>
      <c r="AP123" s="3128"/>
      <c r="AQ123" s="3129"/>
      <c r="AR123" s="3128"/>
      <c r="AS123" s="3128"/>
      <c r="AT123" s="3128"/>
      <c r="AU123" s="3128"/>
      <c r="AV123" s="3128"/>
      <c r="AW123" s="3132"/>
      <c r="AX123" s="3132"/>
      <c r="AY123" s="3128" t="str">
        <f>IF(F123="","",F123&amp;IF(K123="",""," ("&amp;IF(F123="Atadura Elemental",O123&amp;IF(Q123="","",", "&amp;Q123),K123)&amp;")")&amp;", ")</f>
        <v/>
      </c>
    </row>
    <row r="124" spans="1:51" ht="12.2" customHeight="1" x14ac:dyDescent="0.2">
      <c r="A124" s="2172"/>
      <c r="B124" s="2086">
        <f t="shared" si="2"/>
        <v>4</v>
      </c>
      <c r="C124" s="4584"/>
      <c r="D124" s="4637"/>
      <c r="E124" s="4638"/>
      <c r="F124" s="4708"/>
      <c r="G124" s="4709"/>
      <c r="H124" s="4709"/>
      <c r="I124" s="4709"/>
      <c r="J124" s="4710"/>
      <c r="K124" s="4663"/>
      <c r="L124" s="4723"/>
      <c r="M124" s="4724"/>
      <c r="N124" s="1919" t="str">
        <f>IFERROR(INDEX('Tablas Técnicas'!$Q$200:$Q$301,MATCH(F124&amp;K124,'Tablas Técnicas'!$S$200:$S$301,0)),"")</f>
        <v/>
      </c>
      <c r="O124" s="4711"/>
      <c r="P124" s="4712"/>
      <c r="Q124" s="4713"/>
      <c r="R124" s="4712"/>
      <c r="S124" s="2747" t="str">
        <f>IFERROR("Nivel: "&amp;MAX(1,INDEX('Tablas Técnicas'!$R$200:$R$301,MATCH(F124&amp;K124,'Tablas Técnicas'!$S$200:$S$301,0))),"")</f>
        <v/>
      </c>
      <c r="T124" s="2528"/>
      <c r="U124" s="2529" t="str">
        <f>IFERROR("("&amp;VLOOKUP(F124,'Tablas Técnicas'!$O$165:$Q$192,3,FALSE)&amp;")","")</f>
        <v/>
      </c>
      <c r="V124" s="4653" t="str">
        <f>"Mod. "&amp;V116</f>
        <v>Mod. AGI</v>
      </c>
      <c r="W124" s="4654"/>
      <c r="X124" s="4653" t="str">
        <f>"Mod. "&amp;X116</f>
        <v>Mod. CON</v>
      </c>
      <c r="Y124" s="4654"/>
      <c r="Z124" s="4653" t="str">
        <f>"Mod. "&amp;Z116</f>
        <v>Mod. DES</v>
      </c>
      <c r="AA124" s="4654"/>
      <c r="AB124" s="4653" t="str">
        <f>"Mod. "&amp;AB116</f>
        <v>Mod. FUE</v>
      </c>
      <c r="AC124" s="4654"/>
      <c r="AD124" s="4653" t="str">
        <f>"Mod. "&amp;AD116</f>
        <v>Mod. POD</v>
      </c>
      <c r="AE124" s="4654"/>
      <c r="AF124" s="4653" t="str">
        <f>"Mod. "&amp;AF116</f>
        <v>Mod. VOL</v>
      </c>
      <c r="AG124" s="4655"/>
      <c r="AH124" s="2180"/>
      <c r="AI124" s="4604"/>
      <c r="AJ124" s="3128">
        <v>2</v>
      </c>
      <c r="AK124" s="3128">
        <f>P114</f>
        <v>1</v>
      </c>
      <c r="AL124" s="3128" t="e">
        <f>VLOOKUP(F124,'Tablas Técnicas'!$O$165:$Q$188,2,FALSE)</f>
        <v>#N/A</v>
      </c>
      <c r="AM124" s="3128"/>
      <c r="AN124" s="3129"/>
      <c r="AO124" s="3128"/>
      <c r="AP124" s="3128"/>
      <c r="AQ124" s="3129"/>
      <c r="AR124" s="3128"/>
      <c r="AS124" s="3128"/>
      <c r="AT124" s="3128"/>
      <c r="AU124" s="3128"/>
      <c r="AV124" s="3128"/>
      <c r="AW124" s="3132"/>
      <c r="AX124" s="3132"/>
      <c r="AY124" s="3128" t="str">
        <f>IF(F124="","",F124&amp;IF(K124="",""," ("&amp;IF(F124="Atadura Elemental",O124&amp;IF(Q124="","",", "&amp;Q124),K124)&amp;")")&amp;", ")</f>
        <v/>
      </c>
    </row>
    <row r="125" spans="1:51" ht="12.2" customHeight="1" thickBot="1" x14ac:dyDescent="0.25">
      <c r="A125" s="2172"/>
      <c r="B125" s="2086">
        <f t="shared" si="2"/>
        <v>4</v>
      </c>
      <c r="C125" s="4584"/>
      <c r="D125" s="4728"/>
      <c r="E125" s="4729"/>
      <c r="F125" s="4714"/>
      <c r="G125" s="4715"/>
      <c r="H125" s="4715"/>
      <c r="I125" s="4715"/>
      <c r="J125" s="4716"/>
      <c r="K125" s="4718"/>
      <c r="L125" s="4719"/>
      <c r="M125" s="4720"/>
      <c r="N125" s="1920" t="str">
        <f>IFERROR(INDEX('Tablas Técnicas'!$Q$200:$Q$301,MATCH(F125&amp;K125,'Tablas Técnicas'!$S$200:$S$301,0)),"")</f>
        <v/>
      </c>
      <c r="O125" s="4701"/>
      <c r="P125" s="4702"/>
      <c r="Q125" s="4717"/>
      <c r="R125" s="4702"/>
      <c r="S125" s="2746" t="str">
        <f>IFERROR("Nivel: "&amp;MAX(1,INDEX('Tablas Técnicas'!$R$200:$R$301,MATCH(F125&amp;K125,'Tablas Técnicas'!$S$200:$S$301,0))),"")</f>
        <v/>
      </c>
      <c r="T125" s="2530"/>
      <c r="U125" s="2531" t="str">
        <f>IFERROR("("&amp;VLOOKUP(F125,'Tablas Técnicas'!$O$165:$Q$192,3,FALSE)&amp;")","")</f>
        <v/>
      </c>
      <c r="V125" s="4610"/>
      <c r="W125" s="4608"/>
      <c r="X125" s="4608"/>
      <c r="Y125" s="4608"/>
      <c r="Z125" s="4608"/>
      <c r="AA125" s="4608"/>
      <c r="AB125" s="4608"/>
      <c r="AC125" s="4608"/>
      <c r="AD125" s="4608"/>
      <c r="AE125" s="4608"/>
      <c r="AF125" s="4608"/>
      <c r="AG125" s="4620"/>
      <c r="AH125" s="2180"/>
      <c r="AI125" s="4604"/>
      <c r="AJ125" s="3128">
        <v>3</v>
      </c>
      <c r="AK125" s="3128">
        <f>P114</f>
        <v>1</v>
      </c>
      <c r="AL125" s="3128" t="e">
        <f>VLOOKUP(F125,'Tablas Técnicas'!$O$165:$Q$188,2,FALSE)</f>
        <v>#N/A</v>
      </c>
      <c r="AM125" s="3128"/>
      <c r="AN125" s="3129"/>
      <c r="AO125" s="3128"/>
      <c r="AP125" s="3128"/>
      <c r="AQ125" s="3129"/>
      <c r="AR125" s="3132"/>
      <c r="AS125" s="3132"/>
      <c r="AT125" s="3132"/>
      <c r="AU125" s="3132"/>
      <c r="AV125" s="3132"/>
      <c r="AW125" s="3132"/>
      <c r="AX125" s="3132"/>
      <c r="AY125" s="3128" t="str">
        <f>IF(F125="","",F125&amp;IF(K125="",""," ("&amp;IF(F125="Atadura Elemental",O125&amp;IF(Q125="","",", "&amp;Q125),K125)&amp;")")&amp;", ")</f>
        <v/>
      </c>
    </row>
    <row r="126" spans="1:51" ht="12.2" customHeight="1" x14ac:dyDescent="0.2">
      <c r="A126" s="2172"/>
      <c r="B126" s="2086">
        <f t="shared" si="2"/>
        <v>4</v>
      </c>
      <c r="C126" s="4584"/>
      <c r="D126" s="4595" t="s">
        <v>9301</v>
      </c>
      <c r="E126" s="4596"/>
      <c r="F126" s="4596"/>
      <c r="G126" s="4596"/>
      <c r="H126" s="4596"/>
      <c r="I126" s="4596"/>
      <c r="J126" s="4596"/>
      <c r="K126" s="4596"/>
      <c r="L126" s="4596"/>
      <c r="M126" s="4596"/>
      <c r="N126" s="4596"/>
      <c r="O126" s="4596"/>
      <c r="P126" s="4596"/>
      <c r="Q126" s="4596"/>
      <c r="R126" s="4596"/>
      <c r="S126" s="4596"/>
      <c r="T126" s="4596"/>
      <c r="U126" s="4596"/>
      <c r="V126" s="4725"/>
      <c r="W126" s="4725"/>
      <c r="X126" s="4725"/>
      <c r="Y126" s="4725"/>
      <c r="Z126" s="4725"/>
      <c r="AA126" s="4725"/>
      <c r="AB126" s="4725"/>
      <c r="AC126" s="4725"/>
      <c r="AD126" s="4725"/>
      <c r="AE126" s="4725"/>
      <c r="AF126" s="4725"/>
      <c r="AG126" s="4598"/>
      <c r="AH126" s="2180"/>
      <c r="AI126" s="4604"/>
      <c r="AJ126" s="3128"/>
      <c r="AK126" s="3128"/>
      <c r="AL126" s="3128"/>
      <c r="AM126" s="3128"/>
      <c r="AN126" s="3129" t="s">
        <v>8807</v>
      </c>
      <c r="AO126" s="3128" t="e">
        <f>LEFT(AY118&amp;AY119&amp;AY120&amp;AY121&amp;AY122,LEN(AY118&amp;AY119&amp;AY120&amp;AY121&amp;AY122)-2)</f>
        <v>#VALUE!</v>
      </c>
      <c r="AP126" s="3128"/>
      <c r="AQ126" s="3129"/>
      <c r="AR126" s="3132"/>
      <c r="AS126" s="3132"/>
      <c r="AT126" s="3132"/>
      <c r="AU126" s="3129"/>
      <c r="AV126" s="3129"/>
      <c r="AW126" s="3132"/>
      <c r="AX126" s="3132"/>
      <c r="AY126" s="3128"/>
    </row>
    <row r="127" spans="1:51" ht="12.2" customHeight="1" x14ac:dyDescent="0.2">
      <c r="A127" s="2172"/>
      <c r="B127" s="2086">
        <f t="shared" si="2"/>
        <v>4</v>
      </c>
      <c r="C127" s="4584"/>
      <c r="D127" s="4599" t="str">
        <f>IF(F118="","",F118)</f>
        <v/>
      </c>
      <c r="E127" s="4600"/>
      <c r="F127" s="4600"/>
      <c r="G127" s="4600"/>
      <c r="H127" s="4600"/>
      <c r="I127" s="4601"/>
      <c r="J127" s="4599" t="str">
        <f>IF(F119="","",F119)</f>
        <v/>
      </c>
      <c r="K127" s="4600"/>
      <c r="L127" s="4600"/>
      <c r="M127" s="4600"/>
      <c r="N127" s="4600"/>
      <c r="O127" s="4601"/>
      <c r="P127" s="4600" t="str">
        <f>IF(F120="","",F120)</f>
        <v/>
      </c>
      <c r="Q127" s="4600"/>
      <c r="R127" s="4600"/>
      <c r="S127" s="4600"/>
      <c r="T127" s="4600"/>
      <c r="U127" s="4601"/>
      <c r="V127" s="4599" t="str">
        <f>IF(F121="","",F121)</f>
        <v/>
      </c>
      <c r="W127" s="4600"/>
      <c r="X127" s="4600"/>
      <c r="Y127" s="4600"/>
      <c r="Z127" s="4600"/>
      <c r="AA127" s="4601"/>
      <c r="AB127" s="4600" t="str">
        <f>IF(F122="","",F122)</f>
        <v/>
      </c>
      <c r="AC127" s="4600"/>
      <c r="AD127" s="4600"/>
      <c r="AE127" s="4600"/>
      <c r="AF127" s="4600"/>
      <c r="AG127" s="4623"/>
      <c r="AH127" s="2180"/>
      <c r="AI127" s="4604"/>
      <c r="AJ127" s="3128"/>
      <c r="AK127" s="3128"/>
      <c r="AL127" s="3128"/>
      <c r="AM127" s="3128"/>
      <c r="AN127" s="3129" t="s">
        <v>8808</v>
      </c>
      <c r="AO127" s="3128" t="e">
        <f>LEFT(AY123&amp;AY124&amp;AY125,LEN(AY123&amp;AY124&amp;AY125)-2)</f>
        <v>#VALUE!</v>
      </c>
      <c r="AP127" s="3128"/>
      <c r="AQ127" s="3129"/>
      <c r="AR127" s="3132"/>
      <c r="AS127" s="3132"/>
      <c r="AT127" s="3132"/>
      <c r="AU127" s="3129"/>
      <c r="AV127" s="3129"/>
      <c r="AW127" s="3132"/>
      <c r="AX127" s="3132"/>
      <c r="AY127" s="3128"/>
    </row>
    <row r="128" spans="1:51" ht="12.2" customHeight="1" x14ac:dyDescent="0.2">
      <c r="A128" s="2172"/>
      <c r="B128" s="2086">
        <f t="shared" si="2"/>
        <v>4</v>
      </c>
      <c r="C128" s="4584"/>
      <c r="D128" s="2031" t="s">
        <v>1835</v>
      </c>
      <c r="E128" s="2521" t="str">
        <f>IFERROR(VLOOKUP(D127,'Tablas Técnicas'!$O$9:$T$88,3,FALSE),"")</f>
        <v/>
      </c>
      <c r="F128" s="2532"/>
      <c r="G128" s="2533"/>
      <c r="H128" s="2533" t="s">
        <v>1363</v>
      </c>
      <c r="I128" s="2521" t="str">
        <f>IFERROR(VLOOKUP(D127,'Tablas Técnicas'!$O$9:$T$88,4,FALSE),"")</f>
        <v/>
      </c>
      <c r="J128" s="2031" t="s">
        <v>1835</v>
      </c>
      <c r="K128" s="2521" t="str">
        <f>IFERROR(VLOOKUP(J127,'Tablas Técnicas'!$O$9:$T$88,3,FALSE),"")</f>
        <v/>
      </c>
      <c r="L128" s="2532"/>
      <c r="M128" s="2533"/>
      <c r="N128" s="2533" t="s">
        <v>1363</v>
      </c>
      <c r="O128" s="1921" t="str">
        <f>IFERROR(VLOOKUP(J127,'Tablas Técnicas'!$O$9:$T$88,4,FALSE),"")</f>
        <v/>
      </c>
      <c r="P128" s="2533" t="s">
        <v>1835</v>
      </c>
      <c r="Q128" s="2521" t="str">
        <f>IFERROR(VLOOKUP(P127,'Tablas Técnicas'!$O$9:$T$88,3,FALSE),"")</f>
        <v/>
      </c>
      <c r="R128" s="2532"/>
      <c r="S128" s="2533"/>
      <c r="T128" s="2533" t="s">
        <v>1363</v>
      </c>
      <c r="U128" s="2521" t="str">
        <f>IFERROR(VLOOKUP(P127,'Tablas Técnicas'!$O$9:$T$88,4,FALSE),"")</f>
        <v/>
      </c>
      <c r="V128" s="2031" t="s">
        <v>1835</v>
      </c>
      <c r="W128" s="2521" t="str">
        <f>IFERROR(VLOOKUP(V127,'Tablas Técnicas'!$O$9:$T$88,3,FALSE),"")</f>
        <v/>
      </c>
      <c r="X128" s="2532"/>
      <c r="Y128" s="2533"/>
      <c r="Z128" s="2533" t="s">
        <v>1363</v>
      </c>
      <c r="AA128" s="1921" t="str">
        <f>IFERROR(VLOOKUP(V127,'Tablas Técnicas'!$O$9:$T$88,4,FALSE),"")</f>
        <v/>
      </c>
      <c r="AB128" s="2533" t="s">
        <v>1835</v>
      </c>
      <c r="AC128" s="2521" t="str">
        <f>IFERROR(VLOOKUP(AB127,'Tablas Técnicas'!$O$9:$T$88,3,FALSE),"")</f>
        <v/>
      </c>
      <c r="AD128" s="2532"/>
      <c r="AE128" s="2533"/>
      <c r="AF128" s="2533" t="s">
        <v>1363</v>
      </c>
      <c r="AG128" s="1922" t="str">
        <f>IFERROR(VLOOKUP(AB127,'Tablas Técnicas'!$O$9:$T$88,4,FALSE),"")</f>
        <v/>
      </c>
      <c r="AH128" s="2180"/>
      <c r="AI128" s="4604"/>
      <c r="AJ128" s="3128"/>
      <c r="AK128" s="3128"/>
      <c r="AL128" s="3128"/>
      <c r="AM128" s="3128"/>
      <c r="AN128" s="3129"/>
      <c r="AO128" s="3128"/>
      <c r="AP128" s="3128"/>
      <c r="AQ128" s="3129"/>
      <c r="AR128" s="3132"/>
      <c r="AS128" s="3132"/>
      <c r="AT128" s="3132"/>
      <c r="AU128" s="3132"/>
      <c r="AV128" s="3132"/>
      <c r="AW128" s="3132"/>
      <c r="AX128" s="3132"/>
      <c r="AY128" s="3128"/>
    </row>
    <row r="129" spans="1:51" ht="12.2" customHeight="1" x14ac:dyDescent="0.2">
      <c r="A129" s="2172"/>
      <c r="B129" s="2086">
        <f t="shared" si="2"/>
        <v>4</v>
      </c>
      <c r="C129" s="4584"/>
      <c r="D129" s="2032" t="s">
        <v>8809</v>
      </c>
      <c r="E129" s="2533"/>
      <c r="F129" s="2532"/>
      <c r="G129" s="2534"/>
      <c r="H129" s="2534"/>
      <c r="I129" s="2531" t="str">
        <f>IFERROR(IF(D127="Ataque Elemental",IF(NOT(ISNA(VLOOKUP(D131,'Tablas Técnicas'!$O$100:$O$105,1,0))),D131,"Variable"),VLOOKUP(D127,'Tablas Técnicas'!$O$9:$W$88,9,FALSE)),"")</f>
        <v/>
      </c>
      <c r="J129" s="2535" t="s">
        <v>8809</v>
      </c>
      <c r="K129" s="2536"/>
      <c r="L129" s="2537"/>
      <c r="M129" s="2538"/>
      <c r="N129" s="2538"/>
      <c r="O129" s="2539" t="str">
        <f>IFERROR(IF(J127="Ataque Elemental",IF(NOT(ISNA(VLOOKUP(J131,'Tablas Técnicas'!$O$100:$O$105,1,0))),J131,"Variable"),VLOOKUP(J127,'Tablas Técnicas'!$O$9:$W$88,9,FALSE)),"")</f>
        <v/>
      </c>
      <c r="P129" s="2540" t="s">
        <v>8809</v>
      </c>
      <c r="Q129" s="2536"/>
      <c r="R129" s="2537"/>
      <c r="S129" s="2538"/>
      <c r="T129" s="2538"/>
      <c r="U129" s="2531" t="str">
        <f>IFERROR(IF(P127="Ataque Elemental",IF(NOT(ISNA(VLOOKUP(P131,'Tablas Técnicas'!$O$100:$O$105,1,0))),P131,"Variable"),VLOOKUP(P127,'Tablas Técnicas'!$O$9:$W$88,9,FALSE)),"")</f>
        <v/>
      </c>
      <c r="V129" s="2535" t="s">
        <v>8809</v>
      </c>
      <c r="W129" s="2536"/>
      <c r="X129" s="2537"/>
      <c r="Y129" s="2538"/>
      <c r="Z129" s="2538"/>
      <c r="AA129" s="2539" t="str">
        <f>IFERROR(IF(V127="Ataque Elemental",IF(NOT(ISNA(VLOOKUP(V131,'Tablas Técnicas'!$O$100:$O$105,1,0))),V131,"Variable"),VLOOKUP(V127,'Tablas Técnicas'!$O$9:$W$88,9,FALSE)),"")</f>
        <v/>
      </c>
      <c r="AB129" s="2540" t="s">
        <v>8809</v>
      </c>
      <c r="AC129" s="2536"/>
      <c r="AD129" s="2537"/>
      <c r="AE129" s="2538"/>
      <c r="AF129" s="2538"/>
      <c r="AG129" s="2037" t="str">
        <f>IFERROR(IF(AB127="Ataque Elemental",IF(NOT(ISNA(VLOOKUP(AB131,'Tablas Técnicas'!$O$100:$O$105,1,0))),AB131,"Variable"),VLOOKUP(AB127,'Tablas Técnicas'!$O$9:$W$88,9,FALSE)),"")</f>
        <v/>
      </c>
      <c r="AH129" s="2180"/>
      <c r="AI129" s="4604"/>
      <c r="AJ129" s="3128"/>
      <c r="AK129" s="3132" t="s">
        <v>1373</v>
      </c>
      <c r="AL129" s="3132" t="s">
        <v>1497</v>
      </c>
      <c r="AM129" s="3132" t="s">
        <v>1378</v>
      </c>
      <c r="AN129" s="3132" t="s">
        <v>1383</v>
      </c>
      <c r="AO129" s="3132" t="s">
        <v>1390</v>
      </c>
      <c r="AP129" s="3132" t="s">
        <v>1391</v>
      </c>
      <c r="AQ129" s="3129"/>
      <c r="AR129" s="3132"/>
      <c r="AS129" s="3132"/>
      <c r="AT129" s="3132"/>
      <c r="AU129" s="3132"/>
      <c r="AV129" s="3132"/>
      <c r="AW129" s="3132"/>
      <c r="AX129" s="3132"/>
      <c r="AY129" s="3128"/>
    </row>
    <row r="130" spans="1:51" ht="12.2" customHeight="1" x14ac:dyDescent="0.2">
      <c r="A130" s="2172"/>
      <c r="B130" s="2086">
        <f t="shared" si="2"/>
        <v>4</v>
      </c>
      <c r="C130" s="4584"/>
      <c r="D130" s="4599" t="s">
        <v>2826</v>
      </c>
      <c r="E130" s="4600"/>
      <c r="F130" s="4600"/>
      <c r="G130" s="4600"/>
      <c r="H130" s="4601"/>
      <c r="I130" s="1925" t="s">
        <v>1402</v>
      </c>
      <c r="J130" s="4599" t="s">
        <v>2826</v>
      </c>
      <c r="K130" s="4600"/>
      <c r="L130" s="4600"/>
      <c r="M130" s="4600"/>
      <c r="N130" s="4601"/>
      <c r="O130" s="1926" t="s">
        <v>1402</v>
      </c>
      <c r="P130" s="4599" t="s">
        <v>2826</v>
      </c>
      <c r="Q130" s="4600"/>
      <c r="R130" s="4600"/>
      <c r="S130" s="4600"/>
      <c r="T130" s="4601"/>
      <c r="U130" s="1926" t="s">
        <v>1402</v>
      </c>
      <c r="V130" s="4599"/>
      <c r="W130" s="4600"/>
      <c r="X130" s="4600"/>
      <c r="Y130" s="4600"/>
      <c r="Z130" s="4601"/>
      <c r="AA130" s="1926" t="s">
        <v>1402</v>
      </c>
      <c r="AB130" s="4599" t="s">
        <v>2826</v>
      </c>
      <c r="AC130" s="4600"/>
      <c r="AD130" s="4600"/>
      <c r="AE130" s="4600"/>
      <c r="AF130" s="4601"/>
      <c r="AG130" s="1927" t="s">
        <v>1402</v>
      </c>
      <c r="AH130" s="2180"/>
      <c r="AI130" s="4604"/>
      <c r="AJ130" s="3133" t="s">
        <v>9338</v>
      </c>
      <c r="AK130" s="3128" t="str">
        <f>IF(V116="","",IF(SUM(V118:V122)=0,"",V116&amp;" "&amp;SUM(V118:V122)+V125&amp;IF(SUM(W118:W122)=0,""," ("&amp;SUM(W118:W122)&amp;")")&amp;", "))</f>
        <v/>
      </c>
      <c r="AL130" s="3128" t="str">
        <f>IF(X116="","",IF(SUM(X118:X122)=0,"",X116&amp;" "&amp;SUM(X118:X122)+X125&amp;IF(SUM(Y118:Y122)=0,""," ("&amp;SUM(Y118:Y122)&amp;")")&amp;", "))</f>
        <v/>
      </c>
      <c r="AM130" s="3128" t="str">
        <f>IF(Z116="","",IF(SUM(Z118:Z122)=0,"",Z116&amp;" "&amp;SUM(Z118:Z122)+Z125&amp;IF(SUM(AA118:AA122)=0,""," ("&amp;SUM(AA118:AA122)&amp;")")&amp;", "))</f>
        <v/>
      </c>
      <c r="AN130" s="3128" t="str">
        <f>IF(AB116="","",IF(SUM(AB118:AB122)=0,"",AB116&amp;" "&amp;SUM(AB118:AB122)+AB125&amp;IF(SUM(AC118:AC122)=0,""," ("&amp;SUM(AC118:AC122)&amp;")")&amp;", "))</f>
        <v/>
      </c>
      <c r="AO130" s="3128" t="str">
        <f>IF(AD116="","",IF(SUM(AD118:AD122)=0,"",AD116&amp;" "&amp;SUM(AD118:AD122)+AD125&amp;IF(SUM(AE118:AE122)=0,""," ("&amp;SUM(AE118:AE122)&amp;")")&amp;", "))</f>
        <v/>
      </c>
      <c r="AP130" s="3128" t="str">
        <f>IF(AF116="","",IF(SUM(AF118:AF122)=0,"",AF116&amp;" "&amp;SUM(AF118:AF122)+AF125&amp;IF(SUM(AG118:AG122)=0,""," ("&amp;SUM(AG118:AG122)&amp;")")&amp;", "))</f>
        <v/>
      </c>
      <c r="AQ130" s="3128"/>
      <c r="AR130" s="3128"/>
      <c r="AS130" s="3128"/>
      <c r="AT130" s="3128"/>
      <c r="AU130" s="3128"/>
      <c r="AV130" s="3128"/>
      <c r="AW130" s="3128"/>
      <c r="AX130" s="3128"/>
      <c r="AY130" s="3128"/>
    </row>
    <row r="131" spans="1:51" ht="12.2" customHeight="1" x14ac:dyDescent="0.2">
      <c r="A131" s="2172"/>
      <c r="B131" s="2086">
        <f t="shared" si="2"/>
        <v>4</v>
      </c>
      <c r="C131" s="4584"/>
      <c r="D131" s="4621"/>
      <c r="E131" s="4619"/>
      <c r="F131" s="4619"/>
      <c r="G131" s="4619"/>
      <c r="H131" s="4619"/>
      <c r="I131" s="1928" t="str">
        <f>IF(OR(D127="",D131=""),"",MAX(1,SUMPRODUCT(--(INDEX('Tablas Técnicas'!$C$10:$L$643,,1)=D127),--(INDEX('Tablas Técnicas'!$C$10:$L$643,,2)=D131),INDEX('Tablas Técnicas'!$C$10:$L$643,,9))))</f>
        <v/>
      </c>
      <c r="J131" s="4618"/>
      <c r="K131" s="4619"/>
      <c r="L131" s="4619"/>
      <c r="M131" s="4619"/>
      <c r="N131" s="4619"/>
      <c r="O131" s="1928" t="str">
        <f>IF(OR(J127="",J131=""),"",MAX(1,SUMPRODUCT(--(INDEX('Tablas Técnicas'!$C$10:$L$643,,1)=J127),--(INDEX('Tablas Técnicas'!$C$10:$L$643,,2)=J131),INDEX('Tablas Técnicas'!$C$10:$L$643,,9))))</f>
        <v/>
      </c>
      <c r="P131" s="4618"/>
      <c r="Q131" s="4619"/>
      <c r="R131" s="4619"/>
      <c r="S131" s="4619"/>
      <c r="T131" s="4619"/>
      <c r="U131" s="1928" t="str">
        <f>IF(OR(P127="",P131=""),"",MAX(1,SUMPRODUCT(--(INDEX('Tablas Técnicas'!$C$10:$L$643,,1)=P127),--(INDEX('Tablas Técnicas'!$C$10:$L$643,,2)=P131),INDEX('Tablas Técnicas'!$C$10:$L$643,,9))))</f>
        <v/>
      </c>
      <c r="V131" s="4618"/>
      <c r="W131" s="4619"/>
      <c r="X131" s="4619"/>
      <c r="Y131" s="4619"/>
      <c r="Z131" s="4619"/>
      <c r="AA131" s="1928" t="str">
        <f>IF(OR(V127="",V131=""),"",MAX(1,SUMPRODUCT(--(INDEX('Tablas Técnicas'!$C$10:$L$643,,1)=V127),--(INDEX('Tablas Técnicas'!$C$10:$L$643,,2)=V131),INDEX('Tablas Técnicas'!$C$10:$L$643,,9))))</f>
        <v/>
      </c>
      <c r="AB131" s="4618"/>
      <c r="AC131" s="4619"/>
      <c r="AD131" s="4619"/>
      <c r="AE131" s="4619"/>
      <c r="AF131" s="4619"/>
      <c r="AG131" s="1929" t="str">
        <f>IF(OR(AB127="",AB131=""),"",MAX(1,SUMPRODUCT(--(INDEX('Tablas Técnicas'!$C$10:$L$643,,1)=AB127),--(INDEX('Tablas Técnicas'!$C$10:$L$643,,2)=AB131),INDEX('Tablas Técnicas'!$C$10:$L$643,,9))))</f>
        <v/>
      </c>
      <c r="AH131" s="2180">
        <f>P114</f>
        <v>1</v>
      </c>
      <c r="AI131" s="4604"/>
      <c r="AJ131" s="3128" t="s">
        <v>9302</v>
      </c>
      <c r="AK131" s="3128"/>
      <c r="AL131" s="3128">
        <f>MAX(0,SUM(AT118:AT122)+ABS($AC123*2/5))+IF(AM140,0,Y123)+IF(S114="Sí",3*P114,0)</f>
        <v>0</v>
      </c>
      <c r="AM131" s="3128">
        <f t="array" ref="AM131">IF(ISNUMBER(SEARCH("Mantenido",K118&amp;K119&amp;K120&amp;K121&amp;K122)),MAX(0,SUM(VALUE(RIGHT($P118:$P122,2)))),0)</f>
        <v>0</v>
      </c>
      <c r="AN131" s="3132"/>
      <c r="AO131" s="3132"/>
      <c r="AP131" s="3135"/>
      <c r="AQ131" s="3135"/>
      <c r="AR131" s="3135"/>
      <c r="AS131" s="3135"/>
      <c r="AT131" s="3135"/>
      <c r="AU131" s="3135"/>
      <c r="AV131" s="3135"/>
      <c r="AW131" s="3135"/>
      <c r="AX131" s="3135"/>
      <c r="AY131" s="3128"/>
    </row>
    <row r="132" spans="1:51" ht="12.2" customHeight="1" x14ac:dyDescent="0.2">
      <c r="A132" s="2172"/>
      <c r="B132" s="2086">
        <f t="shared" si="2"/>
        <v>4</v>
      </c>
      <c r="C132" s="4584"/>
      <c r="D132" s="4602"/>
      <c r="E132" s="4603"/>
      <c r="F132" s="4603"/>
      <c r="G132" s="4603"/>
      <c r="H132" s="4603"/>
      <c r="I132" s="1930" t="str">
        <f>IF(OR(D127="",D132=""),"",MAX(1,SUMPRODUCT(--(INDEX('Tablas Técnicas'!$C$10:$L$643,,1)=D127),--(INDEX('Tablas Técnicas'!$C$10:$L$643,,2)=D132),INDEX('Tablas Técnicas'!$C$10:$L$643,,9))))</f>
        <v/>
      </c>
      <c r="J132" s="4602"/>
      <c r="K132" s="4603"/>
      <c r="L132" s="4603"/>
      <c r="M132" s="4603"/>
      <c r="N132" s="4603"/>
      <c r="O132" s="1930" t="str">
        <f>IF(OR(J127="",J132=""),"",MAX(1,SUMPRODUCT(--(INDEX('Tablas Técnicas'!$C$10:$L$643,,1)=J127),--(INDEX('Tablas Técnicas'!$C$10:$L$643,,2)=J132),INDEX('Tablas Técnicas'!$C$10:$L$643,,9))))</f>
        <v/>
      </c>
      <c r="P132" s="4602"/>
      <c r="Q132" s="4603"/>
      <c r="R132" s="4603"/>
      <c r="S132" s="4603"/>
      <c r="T132" s="4603"/>
      <c r="U132" s="1930" t="str">
        <f>IF(OR(P127="",P132=""),"",MAX(1,SUMPRODUCT(--(INDEX('Tablas Técnicas'!$C$10:$L$643,,1)=P127),--(INDEX('Tablas Técnicas'!$C$10:$L$643,,2)=P132),INDEX('Tablas Técnicas'!$C$10:$L$643,,9))))</f>
        <v/>
      </c>
      <c r="V132" s="4602"/>
      <c r="W132" s="4603"/>
      <c r="X132" s="4603"/>
      <c r="Y132" s="4603"/>
      <c r="Z132" s="4603"/>
      <c r="AA132" s="1930" t="str">
        <f>IF(OR(V127="",V132=""),"",MAX(1,SUMPRODUCT(--(INDEX('Tablas Técnicas'!$C$10:$L$643,,1)=V127),--(INDEX('Tablas Técnicas'!$C$10:$L$643,,2)=V132),INDEX('Tablas Técnicas'!$C$10:$L$643,,9))))</f>
        <v/>
      </c>
      <c r="AB132" s="4602"/>
      <c r="AC132" s="4603"/>
      <c r="AD132" s="4603"/>
      <c r="AE132" s="4603"/>
      <c r="AF132" s="4603"/>
      <c r="AG132" s="1931" t="str">
        <f>IF(OR(AB127="",AB132=""),"",MAX(1,SUMPRODUCT(--(INDEX('Tablas Técnicas'!$C$10:$L$643,,1)=AB127),--(INDEX('Tablas Técnicas'!$C$10:$L$643,,2)=AB132),INDEX('Tablas Técnicas'!$C$10:$L$643,,9))))</f>
        <v/>
      </c>
      <c r="AH132" s="2180">
        <f>P114</f>
        <v>1</v>
      </c>
      <c r="AI132" s="4604"/>
      <c r="AJ132" s="3128" t="s">
        <v>8811</v>
      </c>
      <c r="AK132" s="3128"/>
      <c r="AL132" s="3128">
        <f>SUM(V118:V122,X118:X122,Z118:Z122,AB118:AB122,AD118:AD122,AF118:AF122)+SUM(V125:AG125)</f>
        <v>0</v>
      </c>
      <c r="AM132" s="3128">
        <f>SUM(W118:W122,Y118:Y122,AA118:AA122,AC118:AC122,AE118:AE122,AG118:AG122)</f>
        <v>0</v>
      </c>
      <c r="AN132" s="3128"/>
      <c r="AO132" s="3128"/>
      <c r="AP132" s="3128"/>
      <c r="AQ132" s="3128"/>
      <c r="AR132" s="3128"/>
      <c r="AS132" s="3128"/>
      <c r="AT132" s="3128"/>
      <c r="AU132" s="3128"/>
      <c r="AV132" s="3128"/>
      <c r="AW132" s="3132"/>
      <c r="AX132" s="3128"/>
      <c r="AY132" s="3128"/>
    </row>
    <row r="133" spans="1:51" ht="12.2" customHeight="1" x14ac:dyDescent="0.2">
      <c r="A133" s="2172"/>
      <c r="B133" s="2086">
        <f t="shared" si="2"/>
        <v>4</v>
      </c>
      <c r="C133" s="4584"/>
      <c r="D133" s="4602"/>
      <c r="E133" s="4603"/>
      <c r="F133" s="4603"/>
      <c r="G133" s="4603"/>
      <c r="H133" s="4603"/>
      <c r="I133" s="1930" t="str">
        <f>IF(OR(D127="",D133=""),"",MAX(1,SUMPRODUCT(--(INDEX('Tablas Técnicas'!$C$10:$L$643,,1)=D127),--(INDEX('Tablas Técnicas'!$C$10:$L$643,,2)=D133),INDEX('Tablas Técnicas'!$C$10:$L$643,,9))))</f>
        <v/>
      </c>
      <c r="J133" s="4602"/>
      <c r="K133" s="4603"/>
      <c r="L133" s="4603"/>
      <c r="M133" s="4603"/>
      <c r="N133" s="4603"/>
      <c r="O133" s="1930" t="str">
        <f>IF(OR(J127="",J133=""),"",MAX(1,SUMPRODUCT(--(INDEX('Tablas Técnicas'!$C$10:$L$643,,1)=J127),--(INDEX('Tablas Técnicas'!$C$10:$L$643,,2)=J133),INDEX('Tablas Técnicas'!$C$10:$L$643,,9))))</f>
        <v/>
      </c>
      <c r="P133" s="4602"/>
      <c r="Q133" s="4603"/>
      <c r="R133" s="4603"/>
      <c r="S133" s="4603"/>
      <c r="T133" s="4603"/>
      <c r="U133" s="1930" t="str">
        <f>IF(OR(P127="",P133=""),"",MAX(1,SUMPRODUCT(--(INDEX('Tablas Técnicas'!$C$10:$L$643,,1)=P127),--(INDEX('Tablas Técnicas'!$C$10:$L$643,,2)=P133),INDEX('Tablas Técnicas'!$C$10:$L$643,,9))))</f>
        <v/>
      </c>
      <c r="V133" s="4602"/>
      <c r="W133" s="4603"/>
      <c r="X133" s="4603"/>
      <c r="Y133" s="4603"/>
      <c r="Z133" s="4603"/>
      <c r="AA133" s="1930" t="str">
        <f>IF(OR(V127="",V133=""),"",MAX(1,SUMPRODUCT(--(INDEX('Tablas Técnicas'!$C$10:$L$643,,1)=V127),--(INDEX('Tablas Técnicas'!$C$10:$L$643,,2)=V133),INDEX('Tablas Técnicas'!$C$10:$L$643,,9))))</f>
        <v/>
      </c>
      <c r="AB133" s="4602"/>
      <c r="AC133" s="4603"/>
      <c r="AD133" s="4603"/>
      <c r="AE133" s="4603"/>
      <c r="AF133" s="4603"/>
      <c r="AG133" s="1931" t="str">
        <f>IF(OR(AB127="",AB133=""),"",MAX(1,SUMPRODUCT(--(INDEX('Tablas Técnicas'!$C$10:$L$643,,1)=AB127),--(INDEX('Tablas Técnicas'!$C$10:$L$643,,2)=AB133),INDEX('Tablas Técnicas'!$C$10:$L$643,,9))))</f>
        <v/>
      </c>
      <c r="AH133" s="2180">
        <f>P114</f>
        <v>1</v>
      </c>
      <c r="AI133" s="4604"/>
      <c r="AJ133" s="3128"/>
      <c r="AK133" s="3128"/>
      <c r="AL133" s="3128"/>
      <c r="AM133" s="3128"/>
      <c r="AN133" s="3128"/>
      <c r="AO133" s="3128"/>
      <c r="AP133" s="3128"/>
      <c r="AQ133" s="3128"/>
      <c r="AR133" s="3128"/>
      <c r="AS133" s="3128"/>
      <c r="AT133" s="3128"/>
      <c r="AU133" s="3128"/>
      <c r="AV133" s="3128"/>
      <c r="AW133" s="3132"/>
      <c r="AX133" s="3132"/>
      <c r="AY133" s="3128"/>
    </row>
    <row r="134" spans="1:51" ht="12.2" customHeight="1" x14ac:dyDescent="0.2">
      <c r="A134" s="2172"/>
      <c r="B134" s="2086">
        <f t="shared" si="2"/>
        <v>4</v>
      </c>
      <c r="C134" s="4584"/>
      <c r="D134" s="4602"/>
      <c r="E134" s="4603"/>
      <c r="F134" s="4603"/>
      <c r="G134" s="4603"/>
      <c r="H134" s="4603"/>
      <c r="I134" s="1930" t="str">
        <f>IF(OR(D127="",D134=""),"",MAX(1,SUMPRODUCT(--(INDEX('Tablas Técnicas'!$C$10:$L$643,,1)=D127),--(INDEX('Tablas Técnicas'!$C$10:$L$643,,2)=D134),INDEX('Tablas Técnicas'!$C$10:$L$643,,9))))</f>
        <v/>
      </c>
      <c r="J134" s="4602"/>
      <c r="K134" s="4603"/>
      <c r="L134" s="4603"/>
      <c r="M134" s="4603"/>
      <c r="N134" s="4603"/>
      <c r="O134" s="1930" t="str">
        <f>IF(OR(J127="",J134=""),"",MAX(1,SUMPRODUCT(--(INDEX('Tablas Técnicas'!$C$10:$L$643,,1)=J127),--(INDEX('Tablas Técnicas'!$C$10:$L$643,,2)=J134),INDEX('Tablas Técnicas'!$C$10:$L$643,,9))))</f>
        <v/>
      </c>
      <c r="P134" s="4602"/>
      <c r="Q134" s="4603"/>
      <c r="R134" s="4603"/>
      <c r="S134" s="4603"/>
      <c r="T134" s="4603"/>
      <c r="U134" s="1930" t="str">
        <f>IF(OR(P127="",P134=""),"",MAX(1,SUMPRODUCT(--(INDEX('Tablas Técnicas'!$C$10:$L$643,,1)=P127),--(INDEX('Tablas Técnicas'!$C$10:$L$643,,2)=P134),INDEX('Tablas Técnicas'!$C$10:$L$643,,9))))</f>
        <v/>
      </c>
      <c r="V134" s="4602"/>
      <c r="W134" s="4603"/>
      <c r="X134" s="4603"/>
      <c r="Y134" s="4603"/>
      <c r="Z134" s="4603"/>
      <c r="AA134" s="1930" t="str">
        <f>IF(OR(V127="",V134=""),"",MAX(1,SUMPRODUCT(--(INDEX('Tablas Técnicas'!$C$10:$L$643,,1)=V127),--(INDEX('Tablas Técnicas'!$C$10:$L$643,,2)=V134),INDEX('Tablas Técnicas'!$C$10:$L$643,,9))))</f>
        <v/>
      </c>
      <c r="AB134" s="4602"/>
      <c r="AC134" s="4603"/>
      <c r="AD134" s="4603"/>
      <c r="AE134" s="4603"/>
      <c r="AF134" s="4603"/>
      <c r="AG134" s="1931" t="str">
        <f>IF(OR(AB127="",AB134=""),"",MAX(1,SUMPRODUCT(--(INDEX('Tablas Técnicas'!$C$10:$L$643,,1)=AB127),--(INDEX('Tablas Técnicas'!$C$10:$L$643,,2)=AB134),INDEX('Tablas Técnicas'!$C$10:$L$643,,9))))</f>
        <v/>
      </c>
      <c r="AH134" s="2180">
        <f>P114</f>
        <v>1</v>
      </c>
      <c r="AI134" s="4604"/>
      <c r="AJ134" s="3128" t="s">
        <v>8812</v>
      </c>
      <c r="AK134" s="3128"/>
      <c r="AL134" s="3128"/>
      <c r="AM134" s="3128"/>
      <c r="AN134" s="3128"/>
      <c r="AO134" s="3128"/>
      <c r="AP134" s="3128"/>
      <c r="AQ134" s="3129"/>
      <c r="AR134" s="3132"/>
      <c r="AS134" s="3132"/>
      <c r="AT134" s="3132"/>
      <c r="AU134" s="3132"/>
      <c r="AV134" s="3132"/>
      <c r="AW134" s="3132"/>
      <c r="AX134" s="3132"/>
      <c r="AY134" s="3128"/>
    </row>
    <row r="135" spans="1:51" ht="12.2" customHeight="1" x14ac:dyDescent="0.2">
      <c r="A135" s="2172"/>
      <c r="B135" s="2086">
        <f t="shared" si="2"/>
        <v>4</v>
      </c>
      <c r="C135" s="4584"/>
      <c r="D135" s="4602"/>
      <c r="E135" s="4603"/>
      <c r="F135" s="4603"/>
      <c r="G135" s="4603"/>
      <c r="H135" s="4603"/>
      <c r="I135" s="1930" t="str">
        <f>IF(OR(D127="",D135=""),"",MAX(1,SUMPRODUCT(--(INDEX('Tablas Técnicas'!$C$10:$L$643,,1)=D127),--(INDEX('Tablas Técnicas'!$C$10:$L$643,,2)=D135),INDEX('Tablas Técnicas'!$C$10:$L$643,,9))))</f>
        <v/>
      </c>
      <c r="J135" s="4602"/>
      <c r="K135" s="4603"/>
      <c r="L135" s="4603"/>
      <c r="M135" s="4603"/>
      <c r="N135" s="4603"/>
      <c r="O135" s="1930" t="str">
        <f>IF(OR(J127="",J135=""),"",MAX(1,SUMPRODUCT(--(INDEX('Tablas Técnicas'!$C$10:$L$643,,1)=J127),--(INDEX('Tablas Técnicas'!$C$10:$L$643,,2)=J135),INDEX('Tablas Técnicas'!$C$10:$L$643,,9))))</f>
        <v/>
      </c>
      <c r="P135" s="4602"/>
      <c r="Q135" s="4603"/>
      <c r="R135" s="4603"/>
      <c r="S135" s="4603"/>
      <c r="T135" s="4603"/>
      <c r="U135" s="1930" t="str">
        <f>IF(OR(P127="",P135=""),"",MAX(1,SUMPRODUCT(--(INDEX('Tablas Técnicas'!$C$10:$L$643,,1)=P127),--(INDEX('Tablas Técnicas'!$C$10:$L$643,,2)=P135),INDEX('Tablas Técnicas'!$C$10:$L$643,,9))))</f>
        <v/>
      </c>
      <c r="V135" s="4602"/>
      <c r="W135" s="4603"/>
      <c r="X135" s="4603"/>
      <c r="Y135" s="4603"/>
      <c r="Z135" s="4603"/>
      <c r="AA135" s="1930" t="str">
        <f>IF(OR(V127="",V135=""),"",MAX(1,SUMPRODUCT(--(INDEX('Tablas Técnicas'!$C$10:$L$643,,1)=V127),--(INDEX('Tablas Técnicas'!$C$10:$L$643,,2)=V135),INDEX('Tablas Técnicas'!$C$10:$L$643,,9))))</f>
        <v/>
      </c>
      <c r="AB135" s="4602"/>
      <c r="AC135" s="4603"/>
      <c r="AD135" s="4603"/>
      <c r="AE135" s="4603"/>
      <c r="AF135" s="4603"/>
      <c r="AG135" s="1931" t="str">
        <f>IF(OR(AB127="",AB135=""),"",MAX(1,SUMPRODUCT(--(INDEX('Tablas Técnicas'!$C$10:$L$643,,1)=AB127),--(INDEX('Tablas Técnicas'!$C$10:$L$643,,2)=AB135),INDEX('Tablas Técnicas'!$C$10:$L$643,,9))))</f>
        <v/>
      </c>
      <c r="AH135" s="2180">
        <f>P114</f>
        <v>1</v>
      </c>
      <c r="AI135" s="4604"/>
      <c r="AJ135" s="3128" t="s">
        <v>9965</v>
      </c>
      <c r="AK135" s="3128"/>
      <c r="AL135" s="3128"/>
      <c r="AM135" s="3128" t="b">
        <f>U114&gt;IF(P114=3,200,IF(P114=2,100,50))</f>
        <v>0</v>
      </c>
      <c r="AN135" s="3128"/>
      <c r="AO135" s="3128"/>
      <c r="AP135" s="3128"/>
      <c r="AQ135" s="3128"/>
      <c r="AR135" s="3132"/>
      <c r="AS135" s="3132"/>
      <c r="AT135" s="3132"/>
      <c r="AU135" s="3132"/>
      <c r="AV135" s="3132"/>
      <c r="AW135" s="3132"/>
      <c r="AX135" s="3132"/>
      <c r="AY135" s="3128"/>
    </row>
    <row r="136" spans="1:51" ht="12.2" customHeight="1" x14ac:dyDescent="0.2">
      <c r="A136" s="2172"/>
      <c r="B136" s="2086">
        <f t="shared" si="2"/>
        <v>4</v>
      </c>
      <c r="C136" s="4584"/>
      <c r="D136" s="4602"/>
      <c r="E136" s="4603"/>
      <c r="F136" s="4603"/>
      <c r="G136" s="4603"/>
      <c r="H136" s="4603"/>
      <c r="I136" s="1930" t="str">
        <f>IF(OR(D127="",D136=""),"",MAX(1,SUMPRODUCT(--(INDEX('Tablas Técnicas'!$C$10:$L$643,,1)=D127),--(INDEX('Tablas Técnicas'!$C$10:$L$643,,2)=D136),INDEX('Tablas Técnicas'!$C$10:$L$643,,9))))</f>
        <v/>
      </c>
      <c r="J136" s="4602"/>
      <c r="K136" s="4603"/>
      <c r="L136" s="4603"/>
      <c r="M136" s="4603"/>
      <c r="N136" s="4603"/>
      <c r="O136" s="1930" t="str">
        <f>IF(OR(J127="",J136=""),"",MAX(1,SUMPRODUCT(--(INDEX('Tablas Técnicas'!$C$10:$L$643,,1)=J127),--(INDEX('Tablas Técnicas'!$C$10:$L$643,,2)=J136),INDEX('Tablas Técnicas'!$C$10:$L$643,,9))))</f>
        <v/>
      </c>
      <c r="P136" s="4602"/>
      <c r="Q136" s="4603"/>
      <c r="R136" s="4603"/>
      <c r="S136" s="4603"/>
      <c r="T136" s="4603"/>
      <c r="U136" s="1930" t="str">
        <f>IF(OR(P127="",P136=""),"",MAX(1,SUMPRODUCT(--(INDEX('Tablas Técnicas'!$C$10:$L$643,,1)=P127),--(INDEX('Tablas Técnicas'!$C$10:$L$643,,2)=P136),INDEX('Tablas Técnicas'!$C$10:$L$643,,9))))</f>
        <v/>
      </c>
      <c r="V136" s="4602"/>
      <c r="W136" s="4603"/>
      <c r="X136" s="4603"/>
      <c r="Y136" s="4603"/>
      <c r="Z136" s="4603"/>
      <c r="AA136" s="1930" t="str">
        <f>IF(OR(V127="",V136=""),"",MAX(1,SUMPRODUCT(--(INDEX('Tablas Técnicas'!$C$10:$L$643,,1)=V127),--(INDEX('Tablas Técnicas'!$C$10:$L$643,,2)=V136),INDEX('Tablas Técnicas'!$C$10:$L$643,,9))))</f>
        <v/>
      </c>
      <c r="AB136" s="4602"/>
      <c r="AC136" s="4603"/>
      <c r="AD136" s="4603"/>
      <c r="AE136" s="4603"/>
      <c r="AF136" s="4603"/>
      <c r="AG136" s="1931" t="str">
        <f>IF(OR(AB127="",AB136=""),"",MAX(1,SUMPRODUCT(--(INDEX('Tablas Técnicas'!$C$10:$L$643,,1)=AB127),--(INDEX('Tablas Técnicas'!$C$10:$L$643,,2)=AB136),INDEX('Tablas Técnicas'!$C$10:$L$643,,9))))</f>
        <v/>
      </c>
      <c r="AH136" s="2180">
        <f>P114</f>
        <v>1</v>
      </c>
      <c r="AI136" s="4604"/>
      <c r="AJ136" s="3128" t="s">
        <v>8813</v>
      </c>
      <c r="AK136" s="3128"/>
      <c r="AL136" s="3128"/>
      <c r="AM136" s="3128" t="b">
        <f t="array" ref="AM136">MAX(I131:I137,O131:O137,U131:U137,AA131:AA137,AG131:AG137,RIGHT(S123:S125,1))&gt;P114</f>
        <v>0</v>
      </c>
      <c r="AN136" s="3128"/>
      <c r="AO136" s="3128"/>
      <c r="AP136" s="3128"/>
      <c r="AQ136" s="3129"/>
      <c r="AR136" s="3132"/>
      <c r="AS136" s="3132"/>
      <c r="AT136" s="3132"/>
      <c r="AU136" s="3132"/>
      <c r="AV136" s="3132"/>
      <c r="AW136" s="3132"/>
      <c r="AX136" s="3132"/>
      <c r="AY136" s="3128"/>
    </row>
    <row r="137" spans="1:51" ht="12.2" customHeight="1" x14ac:dyDescent="0.2">
      <c r="A137" s="2172"/>
      <c r="B137" s="2086">
        <f t="shared" si="2"/>
        <v>4</v>
      </c>
      <c r="C137" s="4584"/>
      <c r="D137" s="4616"/>
      <c r="E137" s="4617"/>
      <c r="F137" s="4617"/>
      <c r="G137" s="4617"/>
      <c r="H137" s="4617"/>
      <c r="I137" s="1932" t="str">
        <f>IF(OR(D127="",D137=""),"",MAX(1,SUMPRODUCT(--(INDEX('Tablas Técnicas'!$C$10:$L$643,,1)=D127),--(INDEX('Tablas Técnicas'!$C$10:$L$643,,2)=D137),INDEX('Tablas Técnicas'!$C$10:$L$643,,9))))</f>
        <v/>
      </c>
      <c r="J137" s="4616"/>
      <c r="K137" s="4617"/>
      <c r="L137" s="4617"/>
      <c r="M137" s="4617"/>
      <c r="N137" s="4617"/>
      <c r="O137" s="1932" t="str">
        <f>IF(OR(J127="",J137=""),"",MAX(1,SUMPRODUCT(--(INDEX('Tablas Técnicas'!$C$10:$L$643,,1)=J127),--(INDEX('Tablas Técnicas'!$C$10:$L$643,,2)=J137),INDEX('Tablas Técnicas'!$C$10:$L$643,,9))))</f>
        <v/>
      </c>
      <c r="P137" s="4616"/>
      <c r="Q137" s="4617"/>
      <c r="R137" s="4617"/>
      <c r="S137" s="4617"/>
      <c r="T137" s="4617"/>
      <c r="U137" s="1932" t="str">
        <f>IF(OR(P127="",P137=""),"",MAX(1,SUMPRODUCT(--(INDEX('Tablas Técnicas'!$C$10:$L$643,,1)=P127),--(INDEX('Tablas Técnicas'!$C$10:$L$643,,2)=P137),INDEX('Tablas Técnicas'!$C$10:$L$643,,9))))</f>
        <v/>
      </c>
      <c r="V137" s="4616"/>
      <c r="W137" s="4617"/>
      <c r="X137" s="4617"/>
      <c r="Y137" s="4617"/>
      <c r="Z137" s="4617"/>
      <c r="AA137" s="1932" t="str">
        <f>IF(OR(V127="",V137=""),"",MAX(1,SUMPRODUCT(--(INDEX('Tablas Técnicas'!$C$10:$L$643,,1)=V127),--(INDEX('Tablas Técnicas'!$C$10:$L$643,,2)=V137),INDEX('Tablas Técnicas'!$C$10:$L$643,,9))))</f>
        <v/>
      </c>
      <c r="AB137" s="4616"/>
      <c r="AC137" s="4617"/>
      <c r="AD137" s="4617"/>
      <c r="AE137" s="4617"/>
      <c r="AF137" s="4617"/>
      <c r="AG137" s="1933" t="str">
        <f>IF(OR(AB127="",AB137=""),"",MAX(1,SUMPRODUCT(--(INDEX('Tablas Técnicas'!$C$10:$L$643,,1)=AB127),--(INDEX('Tablas Técnicas'!$C$10:$L$643,,2)=AB137),INDEX('Tablas Técnicas'!$C$10:$L$643,,9))))</f>
        <v/>
      </c>
      <c r="AH137" s="2180">
        <f>P114</f>
        <v>1</v>
      </c>
      <c r="AI137" s="4604"/>
      <c r="AJ137" s="3128" t="s">
        <v>9319</v>
      </c>
      <c r="AK137" s="3128"/>
      <c r="AL137" s="3128"/>
      <c r="AM137" s="3128" t="b">
        <f>AND(COUNTIF(K118:M122,"Mantenido"),OR(COUNTIF(K118:M122,"Sostenimiento Menor"),COUNTIF(K118:M122,"Sostenimiento Mayor")))</f>
        <v>0</v>
      </c>
      <c r="AN137" s="3129"/>
      <c r="AO137" s="3128"/>
      <c r="AP137" s="3128"/>
      <c r="AQ137" s="3128"/>
      <c r="AR137" s="3128"/>
      <c r="AS137" s="3128"/>
      <c r="AT137" s="3128"/>
      <c r="AU137" s="3132"/>
      <c r="AV137" s="3132"/>
      <c r="AW137" s="3132"/>
      <c r="AX137" s="3132"/>
      <c r="AY137" s="3128"/>
    </row>
    <row r="138" spans="1:51" ht="12.2" customHeight="1" x14ac:dyDescent="0.2">
      <c r="A138" s="2172"/>
      <c r="B138" s="2086">
        <f t="shared" si="2"/>
        <v>4</v>
      </c>
      <c r="C138" s="4584"/>
      <c r="D138" s="4595" t="s">
        <v>1548</v>
      </c>
      <c r="E138" s="4596"/>
      <c r="F138" s="4596"/>
      <c r="G138" s="4596"/>
      <c r="H138" s="4596"/>
      <c r="I138" s="4596"/>
      <c r="J138" s="4596"/>
      <c r="K138" s="4596"/>
      <c r="L138" s="4596"/>
      <c r="M138" s="4596"/>
      <c r="N138" s="4596"/>
      <c r="O138" s="4596"/>
      <c r="P138" s="4596"/>
      <c r="Q138" s="4596"/>
      <c r="R138" s="4596"/>
      <c r="S138" s="4596"/>
      <c r="T138" s="4596"/>
      <c r="U138" s="4596"/>
      <c r="V138" s="4596"/>
      <c r="W138" s="4596"/>
      <c r="X138" s="4596"/>
      <c r="Y138" s="4596"/>
      <c r="Z138" s="4596"/>
      <c r="AA138" s="4596"/>
      <c r="AB138" s="4596"/>
      <c r="AC138" s="4596"/>
      <c r="AD138" s="4596"/>
      <c r="AE138" s="4596"/>
      <c r="AF138" s="4596"/>
      <c r="AG138" s="4622"/>
      <c r="AH138" s="2180"/>
      <c r="AI138" s="4604"/>
      <c r="AJ138" s="3128" t="s">
        <v>9318</v>
      </c>
      <c r="AK138" s="3128"/>
      <c r="AL138" s="3128"/>
      <c r="AM138" s="312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8"/>
      <c r="AO138" s="3128"/>
      <c r="AP138" s="3128"/>
      <c r="AQ138" s="3129"/>
      <c r="AR138" s="3128"/>
      <c r="AS138" s="3128"/>
      <c r="AT138" s="3128"/>
      <c r="AU138" s="3132"/>
      <c r="AV138" s="3132"/>
      <c r="AW138" s="3132"/>
      <c r="AX138" s="3132"/>
      <c r="AY138" s="3128"/>
    </row>
    <row r="139" spans="1:51" ht="12.2" customHeight="1" x14ac:dyDescent="0.2">
      <c r="A139" s="2172"/>
      <c r="B139" s="2086">
        <f t="shared" si="2"/>
        <v>4</v>
      </c>
      <c r="C139" s="4584"/>
      <c r="D139" s="4624"/>
      <c r="E139" s="4744"/>
      <c r="F139" s="4744"/>
      <c r="G139" s="4744"/>
      <c r="H139" s="4744"/>
      <c r="I139" s="4744"/>
      <c r="J139" s="4744"/>
      <c r="K139" s="4744"/>
      <c r="L139" s="4744"/>
      <c r="M139" s="4744"/>
      <c r="N139" s="4744"/>
      <c r="O139" s="4744"/>
      <c r="P139" s="4744"/>
      <c r="Q139" s="4744"/>
      <c r="R139" s="4744"/>
      <c r="S139" s="4744"/>
      <c r="T139" s="4744"/>
      <c r="U139" s="4744"/>
      <c r="V139" s="4744"/>
      <c r="W139" s="4744"/>
      <c r="X139" s="4744"/>
      <c r="Y139" s="4744"/>
      <c r="Z139" s="4744"/>
      <c r="AA139" s="4744"/>
      <c r="AB139" s="4744"/>
      <c r="AC139" s="4744"/>
      <c r="AD139" s="4744"/>
      <c r="AE139" s="4744"/>
      <c r="AF139" s="4744"/>
      <c r="AG139" s="4626"/>
      <c r="AH139" s="2180"/>
      <c r="AI139" s="4604"/>
      <c r="AJ139" s="3128" t="s">
        <v>9326</v>
      </c>
      <c r="AK139" s="3128"/>
      <c r="AL139" s="3128"/>
      <c r="AM139" s="312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8"/>
      <c r="AO139" s="3128"/>
      <c r="AP139" s="3128"/>
      <c r="AQ139" s="3129"/>
      <c r="AR139" s="3128"/>
      <c r="AS139" s="3128"/>
      <c r="AT139" s="3128"/>
      <c r="AU139" s="3132"/>
      <c r="AV139" s="3132"/>
      <c r="AW139" s="3132"/>
      <c r="AX139" s="3132"/>
      <c r="AY139" s="3128"/>
    </row>
    <row r="140" spans="1:51" ht="12.2" customHeight="1" x14ac:dyDescent="0.2">
      <c r="A140" s="2172"/>
      <c r="B140" s="2086">
        <f t="shared" si="2"/>
        <v>4</v>
      </c>
      <c r="C140" s="4584"/>
      <c r="D140" s="4624"/>
      <c r="E140" s="4744"/>
      <c r="F140" s="4744"/>
      <c r="G140" s="4744"/>
      <c r="H140" s="4744"/>
      <c r="I140" s="4744"/>
      <c r="J140" s="4744"/>
      <c r="K140" s="4744"/>
      <c r="L140" s="4744"/>
      <c r="M140" s="4744"/>
      <c r="N140" s="4744"/>
      <c r="O140" s="4744"/>
      <c r="P140" s="4744"/>
      <c r="Q140" s="4744"/>
      <c r="R140" s="4744"/>
      <c r="S140" s="4744"/>
      <c r="T140" s="4744"/>
      <c r="U140" s="4744"/>
      <c r="V140" s="4744"/>
      <c r="W140" s="4744"/>
      <c r="X140" s="4744"/>
      <c r="Y140" s="4744"/>
      <c r="Z140" s="4744"/>
      <c r="AA140" s="4744"/>
      <c r="AB140" s="4744"/>
      <c r="AC140" s="4744"/>
      <c r="AD140" s="4744"/>
      <c r="AE140" s="4744"/>
      <c r="AF140" s="4744"/>
      <c r="AG140" s="4626"/>
      <c r="AH140" s="2180"/>
      <c r="AI140" s="4604"/>
      <c r="AJ140" s="3128" t="s">
        <v>9305</v>
      </c>
      <c r="AK140" s="3128"/>
      <c r="AL140" s="3128"/>
      <c r="AM140" s="3128" t="b">
        <f>AND((IF(SUM(V118:V122)&gt;0,1,0)+IF(SUM(X118:X122)&gt;0,1,0)+IF(SUM(Z118:Z122)&gt;0,1,0)+IF(SUM(AB118:AB122)&gt;0,1,0)+IF(SUM(AD118:AD122,)&gt;0,1,0)+IF(SUM(AF118:AF122)&gt;0,1,0))&lt;3,OR(V125&lt;0,X125&lt;0,Z125&lt;0,AB125&lt;0,AD125&lt;0,AF125&lt;0,Y123&lt;0))</f>
        <v>0</v>
      </c>
      <c r="AN140" s="3128"/>
      <c r="AO140" s="3128"/>
      <c r="AP140" s="3128"/>
      <c r="AQ140" s="3129"/>
      <c r="AR140" s="3128"/>
      <c r="AS140" s="3128"/>
      <c r="AT140" s="3128"/>
      <c r="AU140" s="3132"/>
      <c r="AV140" s="3132"/>
      <c r="AW140" s="3132"/>
      <c r="AX140" s="3132"/>
      <c r="AY140" s="3128"/>
    </row>
    <row r="141" spans="1:51" ht="12.2" customHeight="1" x14ac:dyDescent="0.2">
      <c r="A141" s="2172"/>
      <c r="B141" s="2086">
        <f t="shared" si="2"/>
        <v>4</v>
      </c>
      <c r="C141" s="4584"/>
      <c r="D141" s="4624"/>
      <c r="E141" s="4744"/>
      <c r="F141" s="4744"/>
      <c r="G141" s="4744"/>
      <c r="H141" s="4744"/>
      <c r="I141" s="4744"/>
      <c r="J141" s="4744"/>
      <c r="K141" s="4744"/>
      <c r="L141" s="4744"/>
      <c r="M141" s="4744"/>
      <c r="N141" s="4744"/>
      <c r="O141" s="4744"/>
      <c r="P141" s="4744"/>
      <c r="Q141" s="4744"/>
      <c r="R141" s="4744"/>
      <c r="S141" s="4744"/>
      <c r="T141" s="4744"/>
      <c r="U141" s="4744"/>
      <c r="V141" s="4744"/>
      <c r="W141" s="4744"/>
      <c r="X141" s="4744"/>
      <c r="Y141" s="4744"/>
      <c r="Z141" s="4744"/>
      <c r="AA141" s="4744"/>
      <c r="AB141" s="4744"/>
      <c r="AC141" s="4744"/>
      <c r="AD141" s="4744"/>
      <c r="AE141" s="4744"/>
      <c r="AF141" s="4744"/>
      <c r="AG141" s="4626"/>
      <c r="AH141" s="2180"/>
      <c r="AI141" s="4604"/>
      <c r="AJ141" s="3128" t="s">
        <v>9320</v>
      </c>
      <c r="AK141" s="3128"/>
      <c r="AL141" s="3128"/>
      <c r="AM141" s="3128" t="b">
        <f>OR(-V125&gt;TRUNC(SUM(V118:V122)/2),-X125&gt;TRUNC(SUM(X118:X122)/2),-Z125&gt;TRUNC(SUM(Z118:Z122)/2),-AB125&gt;TRUNC(SUM(AB118:AB122)/2),-AD125&gt;TRUNC(SUM(AD118:AD122)/2),-AF125&gt;TRUNC(SUM(AF118:AF122)/2))</f>
        <v>0</v>
      </c>
      <c r="AN141" s="3128"/>
      <c r="AO141" s="3128"/>
      <c r="AP141" s="3128"/>
      <c r="AQ141" s="3129"/>
      <c r="AR141" s="3128"/>
      <c r="AS141" s="3128"/>
      <c r="AT141" s="3128"/>
      <c r="AU141" s="3132"/>
      <c r="AV141" s="3132"/>
      <c r="AW141" s="3132"/>
      <c r="AX141" s="3132"/>
      <c r="AY141" s="3128"/>
    </row>
    <row r="142" spans="1:51" ht="12.2" customHeight="1" x14ac:dyDescent="0.2">
      <c r="A142" s="2172"/>
      <c r="B142" s="2086">
        <f t="shared" si="2"/>
        <v>4</v>
      </c>
      <c r="C142" s="4584"/>
      <c r="D142" s="4624"/>
      <c r="E142" s="4744"/>
      <c r="F142" s="4744"/>
      <c r="G142" s="4744"/>
      <c r="H142" s="4744"/>
      <c r="I142" s="4744"/>
      <c r="J142" s="4744"/>
      <c r="K142" s="4744"/>
      <c r="L142" s="4744"/>
      <c r="M142" s="4744"/>
      <c r="N142" s="4744"/>
      <c r="O142" s="4744"/>
      <c r="P142" s="4744"/>
      <c r="Q142" s="4744"/>
      <c r="R142" s="4744"/>
      <c r="S142" s="4744"/>
      <c r="T142" s="4744"/>
      <c r="U142" s="4744"/>
      <c r="V142" s="4744"/>
      <c r="W142" s="4744"/>
      <c r="X142" s="4744"/>
      <c r="Y142" s="4744"/>
      <c r="Z142" s="4744"/>
      <c r="AA142" s="4744"/>
      <c r="AB142" s="4744"/>
      <c r="AC142" s="4744"/>
      <c r="AD142" s="4744"/>
      <c r="AE142" s="4744"/>
      <c r="AF142" s="4744"/>
      <c r="AG142" s="4626"/>
      <c r="AH142" s="2180"/>
      <c r="AI142" s="4604"/>
      <c r="AJ142" s="3128" t="s">
        <v>9321</v>
      </c>
      <c r="AK142" s="3128"/>
      <c r="AL142" s="3128"/>
      <c r="AM142" s="3128" t="b">
        <f>COUNTIF(D118:E122,"Primario")&gt;1</f>
        <v>0</v>
      </c>
      <c r="AN142" s="3128"/>
      <c r="AO142" s="3128"/>
      <c r="AP142" s="3128"/>
      <c r="AQ142" s="3129"/>
      <c r="AR142" s="3129"/>
      <c r="AS142" s="3129"/>
      <c r="AT142" s="3129"/>
      <c r="AU142" s="3132"/>
      <c r="AV142" s="3132"/>
      <c r="AW142" s="3132"/>
      <c r="AX142" s="3128"/>
      <c r="AY142" s="3128"/>
    </row>
    <row r="143" spans="1:51" ht="12.2" customHeight="1" x14ac:dyDescent="0.2">
      <c r="A143" s="2172"/>
      <c r="B143" s="2086">
        <f t="shared" si="2"/>
        <v>4</v>
      </c>
      <c r="C143" s="4584"/>
      <c r="D143" s="4624"/>
      <c r="E143" s="4744"/>
      <c r="F143" s="4744"/>
      <c r="G143" s="4744"/>
      <c r="H143" s="4744"/>
      <c r="I143" s="4744"/>
      <c r="J143" s="4744"/>
      <c r="K143" s="4744"/>
      <c r="L143" s="4744"/>
      <c r="M143" s="4744"/>
      <c r="N143" s="4744"/>
      <c r="O143" s="4744"/>
      <c r="P143" s="4744"/>
      <c r="Q143" s="4744"/>
      <c r="R143" s="4744"/>
      <c r="S143" s="4744"/>
      <c r="T143" s="4744"/>
      <c r="U143" s="4744"/>
      <c r="V143" s="4744"/>
      <c r="W143" s="4744"/>
      <c r="X143" s="4744"/>
      <c r="Y143" s="4744"/>
      <c r="Z143" s="4744"/>
      <c r="AA143" s="4744"/>
      <c r="AB143" s="4744"/>
      <c r="AC143" s="4744"/>
      <c r="AD143" s="4744"/>
      <c r="AE143" s="4744"/>
      <c r="AF143" s="4744"/>
      <c r="AG143" s="4626"/>
      <c r="AH143" s="2180"/>
      <c r="AI143" s="4604"/>
      <c r="AJ143" s="3128" t="s">
        <v>9304</v>
      </c>
      <c r="AK143" s="3128"/>
      <c r="AL143" s="3128"/>
      <c r="AM143" s="3128" t="b">
        <f>SUM(V125:AG125)&lt;&gt;Y123+ABS(AC123)*2/5+IF(S114="Sí",3*P114,0)</f>
        <v>0</v>
      </c>
      <c r="AN143" s="3128"/>
      <c r="AO143" s="3128"/>
      <c r="AP143" s="3128"/>
      <c r="AQ143" s="3129"/>
      <c r="AR143" s="3129"/>
      <c r="AS143" s="3129"/>
      <c r="AT143" s="3129"/>
      <c r="AU143" s="3132"/>
      <c r="AV143" s="3132"/>
      <c r="AW143" s="3132"/>
      <c r="AX143" s="3128"/>
      <c r="AY143" s="3128"/>
    </row>
    <row r="144" spans="1:51" ht="12.2" customHeight="1" x14ac:dyDescent="0.2">
      <c r="A144" s="2172"/>
      <c r="B144" s="2086">
        <f t="shared" si="2"/>
        <v>4</v>
      </c>
      <c r="C144" s="4584"/>
      <c r="D144" s="4624"/>
      <c r="E144" s="4744"/>
      <c r="F144" s="4744"/>
      <c r="G144" s="4744"/>
      <c r="H144" s="4744"/>
      <c r="I144" s="4744"/>
      <c r="J144" s="4744"/>
      <c r="K144" s="4744"/>
      <c r="L144" s="4744"/>
      <c r="M144" s="4744"/>
      <c r="N144" s="4744"/>
      <c r="O144" s="4744"/>
      <c r="P144" s="4744"/>
      <c r="Q144" s="4744"/>
      <c r="R144" s="4744"/>
      <c r="S144" s="4744"/>
      <c r="T144" s="4744"/>
      <c r="U144" s="4744"/>
      <c r="V144" s="4744"/>
      <c r="W144" s="4744"/>
      <c r="X144" s="4744"/>
      <c r="Y144" s="4744"/>
      <c r="Z144" s="4744"/>
      <c r="AA144" s="4744"/>
      <c r="AB144" s="4744"/>
      <c r="AC144" s="4744"/>
      <c r="AD144" s="4744"/>
      <c r="AE144" s="4744"/>
      <c r="AF144" s="4744"/>
      <c r="AG144" s="4626"/>
      <c r="AH144" s="2180"/>
      <c r="AI144" s="4604"/>
      <c r="AJ144" s="3128" t="s">
        <v>9303</v>
      </c>
      <c r="AK144" s="3128"/>
      <c r="AL144" s="3128"/>
      <c r="AM144" s="3128" t="b">
        <f>AL131-AL132+AM131-AM132&lt;&gt;0</f>
        <v>0</v>
      </c>
      <c r="AN144" s="3132"/>
      <c r="AO144" s="3132"/>
      <c r="AP144" s="3132"/>
      <c r="AQ144" s="3132"/>
      <c r="AR144" s="3129"/>
      <c r="AS144" s="3129"/>
      <c r="AT144" s="3129"/>
      <c r="AU144" s="3132"/>
      <c r="AV144" s="3132"/>
      <c r="AW144" s="3132"/>
      <c r="AX144" s="3128"/>
      <c r="AY144" s="3128"/>
    </row>
    <row r="145" spans="1:51" ht="12.2" customHeight="1" thickBot="1" x14ac:dyDescent="0.25">
      <c r="A145" s="2172"/>
      <c r="B145" s="2086"/>
      <c r="C145" s="4585"/>
      <c r="D145" s="4586"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87"/>
      <c r="F145" s="4587"/>
      <c r="G145" s="4587"/>
      <c r="H145" s="4587"/>
      <c r="I145" s="4587"/>
      <c r="J145" s="4587"/>
      <c r="K145" s="4587"/>
      <c r="L145" s="4587"/>
      <c r="M145" s="4587"/>
      <c r="N145" s="4587"/>
      <c r="O145" s="4587"/>
      <c r="P145" s="4587"/>
      <c r="Q145" s="4587"/>
      <c r="R145" s="4587"/>
      <c r="S145" s="4587"/>
      <c r="T145" s="4587"/>
      <c r="U145" s="4587"/>
      <c r="V145" s="4587"/>
      <c r="W145" s="4587"/>
      <c r="X145" s="4587"/>
      <c r="Y145" s="4587"/>
      <c r="Z145" s="4587"/>
      <c r="AA145" s="4587"/>
      <c r="AB145" s="4587"/>
      <c r="AC145" s="4587"/>
      <c r="AD145" s="4587"/>
      <c r="AE145" s="4587"/>
      <c r="AF145" s="4587"/>
      <c r="AG145" s="4588"/>
      <c r="AH145" s="2180"/>
      <c r="AI145" s="4604"/>
      <c r="AJ145" s="3128" t="s">
        <v>9340</v>
      </c>
      <c r="AK145" s="3132"/>
      <c r="AL145" s="3132"/>
      <c r="AM145" s="3132" t="b">
        <f>ABS(SUM(N123:N125))&gt;(SUM(N118:N122)-10*Y123+AC123+IF(S114="Sí",10*P114,0)+IF(COUNTIF(K118:M122,"Mantenido")&gt;0,P114*10)+MAX(IF(COUNTIF(K118:M122,"Sostenimiento Menor")&gt;0,P114*20)+IF(COUNTIF(K118:M122,"Sostenimiento Mayor")&gt;0,P114*30)))/2</f>
        <v>0</v>
      </c>
      <c r="AN145" s="3128"/>
      <c r="AO145" s="3128"/>
      <c r="AP145" s="3128"/>
      <c r="AQ145" s="3128"/>
      <c r="AR145" s="3129"/>
      <c r="AS145" s="3129"/>
      <c r="AT145" s="3129"/>
      <c r="AU145" s="3132"/>
      <c r="AV145" s="3132"/>
      <c r="AW145" s="3132"/>
      <c r="AX145" s="3128"/>
      <c r="AY145" s="3128"/>
    </row>
    <row r="146" spans="1:51" ht="12.2" customHeight="1" x14ac:dyDescent="0.2">
      <c r="A146" s="2172"/>
      <c r="B146" s="2086"/>
      <c r="C146" s="4581"/>
      <c r="D146" s="4581" t="str">
        <f>IFERROR(VLOOKUP(D127,'Tablas Técnicas'!$O$9:$T$88,2,FALSE),"")</f>
        <v/>
      </c>
      <c r="E146" s="4581"/>
      <c r="F146" s="4581"/>
      <c r="G146" s="4581"/>
      <c r="H146" s="4581"/>
      <c r="I146" s="4581"/>
      <c r="J146" s="4581" t="str">
        <f>IFERROR(VLOOKUP(J127,'Tablas Técnicas'!$O$9:$T$88,2,FALSE),"")</f>
        <v/>
      </c>
      <c r="K146" s="4581"/>
      <c r="L146" s="4581"/>
      <c r="M146" s="4581"/>
      <c r="N146" s="4581"/>
      <c r="O146" s="4581"/>
      <c r="P146" s="4581" t="str">
        <f>IFERROR(VLOOKUP(P127,'Tablas Técnicas'!$O$9:$T$88,2,FALSE),"")</f>
        <v/>
      </c>
      <c r="Q146" s="4581"/>
      <c r="R146" s="4581"/>
      <c r="S146" s="4581"/>
      <c r="T146" s="4581"/>
      <c r="U146" s="4581"/>
      <c r="V146" s="4581" t="str">
        <f>IFERROR(VLOOKUP(V127,'Tablas Técnicas'!$O$9:$T$88,2,FALSE),"")</f>
        <v/>
      </c>
      <c r="W146" s="4581"/>
      <c r="X146" s="4581"/>
      <c r="Y146" s="4581"/>
      <c r="Z146" s="4581"/>
      <c r="AA146" s="4581"/>
      <c r="AB146" s="4581" t="str">
        <f>IFERROR(VLOOKUP(AB127,'Tablas Técnicas'!$O$9:$T$88,2,FALSE),"")</f>
        <v/>
      </c>
      <c r="AC146" s="4581"/>
      <c r="AD146" s="4581"/>
      <c r="AE146" s="4581"/>
      <c r="AF146" s="4581"/>
      <c r="AG146" s="4581"/>
      <c r="AH146" s="2180"/>
      <c r="AI146" s="1908"/>
      <c r="AJ146" s="3128"/>
      <c r="AK146" s="3128"/>
      <c r="AL146" s="3128"/>
      <c r="AM146" s="3128"/>
      <c r="AN146" s="3128"/>
      <c r="AO146" s="3128"/>
      <c r="AP146" s="3128"/>
      <c r="AQ146" s="3128"/>
      <c r="AR146" s="3129"/>
      <c r="AS146" s="3129"/>
      <c r="AT146" s="3129"/>
      <c r="AU146" s="3132"/>
      <c r="AV146" s="3132"/>
      <c r="AW146" s="3132"/>
      <c r="AX146" s="3132"/>
      <c r="AY146" s="3128"/>
    </row>
    <row r="147" spans="1:51" ht="12.2" customHeight="1" thickBot="1" x14ac:dyDescent="0.25">
      <c r="A147" s="2172"/>
      <c r="B147" s="2086"/>
      <c r="C147" s="4581"/>
      <c r="D147" s="2541"/>
      <c r="E147" s="2542"/>
      <c r="F147" s="2542"/>
      <c r="G147" s="2542"/>
      <c r="H147" s="2542"/>
      <c r="I147" s="2542"/>
      <c r="J147" s="2542"/>
      <c r="K147" s="2542"/>
      <c r="L147" s="2542"/>
      <c r="M147" s="2542"/>
      <c r="N147" s="2542"/>
      <c r="O147" s="2542"/>
      <c r="P147" s="2542"/>
      <c r="Q147" s="2542"/>
      <c r="R147" s="2542"/>
      <c r="S147" s="2542"/>
      <c r="T147" s="2542"/>
      <c r="U147" s="2542"/>
      <c r="V147" s="2543"/>
      <c r="W147" s="2543"/>
      <c r="X147" s="2543"/>
      <c r="Y147" s="2543"/>
      <c r="Z147" s="2543"/>
      <c r="AA147" s="2543"/>
      <c r="AB147" s="2543"/>
      <c r="AC147" s="2543"/>
      <c r="AD147" s="2543"/>
      <c r="AE147" s="2543"/>
      <c r="AF147" s="2542"/>
      <c r="AG147" s="2542"/>
      <c r="AH147" s="2180"/>
      <c r="AI147" s="1908"/>
      <c r="AJ147" s="3136"/>
      <c r="AK147" s="3136"/>
      <c r="AL147" s="3136"/>
      <c r="AM147" s="3136"/>
      <c r="AN147" s="3136"/>
      <c r="AO147" s="3136"/>
      <c r="AP147" s="3128"/>
      <c r="AQ147" s="3129"/>
      <c r="AR147" s="3132"/>
      <c r="AS147" s="3132"/>
      <c r="AT147" s="3132"/>
      <c r="AU147" s="3132"/>
      <c r="AV147" s="3132"/>
      <c r="AW147" s="3132"/>
      <c r="AX147" s="3132"/>
      <c r="AY147" s="3137"/>
    </row>
    <row r="148" spans="1:51" ht="12.2" customHeight="1" x14ac:dyDescent="0.2">
      <c r="A148" s="2172"/>
      <c r="B148" s="2086">
        <f t="shared" ref="B148:B178" si="3">1+B114</f>
        <v>5</v>
      </c>
      <c r="C148" s="4583" t="str">
        <f>"Técnica "&amp;B148</f>
        <v>Técnica 5</v>
      </c>
      <c r="D148" s="4682" t="s">
        <v>8711</v>
      </c>
      <c r="E148" s="4683"/>
      <c r="F148" s="4683"/>
      <c r="G148" s="4683"/>
      <c r="H148" s="4683"/>
      <c r="I148" s="4683"/>
      <c r="J148" s="4683"/>
      <c r="K148" s="4683"/>
      <c r="L148" s="4683"/>
      <c r="M148" s="4683"/>
      <c r="N148" s="4684"/>
      <c r="O148" s="4688" t="s">
        <v>1325</v>
      </c>
      <c r="P148" s="4690">
        <v>1</v>
      </c>
      <c r="Q148" s="4692" t="s">
        <v>8795</v>
      </c>
      <c r="R148" s="4693"/>
      <c r="S148" s="4696" t="s">
        <v>1381</v>
      </c>
      <c r="T148" s="4697" t="s">
        <v>1505</v>
      </c>
      <c r="U148" s="4699">
        <f>MAX(IF(P148=3,60,IF(P148=2,40,20)),MIN(SUM(N152:N159)-10*Y157+AC157+IF(S148="Sí",10*P148,0)+IF(COUNTIF(K152:M156,"Mantenido")&gt;0,P148*10)+MAX(IF(COUNTIF(K152:M156,"Sostenimiento Menor")&gt;0,P148*20)+IF(COUNTIF(K152:M156,"Sostenimiento Mayor")&gt;0,P148*30))))</f>
        <v>20</v>
      </c>
      <c r="V148" s="4692" t="s">
        <v>8796</v>
      </c>
      <c r="W148" s="4697"/>
      <c r="X148" s="4612" t="str">
        <f>IFERROR(LEFT(AK164&amp;AL164&amp;AM164&amp;AN164&amp;AO164&amp;AP164,LEN(AK164&amp;AL164&amp;AM164&amp;AN164&amp;AO164&amp;AP164)-2),"")</f>
        <v/>
      </c>
      <c r="Y148" s="4612"/>
      <c r="Z148" s="4612"/>
      <c r="AA148" s="4612"/>
      <c r="AB148" s="4612"/>
      <c r="AC148" s="4612"/>
      <c r="AD148" s="4612"/>
      <c r="AE148" s="4612"/>
      <c r="AF148" s="4612"/>
      <c r="AG148" s="4613"/>
      <c r="AH148" s="2180"/>
      <c r="AI148" s="4604"/>
      <c r="AJ148" s="3133" t="s">
        <v>9337</v>
      </c>
      <c r="AK148" s="3133"/>
      <c r="AL148" s="3133"/>
      <c r="AM148" s="3133"/>
      <c r="AN148" s="3133"/>
      <c r="AO148" s="3133"/>
      <c r="AP148" s="3133"/>
      <c r="AQ148" s="3133"/>
      <c r="AR148" s="3133"/>
      <c r="AS148" s="3128"/>
      <c r="AT148" s="3128"/>
      <c r="AU148" s="3128"/>
      <c r="AV148" s="3128"/>
      <c r="AW148" s="3132"/>
      <c r="AX148" s="3132"/>
      <c r="AY148" s="3128"/>
    </row>
    <row r="149" spans="1:51" ht="12.2" customHeight="1" x14ac:dyDescent="0.2">
      <c r="A149" s="2172"/>
      <c r="B149" s="2086">
        <f t="shared" si="3"/>
        <v>5</v>
      </c>
      <c r="C149" s="4584"/>
      <c r="D149" s="4685"/>
      <c r="E149" s="4731"/>
      <c r="F149" s="4731"/>
      <c r="G149" s="4731"/>
      <c r="H149" s="4731"/>
      <c r="I149" s="4731"/>
      <c r="J149" s="4731"/>
      <c r="K149" s="4731"/>
      <c r="L149" s="4731"/>
      <c r="M149" s="4731"/>
      <c r="N149" s="4732"/>
      <c r="O149" s="4689"/>
      <c r="P149" s="4691"/>
      <c r="Q149" s="4694"/>
      <c r="R149" s="4695"/>
      <c r="S149" s="4691"/>
      <c r="T149" s="4733"/>
      <c r="U149" s="4734"/>
      <c r="V149" s="4694"/>
      <c r="W149" s="4733"/>
      <c r="X149" s="4739"/>
      <c r="Y149" s="4739"/>
      <c r="Z149" s="4739"/>
      <c r="AA149" s="4739"/>
      <c r="AB149" s="4739"/>
      <c r="AC149" s="4739"/>
      <c r="AD149" s="4739"/>
      <c r="AE149" s="4739"/>
      <c r="AF149" s="4739"/>
      <c r="AG149" s="4615"/>
      <c r="AH149" s="2180"/>
      <c r="AI149" s="4604"/>
      <c r="AJ149" s="3133"/>
      <c r="AK149" s="3133" t="s">
        <v>9338</v>
      </c>
      <c r="AL149" s="3133" t="s">
        <v>10493</v>
      </c>
      <c r="AM149" s="3134"/>
      <c r="AN149" s="3134"/>
      <c r="AO149" s="3134"/>
      <c r="AP149" s="3134"/>
      <c r="AQ149" s="3134"/>
      <c r="AR149" s="3133"/>
      <c r="AS149" s="3128"/>
      <c r="AT149" s="3128"/>
      <c r="AU149" s="3128"/>
      <c r="AV149" s="3128"/>
      <c r="AW149" s="3132"/>
      <c r="AX149" s="4582" t="s">
        <v>9307</v>
      </c>
      <c r="AY149" s="4582"/>
    </row>
    <row r="150" spans="1:51" ht="12.2" customHeight="1" x14ac:dyDescent="0.2">
      <c r="A150" s="2172"/>
      <c r="B150" s="2086">
        <f t="shared" si="3"/>
        <v>5</v>
      </c>
      <c r="C150" s="4584"/>
      <c r="D150" s="4595" t="s">
        <v>2823</v>
      </c>
      <c r="E150" s="4596"/>
      <c r="F150" s="4596"/>
      <c r="G150" s="4596"/>
      <c r="H150" s="4596"/>
      <c r="I150" s="4596"/>
      <c r="J150" s="4596"/>
      <c r="K150" s="4679" t="s">
        <v>9630</v>
      </c>
      <c r="L150" s="4679"/>
      <c r="M150" s="4679"/>
      <c r="N150" s="4596" t="s">
        <v>1499</v>
      </c>
      <c r="O150" s="4679" t="s">
        <v>2821</v>
      </c>
      <c r="P150" s="4679" t="s">
        <v>8797</v>
      </c>
      <c r="Q150" s="4596" t="s">
        <v>1364</v>
      </c>
      <c r="R150" s="4596"/>
      <c r="S150" s="4596"/>
      <c r="T150" s="4596"/>
      <c r="U150" s="4596"/>
      <c r="V150" s="4659" t="s">
        <v>1373</v>
      </c>
      <c r="W150" s="4654"/>
      <c r="X150" s="4659" t="s">
        <v>1497</v>
      </c>
      <c r="Y150" s="4660"/>
      <c r="Z150" s="4654" t="s">
        <v>1378</v>
      </c>
      <c r="AA150" s="4654"/>
      <c r="AB150" s="4659" t="s">
        <v>1383</v>
      </c>
      <c r="AC150" s="4660"/>
      <c r="AD150" s="4654" t="s">
        <v>1390</v>
      </c>
      <c r="AE150" s="4654"/>
      <c r="AF150" s="4659" t="s">
        <v>1391</v>
      </c>
      <c r="AG150" s="4655"/>
      <c r="AH150" s="2180"/>
      <c r="AI150" s="4604"/>
      <c r="AJ150" s="3128"/>
      <c r="AK150" s="3128"/>
      <c r="AL150" s="3128" t="s">
        <v>9609</v>
      </c>
      <c r="AM150" s="3128"/>
      <c r="AN150" s="3128"/>
      <c r="AO150" s="3128"/>
      <c r="AP150" s="3128"/>
      <c r="AQ150" s="3128"/>
      <c r="AR150" s="3132"/>
      <c r="AS150" s="3132" t="s">
        <v>9327</v>
      </c>
      <c r="AT150" s="3132" t="s">
        <v>9328</v>
      </c>
      <c r="AU150" s="3128" t="s">
        <v>9316</v>
      </c>
      <c r="AV150" s="3128" t="s">
        <v>9317</v>
      </c>
      <c r="AW150" s="3132" t="s">
        <v>1499</v>
      </c>
      <c r="AX150" s="3132" t="s">
        <v>8799</v>
      </c>
      <c r="AY150" s="3128" t="s">
        <v>8800</v>
      </c>
    </row>
    <row r="151" spans="1:51" ht="12.2" customHeight="1" x14ac:dyDescent="0.2">
      <c r="A151" s="2172"/>
      <c r="B151" s="2086">
        <f t="shared" si="3"/>
        <v>5</v>
      </c>
      <c r="C151" s="4584"/>
      <c r="D151" s="4737"/>
      <c r="E151" s="4738"/>
      <c r="F151" s="4738"/>
      <c r="G151" s="4738"/>
      <c r="H151" s="4738"/>
      <c r="I151" s="4738"/>
      <c r="J151" s="4738"/>
      <c r="K151" s="4735"/>
      <c r="L151" s="4735"/>
      <c r="M151" s="4735"/>
      <c r="N151" s="4725"/>
      <c r="O151" s="4735"/>
      <c r="P151" s="4736"/>
      <c r="Q151" s="4725"/>
      <c r="R151" s="4725"/>
      <c r="S151" s="4725"/>
      <c r="T151" s="4725"/>
      <c r="U151" s="4725"/>
      <c r="V151" s="2522" t="s">
        <v>9306</v>
      </c>
      <c r="W151" s="2523" t="s">
        <v>2827</v>
      </c>
      <c r="X151" s="2522" t="s">
        <v>9306</v>
      </c>
      <c r="Y151" s="2523" t="s">
        <v>2827</v>
      </c>
      <c r="Z151" s="2522" t="s">
        <v>9306</v>
      </c>
      <c r="AA151" s="2523" t="s">
        <v>2827</v>
      </c>
      <c r="AB151" s="2522" t="s">
        <v>9306</v>
      </c>
      <c r="AC151" s="2523" t="s">
        <v>2827</v>
      </c>
      <c r="AD151" s="2522" t="s">
        <v>9306</v>
      </c>
      <c r="AE151" s="2523" t="s">
        <v>2827</v>
      </c>
      <c r="AF151" s="2522" t="s">
        <v>9306</v>
      </c>
      <c r="AG151" s="2524" t="s">
        <v>2827</v>
      </c>
      <c r="AH151" s="2180"/>
      <c r="AI151" s="4604"/>
      <c r="AJ151" s="3128"/>
      <c r="AK151" s="3128" t="s">
        <v>9308</v>
      </c>
      <c r="AL151" s="3128">
        <v>1</v>
      </c>
      <c r="AM151" s="3128">
        <v>2</v>
      </c>
      <c r="AN151" s="3128">
        <v>3</v>
      </c>
      <c r="AO151" s="3128">
        <v>4</v>
      </c>
      <c r="AP151" s="3128">
        <v>5</v>
      </c>
      <c r="AQ151" s="3128">
        <v>6</v>
      </c>
      <c r="AR151" s="3128">
        <v>7</v>
      </c>
      <c r="AS151" s="3132"/>
      <c r="AT151" s="3128" t="s">
        <v>9339</v>
      </c>
      <c r="AU151" s="3132"/>
      <c r="AV151" s="3132"/>
      <c r="AW151" s="3132" t="s">
        <v>9339</v>
      </c>
      <c r="AX151" s="3132"/>
      <c r="AY151" s="3128"/>
    </row>
    <row r="152" spans="1:51" ht="12.2" customHeight="1" x14ac:dyDescent="0.2">
      <c r="A152" s="2172"/>
      <c r="B152" s="2086">
        <f t="shared" si="3"/>
        <v>5</v>
      </c>
      <c r="C152" s="4584"/>
      <c r="D152" s="4670" t="s">
        <v>8801</v>
      </c>
      <c r="E152" s="4671"/>
      <c r="F152" s="4672"/>
      <c r="G152" s="4673"/>
      <c r="H152" s="4673"/>
      <c r="I152" s="4673"/>
      <c r="J152" s="4674"/>
      <c r="K152" s="4641" t="s">
        <v>1455</v>
      </c>
      <c r="L152" s="4642"/>
      <c r="M152" s="4643"/>
      <c r="N152" s="2516">
        <f>IF(AW152&gt;0,IF(VLOOKUP(F152,'Tablas Técnicas'!$O$9:$X$88,10,0),MAX(5,AW152-5),AW152),0)</f>
        <v>0</v>
      </c>
      <c r="O152" s="2516" t="str">
        <f>AS152&amp;" / "&amp;AT152</f>
        <v>0 / 0</v>
      </c>
      <c r="P152" s="2516" t="str">
        <f t="array" ref="P152">W152+Y152+AA152+AC152+AE152+AG152&amp;" / "&amp;IF(K152&lt;&gt;"Mantenido",0,SUM(IF($AL152:$AR152='Tablas Técnicas'!$L$10:$L$643,'Tablas Técnicas'!$H$10:$H$643,0)))</f>
        <v>0 / 0</v>
      </c>
      <c r="Q152" s="4678" t="str">
        <f>IFERROR(VLOOKUP(F152,'Tablas Técnicas'!$O$9:$T$88,5,FALSE),"")</f>
        <v/>
      </c>
      <c r="R152" s="4678"/>
      <c r="S152" s="4678"/>
      <c r="T152" s="4678"/>
      <c r="U152" s="4678"/>
      <c r="V152" s="2042"/>
      <c r="W152" s="2043"/>
      <c r="X152" s="2042"/>
      <c r="Y152" s="2044"/>
      <c r="Z152" s="2045"/>
      <c r="AA152" s="2043"/>
      <c r="AB152" s="2042"/>
      <c r="AC152" s="2044"/>
      <c r="AD152" s="2045"/>
      <c r="AE152" s="2043"/>
      <c r="AF152" s="2042"/>
      <c r="AG152" s="2046"/>
      <c r="AH152" s="2180"/>
      <c r="AI152" s="4604"/>
      <c r="AJ152" s="3128">
        <v>1</v>
      </c>
      <c r="AK152" s="3128">
        <f>P148</f>
        <v>1</v>
      </c>
      <c r="AL152" s="3128" t="str">
        <f>IF(AND(ISNUMBER(MATCH($F152,'Tablas Técnicas'!$L$10:$L$643,0)),INDEX($D165:$D171,Tablas!A$1)="",COUNTIF(AM152:$AS152,$F152)=0),$F152,IF(INDEX($D165:$D171,Tablas!A$1)="","",$F152&amp;INDEX($D165:$D171,Tablas!A$1)))</f>
        <v/>
      </c>
      <c r="AM152" s="3128" t="str">
        <f>IF(AND(ISNUMBER(MATCH($F152,'Tablas Técnicas'!$L$10:$L$643,0)),INDEX($D165:$D171,Tablas!B$1)="",COUNTIF(AN152:$AS152,$F152)=0),$F152,IF(INDEX($D165:$D171,Tablas!B$1)="","",$F152&amp;INDEX($D165:$D171,Tablas!B$1)))</f>
        <v/>
      </c>
      <c r="AN152" s="3128" t="str">
        <f>IF(AND(ISNUMBER(MATCH($F152,'Tablas Técnicas'!$L$10:$L$643,0)),INDEX($D165:$D171,Tablas!C$1)="",COUNTIF(AO152:$AS152,$F152)=0),$F152,IF(INDEX($D165:$D171,Tablas!C$1)="","",$F152&amp;INDEX($D165:$D171,Tablas!C$1)))</f>
        <v/>
      </c>
      <c r="AO152" s="3128" t="str">
        <f>IF(AND(ISNUMBER(MATCH($F152,'Tablas Técnicas'!$L$10:$L$643,0)),INDEX($D165:$D171,Tablas!D$1)="",COUNTIF(AP152:$AS152,$F152)=0),$F152,IF(INDEX($D165:$D171,Tablas!D$1)="","",$F152&amp;INDEX($D165:$D171,Tablas!D$1)))</f>
        <v/>
      </c>
      <c r="AP152" s="3128" t="str">
        <f>IF(AND(ISNUMBER(MATCH($F152,'Tablas Técnicas'!$L$10:$L$643,0)),INDEX($D165:$D171,Tablas!E$1)="",COUNTIF(AQ152:$AS152,$F152)=0),$F152,IF(INDEX($D165:$D171,Tablas!E$1)="","",$F152&amp;INDEX($D165:$D171,Tablas!E$1)))</f>
        <v/>
      </c>
      <c r="AQ152" s="3128" t="str">
        <f>IF(AND(ISNUMBER(MATCH($F152,'Tablas Técnicas'!$L$10:$L$643,0)),INDEX($D165:$D171,Tablas!F$1)="",COUNTIF(AR152:$AS152,$F152)=0),$F152,IF(INDEX($D165:$D171,Tablas!F$1)="","",$F152&amp;INDEX($D165:$D171,Tablas!F$1)))</f>
        <v/>
      </c>
      <c r="AR152" s="3128" t="str">
        <f>IF(AND(ISNUMBER(MATCH($F152,'Tablas Técnicas'!$L$10:$L$643,0)),INDEX($D165:$D171,Tablas!G$1)="",COUNTIF(AS152:$AS152,$F152)=0),$F152,IF(INDEX($D165:$D171,Tablas!G$1)="","",$F152&amp;INDEX($D165:$D171,Tablas!G$1)))</f>
        <v/>
      </c>
      <c r="AS152" s="3132">
        <f>V152+X152+Z152+AB152+AD152+AF152</f>
        <v>0</v>
      </c>
      <c r="AT152" s="3132">
        <f t="array" ref="AT152">SUM(IF($AL152:$AR152='Tablas Técnicas'!$L$10:$L$643,IF(D152="Primario",'Tablas Técnicas'!$E$10:$E$643,'Tablas Técnicas'!$F$10:$F$643)+IF(K152="Sostenimiento menor",'Tablas Técnicas'!$I$10:$I$643,IF(K152="sostenimiento mayor",'Tablas Técnicas'!$J$10:$J$643,0)),0),0)+VALUE(RIGHT(P152,2))+AU152+AV152</f>
        <v>0</v>
      </c>
      <c r="AU152" s="313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32">
        <f>(COUNTIF(AL152:AR152,"*Estado añadido:*")-1)*COUNTIF(AL152:AR152,"*Estado añadido:*")</f>
        <v>0</v>
      </c>
      <c r="AW152" s="3132">
        <f t="array" ref="AW152">SUM(IF($AL152:$AR152='Tablas Técnicas'!$L$10:$L$643,'Tablas Técnicas'!$G$10:$G$643,0))</f>
        <v>0</v>
      </c>
      <c r="AX152" s="312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8" t="str">
        <f>IFERROR(LEFT(AX152,LEN(AX152)-2)&amp;"), ","")</f>
        <v/>
      </c>
    </row>
    <row r="153" spans="1:51" ht="12.2" customHeight="1" x14ac:dyDescent="0.2">
      <c r="A153" s="2172"/>
      <c r="B153" s="2086">
        <f t="shared" si="3"/>
        <v>5</v>
      </c>
      <c r="C153" s="4584"/>
      <c r="D153" s="4629" t="s">
        <v>524</v>
      </c>
      <c r="E153" s="4630"/>
      <c r="F153" s="4661"/>
      <c r="G153" s="4662"/>
      <c r="H153" s="4662"/>
      <c r="I153" s="4662"/>
      <c r="J153" s="4663"/>
      <c r="K153" s="4664" t="s">
        <v>1455</v>
      </c>
      <c r="L153" s="4665"/>
      <c r="M153" s="4666"/>
      <c r="N153" s="2525">
        <f>IF(AW153&gt;0,IF(VLOOKUP(F153,'Tablas Técnicas'!$O$9:$X$88,10,0),MAX(5,AW153-5),AW153),0)</f>
        <v>0</v>
      </c>
      <c r="O153" s="2525" t="str">
        <f>AS153&amp;" / "&amp;AT153</f>
        <v>0 / 0</v>
      </c>
      <c r="P153" s="2525" t="str">
        <f t="array" ref="P153">W153+Y153+AA153+AC153+AE153+AG153&amp;" / "&amp;IF(K153&lt;&gt;"Mantenido",0,SUM(IF($AL153:$AR153='Tablas Técnicas'!$L$10:$L$643,'Tablas Técnicas'!$H$10:$H$643,0)))</f>
        <v>0 / 0</v>
      </c>
      <c r="Q153" s="4730" t="str">
        <f>IFERROR(VLOOKUP(F153,'Tablas Técnicas'!$O$9:$T$88,5,FALSE),"")</f>
        <v/>
      </c>
      <c r="R153" s="4730"/>
      <c r="S153" s="4730"/>
      <c r="T153" s="4730"/>
      <c r="U153" s="4730"/>
      <c r="V153" s="2047"/>
      <c r="W153" s="2048"/>
      <c r="X153" s="2047"/>
      <c r="Y153" s="2049"/>
      <c r="Z153" s="2050"/>
      <c r="AA153" s="2048"/>
      <c r="AB153" s="2047"/>
      <c r="AC153" s="2049"/>
      <c r="AD153" s="2050"/>
      <c r="AE153" s="2048"/>
      <c r="AF153" s="2047"/>
      <c r="AG153" s="2051"/>
      <c r="AH153" s="2180"/>
      <c r="AI153" s="4604"/>
      <c r="AJ153" s="3128">
        <v>2</v>
      </c>
      <c r="AK153" s="3128">
        <f>P148</f>
        <v>1</v>
      </c>
      <c r="AL153" s="3128" t="str">
        <f>IF(AND(ISNUMBER(MATCH($F153,'Tablas Técnicas'!$L$10:$L$643,0)),INDEX($J165:$J171,Tablas!A$1)="",COUNTIF(AM153:$AS153,$F153)=0),$F153,IF(INDEX($J165:$J171,Tablas!A$1)="","",$F153&amp;INDEX($J165:$J171,Tablas!A$1)))</f>
        <v/>
      </c>
      <c r="AM153" s="3128" t="str">
        <f>IF(AND(ISNUMBER(MATCH($F153,'Tablas Técnicas'!$L$10:$L$643,0)),INDEX($J165:$J171,Tablas!B$1)="",COUNTIF(AN153:$AS153,$F153)=0),$F153,IF(INDEX($J165:$J171,Tablas!B$1)="","",$F153&amp;INDEX($J165:$J171,Tablas!B$1)))</f>
        <v/>
      </c>
      <c r="AN153" s="3128" t="str">
        <f>IF(AND(ISNUMBER(MATCH($F153,'Tablas Técnicas'!$L$10:$L$643,0)),INDEX($J165:$J171,Tablas!C$1)="",COUNTIF(AO153:$AS153,$F153)=0),$F153,IF(INDEX($J165:$J171,Tablas!C$1)="","",$F153&amp;INDEX($J165:$J171,Tablas!C$1)))</f>
        <v/>
      </c>
      <c r="AO153" s="3128" t="str">
        <f>IF(AND(ISNUMBER(MATCH($F153,'Tablas Técnicas'!$L$10:$L$643,0)),INDEX($J165:$J171,Tablas!D$1)="",COUNTIF(AP153:$AS153,$F153)=0),$F153,IF(INDEX($J165:$J171,Tablas!D$1)="","",$F153&amp;INDEX($J165:$J171,Tablas!D$1)))</f>
        <v/>
      </c>
      <c r="AP153" s="3128" t="str">
        <f>IF(AND(ISNUMBER(MATCH($F153,'Tablas Técnicas'!$L$10:$L$643,0)),INDEX($J165:$J171,Tablas!E$1)="",COUNTIF(AQ153:$AS153,$F153)=0),$F153,IF(INDEX($J165:$J171,Tablas!E$1)="","",$F153&amp;INDEX($J165:$J171,Tablas!E$1)))</f>
        <v/>
      </c>
      <c r="AQ153" s="3128" t="str">
        <f>IF(AND(ISNUMBER(MATCH($F153,'Tablas Técnicas'!$L$10:$L$643,0)),INDEX($J165:$J171,Tablas!F$1)="",COUNTIF(AR153:$AS153,$F153)=0),$F153,IF(INDEX($J165:$J171,Tablas!F$1)="","",$F153&amp;INDEX($J165:$J171,Tablas!F$1)))</f>
        <v/>
      </c>
      <c r="AR153" s="3128" t="str">
        <f>IF(AND(ISNUMBER(MATCH($F153,'Tablas Técnicas'!$L$10:$L$643,0)),INDEX($J165:$J171,Tablas!G$1)="",COUNTIF(AS153:$AS153,$F153)=0),$F153,IF(INDEX($J165:$J171,Tablas!G$1)="","",$F153&amp;INDEX($J165:$J171,Tablas!G$1)))</f>
        <v/>
      </c>
      <c r="AS153" s="3132">
        <f>V153+X153+Z153+AB153+AD153+AF153</f>
        <v>0</v>
      </c>
      <c r="AT153" s="3132">
        <f t="array" ref="AT153">SUM(IF($AL153:$AR153='Tablas Técnicas'!$L$10:$L$643,IF(D153="Primario",'Tablas Técnicas'!$E$10:$E$643,'Tablas Técnicas'!$F$10:$F$643)+IF(K153="Sostenimiento menor",'Tablas Técnicas'!$I$10:$I$643,IF(K153="sostenimiento mayor",'Tablas Técnicas'!$J$10:$J$643,0)),0),0)+VALUE(RIGHT(P153,2))+AU153+AV153</f>
        <v>0</v>
      </c>
      <c r="AU153" s="313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32">
        <f>(COUNTIF(AL153:AR153,"*Estado añadido:*")-1)*COUNTIF(AL153:AR153,"*Estado añadido:*")</f>
        <v>0</v>
      </c>
      <c r="AW153" s="3132">
        <f t="array" ref="AW153">SUM(IF($AL153:$AR153='Tablas Técnicas'!$L$10:$L$643,'Tablas Técnicas'!$G$10:$G$643,0))</f>
        <v>0</v>
      </c>
      <c r="AX153" s="312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8" t="str">
        <f>IFERROR(LEFT(AX153,LEN(AX153)-2)&amp;"), ","")</f>
        <v/>
      </c>
    </row>
    <row r="154" spans="1:51" ht="12.2" customHeight="1" x14ac:dyDescent="0.2">
      <c r="A154" s="2172"/>
      <c r="B154" s="2086">
        <f t="shared" si="3"/>
        <v>5</v>
      </c>
      <c r="C154" s="4584"/>
      <c r="D154" s="4675" t="s">
        <v>524</v>
      </c>
      <c r="E154" s="4676"/>
      <c r="F154" s="4605"/>
      <c r="G154" s="4606"/>
      <c r="H154" s="4606"/>
      <c r="I154" s="4606"/>
      <c r="J154" s="4607"/>
      <c r="K154" s="4667" t="s">
        <v>1455</v>
      </c>
      <c r="L154" s="4668"/>
      <c r="M154" s="4669"/>
      <c r="N154" s="2521">
        <f>IF(AW154&gt;0,IF(VLOOKUP(F154,'Tablas Técnicas'!$O$9:$X$88,10,0),MAX(5,AW154-5),AW154),0)</f>
        <v>0</v>
      </c>
      <c r="O154" s="2521" t="str">
        <f>AS154&amp;" / "&amp;AT154</f>
        <v>0 / 0</v>
      </c>
      <c r="P154" s="2521" t="str">
        <f t="array" ref="P154">W154+Y154+AA154+AC154+AE154+AG154&amp;" / "&amp;IF(K154&lt;&gt;"Mantenido",0,SUM(IF($AL154:$AR154='Tablas Técnicas'!$L$10:$L$643,'Tablas Técnicas'!$H$10:$H$643,0)))</f>
        <v>0 / 0</v>
      </c>
      <c r="Q154" s="4726" t="str">
        <f>IFERROR(VLOOKUP(F154,'Tablas Técnicas'!$O$9:$T$88,5,FALSE),"")</f>
        <v/>
      </c>
      <c r="R154" s="4726"/>
      <c r="S154" s="4726"/>
      <c r="T154" s="4726"/>
      <c r="U154" s="4726"/>
      <c r="V154" s="2052"/>
      <c r="W154" s="2053"/>
      <c r="X154" s="2052"/>
      <c r="Y154" s="2054"/>
      <c r="Z154" s="2055"/>
      <c r="AA154" s="2053"/>
      <c r="AB154" s="2052"/>
      <c r="AC154" s="2054"/>
      <c r="AD154" s="2055"/>
      <c r="AE154" s="2053"/>
      <c r="AF154" s="2052"/>
      <c r="AG154" s="2056"/>
      <c r="AH154" s="2180"/>
      <c r="AI154" s="4604"/>
      <c r="AJ154" s="3128">
        <v>3</v>
      </c>
      <c r="AK154" s="3128">
        <f>P148</f>
        <v>1</v>
      </c>
      <c r="AL154" s="3128" t="str">
        <f>IF(AND(ISNUMBER(MATCH($F154,'Tablas Técnicas'!$L$10:$L$643,0)),INDEX($P165:$P171,Tablas!A$1)="",COUNTIF(AM154:$AS154,$F154)=0),$F154,IF(INDEX($P165:$P171,Tablas!A$1)="","",$F154&amp;INDEX($P165:$P171,Tablas!A$1)))</f>
        <v/>
      </c>
      <c r="AM154" s="3128" t="str">
        <f>IF(AND(ISNUMBER(MATCH($F154,'Tablas Técnicas'!$L$10:$L$643,0)),INDEX($P165:$P171,Tablas!B$1)="",COUNTIF(AN154:$AS154,$F154)=0),$F154,IF(INDEX($P165:$P171,Tablas!B$1)="","",$F154&amp;INDEX($P165:$P171,Tablas!B$1)))</f>
        <v/>
      </c>
      <c r="AN154" s="3128" t="str">
        <f>IF(AND(ISNUMBER(MATCH($F154,'Tablas Técnicas'!$L$10:$L$643,0)),INDEX($P165:$P171,Tablas!C$1)="",COUNTIF(AO154:$AS154,$F154)=0),$F154,IF(INDEX($P165:$P171,Tablas!C$1)="","",$F154&amp;INDEX($P165:$P171,Tablas!C$1)))</f>
        <v/>
      </c>
      <c r="AO154" s="3128" t="str">
        <f>IF(AND(ISNUMBER(MATCH($F154,'Tablas Técnicas'!$L$10:$L$643,0)),INDEX($P165:$P171,Tablas!D$1)="",COUNTIF(AP154:$AS154,$F154)=0),$F154,IF(INDEX($P165:$P171,Tablas!D$1)="","",$F154&amp;INDEX($P165:$P171,Tablas!D$1)))</f>
        <v/>
      </c>
      <c r="AP154" s="3128" t="str">
        <f>IF(AND(ISNUMBER(MATCH($F154,'Tablas Técnicas'!$L$10:$L$643,0)),INDEX($P165:$P171,Tablas!E$1)="",COUNTIF(AQ154:$AS154,$F154)=0),$F154,IF(INDEX($P165:$P171,Tablas!E$1)="","",$F154&amp;INDEX($P165:$P171,Tablas!E$1)))</f>
        <v/>
      </c>
      <c r="AQ154" s="3128" t="str">
        <f>IF(AND(ISNUMBER(MATCH($F154,'Tablas Técnicas'!$L$10:$L$643,0)),INDEX($P165:$P171,Tablas!F$1)="",COUNTIF(AR154:$AS154,$F154)=0),$F154,IF(INDEX($P165:$P171,Tablas!F$1)="","",$F154&amp;INDEX($P165:$P171,Tablas!F$1)))</f>
        <v/>
      </c>
      <c r="AR154" s="3128" t="str">
        <f>IF(AND(ISNUMBER(MATCH($F154,'Tablas Técnicas'!$L$10:$L$643,0)),INDEX($P165:$P171,Tablas!G$1)="",COUNTIF(AS154:$AS154,$F154)=0),$F154,IF(INDEX($P165:$P171,Tablas!G$1)="","",$F154&amp;INDEX($P165:$P171,Tablas!G$1)))</f>
        <v/>
      </c>
      <c r="AS154" s="3132">
        <f>V154+X154+Z154+AB154+AD154+AF154</f>
        <v>0</v>
      </c>
      <c r="AT154" s="3132">
        <f t="array" ref="AT154">SUM(IF($AL154:$AR154='Tablas Técnicas'!$L$10:$L$643,IF(D154="Primario",'Tablas Técnicas'!$E$10:$E$643,'Tablas Técnicas'!$F$10:$F$643)+IF(K154="Sostenimiento menor",'Tablas Técnicas'!$I$10:$I$643,IF(K154="sostenimiento mayor",'Tablas Técnicas'!$J$10:$J$643,0)),0),0)+VALUE(RIGHT(P154,2))+AU154+AV154</f>
        <v>0</v>
      </c>
      <c r="AU154" s="313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32">
        <f>(COUNTIF(AL154:AR154,"*Estado añadido:*")-1)*COUNTIF(AL154:AR154,"*Estado añadido:*")</f>
        <v>0</v>
      </c>
      <c r="AW154" s="3132">
        <f t="array" ref="AW154">SUM(IF($AL154:$AR154='Tablas Técnicas'!$L$10:$L$643,'Tablas Técnicas'!$G$10:$G$643,0))</f>
        <v>0</v>
      </c>
      <c r="AX154" s="312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8" t="str">
        <f>IFERROR(LEFT(AX154,LEN(AX154)-2)&amp;"), ","")</f>
        <v/>
      </c>
    </row>
    <row r="155" spans="1:51" ht="12.2" customHeight="1" x14ac:dyDescent="0.2">
      <c r="A155" s="2172"/>
      <c r="B155" s="2086">
        <f t="shared" si="3"/>
        <v>5</v>
      </c>
      <c r="C155" s="4584"/>
      <c r="D155" s="4629" t="s">
        <v>524</v>
      </c>
      <c r="E155" s="4630"/>
      <c r="F155" s="4661"/>
      <c r="G155" s="4662"/>
      <c r="H155" s="4662"/>
      <c r="I155" s="4662"/>
      <c r="J155" s="4663"/>
      <c r="K155" s="4664" t="s">
        <v>1455</v>
      </c>
      <c r="L155" s="4665"/>
      <c r="M155" s="4666"/>
      <c r="N155" s="2525">
        <f>IF(AW155&gt;0,IF(VLOOKUP(F155,'Tablas Técnicas'!$O$9:$X$88,10,0),MAX(5,AW155-5),AW155),0)</f>
        <v>0</v>
      </c>
      <c r="O155" s="2525" t="str">
        <f>AS155&amp;" / "&amp;AT155</f>
        <v>0 / 0</v>
      </c>
      <c r="P155" s="2525" t="str">
        <f t="array" ref="P155">W155+Y155+AA155+AC155+AE155+AG155&amp;" / "&amp;IF(K155&lt;&gt;"Mantenido",0,SUM(IF($AL155:$AR155='Tablas Técnicas'!$L$10:$L$643,'Tablas Técnicas'!$H$10:$H$643,0)))</f>
        <v>0 / 0</v>
      </c>
      <c r="Q155" s="4730" t="str">
        <f>IFERROR(VLOOKUP(F155,'Tablas Técnicas'!$O$9:$T$88,5,FALSE),"")</f>
        <v/>
      </c>
      <c r="R155" s="4730"/>
      <c r="S155" s="4730"/>
      <c r="T155" s="4730"/>
      <c r="U155" s="4730"/>
      <c r="V155" s="2047"/>
      <c r="W155" s="2048"/>
      <c r="X155" s="2047"/>
      <c r="Y155" s="2049"/>
      <c r="Z155" s="2050"/>
      <c r="AA155" s="2048"/>
      <c r="AB155" s="2047"/>
      <c r="AC155" s="2049"/>
      <c r="AD155" s="2050"/>
      <c r="AE155" s="2048"/>
      <c r="AF155" s="2047"/>
      <c r="AG155" s="2051"/>
      <c r="AH155" s="2180"/>
      <c r="AI155" s="4604"/>
      <c r="AJ155" s="3128">
        <v>4</v>
      </c>
      <c r="AK155" s="3128">
        <f>P148</f>
        <v>1</v>
      </c>
      <c r="AL155" s="3128" t="str">
        <f>IF(AND(ISNUMBER(MATCH($F155,'Tablas Técnicas'!$L$10:$L$643,0)),INDEX($V165:$V171,Tablas!A$1)="",COUNTIF(AM155:$AS155,$F155)=0),$F155,IF(INDEX($V165:$V171,Tablas!A$1)="","",$F155&amp;INDEX($V165:$V171,Tablas!A$1)))</f>
        <v/>
      </c>
      <c r="AM155" s="3128" t="str">
        <f>IF(AND(ISNUMBER(MATCH($F155,'Tablas Técnicas'!$L$10:$L$643,0)),INDEX($V165:$V171,Tablas!B$1)="",COUNTIF(AN155:$AS155,$F155)=0),$F155,IF(INDEX($V165:$V171,Tablas!B$1)="","",$F155&amp;INDEX($V165:$V171,Tablas!B$1)))</f>
        <v/>
      </c>
      <c r="AN155" s="3128" t="str">
        <f>IF(AND(ISNUMBER(MATCH($F155,'Tablas Técnicas'!$L$10:$L$643,0)),INDEX($V165:$V171,Tablas!C$1)="",COUNTIF(AO155:$AS155,$F155)=0),$F155,IF(INDEX($V165:$V171,Tablas!C$1)="","",$F155&amp;INDEX($V165:$V171,Tablas!C$1)))</f>
        <v/>
      </c>
      <c r="AO155" s="3128" t="str">
        <f>IF(AND(ISNUMBER(MATCH($F155,'Tablas Técnicas'!$L$10:$L$643,0)),INDEX($V165:$V171,Tablas!D$1)="",COUNTIF(AP155:$AS155,$F155)=0),$F155,IF(INDEX($V165:$V171,Tablas!D$1)="","",$F155&amp;INDEX($V165:$V171,Tablas!D$1)))</f>
        <v/>
      </c>
      <c r="AP155" s="3128" t="str">
        <f>IF(AND(ISNUMBER(MATCH($F155,'Tablas Técnicas'!$L$10:$L$643,0)),INDEX($V165:$V171,Tablas!E$1)="",COUNTIF(AQ155:$AS155,$F155)=0),$F155,IF(INDEX($V165:$V171,Tablas!E$1)="","",$F155&amp;INDEX($V165:$V171,Tablas!E$1)))</f>
        <v/>
      </c>
      <c r="AQ155" s="3128" t="str">
        <f>IF(AND(ISNUMBER(MATCH($F155,'Tablas Técnicas'!$L$10:$L$643,0)),INDEX($V165:$V171,Tablas!F$1)="",COUNTIF(AR155:$AS155,$F155)=0),$F155,IF(INDEX($V165:$V171,Tablas!F$1)="","",$F155&amp;INDEX($V165:$V171,Tablas!F$1)))</f>
        <v/>
      </c>
      <c r="AR155" s="3128" t="str">
        <f>IF(AND(ISNUMBER(MATCH($F155,'Tablas Técnicas'!$L$10:$L$643,0)),INDEX($V165:$V171,Tablas!G$1)="",COUNTIF(AS155:$AS155,$F155)=0),$F155,IF(INDEX($V165:$V171,Tablas!G$1)="","",$F155&amp;INDEX($V165:$V171,Tablas!G$1)))</f>
        <v/>
      </c>
      <c r="AS155" s="3132">
        <f>V155+X155+Z155+AB155+AD155+AF155</f>
        <v>0</v>
      </c>
      <c r="AT155" s="3132">
        <f t="array" ref="AT155">SUM(IF($AL155:$AR155='Tablas Técnicas'!$L$10:$L$643,IF(D155="Primario",'Tablas Técnicas'!$E$10:$E$643,'Tablas Técnicas'!$F$10:$F$643)+IF(K155="Sostenimiento menor",'Tablas Técnicas'!$I$10:$I$643,IF(K155="sostenimiento mayor",'Tablas Técnicas'!$J$10:$J$643,0)),0),0)+VALUE(RIGHT(P155,2))+AU155+AV155</f>
        <v>0</v>
      </c>
      <c r="AU155" s="313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32">
        <f>(COUNTIF(AL155:AR155,"*Estado añadido:*")-1)*COUNTIF(AL155:AR155,"*Estado añadido:*")</f>
        <v>0</v>
      </c>
      <c r="AW155" s="3132">
        <f t="array" ref="AW155">SUM(IF($AL155:$AR155='Tablas Técnicas'!$L$10:$L$643,'Tablas Técnicas'!$G$10:$G$643,0))</f>
        <v>0</v>
      </c>
      <c r="AX155" s="312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8" t="str">
        <f>IFERROR(LEFT(AX155,LEN(AX155)-2)&amp;"), ","")</f>
        <v/>
      </c>
    </row>
    <row r="156" spans="1:51" ht="12.2" customHeight="1" thickBot="1" x14ac:dyDescent="0.25">
      <c r="A156" s="2172"/>
      <c r="B156" s="2086">
        <f t="shared" si="3"/>
        <v>5</v>
      </c>
      <c r="C156" s="4584"/>
      <c r="D156" s="4632" t="s">
        <v>524</v>
      </c>
      <c r="E156" s="4633"/>
      <c r="F156" s="4589"/>
      <c r="G156" s="4590"/>
      <c r="H156" s="4590"/>
      <c r="I156" s="4590"/>
      <c r="J156" s="4591"/>
      <c r="K156" s="4592" t="s">
        <v>1455</v>
      </c>
      <c r="L156" s="4593"/>
      <c r="M156" s="4594"/>
      <c r="N156" s="2526">
        <f>IF(AW156&gt;0,IF(VLOOKUP(F156,'Tablas Técnicas'!$O$9:$X$88,10,0),MAX(5,AW156-5),AW156),0)</f>
        <v>0</v>
      </c>
      <c r="O156" s="2526" t="str">
        <f>AS156&amp;" / "&amp;AT156</f>
        <v>0 / 0</v>
      </c>
      <c r="P156" s="2526" t="str">
        <f t="array" ref="P156">W156+Y156+AA156+AC156+AE156+AG156&amp;" / "&amp;IF(K156&lt;&gt;"Mantenido",0,SUM(IF($AL156:$AR156='Tablas Técnicas'!$L$10:$L$643,'Tablas Técnicas'!$H$10:$H$643,0)))</f>
        <v>0 / 0</v>
      </c>
      <c r="Q156" s="4727" t="str">
        <f>IFERROR(VLOOKUP(F156,'Tablas Técnicas'!$O$9:$T$88,5,FALSE),"")</f>
        <v/>
      </c>
      <c r="R156" s="4727"/>
      <c r="S156" s="4727"/>
      <c r="T156" s="4727"/>
      <c r="U156" s="4727"/>
      <c r="V156" s="2057"/>
      <c r="W156" s="2058"/>
      <c r="X156" s="2057"/>
      <c r="Y156" s="2059"/>
      <c r="Z156" s="2060"/>
      <c r="AA156" s="2058"/>
      <c r="AB156" s="2057"/>
      <c r="AC156" s="2059"/>
      <c r="AD156" s="2060"/>
      <c r="AE156" s="2058"/>
      <c r="AF156" s="2057"/>
      <c r="AG156" s="2061"/>
      <c r="AH156" s="2180"/>
      <c r="AI156" s="4604"/>
      <c r="AJ156" s="3128">
        <v>5</v>
      </c>
      <c r="AK156" s="3128">
        <f>P148</f>
        <v>1</v>
      </c>
      <c r="AL156" s="3128" t="str">
        <f>IF(AND(ISNUMBER(MATCH($F156,'Tablas Técnicas'!$L$10:$L$643,0)),INDEX($AB165:$AB171,Tablas!A$1)="",COUNTIF(AM156:$AS156,$F156)=0),$F156,IF(INDEX($AB165:$AB171,Tablas!A$1)="","",$F156&amp;INDEX($AB165:$AB171,Tablas!A$1)))</f>
        <v/>
      </c>
      <c r="AM156" s="3128" t="str">
        <f>IF(AND(ISNUMBER(MATCH($F156,'Tablas Técnicas'!$L$10:$L$643,0)),INDEX($AB165:$AB171,Tablas!B$1)="",COUNTIF(AN156:$AS156,$F156)=0),$F156,IF(INDEX($AB165:$AB171,Tablas!B$1)="","",$F156&amp;INDEX($AB165:$AB171,Tablas!B$1)))</f>
        <v/>
      </c>
      <c r="AN156" s="3128" t="str">
        <f>IF(AND(ISNUMBER(MATCH($F156,'Tablas Técnicas'!$L$10:$L$643,0)),INDEX($AB165:$AB171,Tablas!C$1)="",COUNTIF(AO156:$AS156,$F156)=0),$F156,IF(INDEX($AB165:$AB171,Tablas!C$1)="","",$F156&amp;INDEX($AB165:$AB171,Tablas!C$1)))</f>
        <v/>
      </c>
      <c r="AO156" s="3128" t="str">
        <f>IF(AND(ISNUMBER(MATCH($F156,'Tablas Técnicas'!$L$10:$L$643,0)),INDEX($AB165:$AB171,Tablas!D$1)="",COUNTIF(AP156:$AS156,$F156)=0),$F156,IF(INDEX($AB165:$AB171,Tablas!D$1)="","",$F156&amp;INDEX($AB165:$AB171,Tablas!D$1)))</f>
        <v/>
      </c>
      <c r="AP156" s="3128" t="str">
        <f>IF(AND(ISNUMBER(MATCH($F156,'Tablas Técnicas'!$L$10:$L$643,0)),INDEX($AB165:$AB171,Tablas!E$1)="",COUNTIF(AQ156:$AS156,$F156)=0),$F156,IF(INDEX($AB165:$AB171,Tablas!E$1)="","",$F156&amp;INDEX($AB165:$AB171,Tablas!E$1)))</f>
        <v/>
      </c>
      <c r="AQ156" s="3128" t="str">
        <f>IF(AND(ISNUMBER(MATCH($F156,'Tablas Técnicas'!$L$10:$L$643,0)),INDEX($AB165:$AB171,Tablas!F$1)="",COUNTIF(AR156:$AS156,$F156)=0),$F156,IF(INDEX($AB165:$AB171,Tablas!F$1)="","",$F156&amp;INDEX($AB165:$AB171,Tablas!F$1)))</f>
        <v/>
      </c>
      <c r="AR156" s="3128" t="str">
        <f>IF(AND(ISNUMBER(MATCH($F156,'Tablas Técnicas'!$L$10:$L$643,0)),INDEX($AB165:$AB171,Tablas!G$1)="",COUNTIF(AS156:$AS156,$F156)=0),$F156,IF(INDEX($AB165:$AB171,Tablas!G$1)="","",$F156&amp;INDEX($AB165:$AB171,Tablas!G$1)))</f>
        <v/>
      </c>
      <c r="AS156" s="3132">
        <f>V156+X156+Z156+AB156+AD156+AF156</f>
        <v>0</v>
      </c>
      <c r="AT156" s="3132">
        <f t="array" ref="AT156">SUM(IF($AL156:$AR156='Tablas Técnicas'!$L$10:$L$643,IF(D156="Primario",'Tablas Técnicas'!$E$10:$E$643,'Tablas Técnicas'!$F$10:$F$643)+IF(K156="Sostenimiento menor",'Tablas Técnicas'!$I$10:$I$643,IF(K156="sostenimiento mayor",'Tablas Técnicas'!$J$10:$J$643,0)),0),0)+VALUE(RIGHT(P156,2))+AU156+AV156</f>
        <v>0</v>
      </c>
      <c r="AU156" s="313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32">
        <f>(COUNTIF(AL156:AR156,"*Estado añadido:*")-1)*COUNTIF(AL156:AR156,"*Estado añadido:*")</f>
        <v>0</v>
      </c>
      <c r="AW156" s="3132">
        <f t="array" ref="AW156">SUM(IF($AL156:$AR156='Tablas Técnicas'!$L$10:$L$643,'Tablas Técnicas'!$G$10:$G$643,0))</f>
        <v>0</v>
      </c>
      <c r="AX156" s="312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8" t="str">
        <f>IFERROR(LEFT(AX156,LEN(AX156)-2)&amp;"), ","")</f>
        <v/>
      </c>
    </row>
    <row r="157" spans="1:51" ht="12.2" customHeight="1" x14ac:dyDescent="0.2">
      <c r="A157" s="2172"/>
      <c r="B157" s="2086">
        <f t="shared" si="3"/>
        <v>5</v>
      </c>
      <c r="C157" s="4584"/>
      <c r="D157" s="4635" t="s">
        <v>2818</v>
      </c>
      <c r="E157" s="4636"/>
      <c r="F157" s="4656"/>
      <c r="G157" s="4657"/>
      <c r="H157" s="4657"/>
      <c r="I157" s="4657"/>
      <c r="J157" s="4658"/>
      <c r="K157" s="4674"/>
      <c r="L157" s="4703"/>
      <c r="M157" s="4704"/>
      <c r="N157" s="1916" t="str">
        <f>IFERROR(INDEX('Tablas Técnicas'!$Q$200:$Q$301,MATCH(F157&amp;K157,'Tablas Técnicas'!$S$200:$S$301,0)),"")</f>
        <v/>
      </c>
      <c r="O157" s="4705"/>
      <c r="P157" s="4706"/>
      <c r="Q157" s="4707"/>
      <c r="R157" s="4706"/>
      <c r="S157" s="2745" t="str">
        <f>IFERROR("Nivel: "&amp;MAX(1,INDEX('Tablas Técnicas'!$R$200:$R$301,MATCH(F157&amp;K157,'Tablas Técnicas'!$S$200:$S$301,0))),"")</f>
        <v/>
      </c>
      <c r="T157" s="1917"/>
      <c r="U157" s="1918" t="str">
        <f>IFERROR("("&amp;VLOOKUP(F157,'Tablas Técnicas'!$O$165:$Q$192,3,FALSE)&amp;")","")</f>
        <v/>
      </c>
      <c r="V157" s="4644" t="s">
        <v>9619</v>
      </c>
      <c r="W157" s="4645"/>
      <c r="X157" s="4646"/>
      <c r="Y157" s="2527">
        <v>0</v>
      </c>
      <c r="Z157" s="4740" t="s">
        <v>8806</v>
      </c>
      <c r="AA157" s="4648"/>
      <c r="AB157" s="4649"/>
      <c r="AC157" s="2527">
        <v>0</v>
      </c>
      <c r="AD157" s="4741" t="str">
        <f>"Ki sin repartir: "&amp;AL165-AL166&amp;IF(AM165=0,""," ("&amp;AM165-AM166&amp;")")</f>
        <v>Ki sin repartir: 0</v>
      </c>
      <c r="AE157" s="4651"/>
      <c r="AF157" s="4651"/>
      <c r="AG157" s="4652"/>
      <c r="AH157" s="2180"/>
      <c r="AI157" s="4604"/>
      <c r="AJ157" s="3128">
        <v>1</v>
      </c>
      <c r="AK157" s="3128">
        <f>P148</f>
        <v>1</v>
      </c>
      <c r="AL157" s="3128" t="e">
        <f>VLOOKUP(F157,'Tablas Técnicas'!$O$165:$Q$188,2,FALSE)</f>
        <v>#N/A</v>
      </c>
      <c r="AM157" s="3128"/>
      <c r="AN157" s="3129"/>
      <c r="AO157" s="3128"/>
      <c r="AP157" s="3128"/>
      <c r="AQ157" s="3129"/>
      <c r="AR157" s="3128"/>
      <c r="AS157" s="3128"/>
      <c r="AT157" s="3128"/>
      <c r="AU157" s="3128"/>
      <c r="AV157" s="3128"/>
      <c r="AW157" s="3132"/>
      <c r="AX157" s="3132"/>
      <c r="AY157" s="3128" t="str">
        <f>IF(F157="","",F157&amp;IF(K157="",""," ("&amp;IF(F157="Atadura Elemental",O157&amp;IF(Q157="","",", "&amp;Q157),K157)&amp;")")&amp;", ")</f>
        <v/>
      </c>
    </row>
    <row r="158" spans="1:51" ht="12.2" customHeight="1" x14ac:dyDescent="0.2">
      <c r="A158" s="2172"/>
      <c r="B158" s="2086">
        <f t="shared" si="3"/>
        <v>5</v>
      </c>
      <c r="C158" s="4584"/>
      <c r="D158" s="4637"/>
      <c r="E158" s="4638"/>
      <c r="F158" s="4708"/>
      <c r="G158" s="4709"/>
      <c r="H158" s="4709"/>
      <c r="I158" s="4709"/>
      <c r="J158" s="4710"/>
      <c r="K158" s="4663"/>
      <c r="L158" s="4723"/>
      <c r="M158" s="4724"/>
      <c r="N158" s="1919" t="str">
        <f>IFERROR(INDEX('Tablas Técnicas'!$Q$200:$Q$301,MATCH(F158&amp;K158,'Tablas Técnicas'!$S$200:$S$301,0)),"")</f>
        <v/>
      </c>
      <c r="O158" s="4711"/>
      <c r="P158" s="4712"/>
      <c r="Q158" s="4713"/>
      <c r="R158" s="4712"/>
      <c r="S158" s="2747" t="str">
        <f>IFERROR("Nivel: "&amp;MAX(1,INDEX('Tablas Técnicas'!$R$200:$R$301,MATCH(F158&amp;K158,'Tablas Técnicas'!$S$200:$S$301,0))),"")</f>
        <v/>
      </c>
      <c r="T158" s="2528"/>
      <c r="U158" s="2529" t="str">
        <f>IFERROR("("&amp;VLOOKUP(F158,'Tablas Técnicas'!$O$165:$Q$192,3,FALSE)&amp;")","")</f>
        <v/>
      </c>
      <c r="V158" s="4653" t="str">
        <f>"Mod. "&amp;V150</f>
        <v>Mod. AGI</v>
      </c>
      <c r="W158" s="4654"/>
      <c r="X158" s="4653" t="str">
        <f>"Mod. "&amp;X150</f>
        <v>Mod. CON</v>
      </c>
      <c r="Y158" s="4654"/>
      <c r="Z158" s="4653" t="str">
        <f>"Mod. "&amp;Z150</f>
        <v>Mod. DES</v>
      </c>
      <c r="AA158" s="4654"/>
      <c r="AB158" s="4653" t="str">
        <f>"Mod. "&amp;AB150</f>
        <v>Mod. FUE</v>
      </c>
      <c r="AC158" s="4654"/>
      <c r="AD158" s="4653" t="str">
        <f>"Mod. "&amp;AD150</f>
        <v>Mod. POD</v>
      </c>
      <c r="AE158" s="4654"/>
      <c r="AF158" s="4653" t="str">
        <f>"Mod. "&amp;AF150</f>
        <v>Mod. VOL</v>
      </c>
      <c r="AG158" s="4655"/>
      <c r="AH158" s="2180"/>
      <c r="AI158" s="4604"/>
      <c r="AJ158" s="3128">
        <v>2</v>
      </c>
      <c r="AK158" s="3128">
        <f>P148</f>
        <v>1</v>
      </c>
      <c r="AL158" s="3128" t="e">
        <f>VLOOKUP(F158,'Tablas Técnicas'!$O$165:$Q$188,2,FALSE)</f>
        <v>#N/A</v>
      </c>
      <c r="AM158" s="3128"/>
      <c r="AN158" s="3129"/>
      <c r="AO158" s="3128"/>
      <c r="AP158" s="3128"/>
      <c r="AQ158" s="3129"/>
      <c r="AR158" s="3128"/>
      <c r="AS158" s="3128"/>
      <c r="AT158" s="3128"/>
      <c r="AU158" s="3128"/>
      <c r="AV158" s="3128"/>
      <c r="AW158" s="3132"/>
      <c r="AX158" s="3132"/>
      <c r="AY158" s="3128" t="str">
        <f>IF(F158="","",F158&amp;IF(K158="",""," ("&amp;IF(F158="Atadura Elemental",O158&amp;IF(Q158="","",", "&amp;Q158),K158)&amp;")")&amp;", ")</f>
        <v/>
      </c>
    </row>
    <row r="159" spans="1:51" ht="12.2" customHeight="1" thickBot="1" x14ac:dyDescent="0.25">
      <c r="A159" s="2172"/>
      <c r="B159" s="2086">
        <f t="shared" si="3"/>
        <v>5</v>
      </c>
      <c r="C159" s="4584"/>
      <c r="D159" s="4728"/>
      <c r="E159" s="4729"/>
      <c r="F159" s="4714"/>
      <c r="G159" s="4715"/>
      <c r="H159" s="4715"/>
      <c r="I159" s="4715"/>
      <c r="J159" s="4716"/>
      <c r="K159" s="4718"/>
      <c r="L159" s="4719"/>
      <c r="M159" s="4720"/>
      <c r="N159" s="1920" t="str">
        <f>IFERROR(INDEX('Tablas Técnicas'!$Q$200:$Q$301,MATCH(F159&amp;K159,'Tablas Técnicas'!$S$200:$S$301,0)),"")</f>
        <v/>
      </c>
      <c r="O159" s="4701"/>
      <c r="P159" s="4702"/>
      <c r="Q159" s="4717"/>
      <c r="R159" s="4702"/>
      <c r="S159" s="2746" t="str">
        <f>IFERROR("Nivel: "&amp;MAX(1,INDEX('Tablas Técnicas'!$R$200:$R$301,MATCH(F159&amp;K159,'Tablas Técnicas'!$S$200:$S$301,0))),"")</f>
        <v/>
      </c>
      <c r="T159" s="2530"/>
      <c r="U159" s="2531" t="str">
        <f>IFERROR("("&amp;VLOOKUP(F159,'Tablas Técnicas'!$O$165:$Q$192,3,FALSE)&amp;")","")</f>
        <v/>
      </c>
      <c r="V159" s="4610"/>
      <c r="W159" s="4608"/>
      <c r="X159" s="4608"/>
      <c r="Y159" s="4608"/>
      <c r="Z159" s="4608"/>
      <c r="AA159" s="4608"/>
      <c r="AB159" s="4608"/>
      <c r="AC159" s="4608"/>
      <c r="AD159" s="4608"/>
      <c r="AE159" s="4608"/>
      <c r="AF159" s="4608"/>
      <c r="AG159" s="4620"/>
      <c r="AH159" s="2180"/>
      <c r="AI159" s="4604"/>
      <c r="AJ159" s="3128">
        <v>3</v>
      </c>
      <c r="AK159" s="3128">
        <f>P148</f>
        <v>1</v>
      </c>
      <c r="AL159" s="3128" t="e">
        <f>VLOOKUP(F159,'Tablas Técnicas'!$O$165:$Q$188,2,FALSE)</f>
        <v>#N/A</v>
      </c>
      <c r="AM159" s="3128"/>
      <c r="AN159" s="3129"/>
      <c r="AO159" s="3128"/>
      <c r="AP159" s="3128"/>
      <c r="AQ159" s="3129"/>
      <c r="AR159" s="3132"/>
      <c r="AS159" s="3132"/>
      <c r="AT159" s="3132"/>
      <c r="AU159" s="3132"/>
      <c r="AV159" s="3132"/>
      <c r="AW159" s="3132"/>
      <c r="AX159" s="3132"/>
      <c r="AY159" s="3128" t="str">
        <f>IF(F159="","",F159&amp;IF(K159="",""," ("&amp;IF(F159="Atadura Elemental",O159&amp;IF(Q159="","",", "&amp;Q159),K159)&amp;")")&amp;", ")</f>
        <v/>
      </c>
    </row>
    <row r="160" spans="1:51" ht="12.2" customHeight="1" x14ac:dyDescent="0.2">
      <c r="A160" s="2172"/>
      <c r="B160" s="2086">
        <f t="shared" si="3"/>
        <v>5</v>
      </c>
      <c r="C160" s="4584"/>
      <c r="D160" s="4595" t="s">
        <v>9301</v>
      </c>
      <c r="E160" s="4596"/>
      <c r="F160" s="4596"/>
      <c r="G160" s="4596"/>
      <c r="H160" s="4596"/>
      <c r="I160" s="4596"/>
      <c r="J160" s="4596"/>
      <c r="K160" s="4596"/>
      <c r="L160" s="4596"/>
      <c r="M160" s="4596"/>
      <c r="N160" s="4596"/>
      <c r="O160" s="4596"/>
      <c r="P160" s="4596"/>
      <c r="Q160" s="4596"/>
      <c r="R160" s="4596"/>
      <c r="S160" s="4596"/>
      <c r="T160" s="4596"/>
      <c r="U160" s="4596"/>
      <c r="V160" s="4725"/>
      <c r="W160" s="4725"/>
      <c r="X160" s="4725"/>
      <c r="Y160" s="4725"/>
      <c r="Z160" s="4725"/>
      <c r="AA160" s="4725"/>
      <c r="AB160" s="4725"/>
      <c r="AC160" s="4725"/>
      <c r="AD160" s="4725"/>
      <c r="AE160" s="4725"/>
      <c r="AF160" s="4725"/>
      <c r="AG160" s="4598"/>
      <c r="AH160" s="2180"/>
      <c r="AI160" s="4604"/>
      <c r="AJ160" s="3128"/>
      <c r="AK160" s="3128"/>
      <c r="AL160" s="3128"/>
      <c r="AM160" s="3128"/>
      <c r="AN160" s="3129" t="s">
        <v>8807</v>
      </c>
      <c r="AO160" s="3128" t="e">
        <f>LEFT(AY152&amp;AY153&amp;AY154&amp;AY155&amp;AY156,LEN(AY152&amp;AY153&amp;AY154&amp;AY155&amp;AY156)-2)</f>
        <v>#VALUE!</v>
      </c>
      <c r="AP160" s="3128"/>
      <c r="AQ160" s="3129"/>
      <c r="AR160" s="3132"/>
      <c r="AS160" s="3132"/>
      <c r="AT160" s="3132"/>
      <c r="AU160" s="3129"/>
      <c r="AV160" s="3129"/>
      <c r="AW160" s="3132"/>
      <c r="AX160" s="3132"/>
      <c r="AY160" s="3128"/>
    </row>
    <row r="161" spans="1:51" ht="12.2" customHeight="1" x14ac:dyDescent="0.2">
      <c r="A161" s="2172"/>
      <c r="B161" s="2086">
        <f t="shared" si="3"/>
        <v>5</v>
      </c>
      <c r="C161" s="4584"/>
      <c r="D161" s="4599" t="str">
        <f>IF(F152="","",F152)</f>
        <v/>
      </c>
      <c r="E161" s="4600"/>
      <c r="F161" s="4600"/>
      <c r="G161" s="4600"/>
      <c r="H161" s="4600"/>
      <c r="I161" s="4601"/>
      <c r="J161" s="4599" t="str">
        <f>IF(F153="","",F153)</f>
        <v/>
      </c>
      <c r="K161" s="4600"/>
      <c r="L161" s="4600"/>
      <c r="M161" s="4600"/>
      <c r="N161" s="4600"/>
      <c r="O161" s="4601"/>
      <c r="P161" s="4600" t="str">
        <f>IF(F154="","",F154)</f>
        <v/>
      </c>
      <c r="Q161" s="4600"/>
      <c r="R161" s="4600"/>
      <c r="S161" s="4600"/>
      <c r="T161" s="4600"/>
      <c r="U161" s="4601"/>
      <c r="V161" s="4599" t="str">
        <f>IF(F155="","",F155)</f>
        <v/>
      </c>
      <c r="W161" s="4600"/>
      <c r="X161" s="4600"/>
      <c r="Y161" s="4600"/>
      <c r="Z161" s="4600"/>
      <c r="AA161" s="4601"/>
      <c r="AB161" s="4600" t="str">
        <f>IF(F156="","",F156)</f>
        <v/>
      </c>
      <c r="AC161" s="4600"/>
      <c r="AD161" s="4600"/>
      <c r="AE161" s="4600"/>
      <c r="AF161" s="4600"/>
      <c r="AG161" s="4623"/>
      <c r="AH161" s="2180"/>
      <c r="AI161" s="4604"/>
      <c r="AJ161" s="3128"/>
      <c r="AK161" s="3128"/>
      <c r="AL161" s="3128"/>
      <c r="AM161" s="3128"/>
      <c r="AN161" s="3129" t="s">
        <v>8808</v>
      </c>
      <c r="AO161" s="3128" t="e">
        <f>LEFT(AY157&amp;AY158&amp;AY159,LEN(AY157&amp;AY158&amp;AY159)-2)</f>
        <v>#VALUE!</v>
      </c>
      <c r="AP161" s="3128"/>
      <c r="AQ161" s="3129"/>
      <c r="AR161" s="3132"/>
      <c r="AS161" s="3132"/>
      <c r="AT161" s="3132"/>
      <c r="AU161" s="3129"/>
      <c r="AV161" s="3129"/>
      <c r="AW161" s="3132"/>
      <c r="AX161" s="3132"/>
      <c r="AY161" s="3128"/>
    </row>
    <row r="162" spans="1:51" ht="12.2" customHeight="1" x14ac:dyDescent="0.2">
      <c r="A162" s="2172"/>
      <c r="B162" s="2086">
        <f t="shared" si="3"/>
        <v>5</v>
      </c>
      <c r="C162" s="4584"/>
      <c r="D162" s="2031" t="s">
        <v>1835</v>
      </c>
      <c r="E162" s="2521" t="str">
        <f>IFERROR(VLOOKUP(D161,'Tablas Técnicas'!$O$9:$T$88,3,FALSE),"")</f>
        <v/>
      </c>
      <c r="F162" s="2532"/>
      <c r="G162" s="2533"/>
      <c r="H162" s="2533" t="s">
        <v>1363</v>
      </c>
      <c r="I162" s="2521" t="str">
        <f>IFERROR(VLOOKUP(D161,'Tablas Técnicas'!$O$9:$T$88,4,FALSE),"")</f>
        <v/>
      </c>
      <c r="J162" s="2031" t="s">
        <v>1835</v>
      </c>
      <c r="K162" s="2521" t="str">
        <f>IFERROR(VLOOKUP(J161,'Tablas Técnicas'!$O$9:$T$88,3,FALSE),"")</f>
        <v/>
      </c>
      <c r="L162" s="2532"/>
      <c r="M162" s="2533"/>
      <c r="N162" s="2533" t="s">
        <v>1363</v>
      </c>
      <c r="O162" s="1921" t="str">
        <f>IFERROR(VLOOKUP(J161,'Tablas Técnicas'!$O$9:$T$88,4,FALSE),"")</f>
        <v/>
      </c>
      <c r="P162" s="2533" t="s">
        <v>1835</v>
      </c>
      <c r="Q162" s="2521" t="str">
        <f>IFERROR(VLOOKUP(P161,'Tablas Técnicas'!$O$9:$T$88,3,FALSE),"")</f>
        <v/>
      </c>
      <c r="R162" s="2532"/>
      <c r="S162" s="2533"/>
      <c r="T162" s="2533" t="s">
        <v>1363</v>
      </c>
      <c r="U162" s="2521" t="str">
        <f>IFERROR(VLOOKUP(P161,'Tablas Técnicas'!$O$9:$T$88,4,FALSE),"")</f>
        <v/>
      </c>
      <c r="V162" s="2031" t="s">
        <v>1835</v>
      </c>
      <c r="W162" s="2521" t="str">
        <f>IFERROR(VLOOKUP(V161,'Tablas Técnicas'!$O$9:$T$88,3,FALSE),"")</f>
        <v/>
      </c>
      <c r="X162" s="2532"/>
      <c r="Y162" s="2533"/>
      <c r="Z162" s="2533" t="s">
        <v>1363</v>
      </c>
      <c r="AA162" s="1921" t="str">
        <f>IFERROR(VLOOKUP(V161,'Tablas Técnicas'!$O$9:$T$88,4,FALSE),"")</f>
        <v/>
      </c>
      <c r="AB162" s="2533" t="s">
        <v>1835</v>
      </c>
      <c r="AC162" s="2521" t="str">
        <f>IFERROR(VLOOKUP(AB161,'Tablas Técnicas'!$O$9:$T$88,3,FALSE),"")</f>
        <v/>
      </c>
      <c r="AD162" s="2532"/>
      <c r="AE162" s="2533"/>
      <c r="AF162" s="2533" t="s">
        <v>1363</v>
      </c>
      <c r="AG162" s="1922" t="str">
        <f>IFERROR(VLOOKUP(AB161,'Tablas Técnicas'!$O$9:$T$88,4,FALSE),"")</f>
        <v/>
      </c>
      <c r="AH162" s="2180"/>
      <c r="AI162" s="4604"/>
      <c r="AJ162" s="3128"/>
      <c r="AK162" s="3128"/>
      <c r="AL162" s="3128"/>
      <c r="AM162" s="3128"/>
      <c r="AN162" s="3129"/>
      <c r="AO162" s="3128"/>
      <c r="AP162" s="3128"/>
      <c r="AQ162" s="3129"/>
      <c r="AR162" s="3132"/>
      <c r="AS162" s="3132"/>
      <c r="AT162" s="3132"/>
      <c r="AU162" s="3132"/>
      <c r="AV162" s="3132"/>
      <c r="AW162" s="3132"/>
      <c r="AX162" s="3132"/>
      <c r="AY162" s="3128"/>
    </row>
    <row r="163" spans="1:51" ht="12.2" customHeight="1" x14ac:dyDescent="0.2">
      <c r="A163" s="2172"/>
      <c r="B163" s="2086">
        <f t="shared" si="3"/>
        <v>5</v>
      </c>
      <c r="C163" s="4584"/>
      <c r="D163" s="2032" t="s">
        <v>8809</v>
      </c>
      <c r="E163" s="2533"/>
      <c r="F163" s="2532"/>
      <c r="G163" s="2534"/>
      <c r="H163" s="2534"/>
      <c r="I163" s="2531" t="str">
        <f>IFERROR(IF(D161="Ataque Elemental",IF(NOT(ISNA(VLOOKUP(D165,'Tablas Técnicas'!$O$100:$O$105,1,0))),D165,"Variable"),VLOOKUP(D161,'Tablas Técnicas'!$O$9:$W$88,9,FALSE)),"")</f>
        <v/>
      </c>
      <c r="J163" s="2535" t="s">
        <v>8809</v>
      </c>
      <c r="K163" s="2536"/>
      <c r="L163" s="2537"/>
      <c r="M163" s="2538"/>
      <c r="N163" s="2538"/>
      <c r="O163" s="2539" t="str">
        <f>IFERROR(IF(J161="Ataque Elemental",IF(NOT(ISNA(VLOOKUP(J165,'Tablas Técnicas'!$O$100:$O$105,1,0))),J165,"Variable"),VLOOKUP(J161,'Tablas Técnicas'!$O$9:$W$88,9,FALSE)),"")</f>
        <v/>
      </c>
      <c r="P163" s="2540" t="s">
        <v>8809</v>
      </c>
      <c r="Q163" s="2536"/>
      <c r="R163" s="2537"/>
      <c r="S163" s="2538"/>
      <c r="T163" s="2538"/>
      <c r="U163" s="2531" t="str">
        <f>IFERROR(IF(P161="Ataque Elemental",IF(NOT(ISNA(VLOOKUP(P165,'Tablas Técnicas'!$O$100:$O$105,1,0))),P165,"Variable"),VLOOKUP(P161,'Tablas Técnicas'!$O$9:$W$88,9,FALSE)),"")</f>
        <v/>
      </c>
      <c r="V163" s="2535" t="s">
        <v>8809</v>
      </c>
      <c r="W163" s="2536"/>
      <c r="X163" s="2537"/>
      <c r="Y163" s="2538"/>
      <c r="Z163" s="2538"/>
      <c r="AA163" s="2539" t="str">
        <f>IFERROR(IF(V161="Ataque Elemental",IF(NOT(ISNA(VLOOKUP(V165,'Tablas Técnicas'!$O$100:$O$105,1,0))),V165,"Variable"),VLOOKUP(V161,'Tablas Técnicas'!$O$9:$W$88,9,FALSE)),"")</f>
        <v/>
      </c>
      <c r="AB163" s="2540" t="s">
        <v>8809</v>
      </c>
      <c r="AC163" s="2536"/>
      <c r="AD163" s="2537"/>
      <c r="AE163" s="2538"/>
      <c r="AF163" s="2538"/>
      <c r="AG163" s="2037" t="str">
        <f>IFERROR(IF(AB161="Ataque Elemental",IF(NOT(ISNA(VLOOKUP(AB165,'Tablas Técnicas'!$O$100:$O$105,1,0))),AB165,"Variable"),VLOOKUP(AB161,'Tablas Técnicas'!$O$9:$W$88,9,FALSE)),"")</f>
        <v/>
      </c>
      <c r="AH163" s="2180"/>
      <c r="AI163" s="4604"/>
      <c r="AJ163" s="3128"/>
      <c r="AK163" s="3132" t="s">
        <v>1373</v>
      </c>
      <c r="AL163" s="3132" t="s">
        <v>1497</v>
      </c>
      <c r="AM163" s="3132" t="s">
        <v>1378</v>
      </c>
      <c r="AN163" s="3132" t="s">
        <v>1383</v>
      </c>
      <c r="AO163" s="3132" t="s">
        <v>1390</v>
      </c>
      <c r="AP163" s="3132" t="s">
        <v>1391</v>
      </c>
      <c r="AQ163" s="3129"/>
      <c r="AR163" s="3132"/>
      <c r="AS163" s="3132"/>
      <c r="AT163" s="3132"/>
      <c r="AU163" s="3132"/>
      <c r="AV163" s="3132"/>
      <c r="AW163" s="3132"/>
      <c r="AX163" s="3132"/>
      <c r="AY163" s="3128"/>
    </row>
    <row r="164" spans="1:51" ht="12.2" customHeight="1" x14ac:dyDescent="0.2">
      <c r="A164" s="2172"/>
      <c r="B164" s="2086">
        <f t="shared" si="3"/>
        <v>5</v>
      </c>
      <c r="C164" s="4584"/>
      <c r="D164" s="4599" t="s">
        <v>2826</v>
      </c>
      <c r="E164" s="4600"/>
      <c r="F164" s="4600"/>
      <c r="G164" s="4600"/>
      <c r="H164" s="4601"/>
      <c r="I164" s="1925" t="s">
        <v>1402</v>
      </c>
      <c r="J164" s="4599" t="s">
        <v>2826</v>
      </c>
      <c r="K164" s="4600"/>
      <c r="L164" s="4600"/>
      <c r="M164" s="4600"/>
      <c r="N164" s="4601"/>
      <c r="O164" s="1926" t="s">
        <v>1402</v>
      </c>
      <c r="P164" s="4599" t="s">
        <v>2826</v>
      </c>
      <c r="Q164" s="4600"/>
      <c r="R164" s="4600"/>
      <c r="S164" s="4600"/>
      <c r="T164" s="4601"/>
      <c r="U164" s="1926" t="s">
        <v>1402</v>
      </c>
      <c r="V164" s="4599"/>
      <c r="W164" s="4600"/>
      <c r="X164" s="4600"/>
      <c r="Y164" s="4600"/>
      <c r="Z164" s="4601"/>
      <c r="AA164" s="1926" t="s">
        <v>1402</v>
      </c>
      <c r="AB164" s="4599" t="s">
        <v>2826</v>
      </c>
      <c r="AC164" s="4600"/>
      <c r="AD164" s="4600"/>
      <c r="AE164" s="4600"/>
      <c r="AF164" s="4601"/>
      <c r="AG164" s="1927" t="s">
        <v>1402</v>
      </c>
      <c r="AH164" s="2180"/>
      <c r="AI164" s="4604"/>
      <c r="AJ164" s="3133" t="s">
        <v>9338</v>
      </c>
      <c r="AK164" s="3128" t="str">
        <f>IF(V150="","",IF(SUM(V152:V156)=0,"",V150&amp;" "&amp;SUM(V152:V156)+V159&amp;IF(SUM(W152:W156)=0,""," ("&amp;SUM(W152:W156)&amp;")")&amp;", "))</f>
        <v/>
      </c>
      <c r="AL164" s="3128" t="str">
        <f>IF(X150="","",IF(SUM(X152:X156)=0,"",X150&amp;" "&amp;SUM(X152:X156)+X159&amp;IF(SUM(Y152:Y156)=0,""," ("&amp;SUM(Y152:Y156)&amp;")")&amp;", "))</f>
        <v/>
      </c>
      <c r="AM164" s="3128" t="str">
        <f>IF(Z150="","",IF(SUM(Z152:Z156)=0,"",Z150&amp;" "&amp;SUM(Z152:Z156)+Z159&amp;IF(SUM(AA152:AA156)=0,""," ("&amp;SUM(AA152:AA156)&amp;")")&amp;", "))</f>
        <v/>
      </c>
      <c r="AN164" s="3128" t="str">
        <f>IF(AB150="","",IF(SUM(AB152:AB156)=0,"",AB150&amp;" "&amp;SUM(AB152:AB156)+AB159&amp;IF(SUM(AC152:AC156)=0,""," ("&amp;SUM(AC152:AC156)&amp;")")&amp;", "))</f>
        <v/>
      </c>
      <c r="AO164" s="3128" t="str">
        <f>IF(AD150="","",IF(SUM(AD152:AD156)=0,"",AD150&amp;" "&amp;SUM(AD152:AD156)+AD159&amp;IF(SUM(AE152:AE156)=0,""," ("&amp;SUM(AE152:AE156)&amp;")")&amp;", "))</f>
        <v/>
      </c>
      <c r="AP164" s="3128" t="str">
        <f>IF(AF150="","",IF(SUM(AF152:AF156)=0,"",AF150&amp;" "&amp;SUM(AF152:AF156)+AF159&amp;IF(SUM(AG152:AG156)=0,""," ("&amp;SUM(AG152:AG156)&amp;")")&amp;", "))</f>
        <v/>
      </c>
      <c r="AQ164" s="3128"/>
      <c r="AR164" s="3128"/>
      <c r="AS164" s="3128"/>
      <c r="AT164" s="3128"/>
      <c r="AU164" s="3128"/>
      <c r="AV164" s="3128"/>
      <c r="AW164" s="3128"/>
      <c r="AX164" s="3128"/>
      <c r="AY164" s="3128"/>
    </row>
    <row r="165" spans="1:51" ht="12.2" customHeight="1" x14ac:dyDescent="0.2">
      <c r="A165" s="2172"/>
      <c r="B165" s="2086">
        <f t="shared" si="3"/>
        <v>5</v>
      </c>
      <c r="C165" s="4584"/>
      <c r="D165" s="4621"/>
      <c r="E165" s="4619"/>
      <c r="F165" s="4619"/>
      <c r="G165" s="4619"/>
      <c r="H165" s="4619"/>
      <c r="I165" s="1928" t="str">
        <f>IF(OR(D161="",D165=""),"",MAX(1,SUMPRODUCT(--(INDEX('Tablas Técnicas'!$C$10:$L$643,,1)=D161),--(INDEX('Tablas Técnicas'!$C$10:$L$643,,2)=D165),INDEX('Tablas Técnicas'!$C$10:$L$643,,9))))</f>
        <v/>
      </c>
      <c r="J165" s="4618"/>
      <c r="K165" s="4619"/>
      <c r="L165" s="4619"/>
      <c r="M165" s="4619"/>
      <c r="N165" s="4619"/>
      <c r="O165" s="1928" t="str">
        <f>IF(OR(J161="",J165=""),"",MAX(1,SUMPRODUCT(--(INDEX('Tablas Técnicas'!$C$10:$L$643,,1)=J161),--(INDEX('Tablas Técnicas'!$C$10:$L$643,,2)=J165),INDEX('Tablas Técnicas'!$C$10:$L$643,,9))))</f>
        <v/>
      </c>
      <c r="P165" s="4618"/>
      <c r="Q165" s="4619"/>
      <c r="R165" s="4619"/>
      <c r="S165" s="4619"/>
      <c r="T165" s="4619"/>
      <c r="U165" s="1928" t="str">
        <f>IF(OR(P161="",P165=""),"",MAX(1,SUMPRODUCT(--(INDEX('Tablas Técnicas'!$C$10:$L$643,,1)=P161),--(INDEX('Tablas Técnicas'!$C$10:$L$643,,2)=P165),INDEX('Tablas Técnicas'!$C$10:$L$643,,9))))</f>
        <v/>
      </c>
      <c r="V165" s="4618"/>
      <c r="W165" s="4619"/>
      <c r="X165" s="4619"/>
      <c r="Y165" s="4619"/>
      <c r="Z165" s="4619"/>
      <c r="AA165" s="1928" t="str">
        <f>IF(OR(V161="",V165=""),"",MAX(1,SUMPRODUCT(--(INDEX('Tablas Técnicas'!$C$10:$L$643,,1)=V161),--(INDEX('Tablas Técnicas'!$C$10:$L$643,,2)=V165),INDEX('Tablas Técnicas'!$C$10:$L$643,,9))))</f>
        <v/>
      </c>
      <c r="AB165" s="4618"/>
      <c r="AC165" s="4619"/>
      <c r="AD165" s="4619"/>
      <c r="AE165" s="4619"/>
      <c r="AF165" s="4619"/>
      <c r="AG165" s="1929" t="str">
        <f>IF(OR(AB161="",AB165=""),"",MAX(1,SUMPRODUCT(--(INDEX('Tablas Técnicas'!$C$10:$L$643,,1)=AB161),--(INDEX('Tablas Técnicas'!$C$10:$L$643,,2)=AB165),INDEX('Tablas Técnicas'!$C$10:$L$643,,9))))</f>
        <v/>
      </c>
      <c r="AH165" s="2180">
        <f>P148</f>
        <v>1</v>
      </c>
      <c r="AI165" s="4604"/>
      <c r="AJ165" s="3128" t="s">
        <v>9302</v>
      </c>
      <c r="AK165" s="3128"/>
      <c r="AL165" s="3128">
        <f>MAX(0,SUM(AT152:AT156)+ABS($AC157*2/5))+IF(AM174,0,Y157)+IF(S148="Sí",3*P148,0)</f>
        <v>0</v>
      </c>
      <c r="AM165" s="3128">
        <f t="array" ref="AM165">IF(ISNUMBER(SEARCH("Mantenido",K152&amp;K153&amp;K154&amp;K155&amp;K156)),MAX(0,SUM(VALUE(RIGHT($P152:$P156,2)))),0)</f>
        <v>0</v>
      </c>
      <c r="AN165" s="3132"/>
      <c r="AO165" s="3132"/>
      <c r="AP165" s="3135"/>
      <c r="AQ165" s="3135"/>
      <c r="AR165" s="3135"/>
      <c r="AS165" s="3135"/>
      <c r="AT165" s="3135"/>
      <c r="AU165" s="3135"/>
      <c r="AV165" s="3135"/>
      <c r="AW165" s="3135"/>
      <c r="AX165" s="3135"/>
      <c r="AY165" s="3128"/>
    </row>
    <row r="166" spans="1:51" ht="12.2" customHeight="1" x14ac:dyDescent="0.2">
      <c r="A166" s="2172"/>
      <c r="B166" s="2086">
        <f t="shared" si="3"/>
        <v>5</v>
      </c>
      <c r="C166" s="4584"/>
      <c r="D166" s="4602"/>
      <c r="E166" s="4603"/>
      <c r="F166" s="4603"/>
      <c r="G166" s="4603"/>
      <c r="H166" s="4603"/>
      <c r="I166" s="1930" t="str">
        <f>IF(OR(D161="",D166=""),"",MAX(1,SUMPRODUCT(--(INDEX('Tablas Técnicas'!$C$10:$L$643,,1)=D161),--(INDEX('Tablas Técnicas'!$C$10:$L$643,,2)=D166),INDEX('Tablas Técnicas'!$C$10:$L$643,,9))))</f>
        <v/>
      </c>
      <c r="J166" s="4602"/>
      <c r="K166" s="4603"/>
      <c r="L166" s="4603"/>
      <c r="M166" s="4603"/>
      <c r="N166" s="4603"/>
      <c r="O166" s="1930" t="str">
        <f>IF(OR(J161="",J166=""),"",MAX(1,SUMPRODUCT(--(INDEX('Tablas Técnicas'!$C$10:$L$643,,1)=J161),--(INDEX('Tablas Técnicas'!$C$10:$L$643,,2)=J166),INDEX('Tablas Técnicas'!$C$10:$L$643,,9))))</f>
        <v/>
      </c>
      <c r="P166" s="4602"/>
      <c r="Q166" s="4603"/>
      <c r="R166" s="4603"/>
      <c r="S166" s="4603"/>
      <c r="T166" s="4603"/>
      <c r="U166" s="1930" t="str">
        <f>IF(OR(P161="",P166=""),"",MAX(1,SUMPRODUCT(--(INDEX('Tablas Técnicas'!$C$10:$L$643,,1)=P161),--(INDEX('Tablas Técnicas'!$C$10:$L$643,,2)=P166),INDEX('Tablas Técnicas'!$C$10:$L$643,,9))))</f>
        <v/>
      </c>
      <c r="V166" s="4602"/>
      <c r="W166" s="4603"/>
      <c r="X166" s="4603"/>
      <c r="Y166" s="4603"/>
      <c r="Z166" s="4603"/>
      <c r="AA166" s="1930" t="str">
        <f>IF(OR(V161="",V166=""),"",MAX(1,SUMPRODUCT(--(INDEX('Tablas Técnicas'!$C$10:$L$643,,1)=V161),--(INDEX('Tablas Técnicas'!$C$10:$L$643,,2)=V166),INDEX('Tablas Técnicas'!$C$10:$L$643,,9))))</f>
        <v/>
      </c>
      <c r="AB166" s="4602"/>
      <c r="AC166" s="4603"/>
      <c r="AD166" s="4603"/>
      <c r="AE166" s="4603"/>
      <c r="AF166" s="4603"/>
      <c r="AG166" s="1931" t="str">
        <f>IF(OR(AB161="",AB166=""),"",MAX(1,SUMPRODUCT(--(INDEX('Tablas Técnicas'!$C$10:$L$643,,1)=AB161),--(INDEX('Tablas Técnicas'!$C$10:$L$643,,2)=AB166),INDEX('Tablas Técnicas'!$C$10:$L$643,,9))))</f>
        <v/>
      </c>
      <c r="AH166" s="2180">
        <f>P148</f>
        <v>1</v>
      </c>
      <c r="AI166" s="4604"/>
      <c r="AJ166" s="3128" t="s">
        <v>8811</v>
      </c>
      <c r="AK166" s="3128"/>
      <c r="AL166" s="3128">
        <f>SUM(V152:V156,X152:X156,Z152:Z156,AB152:AB156,AD152:AD156,AF152:AF156)+SUM(V159:AG159)</f>
        <v>0</v>
      </c>
      <c r="AM166" s="3128">
        <f>SUM(W152:W156,Y152:Y156,AA152:AA156,AC152:AC156,AE152:AE156,AG152:AG156)</f>
        <v>0</v>
      </c>
      <c r="AN166" s="3128"/>
      <c r="AO166" s="3128"/>
      <c r="AP166" s="3128"/>
      <c r="AQ166" s="3128"/>
      <c r="AR166" s="3128"/>
      <c r="AS166" s="3128"/>
      <c r="AT166" s="3128"/>
      <c r="AU166" s="3128"/>
      <c r="AV166" s="3128"/>
      <c r="AW166" s="3132"/>
      <c r="AX166" s="3128"/>
      <c r="AY166" s="3128"/>
    </row>
    <row r="167" spans="1:51" ht="12.2" customHeight="1" x14ac:dyDescent="0.2">
      <c r="A167" s="2172"/>
      <c r="B167" s="2086">
        <f t="shared" si="3"/>
        <v>5</v>
      </c>
      <c r="C167" s="4584"/>
      <c r="D167" s="4602"/>
      <c r="E167" s="4603"/>
      <c r="F167" s="4603"/>
      <c r="G167" s="4603"/>
      <c r="H167" s="4603"/>
      <c r="I167" s="1930" t="str">
        <f>IF(OR(D161="",D167=""),"",MAX(1,SUMPRODUCT(--(INDEX('Tablas Técnicas'!$C$10:$L$643,,1)=D161),--(INDEX('Tablas Técnicas'!$C$10:$L$643,,2)=D167),INDEX('Tablas Técnicas'!$C$10:$L$643,,9))))</f>
        <v/>
      </c>
      <c r="J167" s="4602"/>
      <c r="K167" s="4603"/>
      <c r="L167" s="4603"/>
      <c r="M167" s="4603"/>
      <c r="N167" s="4603"/>
      <c r="O167" s="1930" t="str">
        <f>IF(OR(J161="",J167=""),"",MAX(1,SUMPRODUCT(--(INDEX('Tablas Técnicas'!$C$10:$L$643,,1)=J161),--(INDEX('Tablas Técnicas'!$C$10:$L$643,,2)=J167),INDEX('Tablas Técnicas'!$C$10:$L$643,,9))))</f>
        <v/>
      </c>
      <c r="P167" s="4602"/>
      <c r="Q167" s="4603"/>
      <c r="R167" s="4603"/>
      <c r="S167" s="4603"/>
      <c r="T167" s="4603"/>
      <c r="U167" s="1930" t="str">
        <f>IF(OR(P161="",P167=""),"",MAX(1,SUMPRODUCT(--(INDEX('Tablas Técnicas'!$C$10:$L$643,,1)=P161),--(INDEX('Tablas Técnicas'!$C$10:$L$643,,2)=P167),INDEX('Tablas Técnicas'!$C$10:$L$643,,9))))</f>
        <v/>
      </c>
      <c r="V167" s="4602"/>
      <c r="W167" s="4603"/>
      <c r="X167" s="4603"/>
      <c r="Y167" s="4603"/>
      <c r="Z167" s="4603"/>
      <c r="AA167" s="1930" t="str">
        <f>IF(OR(V161="",V167=""),"",MAX(1,SUMPRODUCT(--(INDEX('Tablas Técnicas'!$C$10:$L$643,,1)=V161),--(INDEX('Tablas Técnicas'!$C$10:$L$643,,2)=V167),INDEX('Tablas Técnicas'!$C$10:$L$643,,9))))</f>
        <v/>
      </c>
      <c r="AB167" s="4602"/>
      <c r="AC167" s="4603"/>
      <c r="AD167" s="4603"/>
      <c r="AE167" s="4603"/>
      <c r="AF167" s="4603"/>
      <c r="AG167" s="1931" t="str">
        <f>IF(OR(AB161="",AB167=""),"",MAX(1,SUMPRODUCT(--(INDEX('Tablas Técnicas'!$C$10:$L$643,,1)=AB161),--(INDEX('Tablas Técnicas'!$C$10:$L$643,,2)=AB167),INDEX('Tablas Técnicas'!$C$10:$L$643,,9))))</f>
        <v/>
      </c>
      <c r="AH167" s="2180">
        <f>P148</f>
        <v>1</v>
      </c>
      <c r="AI167" s="4604"/>
      <c r="AJ167" s="3128"/>
      <c r="AK167" s="3128"/>
      <c r="AL167" s="3128"/>
      <c r="AM167" s="3128"/>
      <c r="AN167" s="3128"/>
      <c r="AO167" s="3128"/>
      <c r="AP167" s="3128"/>
      <c r="AQ167" s="3128"/>
      <c r="AR167" s="3128"/>
      <c r="AS167" s="3128"/>
      <c r="AT167" s="3128"/>
      <c r="AU167" s="3128"/>
      <c r="AV167" s="3128"/>
      <c r="AW167" s="3132"/>
      <c r="AX167" s="3132"/>
      <c r="AY167" s="3128"/>
    </row>
    <row r="168" spans="1:51" ht="12.2" customHeight="1" x14ac:dyDescent="0.2">
      <c r="A168" s="2172"/>
      <c r="B168" s="2086">
        <f t="shared" si="3"/>
        <v>5</v>
      </c>
      <c r="C168" s="4584"/>
      <c r="D168" s="4602"/>
      <c r="E168" s="4603"/>
      <c r="F168" s="4603"/>
      <c r="G168" s="4603"/>
      <c r="H168" s="4603"/>
      <c r="I168" s="1930" t="str">
        <f>IF(OR(D161="",D168=""),"",MAX(1,SUMPRODUCT(--(INDEX('Tablas Técnicas'!$C$10:$L$643,,1)=D161),--(INDEX('Tablas Técnicas'!$C$10:$L$643,,2)=D168),INDEX('Tablas Técnicas'!$C$10:$L$643,,9))))</f>
        <v/>
      </c>
      <c r="J168" s="4602"/>
      <c r="K168" s="4603"/>
      <c r="L168" s="4603"/>
      <c r="M168" s="4603"/>
      <c r="N168" s="4603"/>
      <c r="O168" s="1930" t="str">
        <f>IF(OR(J161="",J168=""),"",MAX(1,SUMPRODUCT(--(INDEX('Tablas Técnicas'!$C$10:$L$643,,1)=J161),--(INDEX('Tablas Técnicas'!$C$10:$L$643,,2)=J168),INDEX('Tablas Técnicas'!$C$10:$L$643,,9))))</f>
        <v/>
      </c>
      <c r="P168" s="4602"/>
      <c r="Q168" s="4603"/>
      <c r="R168" s="4603"/>
      <c r="S168" s="4603"/>
      <c r="T168" s="4603"/>
      <c r="U168" s="1930" t="str">
        <f>IF(OR(P161="",P168=""),"",MAX(1,SUMPRODUCT(--(INDEX('Tablas Técnicas'!$C$10:$L$643,,1)=P161),--(INDEX('Tablas Técnicas'!$C$10:$L$643,,2)=P168),INDEX('Tablas Técnicas'!$C$10:$L$643,,9))))</f>
        <v/>
      </c>
      <c r="V168" s="4602"/>
      <c r="W168" s="4603"/>
      <c r="X168" s="4603"/>
      <c r="Y168" s="4603"/>
      <c r="Z168" s="4603"/>
      <c r="AA168" s="1930" t="str">
        <f>IF(OR(V161="",V168=""),"",MAX(1,SUMPRODUCT(--(INDEX('Tablas Técnicas'!$C$10:$L$643,,1)=V161),--(INDEX('Tablas Técnicas'!$C$10:$L$643,,2)=V168),INDEX('Tablas Técnicas'!$C$10:$L$643,,9))))</f>
        <v/>
      </c>
      <c r="AB168" s="4602"/>
      <c r="AC168" s="4603"/>
      <c r="AD168" s="4603"/>
      <c r="AE168" s="4603"/>
      <c r="AF168" s="4603"/>
      <c r="AG168" s="1931" t="str">
        <f>IF(OR(AB161="",AB168=""),"",MAX(1,SUMPRODUCT(--(INDEX('Tablas Técnicas'!$C$10:$L$643,,1)=AB161),--(INDEX('Tablas Técnicas'!$C$10:$L$643,,2)=AB168),INDEX('Tablas Técnicas'!$C$10:$L$643,,9))))</f>
        <v/>
      </c>
      <c r="AH168" s="2180">
        <f>P148</f>
        <v>1</v>
      </c>
      <c r="AI168" s="4604"/>
      <c r="AJ168" s="3128" t="s">
        <v>8812</v>
      </c>
      <c r="AK168" s="3128"/>
      <c r="AL168" s="3128"/>
      <c r="AM168" s="3128"/>
      <c r="AN168" s="3128"/>
      <c r="AO168" s="3128"/>
      <c r="AP168" s="3128"/>
      <c r="AQ168" s="3129"/>
      <c r="AR168" s="3132"/>
      <c r="AS168" s="3132"/>
      <c r="AT168" s="3132"/>
      <c r="AU168" s="3132"/>
      <c r="AV168" s="3132"/>
      <c r="AW168" s="3132"/>
      <c r="AX168" s="3132"/>
      <c r="AY168" s="3128"/>
    </row>
    <row r="169" spans="1:51" ht="12.2" customHeight="1" x14ac:dyDescent="0.2">
      <c r="A169" s="2172"/>
      <c r="B169" s="2086">
        <f t="shared" si="3"/>
        <v>5</v>
      </c>
      <c r="C169" s="4584"/>
      <c r="D169" s="4602"/>
      <c r="E169" s="4603"/>
      <c r="F169" s="4603"/>
      <c r="G169" s="4603"/>
      <c r="H169" s="4603"/>
      <c r="I169" s="1930" t="str">
        <f>IF(OR(D161="",D169=""),"",MAX(1,SUMPRODUCT(--(INDEX('Tablas Técnicas'!$C$10:$L$643,,1)=D161),--(INDEX('Tablas Técnicas'!$C$10:$L$643,,2)=D169),INDEX('Tablas Técnicas'!$C$10:$L$643,,9))))</f>
        <v/>
      </c>
      <c r="J169" s="4602"/>
      <c r="K169" s="4603"/>
      <c r="L169" s="4603"/>
      <c r="M169" s="4603"/>
      <c r="N169" s="4603"/>
      <c r="O169" s="1930" t="str">
        <f>IF(OR(J161="",J169=""),"",MAX(1,SUMPRODUCT(--(INDEX('Tablas Técnicas'!$C$10:$L$643,,1)=J161),--(INDEX('Tablas Técnicas'!$C$10:$L$643,,2)=J169),INDEX('Tablas Técnicas'!$C$10:$L$643,,9))))</f>
        <v/>
      </c>
      <c r="P169" s="4602"/>
      <c r="Q169" s="4603"/>
      <c r="R169" s="4603"/>
      <c r="S169" s="4603"/>
      <c r="T169" s="4603"/>
      <c r="U169" s="1930" t="str">
        <f>IF(OR(P161="",P169=""),"",MAX(1,SUMPRODUCT(--(INDEX('Tablas Técnicas'!$C$10:$L$643,,1)=P161),--(INDEX('Tablas Técnicas'!$C$10:$L$643,,2)=P169),INDEX('Tablas Técnicas'!$C$10:$L$643,,9))))</f>
        <v/>
      </c>
      <c r="V169" s="4602"/>
      <c r="W169" s="4603"/>
      <c r="X169" s="4603"/>
      <c r="Y169" s="4603"/>
      <c r="Z169" s="4603"/>
      <c r="AA169" s="1930" t="str">
        <f>IF(OR(V161="",V169=""),"",MAX(1,SUMPRODUCT(--(INDEX('Tablas Técnicas'!$C$10:$L$643,,1)=V161),--(INDEX('Tablas Técnicas'!$C$10:$L$643,,2)=V169),INDEX('Tablas Técnicas'!$C$10:$L$643,,9))))</f>
        <v/>
      </c>
      <c r="AB169" s="4602"/>
      <c r="AC169" s="4603"/>
      <c r="AD169" s="4603"/>
      <c r="AE169" s="4603"/>
      <c r="AF169" s="4603"/>
      <c r="AG169" s="1931" t="str">
        <f>IF(OR(AB161="",AB169=""),"",MAX(1,SUMPRODUCT(--(INDEX('Tablas Técnicas'!$C$10:$L$643,,1)=AB161),--(INDEX('Tablas Técnicas'!$C$10:$L$643,,2)=AB169),INDEX('Tablas Técnicas'!$C$10:$L$643,,9))))</f>
        <v/>
      </c>
      <c r="AH169" s="2180">
        <f>P148</f>
        <v>1</v>
      </c>
      <c r="AI169" s="4604"/>
      <c r="AJ169" s="3128" t="s">
        <v>9965</v>
      </c>
      <c r="AK169" s="3128"/>
      <c r="AL169" s="3128"/>
      <c r="AM169" s="3128" t="b">
        <f>U148&gt;IF(P148=3,200,IF(P148=2,100,50))</f>
        <v>0</v>
      </c>
      <c r="AN169" s="3128"/>
      <c r="AO169" s="3128"/>
      <c r="AP169" s="3128"/>
      <c r="AQ169" s="3128"/>
      <c r="AR169" s="3132"/>
      <c r="AS169" s="3132"/>
      <c r="AT169" s="3132"/>
      <c r="AU169" s="3132"/>
      <c r="AV169" s="3132"/>
      <c r="AW169" s="3132"/>
      <c r="AX169" s="3132"/>
      <c r="AY169" s="3128"/>
    </row>
    <row r="170" spans="1:51" ht="12.2" customHeight="1" x14ac:dyDescent="0.2">
      <c r="A170" s="2172"/>
      <c r="B170" s="2086">
        <f t="shared" si="3"/>
        <v>5</v>
      </c>
      <c r="C170" s="4584"/>
      <c r="D170" s="4602"/>
      <c r="E170" s="4603"/>
      <c r="F170" s="4603"/>
      <c r="G170" s="4603"/>
      <c r="H170" s="4603"/>
      <c r="I170" s="1930" t="str">
        <f>IF(OR(D161="",D170=""),"",MAX(1,SUMPRODUCT(--(INDEX('Tablas Técnicas'!$C$10:$L$643,,1)=D161),--(INDEX('Tablas Técnicas'!$C$10:$L$643,,2)=D170),INDEX('Tablas Técnicas'!$C$10:$L$643,,9))))</f>
        <v/>
      </c>
      <c r="J170" s="4602"/>
      <c r="K170" s="4603"/>
      <c r="L170" s="4603"/>
      <c r="M170" s="4603"/>
      <c r="N170" s="4603"/>
      <c r="O170" s="1930" t="str">
        <f>IF(OR(J161="",J170=""),"",MAX(1,SUMPRODUCT(--(INDEX('Tablas Técnicas'!$C$10:$L$643,,1)=J161),--(INDEX('Tablas Técnicas'!$C$10:$L$643,,2)=J170),INDEX('Tablas Técnicas'!$C$10:$L$643,,9))))</f>
        <v/>
      </c>
      <c r="P170" s="4602"/>
      <c r="Q170" s="4603"/>
      <c r="R170" s="4603"/>
      <c r="S170" s="4603"/>
      <c r="T170" s="4603"/>
      <c r="U170" s="1930" t="str">
        <f>IF(OR(P161="",P170=""),"",MAX(1,SUMPRODUCT(--(INDEX('Tablas Técnicas'!$C$10:$L$643,,1)=P161),--(INDEX('Tablas Técnicas'!$C$10:$L$643,,2)=P170),INDEX('Tablas Técnicas'!$C$10:$L$643,,9))))</f>
        <v/>
      </c>
      <c r="V170" s="4602"/>
      <c r="W170" s="4603"/>
      <c r="X170" s="4603"/>
      <c r="Y170" s="4603"/>
      <c r="Z170" s="4603"/>
      <c r="AA170" s="1930" t="str">
        <f>IF(OR(V161="",V170=""),"",MAX(1,SUMPRODUCT(--(INDEX('Tablas Técnicas'!$C$10:$L$643,,1)=V161),--(INDEX('Tablas Técnicas'!$C$10:$L$643,,2)=V170),INDEX('Tablas Técnicas'!$C$10:$L$643,,9))))</f>
        <v/>
      </c>
      <c r="AB170" s="4602"/>
      <c r="AC170" s="4603"/>
      <c r="AD170" s="4603"/>
      <c r="AE170" s="4603"/>
      <c r="AF170" s="4603"/>
      <c r="AG170" s="1931" t="str">
        <f>IF(OR(AB161="",AB170=""),"",MAX(1,SUMPRODUCT(--(INDEX('Tablas Técnicas'!$C$10:$L$643,,1)=AB161),--(INDEX('Tablas Técnicas'!$C$10:$L$643,,2)=AB170),INDEX('Tablas Técnicas'!$C$10:$L$643,,9))))</f>
        <v/>
      </c>
      <c r="AH170" s="2180">
        <f>P148</f>
        <v>1</v>
      </c>
      <c r="AI170" s="4604"/>
      <c r="AJ170" s="3128" t="s">
        <v>8813</v>
      </c>
      <c r="AK170" s="3128"/>
      <c r="AL170" s="3128"/>
      <c r="AM170" s="3128" t="b">
        <f t="array" ref="AM170">MAX(I165:I171,O165:O171,U165:U171,AA165:AA171,AG165:AG171,RIGHT(S157:S159,1))&gt;P148</f>
        <v>0</v>
      </c>
      <c r="AN170" s="3128"/>
      <c r="AO170" s="3128"/>
      <c r="AP170" s="3128"/>
      <c r="AQ170" s="3129"/>
      <c r="AR170" s="3132"/>
      <c r="AS170" s="3132"/>
      <c r="AT170" s="3132"/>
      <c r="AU170" s="3132"/>
      <c r="AV170" s="3132"/>
      <c r="AW170" s="3132"/>
      <c r="AX170" s="3132"/>
      <c r="AY170" s="3128"/>
    </row>
    <row r="171" spans="1:51" ht="12.2" customHeight="1" x14ac:dyDescent="0.2">
      <c r="A171" s="2172"/>
      <c r="B171" s="2086">
        <f t="shared" si="3"/>
        <v>5</v>
      </c>
      <c r="C171" s="4584"/>
      <c r="D171" s="4616"/>
      <c r="E171" s="4617"/>
      <c r="F171" s="4617"/>
      <c r="G171" s="4617"/>
      <c r="H171" s="4617"/>
      <c r="I171" s="1932" t="str">
        <f>IF(OR(D161="",D171=""),"",MAX(1,SUMPRODUCT(--(INDEX('Tablas Técnicas'!$C$10:$L$643,,1)=D161),--(INDEX('Tablas Técnicas'!$C$10:$L$643,,2)=D171),INDEX('Tablas Técnicas'!$C$10:$L$643,,9))))</f>
        <v/>
      </c>
      <c r="J171" s="4616"/>
      <c r="K171" s="4617"/>
      <c r="L171" s="4617"/>
      <c r="M171" s="4617"/>
      <c r="N171" s="4617"/>
      <c r="O171" s="1932" t="str">
        <f>IF(OR(J161="",J171=""),"",MAX(1,SUMPRODUCT(--(INDEX('Tablas Técnicas'!$C$10:$L$643,,1)=J161),--(INDEX('Tablas Técnicas'!$C$10:$L$643,,2)=J171),INDEX('Tablas Técnicas'!$C$10:$L$643,,9))))</f>
        <v/>
      </c>
      <c r="P171" s="4616"/>
      <c r="Q171" s="4617"/>
      <c r="R171" s="4617"/>
      <c r="S171" s="4617"/>
      <c r="T171" s="4617"/>
      <c r="U171" s="1932" t="str">
        <f>IF(OR(P161="",P171=""),"",MAX(1,SUMPRODUCT(--(INDEX('Tablas Técnicas'!$C$10:$L$643,,1)=P161),--(INDEX('Tablas Técnicas'!$C$10:$L$643,,2)=P171),INDEX('Tablas Técnicas'!$C$10:$L$643,,9))))</f>
        <v/>
      </c>
      <c r="V171" s="4616"/>
      <c r="W171" s="4617"/>
      <c r="X171" s="4617"/>
      <c r="Y171" s="4617"/>
      <c r="Z171" s="4617"/>
      <c r="AA171" s="1932" t="str">
        <f>IF(OR(V161="",V171=""),"",MAX(1,SUMPRODUCT(--(INDEX('Tablas Técnicas'!$C$10:$L$643,,1)=V161),--(INDEX('Tablas Técnicas'!$C$10:$L$643,,2)=V171),INDEX('Tablas Técnicas'!$C$10:$L$643,,9))))</f>
        <v/>
      </c>
      <c r="AB171" s="4616"/>
      <c r="AC171" s="4617"/>
      <c r="AD171" s="4617"/>
      <c r="AE171" s="4617"/>
      <c r="AF171" s="4617"/>
      <c r="AG171" s="1933" t="str">
        <f>IF(OR(AB161="",AB171=""),"",MAX(1,SUMPRODUCT(--(INDEX('Tablas Técnicas'!$C$10:$L$643,,1)=AB161),--(INDEX('Tablas Técnicas'!$C$10:$L$643,,2)=AB171),INDEX('Tablas Técnicas'!$C$10:$L$643,,9))))</f>
        <v/>
      </c>
      <c r="AH171" s="2180">
        <f>P148</f>
        <v>1</v>
      </c>
      <c r="AI171" s="4604"/>
      <c r="AJ171" s="3128" t="s">
        <v>9319</v>
      </c>
      <c r="AK171" s="3128"/>
      <c r="AL171" s="3128"/>
      <c r="AM171" s="3128" t="b">
        <f>AND(COUNTIF(K152:M156,"Mantenido"),OR(COUNTIF(K152:M156,"Sostenimiento Menor"),COUNTIF(K152:M156,"Sostenimiento Mayor")))</f>
        <v>0</v>
      </c>
      <c r="AN171" s="3129"/>
      <c r="AO171" s="3128"/>
      <c r="AP171" s="3128"/>
      <c r="AQ171" s="3128"/>
      <c r="AR171" s="3128"/>
      <c r="AS171" s="3128"/>
      <c r="AT171" s="3128"/>
      <c r="AU171" s="3132"/>
      <c r="AV171" s="3132"/>
      <c r="AW171" s="3132"/>
      <c r="AX171" s="3132"/>
      <c r="AY171" s="3128"/>
    </row>
    <row r="172" spans="1:51" ht="12.2" customHeight="1" x14ac:dyDescent="0.2">
      <c r="A172" s="2172"/>
      <c r="B172" s="2086">
        <f t="shared" si="3"/>
        <v>5</v>
      </c>
      <c r="C172" s="4584"/>
      <c r="D172" s="4595" t="s">
        <v>1548</v>
      </c>
      <c r="E172" s="4596"/>
      <c r="F172" s="4596"/>
      <c r="G172" s="4596"/>
      <c r="H172" s="4596"/>
      <c r="I172" s="4596"/>
      <c r="J172" s="4596"/>
      <c r="K172" s="4596"/>
      <c r="L172" s="4596"/>
      <c r="M172" s="4596"/>
      <c r="N172" s="4596"/>
      <c r="O172" s="4596"/>
      <c r="P172" s="4596"/>
      <c r="Q172" s="4596"/>
      <c r="R172" s="4596"/>
      <c r="S172" s="4596"/>
      <c r="T172" s="4596"/>
      <c r="U172" s="4596"/>
      <c r="V172" s="4596"/>
      <c r="W172" s="4596"/>
      <c r="X172" s="4596"/>
      <c r="Y172" s="4596"/>
      <c r="Z172" s="4596"/>
      <c r="AA172" s="4596"/>
      <c r="AB172" s="4596"/>
      <c r="AC172" s="4596"/>
      <c r="AD172" s="4596"/>
      <c r="AE172" s="4596"/>
      <c r="AF172" s="4596"/>
      <c r="AG172" s="4622"/>
      <c r="AH172" s="2180"/>
      <c r="AI172" s="4604"/>
      <c r="AJ172" s="3128" t="s">
        <v>9318</v>
      </c>
      <c r="AK172" s="3128"/>
      <c r="AL172" s="3128"/>
      <c r="AM172" s="312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8"/>
      <c r="AO172" s="3128"/>
      <c r="AP172" s="3128"/>
      <c r="AQ172" s="3129"/>
      <c r="AR172" s="3128"/>
      <c r="AS172" s="3128"/>
      <c r="AT172" s="3128"/>
      <c r="AU172" s="3132"/>
      <c r="AV172" s="3132"/>
      <c r="AW172" s="3132"/>
      <c r="AX172" s="3132"/>
      <c r="AY172" s="3128"/>
    </row>
    <row r="173" spans="1:51" ht="12.2" customHeight="1" x14ac:dyDescent="0.2">
      <c r="A173" s="2172"/>
      <c r="B173" s="2086">
        <f t="shared" si="3"/>
        <v>5</v>
      </c>
      <c r="C173" s="4584"/>
      <c r="D173" s="4624"/>
      <c r="E173" s="4744"/>
      <c r="F173" s="4744"/>
      <c r="G173" s="4744"/>
      <c r="H173" s="4744"/>
      <c r="I173" s="4744"/>
      <c r="J173" s="4744"/>
      <c r="K173" s="4744"/>
      <c r="L173" s="4744"/>
      <c r="M173" s="4744"/>
      <c r="N173" s="4744"/>
      <c r="O173" s="4744"/>
      <c r="P173" s="4744"/>
      <c r="Q173" s="4744"/>
      <c r="R173" s="4744"/>
      <c r="S173" s="4744"/>
      <c r="T173" s="4744"/>
      <c r="U173" s="4744"/>
      <c r="V173" s="4744"/>
      <c r="W173" s="4744"/>
      <c r="X173" s="4744"/>
      <c r="Y173" s="4744"/>
      <c r="Z173" s="4744"/>
      <c r="AA173" s="4744"/>
      <c r="AB173" s="4744"/>
      <c r="AC173" s="4744"/>
      <c r="AD173" s="4744"/>
      <c r="AE173" s="4744"/>
      <c r="AF173" s="4744"/>
      <c r="AG173" s="4626"/>
      <c r="AH173" s="2180"/>
      <c r="AI173" s="4604"/>
      <c r="AJ173" s="3128" t="s">
        <v>9326</v>
      </c>
      <c r="AK173" s="3128"/>
      <c r="AL173" s="3128"/>
      <c r="AM173" s="312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8"/>
      <c r="AO173" s="3128"/>
      <c r="AP173" s="3128"/>
      <c r="AQ173" s="3129"/>
      <c r="AR173" s="3128"/>
      <c r="AS173" s="3128"/>
      <c r="AT173" s="3128"/>
      <c r="AU173" s="3132"/>
      <c r="AV173" s="3132"/>
      <c r="AW173" s="3132"/>
      <c r="AX173" s="3132"/>
      <c r="AY173" s="3128"/>
    </row>
    <row r="174" spans="1:51" ht="12.2" customHeight="1" x14ac:dyDescent="0.2">
      <c r="A174" s="2172"/>
      <c r="B174" s="2086">
        <f t="shared" si="3"/>
        <v>5</v>
      </c>
      <c r="C174" s="4584"/>
      <c r="D174" s="4624"/>
      <c r="E174" s="4744"/>
      <c r="F174" s="4744"/>
      <c r="G174" s="4744"/>
      <c r="H174" s="4744"/>
      <c r="I174" s="4744"/>
      <c r="J174" s="4744"/>
      <c r="K174" s="4744"/>
      <c r="L174" s="4744"/>
      <c r="M174" s="4744"/>
      <c r="N174" s="4744"/>
      <c r="O174" s="4744"/>
      <c r="P174" s="4744"/>
      <c r="Q174" s="4744"/>
      <c r="R174" s="4744"/>
      <c r="S174" s="4744"/>
      <c r="T174" s="4744"/>
      <c r="U174" s="4744"/>
      <c r="V174" s="4744"/>
      <c r="W174" s="4744"/>
      <c r="X174" s="4744"/>
      <c r="Y174" s="4744"/>
      <c r="Z174" s="4744"/>
      <c r="AA174" s="4744"/>
      <c r="AB174" s="4744"/>
      <c r="AC174" s="4744"/>
      <c r="AD174" s="4744"/>
      <c r="AE174" s="4744"/>
      <c r="AF174" s="4744"/>
      <c r="AG174" s="4626"/>
      <c r="AH174" s="2180"/>
      <c r="AI174" s="4604"/>
      <c r="AJ174" s="3128" t="s">
        <v>9305</v>
      </c>
      <c r="AK174" s="3128"/>
      <c r="AL174" s="3128"/>
      <c r="AM174" s="3128" t="b">
        <f>AND((IF(SUM(V152:V156)&gt;0,1,0)+IF(SUM(X152:X156)&gt;0,1,0)+IF(SUM(Z152:Z156)&gt;0,1,0)+IF(SUM(AB152:AB156)&gt;0,1,0)+IF(SUM(AD152:AD156,)&gt;0,1,0)+IF(SUM(AF152:AF156)&gt;0,1,0))&lt;3,OR(V159&lt;0,X159&lt;0,Z159&lt;0,AB159&lt;0,AD159&lt;0,AF159&lt;0,Y157&lt;0))</f>
        <v>0</v>
      </c>
      <c r="AN174" s="3128"/>
      <c r="AO174" s="3128"/>
      <c r="AP174" s="3128"/>
      <c r="AQ174" s="3129"/>
      <c r="AR174" s="3128"/>
      <c r="AS174" s="3128"/>
      <c r="AT174" s="3128"/>
      <c r="AU174" s="3132"/>
      <c r="AV174" s="3132"/>
      <c r="AW174" s="3132"/>
      <c r="AX174" s="3132"/>
      <c r="AY174" s="3128"/>
    </row>
    <row r="175" spans="1:51" ht="12.2" customHeight="1" x14ac:dyDescent="0.2">
      <c r="A175" s="2172"/>
      <c r="B175" s="2086">
        <f t="shared" si="3"/>
        <v>5</v>
      </c>
      <c r="C175" s="4584"/>
      <c r="D175" s="4624"/>
      <c r="E175" s="4744"/>
      <c r="F175" s="4744"/>
      <c r="G175" s="4744"/>
      <c r="H175" s="4744"/>
      <c r="I175" s="4744"/>
      <c r="J175" s="4744"/>
      <c r="K175" s="4744"/>
      <c r="L175" s="4744"/>
      <c r="M175" s="4744"/>
      <c r="N175" s="4744"/>
      <c r="O175" s="4744"/>
      <c r="P175" s="4744"/>
      <c r="Q175" s="4744"/>
      <c r="R175" s="4744"/>
      <c r="S175" s="4744"/>
      <c r="T175" s="4744"/>
      <c r="U175" s="4744"/>
      <c r="V175" s="4744"/>
      <c r="W175" s="4744"/>
      <c r="X175" s="4744"/>
      <c r="Y175" s="4744"/>
      <c r="Z175" s="4744"/>
      <c r="AA175" s="4744"/>
      <c r="AB175" s="4744"/>
      <c r="AC175" s="4744"/>
      <c r="AD175" s="4744"/>
      <c r="AE175" s="4744"/>
      <c r="AF175" s="4744"/>
      <c r="AG175" s="4626"/>
      <c r="AH175" s="2180"/>
      <c r="AI175" s="4604"/>
      <c r="AJ175" s="3128" t="s">
        <v>9320</v>
      </c>
      <c r="AK175" s="3128"/>
      <c r="AL175" s="3128"/>
      <c r="AM175" s="3128" t="b">
        <f>OR(-V159&gt;TRUNC(SUM(V152:V156)/2),-X159&gt;TRUNC(SUM(X152:X156)/2),-Z159&gt;TRUNC(SUM(Z152:Z156)/2),-AB159&gt;TRUNC(SUM(AB152:AB156)/2),-AD159&gt;TRUNC(SUM(AD152:AD156)/2),-AF159&gt;TRUNC(SUM(AF152:AF156)/2))</f>
        <v>0</v>
      </c>
      <c r="AN175" s="3128"/>
      <c r="AO175" s="3128"/>
      <c r="AP175" s="3128"/>
      <c r="AQ175" s="3129"/>
      <c r="AR175" s="3128"/>
      <c r="AS175" s="3128"/>
      <c r="AT175" s="3128"/>
      <c r="AU175" s="3132"/>
      <c r="AV175" s="3132"/>
      <c r="AW175" s="3132"/>
      <c r="AX175" s="3132"/>
      <c r="AY175" s="3128"/>
    </row>
    <row r="176" spans="1:51" ht="12.2" customHeight="1" x14ac:dyDescent="0.2">
      <c r="A176" s="2172"/>
      <c r="B176" s="2086">
        <f t="shared" si="3"/>
        <v>5</v>
      </c>
      <c r="C176" s="4584"/>
      <c r="D176" s="4624"/>
      <c r="E176" s="4744"/>
      <c r="F176" s="4744"/>
      <c r="G176" s="4744"/>
      <c r="H176" s="4744"/>
      <c r="I176" s="4744"/>
      <c r="J176" s="4744"/>
      <c r="K176" s="4744"/>
      <c r="L176" s="4744"/>
      <c r="M176" s="4744"/>
      <c r="N176" s="4744"/>
      <c r="O176" s="4744"/>
      <c r="P176" s="4744"/>
      <c r="Q176" s="4744"/>
      <c r="R176" s="4744"/>
      <c r="S176" s="4744"/>
      <c r="T176" s="4744"/>
      <c r="U176" s="4744"/>
      <c r="V176" s="4744"/>
      <c r="W176" s="4744"/>
      <c r="X176" s="4744"/>
      <c r="Y176" s="4744"/>
      <c r="Z176" s="4744"/>
      <c r="AA176" s="4744"/>
      <c r="AB176" s="4744"/>
      <c r="AC176" s="4744"/>
      <c r="AD176" s="4744"/>
      <c r="AE176" s="4744"/>
      <c r="AF176" s="4744"/>
      <c r="AG176" s="4626"/>
      <c r="AH176" s="2180"/>
      <c r="AI176" s="4604"/>
      <c r="AJ176" s="3128" t="s">
        <v>9321</v>
      </c>
      <c r="AK176" s="3128"/>
      <c r="AL176" s="3128"/>
      <c r="AM176" s="3128" t="b">
        <f>COUNTIF(D152:E156,"Primario")&gt;1</f>
        <v>0</v>
      </c>
      <c r="AN176" s="3128"/>
      <c r="AO176" s="3128"/>
      <c r="AP176" s="3128"/>
      <c r="AQ176" s="3129"/>
      <c r="AR176" s="3129"/>
      <c r="AS176" s="3129"/>
      <c r="AT176" s="3129"/>
      <c r="AU176" s="3132"/>
      <c r="AV176" s="3132"/>
      <c r="AW176" s="3132"/>
      <c r="AX176" s="3128"/>
      <c r="AY176" s="3128"/>
    </row>
    <row r="177" spans="1:51" ht="12.2" customHeight="1" x14ac:dyDescent="0.2">
      <c r="A177" s="2172"/>
      <c r="B177" s="2086">
        <f t="shared" si="3"/>
        <v>5</v>
      </c>
      <c r="C177" s="4584"/>
      <c r="D177" s="4624"/>
      <c r="E177" s="4744"/>
      <c r="F177" s="4744"/>
      <c r="G177" s="4744"/>
      <c r="H177" s="4744"/>
      <c r="I177" s="4744"/>
      <c r="J177" s="4744"/>
      <c r="K177" s="4744"/>
      <c r="L177" s="4744"/>
      <c r="M177" s="4744"/>
      <c r="N177" s="4744"/>
      <c r="O177" s="4744"/>
      <c r="P177" s="4744"/>
      <c r="Q177" s="4744"/>
      <c r="R177" s="4744"/>
      <c r="S177" s="4744"/>
      <c r="T177" s="4744"/>
      <c r="U177" s="4744"/>
      <c r="V177" s="4744"/>
      <c r="W177" s="4744"/>
      <c r="X177" s="4744"/>
      <c r="Y177" s="4744"/>
      <c r="Z177" s="4744"/>
      <c r="AA177" s="4744"/>
      <c r="AB177" s="4744"/>
      <c r="AC177" s="4744"/>
      <c r="AD177" s="4744"/>
      <c r="AE177" s="4744"/>
      <c r="AF177" s="4744"/>
      <c r="AG177" s="4626"/>
      <c r="AH177" s="2180"/>
      <c r="AI177" s="4604"/>
      <c r="AJ177" s="3128" t="s">
        <v>9304</v>
      </c>
      <c r="AK177" s="3128"/>
      <c r="AL177" s="3128"/>
      <c r="AM177" s="3128" t="b">
        <f>SUM(V159:AG159)&lt;&gt;Y157+ABS(AC157)*2/5+IF(S148="Sí",3*P148,0)</f>
        <v>0</v>
      </c>
      <c r="AN177" s="3128"/>
      <c r="AO177" s="3128"/>
      <c r="AP177" s="3128"/>
      <c r="AQ177" s="3129"/>
      <c r="AR177" s="3129"/>
      <c r="AS177" s="3129"/>
      <c r="AT177" s="3129"/>
      <c r="AU177" s="3132"/>
      <c r="AV177" s="3132"/>
      <c r="AW177" s="3132"/>
      <c r="AX177" s="3128"/>
      <c r="AY177" s="3128"/>
    </row>
    <row r="178" spans="1:51" ht="12.2" customHeight="1" x14ac:dyDescent="0.2">
      <c r="A178" s="2172"/>
      <c r="B178" s="2086">
        <f t="shared" si="3"/>
        <v>5</v>
      </c>
      <c r="C178" s="4584"/>
      <c r="D178" s="4624"/>
      <c r="E178" s="4744"/>
      <c r="F178" s="4744"/>
      <c r="G178" s="4744"/>
      <c r="H178" s="4744"/>
      <c r="I178" s="4744"/>
      <c r="J178" s="4744"/>
      <c r="K178" s="4744"/>
      <c r="L178" s="4744"/>
      <c r="M178" s="4744"/>
      <c r="N178" s="4744"/>
      <c r="O178" s="4744"/>
      <c r="P178" s="4744"/>
      <c r="Q178" s="4744"/>
      <c r="R178" s="4744"/>
      <c r="S178" s="4744"/>
      <c r="T178" s="4744"/>
      <c r="U178" s="4744"/>
      <c r="V178" s="4744"/>
      <c r="W178" s="4744"/>
      <c r="X178" s="4744"/>
      <c r="Y178" s="4744"/>
      <c r="Z178" s="4744"/>
      <c r="AA178" s="4744"/>
      <c r="AB178" s="4744"/>
      <c r="AC178" s="4744"/>
      <c r="AD178" s="4744"/>
      <c r="AE178" s="4744"/>
      <c r="AF178" s="4744"/>
      <c r="AG178" s="4626"/>
      <c r="AH178" s="2180"/>
      <c r="AI178" s="4604"/>
      <c r="AJ178" s="3128" t="s">
        <v>9303</v>
      </c>
      <c r="AK178" s="3128"/>
      <c r="AL178" s="3128"/>
      <c r="AM178" s="3128" t="b">
        <f>AL165-AL166+AM165-AM166&lt;&gt;0</f>
        <v>0</v>
      </c>
      <c r="AN178" s="3132"/>
      <c r="AO178" s="3132"/>
      <c r="AP178" s="3132"/>
      <c r="AQ178" s="3132"/>
      <c r="AR178" s="3129"/>
      <c r="AS178" s="3129"/>
      <c r="AT178" s="3129"/>
      <c r="AU178" s="3132"/>
      <c r="AV178" s="3132"/>
      <c r="AW178" s="3132"/>
      <c r="AX178" s="3128"/>
      <c r="AY178" s="3128"/>
    </row>
    <row r="179" spans="1:51" ht="12.2" customHeight="1" thickBot="1" x14ac:dyDescent="0.25">
      <c r="A179" s="2172"/>
      <c r="B179" s="2086"/>
      <c r="C179" s="4585"/>
      <c r="D179" s="4586"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87"/>
      <c r="F179" s="4587"/>
      <c r="G179" s="4587"/>
      <c r="H179" s="4587"/>
      <c r="I179" s="4587"/>
      <c r="J179" s="4587"/>
      <c r="K179" s="4587"/>
      <c r="L179" s="4587"/>
      <c r="M179" s="4587"/>
      <c r="N179" s="4587"/>
      <c r="O179" s="4587"/>
      <c r="P179" s="4587"/>
      <c r="Q179" s="4587"/>
      <c r="R179" s="4587"/>
      <c r="S179" s="4587"/>
      <c r="T179" s="4587"/>
      <c r="U179" s="4587"/>
      <c r="V179" s="4587"/>
      <c r="W179" s="4587"/>
      <c r="X179" s="4587"/>
      <c r="Y179" s="4587"/>
      <c r="Z179" s="4587"/>
      <c r="AA179" s="4587"/>
      <c r="AB179" s="4587"/>
      <c r="AC179" s="4587"/>
      <c r="AD179" s="4587"/>
      <c r="AE179" s="4587"/>
      <c r="AF179" s="4587"/>
      <c r="AG179" s="4588"/>
      <c r="AH179" s="2180"/>
      <c r="AI179" s="4604"/>
      <c r="AJ179" s="3128" t="s">
        <v>9340</v>
      </c>
      <c r="AK179" s="3132"/>
      <c r="AL179" s="3132"/>
      <c r="AM179" s="3132" t="b">
        <f>ABS(SUM(N157:N159))&gt;(SUM(N152:N156)-10*Y157+AC157+IF(S148="Sí",10*P148,0)+IF(COUNTIF(K152:M156,"Mantenido")&gt;0,P148*10)+MAX(IF(COUNTIF(K152:M156,"Sostenimiento Menor")&gt;0,P148*20)+IF(COUNTIF(K152:M156,"Sostenimiento Mayor")&gt;0,P148*30)))/2</f>
        <v>0</v>
      </c>
      <c r="AN179" s="3128"/>
      <c r="AO179" s="3128"/>
      <c r="AP179" s="3128"/>
      <c r="AQ179" s="3128"/>
      <c r="AR179" s="3129"/>
      <c r="AS179" s="3129"/>
      <c r="AT179" s="3129"/>
      <c r="AU179" s="3132"/>
      <c r="AV179" s="3132"/>
      <c r="AW179" s="3132"/>
      <c r="AX179" s="3128"/>
      <c r="AY179" s="3128"/>
    </row>
    <row r="180" spans="1:51" ht="12.2" customHeight="1" x14ac:dyDescent="0.2">
      <c r="A180" s="2172"/>
      <c r="B180" s="2086"/>
      <c r="C180" s="4721"/>
      <c r="D180" s="4581" t="str">
        <f>IFERROR(VLOOKUP(D161,'Tablas Técnicas'!$O$9:$T$88,2,FALSE),"")</f>
        <v/>
      </c>
      <c r="E180" s="4581"/>
      <c r="F180" s="4581"/>
      <c r="G180" s="4581"/>
      <c r="H180" s="4581"/>
      <c r="I180" s="4581"/>
      <c r="J180" s="4581" t="str">
        <f>IFERROR(VLOOKUP(J161,'Tablas Técnicas'!$O$9:$T$88,2,FALSE),"")</f>
        <v/>
      </c>
      <c r="K180" s="4581"/>
      <c r="L180" s="4581"/>
      <c r="M180" s="4581"/>
      <c r="N180" s="4581"/>
      <c r="O180" s="4581"/>
      <c r="P180" s="4581" t="str">
        <f>IFERROR(VLOOKUP(P161,'Tablas Técnicas'!$O$9:$T$88,2,FALSE),"")</f>
        <v/>
      </c>
      <c r="Q180" s="4581"/>
      <c r="R180" s="4581"/>
      <c r="S180" s="4581"/>
      <c r="T180" s="4581"/>
      <c r="U180" s="4581"/>
      <c r="V180" s="4581" t="str">
        <f>IFERROR(VLOOKUP(V161,'Tablas Técnicas'!$O$9:$T$88,2,FALSE),"")</f>
        <v/>
      </c>
      <c r="W180" s="4581"/>
      <c r="X180" s="4581"/>
      <c r="Y180" s="4581"/>
      <c r="Z180" s="4581"/>
      <c r="AA180" s="4581"/>
      <c r="AB180" s="4581" t="str">
        <f>IFERROR(VLOOKUP(AB161,'Tablas Técnicas'!$O$9:$T$88,2,FALSE),"")</f>
        <v/>
      </c>
      <c r="AC180" s="4581"/>
      <c r="AD180" s="4581"/>
      <c r="AE180" s="4581"/>
      <c r="AF180" s="4581"/>
      <c r="AG180" s="4581"/>
      <c r="AH180" s="2180"/>
      <c r="AI180" s="1908"/>
      <c r="AJ180" s="3128"/>
      <c r="AK180" s="3128"/>
      <c r="AL180" s="3128"/>
      <c r="AM180" s="3128"/>
      <c r="AN180" s="3128"/>
      <c r="AO180" s="3128"/>
      <c r="AP180" s="3128"/>
      <c r="AQ180" s="3128"/>
      <c r="AR180" s="3129"/>
      <c r="AS180" s="3129"/>
      <c r="AT180" s="3129"/>
      <c r="AU180" s="3132"/>
      <c r="AV180" s="3132"/>
      <c r="AW180" s="3132"/>
      <c r="AX180" s="3132"/>
      <c r="AY180" s="3128"/>
    </row>
    <row r="181" spans="1:51" s="2514" customFormat="1" ht="12.2" customHeight="1" thickBot="1" x14ac:dyDescent="0.25">
      <c r="A181" s="2172"/>
      <c r="B181" s="2087"/>
      <c r="C181" s="4722"/>
      <c r="D181" s="2517"/>
      <c r="E181" s="2517"/>
      <c r="F181" s="2517"/>
      <c r="G181" s="2517"/>
      <c r="H181" s="2517"/>
      <c r="I181" s="2517"/>
      <c r="J181" s="2517"/>
      <c r="K181" s="2517"/>
      <c r="L181" s="2517"/>
      <c r="M181" s="2517"/>
      <c r="N181" s="2517"/>
      <c r="O181" s="2517"/>
      <c r="P181" s="2517"/>
      <c r="Q181" s="2517"/>
      <c r="R181" s="2517"/>
      <c r="S181" s="2517"/>
      <c r="T181" s="2517"/>
      <c r="U181" s="2517"/>
      <c r="V181" s="2517"/>
      <c r="W181" s="2517"/>
      <c r="X181" s="2517"/>
      <c r="Y181" s="2517"/>
      <c r="Z181" s="2517"/>
      <c r="AA181" s="2517"/>
      <c r="AB181" s="2517"/>
      <c r="AC181" s="2517"/>
      <c r="AD181" s="2517"/>
      <c r="AE181" s="2517"/>
      <c r="AF181" s="2517"/>
      <c r="AG181" s="2517"/>
      <c r="AH181" s="2181"/>
      <c r="AI181" s="2515"/>
      <c r="AJ181" s="3128"/>
      <c r="AK181" s="3128"/>
      <c r="AL181" s="3128"/>
      <c r="AM181" s="3128"/>
      <c r="AN181" s="3128"/>
      <c r="AO181" s="3128"/>
      <c r="AP181" s="3128"/>
      <c r="AQ181" s="3128"/>
      <c r="AR181" s="3129"/>
      <c r="AS181" s="3129"/>
      <c r="AT181" s="3129"/>
      <c r="AU181" s="3132"/>
      <c r="AV181" s="3132"/>
      <c r="AW181" s="3132"/>
      <c r="AX181" s="3132"/>
      <c r="AY181" s="3128"/>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6"/>
      <c r="AK182" s="3136"/>
      <c r="AL182" s="3136"/>
      <c r="AM182" s="3136"/>
      <c r="AN182" s="3136"/>
      <c r="AO182" s="3136"/>
      <c r="AP182" s="3128"/>
      <c r="AQ182" s="3129"/>
      <c r="AR182" s="3132"/>
      <c r="AS182" s="3132"/>
      <c r="AT182" s="3132"/>
      <c r="AU182" s="3132"/>
      <c r="AV182" s="3132"/>
      <c r="AW182" s="3132"/>
      <c r="AX182" s="3132"/>
      <c r="AY182" s="3137"/>
    </row>
    <row r="183" spans="1:51" ht="12.2" customHeight="1" x14ac:dyDescent="0.2">
      <c r="A183" s="2172"/>
      <c r="B183" s="2086">
        <f t="shared" ref="B183:B213" si="4">1+B148</f>
        <v>6</v>
      </c>
      <c r="C183" s="4583" t="str">
        <f>"Técnica "&amp;B183</f>
        <v>Técnica 6</v>
      </c>
      <c r="D183" s="4682" t="s">
        <v>8711</v>
      </c>
      <c r="E183" s="4683"/>
      <c r="F183" s="4683"/>
      <c r="G183" s="4683"/>
      <c r="H183" s="4683"/>
      <c r="I183" s="4683"/>
      <c r="J183" s="4683"/>
      <c r="K183" s="4683"/>
      <c r="L183" s="4683"/>
      <c r="M183" s="4683"/>
      <c r="N183" s="4684"/>
      <c r="O183" s="4688" t="s">
        <v>1325</v>
      </c>
      <c r="P183" s="4690">
        <v>1</v>
      </c>
      <c r="Q183" s="4692" t="s">
        <v>8795</v>
      </c>
      <c r="R183" s="4693"/>
      <c r="S183" s="4696" t="s">
        <v>1381</v>
      </c>
      <c r="T183" s="4697" t="s">
        <v>1505</v>
      </c>
      <c r="U183" s="4699">
        <f>MAX(IF(P183=3,60,IF(P183=2,40,20)),MIN(SUM(N187:N194)-10*Y192+AC192+IF(S183="Sí",10*P183,0)+IF(COUNTIF(K187:M191,"Mantenido")&gt;0,P183*10)+MAX(IF(COUNTIF(K187:M191,"Sostenimiento Menor")&gt;0,P183*20)+IF(COUNTIF(K187:M191,"Sostenimiento Mayor")&gt;0,P183*30))))</f>
        <v>20</v>
      </c>
      <c r="V183" s="4692" t="s">
        <v>8796</v>
      </c>
      <c r="W183" s="4697"/>
      <c r="X183" s="4612" t="str">
        <f>IFERROR(LEFT(AK199&amp;AL199&amp;AM199&amp;AN199&amp;AO199&amp;AP199,LEN(AK199&amp;AL199&amp;AM199&amp;AN199&amp;AO199&amp;AP199)-2),"")</f>
        <v/>
      </c>
      <c r="Y183" s="4612"/>
      <c r="Z183" s="4612"/>
      <c r="AA183" s="4612"/>
      <c r="AB183" s="4612"/>
      <c r="AC183" s="4612"/>
      <c r="AD183" s="4612"/>
      <c r="AE183" s="4612"/>
      <c r="AF183" s="4612"/>
      <c r="AG183" s="4613"/>
      <c r="AH183" s="2180"/>
      <c r="AI183" s="4604"/>
      <c r="AJ183" s="3133" t="s">
        <v>9337</v>
      </c>
      <c r="AK183" s="3133"/>
      <c r="AL183" s="3133"/>
      <c r="AM183" s="3133"/>
      <c r="AN183" s="3133"/>
      <c r="AO183" s="3133"/>
      <c r="AP183" s="3133"/>
      <c r="AQ183" s="3133"/>
      <c r="AR183" s="3133"/>
      <c r="AS183" s="3128"/>
      <c r="AT183" s="3128"/>
      <c r="AU183" s="3128"/>
      <c r="AV183" s="3128"/>
      <c r="AW183" s="3132"/>
      <c r="AX183" s="3132"/>
      <c r="AY183" s="3128"/>
    </row>
    <row r="184" spans="1:51" ht="12.2" customHeight="1" x14ac:dyDescent="0.2">
      <c r="A184" s="2172"/>
      <c r="B184" s="2086">
        <f t="shared" si="4"/>
        <v>6</v>
      </c>
      <c r="C184" s="4584"/>
      <c r="D184" s="4685"/>
      <c r="E184" s="4686"/>
      <c r="F184" s="4686"/>
      <c r="G184" s="4686"/>
      <c r="H184" s="4686"/>
      <c r="I184" s="4686"/>
      <c r="J184" s="4686"/>
      <c r="K184" s="4686"/>
      <c r="L184" s="4686"/>
      <c r="M184" s="4686"/>
      <c r="N184" s="4687"/>
      <c r="O184" s="4689"/>
      <c r="P184" s="4691"/>
      <c r="Q184" s="4694"/>
      <c r="R184" s="4695"/>
      <c r="S184" s="4691"/>
      <c r="T184" s="4698"/>
      <c r="U184" s="4700"/>
      <c r="V184" s="4694"/>
      <c r="W184" s="4698"/>
      <c r="X184" s="4614"/>
      <c r="Y184" s="4614"/>
      <c r="Z184" s="4614"/>
      <c r="AA184" s="4614"/>
      <c r="AB184" s="4614"/>
      <c r="AC184" s="4614"/>
      <c r="AD184" s="4614"/>
      <c r="AE184" s="4614"/>
      <c r="AF184" s="4614"/>
      <c r="AG184" s="4615"/>
      <c r="AH184" s="2180"/>
      <c r="AI184" s="4604"/>
      <c r="AJ184" s="3133"/>
      <c r="AK184" s="3133" t="s">
        <v>9338</v>
      </c>
      <c r="AL184" s="3133" t="s">
        <v>10493</v>
      </c>
      <c r="AM184" s="3134"/>
      <c r="AN184" s="3134"/>
      <c r="AO184" s="3134"/>
      <c r="AP184" s="3134"/>
      <c r="AQ184" s="3134"/>
      <c r="AR184" s="3133"/>
      <c r="AS184" s="3128"/>
      <c r="AT184" s="3128"/>
      <c r="AU184" s="3128"/>
      <c r="AV184" s="3128"/>
      <c r="AW184" s="3132"/>
      <c r="AX184" s="4582" t="s">
        <v>9307</v>
      </c>
      <c r="AY184" s="4582"/>
    </row>
    <row r="185" spans="1:51" ht="12.2" customHeight="1" x14ac:dyDescent="0.2">
      <c r="A185" s="2172"/>
      <c r="B185" s="2086">
        <f t="shared" si="4"/>
        <v>6</v>
      </c>
      <c r="C185" s="4584"/>
      <c r="D185" s="4595" t="s">
        <v>2823</v>
      </c>
      <c r="E185" s="4596"/>
      <c r="F185" s="4596"/>
      <c r="G185" s="4596"/>
      <c r="H185" s="4596"/>
      <c r="I185" s="4596"/>
      <c r="J185" s="4596"/>
      <c r="K185" s="4679" t="s">
        <v>9630</v>
      </c>
      <c r="L185" s="4679"/>
      <c r="M185" s="4679"/>
      <c r="N185" s="4596" t="s">
        <v>1499</v>
      </c>
      <c r="O185" s="4679" t="s">
        <v>2821</v>
      </c>
      <c r="P185" s="4679" t="s">
        <v>8797</v>
      </c>
      <c r="Q185" s="4596" t="s">
        <v>1364</v>
      </c>
      <c r="R185" s="4596"/>
      <c r="S185" s="4596"/>
      <c r="T185" s="4596"/>
      <c r="U185" s="4596"/>
      <c r="V185" s="4659" t="s">
        <v>1373</v>
      </c>
      <c r="W185" s="4654"/>
      <c r="X185" s="4659" t="s">
        <v>1497</v>
      </c>
      <c r="Y185" s="4660"/>
      <c r="Z185" s="4654" t="s">
        <v>1378</v>
      </c>
      <c r="AA185" s="4654"/>
      <c r="AB185" s="4659" t="s">
        <v>1383</v>
      </c>
      <c r="AC185" s="4660"/>
      <c r="AD185" s="4654" t="s">
        <v>1390</v>
      </c>
      <c r="AE185" s="4654"/>
      <c r="AF185" s="4659" t="s">
        <v>1391</v>
      </c>
      <c r="AG185" s="4655"/>
      <c r="AH185" s="2180"/>
      <c r="AI185" s="4604"/>
      <c r="AJ185" s="3128"/>
      <c r="AK185" s="3128"/>
      <c r="AL185" s="3128" t="s">
        <v>9609</v>
      </c>
      <c r="AM185" s="3128"/>
      <c r="AN185" s="3128"/>
      <c r="AO185" s="3128"/>
      <c r="AP185" s="3128"/>
      <c r="AQ185" s="3128"/>
      <c r="AR185" s="3132"/>
      <c r="AS185" s="3132" t="s">
        <v>9327</v>
      </c>
      <c r="AT185" s="3132" t="s">
        <v>9328</v>
      </c>
      <c r="AU185" s="3128" t="s">
        <v>9316</v>
      </c>
      <c r="AV185" s="3128" t="s">
        <v>9317</v>
      </c>
      <c r="AW185" s="3132" t="s">
        <v>1499</v>
      </c>
      <c r="AX185" s="3132" t="s">
        <v>8799</v>
      </c>
      <c r="AY185" s="3128" t="s">
        <v>8800</v>
      </c>
    </row>
    <row r="186" spans="1:51" ht="12.2" customHeight="1" x14ac:dyDescent="0.2">
      <c r="A186" s="2172"/>
      <c r="B186" s="2086">
        <f t="shared" si="4"/>
        <v>6</v>
      </c>
      <c r="C186" s="4584"/>
      <c r="D186" s="4627"/>
      <c r="E186" s="4628"/>
      <c r="F186" s="4628"/>
      <c r="G186" s="4628"/>
      <c r="H186" s="4628"/>
      <c r="I186" s="4628"/>
      <c r="J186" s="4628"/>
      <c r="K186" s="4680"/>
      <c r="L186" s="4680"/>
      <c r="M186" s="4680"/>
      <c r="N186" s="4597"/>
      <c r="O186" s="4680"/>
      <c r="P186" s="4681"/>
      <c r="Q186" s="4597"/>
      <c r="R186" s="4597"/>
      <c r="S186" s="4597"/>
      <c r="T186" s="4597"/>
      <c r="U186" s="4597"/>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604"/>
      <c r="AJ186" s="3128"/>
      <c r="AK186" s="3128" t="s">
        <v>9308</v>
      </c>
      <c r="AL186" s="3128">
        <v>1</v>
      </c>
      <c r="AM186" s="3128">
        <v>2</v>
      </c>
      <c r="AN186" s="3128">
        <v>3</v>
      </c>
      <c r="AO186" s="3128">
        <v>4</v>
      </c>
      <c r="AP186" s="3128">
        <v>5</v>
      </c>
      <c r="AQ186" s="3128">
        <v>6</v>
      </c>
      <c r="AR186" s="3128">
        <v>7</v>
      </c>
      <c r="AS186" s="3132"/>
      <c r="AT186" s="3128" t="s">
        <v>9339</v>
      </c>
      <c r="AU186" s="3132"/>
      <c r="AV186" s="3132"/>
      <c r="AW186" s="3132" t="s">
        <v>9339</v>
      </c>
      <c r="AX186" s="3132"/>
      <c r="AY186" s="3128"/>
    </row>
    <row r="187" spans="1:51" ht="12.2" customHeight="1" x14ac:dyDescent="0.2">
      <c r="A187" s="2172"/>
      <c r="B187" s="2086">
        <f t="shared" si="4"/>
        <v>6</v>
      </c>
      <c r="C187" s="4584"/>
      <c r="D187" s="4670" t="s">
        <v>8801</v>
      </c>
      <c r="E187" s="4671"/>
      <c r="F187" s="4672"/>
      <c r="G187" s="4673"/>
      <c r="H187" s="4673"/>
      <c r="I187" s="4673"/>
      <c r="J187" s="4674"/>
      <c r="K187" s="4641" t="s">
        <v>1455</v>
      </c>
      <c r="L187" s="4642"/>
      <c r="M187" s="4643"/>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678" t="str">
        <f>IFERROR(VLOOKUP(F187,'Tablas Técnicas'!$O$9:$T$88,5,FALSE),"")</f>
        <v/>
      </c>
      <c r="R187" s="4678"/>
      <c r="S187" s="4678"/>
      <c r="T187" s="4678"/>
      <c r="U187" s="4678"/>
      <c r="V187" s="2042"/>
      <c r="W187" s="2043"/>
      <c r="X187" s="2042"/>
      <c r="Y187" s="2044"/>
      <c r="Z187" s="2045"/>
      <c r="AA187" s="2043"/>
      <c r="AB187" s="2042"/>
      <c r="AC187" s="2044"/>
      <c r="AD187" s="2045"/>
      <c r="AE187" s="2043"/>
      <c r="AF187" s="2042"/>
      <c r="AG187" s="2046"/>
      <c r="AH187" s="2180"/>
      <c r="AI187" s="4604"/>
      <c r="AJ187" s="3128">
        <v>1</v>
      </c>
      <c r="AK187" s="3128">
        <f>P183</f>
        <v>1</v>
      </c>
      <c r="AL187" s="3128" t="str">
        <f>IF(AND(ISNUMBER(MATCH($F187,'Tablas Técnicas'!$L$10:$L$643,0)),INDEX($D200:$D206,Tablas!A$1)="",COUNTIF(AM187:$AS187,$F187)=0),$F187,IF(INDEX($D200:$D206,Tablas!A$1)="","",$F187&amp;INDEX($D200:$D206,Tablas!A$1)))</f>
        <v/>
      </c>
      <c r="AM187" s="3128" t="str">
        <f>IF(AND(ISNUMBER(MATCH($F187,'Tablas Técnicas'!$L$10:$L$643,0)),INDEX($D200:$D206,Tablas!B$1)="",COUNTIF(AN187:$AS187,$F187)=0),$F187,IF(INDEX($D200:$D206,Tablas!B$1)="","",$F187&amp;INDEX($D200:$D206,Tablas!B$1)))</f>
        <v/>
      </c>
      <c r="AN187" s="3128" t="str">
        <f>IF(AND(ISNUMBER(MATCH($F187,'Tablas Técnicas'!$L$10:$L$643,0)),INDEX($D200:$D206,Tablas!C$1)="",COUNTIF(AO187:$AS187,$F187)=0),$F187,IF(INDEX($D200:$D206,Tablas!C$1)="","",$F187&amp;INDEX($D200:$D206,Tablas!C$1)))</f>
        <v/>
      </c>
      <c r="AO187" s="3128" t="str">
        <f>IF(AND(ISNUMBER(MATCH($F187,'Tablas Técnicas'!$L$10:$L$643,0)),INDEX($D200:$D206,Tablas!D$1)="",COUNTIF(AP187:$AS187,$F187)=0),$F187,IF(INDEX($D200:$D206,Tablas!D$1)="","",$F187&amp;INDEX($D200:$D206,Tablas!D$1)))</f>
        <v/>
      </c>
      <c r="AP187" s="3128" t="str">
        <f>IF(AND(ISNUMBER(MATCH($F187,'Tablas Técnicas'!$L$10:$L$643,0)),INDEX($D200:$D206,Tablas!E$1)="",COUNTIF(AQ187:$AS187,$F187)=0),$F187,IF(INDEX($D200:$D206,Tablas!E$1)="","",$F187&amp;INDEX($D200:$D206,Tablas!E$1)))</f>
        <v/>
      </c>
      <c r="AQ187" s="3128" t="str">
        <f>IF(AND(ISNUMBER(MATCH($F187,'Tablas Técnicas'!$L$10:$L$643,0)),INDEX($D200:$D206,Tablas!F$1)="",COUNTIF(AR187:$AS187,$F187)=0),$F187,IF(INDEX($D200:$D206,Tablas!F$1)="","",$F187&amp;INDEX($D200:$D206,Tablas!F$1)))</f>
        <v/>
      </c>
      <c r="AR187" s="3128" t="str">
        <f>IF(AND(ISNUMBER(MATCH($F187,'Tablas Técnicas'!$L$10:$L$643,0)),INDEX($D200:$D206,Tablas!G$1)="",COUNTIF(AS187:$AS187,$F187)=0),$F187,IF(INDEX($D200:$D206,Tablas!G$1)="","",$F187&amp;INDEX($D200:$D206,Tablas!G$1)))</f>
        <v/>
      </c>
      <c r="AS187" s="3132">
        <f>V187+X187+Z187+AB187+AD187+AF187</f>
        <v>0</v>
      </c>
      <c r="AT187" s="3132">
        <f t="array" ref="AT187">SUM(IF($AL187:$AR187='Tablas Técnicas'!$L$10:$L$643,IF(D187="Primario",'Tablas Técnicas'!$E$10:$E$643,'Tablas Técnicas'!$F$10:$F$643)+IF(K187="Sostenimiento menor",'Tablas Técnicas'!$I$10:$I$643,IF(K187="sostenimiento mayor",'Tablas Técnicas'!$J$10:$J$643,0)),0),0)+VALUE(RIGHT(P187,2))+AU187+AV187</f>
        <v>0</v>
      </c>
      <c r="AU187" s="313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32">
        <f>(COUNTIF(AL187:AR187,"*Estado añadido:*")-1)*COUNTIF(AL187:AR187,"*Estado añadido:*")</f>
        <v>0</v>
      </c>
      <c r="AW187" s="3132">
        <f t="array" ref="AW187">SUM(IF($AL187:$AR187='Tablas Técnicas'!$L$10:$L$643,'Tablas Técnicas'!$G$10:$G$643,0))</f>
        <v>0</v>
      </c>
      <c r="AX187" s="312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8" t="str">
        <f>IFERROR(LEFT(AX187,LEN(AX187)-2)&amp;"), ","")</f>
        <v/>
      </c>
    </row>
    <row r="188" spans="1:51" ht="12.2" customHeight="1" x14ac:dyDescent="0.2">
      <c r="A188" s="2172"/>
      <c r="B188" s="2086">
        <f t="shared" si="4"/>
        <v>6</v>
      </c>
      <c r="C188" s="4584"/>
      <c r="D188" s="4629" t="s">
        <v>524</v>
      </c>
      <c r="E188" s="4630"/>
      <c r="F188" s="4661"/>
      <c r="G188" s="4662"/>
      <c r="H188" s="4662"/>
      <c r="I188" s="4662"/>
      <c r="J188" s="4663"/>
      <c r="K188" s="4664" t="s">
        <v>1455</v>
      </c>
      <c r="L188" s="4665"/>
      <c r="M188" s="4666"/>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1" t="str">
        <f>IFERROR(VLOOKUP(F188,'Tablas Técnicas'!$O$9:$T$88,5,FALSE),"")</f>
        <v/>
      </c>
      <c r="R188" s="4631"/>
      <c r="S188" s="4631"/>
      <c r="T188" s="4631"/>
      <c r="U188" s="4631"/>
      <c r="V188" s="2047"/>
      <c r="W188" s="2048"/>
      <c r="X188" s="2047"/>
      <c r="Y188" s="2049"/>
      <c r="Z188" s="2050"/>
      <c r="AA188" s="2048"/>
      <c r="AB188" s="2047"/>
      <c r="AC188" s="2049"/>
      <c r="AD188" s="2050"/>
      <c r="AE188" s="2048"/>
      <c r="AF188" s="2047"/>
      <c r="AG188" s="2051"/>
      <c r="AH188" s="2180"/>
      <c r="AI188" s="4604"/>
      <c r="AJ188" s="3128">
        <v>2</v>
      </c>
      <c r="AK188" s="3128">
        <f>P183</f>
        <v>1</v>
      </c>
      <c r="AL188" s="3128" t="str">
        <f>IF(AND(ISNUMBER(MATCH($F188,'Tablas Técnicas'!$L$10:$L$643,0)),INDEX($J200:$J206,Tablas!A$1)="",COUNTIF(AM188:$AS188,$F188)=0),$F188,IF(INDEX($J200:$J206,Tablas!A$1)="","",$F188&amp;INDEX($J200:$J206,Tablas!A$1)))</f>
        <v/>
      </c>
      <c r="AM188" s="3128" t="str">
        <f>IF(AND(ISNUMBER(MATCH($F188,'Tablas Técnicas'!$L$10:$L$643,0)),INDEX($J200:$J206,Tablas!B$1)="",COUNTIF(AN188:$AS188,$F188)=0),$F188,IF(INDEX($J200:$J206,Tablas!B$1)="","",$F188&amp;INDEX($J200:$J206,Tablas!B$1)))</f>
        <v/>
      </c>
      <c r="AN188" s="3128" t="str">
        <f>IF(AND(ISNUMBER(MATCH($F188,'Tablas Técnicas'!$L$10:$L$643,0)),INDEX($J200:$J206,Tablas!C$1)="",COUNTIF(AO188:$AS188,$F188)=0),$F188,IF(INDEX($J200:$J206,Tablas!C$1)="","",$F188&amp;INDEX($J200:$J206,Tablas!C$1)))</f>
        <v/>
      </c>
      <c r="AO188" s="3128" t="str">
        <f>IF(AND(ISNUMBER(MATCH($F188,'Tablas Técnicas'!$L$10:$L$643,0)),INDEX($J200:$J206,Tablas!D$1)="",COUNTIF(AP188:$AS188,$F188)=0),$F188,IF(INDEX($J200:$J206,Tablas!D$1)="","",$F188&amp;INDEX($J200:$J206,Tablas!D$1)))</f>
        <v/>
      </c>
      <c r="AP188" s="3128" t="str">
        <f>IF(AND(ISNUMBER(MATCH($F188,'Tablas Técnicas'!$L$10:$L$643,0)),INDEX($J200:$J206,Tablas!E$1)="",COUNTIF(AQ188:$AS188,$F188)=0),$F188,IF(INDEX($J200:$J206,Tablas!E$1)="","",$F188&amp;INDEX($J200:$J206,Tablas!E$1)))</f>
        <v/>
      </c>
      <c r="AQ188" s="3128" t="str">
        <f>IF(AND(ISNUMBER(MATCH($F188,'Tablas Técnicas'!$L$10:$L$643,0)),INDEX($J200:$J206,Tablas!F$1)="",COUNTIF(AR188:$AS188,$F188)=0),$F188,IF(INDEX($J200:$J206,Tablas!F$1)="","",$F188&amp;INDEX($J200:$J206,Tablas!F$1)))</f>
        <v/>
      </c>
      <c r="AR188" s="3128" t="str">
        <f>IF(AND(ISNUMBER(MATCH($F188,'Tablas Técnicas'!$L$10:$L$643,0)),INDEX($J200:$J206,Tablas!G$1)="",COUNTIF(AS188:$AS188,$F188)=0),$F188,IF(INDEX($J200:$J206,Tablas!G$1)="","",$F188&amp;INDEX($J200:$J206,Tablas!G$1)))</f>
        <v/>
      </c>
      <c r="AS188" s="3132">
        <f>V188+X188+Z188+AB188+AD188+AF188</f>
        <v>0</v>
      </c>
      <c r="AT188" s="3132">
        <f t="array" ref="AT188">SUM(IF($AL188:$AR188='Tablas Técnicas'!$L$10:$L$643,IF(D188="Primario",'Tablas Técnicas'!$E$10:$E$643,'Tablas Técnicas'!$F$10:$F$643)+IF(K188="Sostenimiento menor",'Tablas Técnicas'!$I$10:$I$643,IF(K188="sostenimiento mayor",'Tablas Técnicas'!$J$10:$J$643,0)),0),0)+VALUE(RIGHT(P188,2))+AU188+AV188</f>
        <v>0</v>
      </c>
      <c r="AU188" s="313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32">
        <f>(COUNTIF(AL188:AR188,"*Estado añadido:*")-1)*COUNTIF(AL188:AR188,"*Estado añadido:*")</f>
        <v>0</v>
      </c>
      <c r="AW188" s="3132">
        <f t="array" ref="AW188">SUM(IF($AL188:$AR188='Tablas Técnicas'!$L$10:$L$643,'Tablas Técnicas'!$G$10:$G$643,0))</f>
        <v>0</v>
      </c>
      <c r="AX188" s="312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8" t="str">
        <f>IFERROR(LEFT(AX188,LEN(AX188)-2)&amp;"), ","")</f>
        <v/>
      </c>
    </row>
    <row r="189" spans="1:51" ht="12.2" customHeight="1" x14ac:dyDescent="0.2">
      <c r="A189" s="2172"/>
      <c r="B189" s="2086">
        <f t="shared" si="4"/>
        <v>6</v>
      </c>
      <c r="C189" s="4584"/>
      <c r="D189" s="4675" t="s">
        <v>524</v>
      </c>
      <c r="E189" s="4676"/>
      <c r="F189" s="4605"/>
      <c r="G189" s="4606"/>
      <c r="H189" s="4606"/>
      <c r="I189" s="4606"/>
      <c r="J189" s="4607"/>
      <c r="K189" s="4667" t="s">
        <v>1455</v>
      </c>
      <c r="L189" s="4668"/>
      <c r="M189" s="4669"/>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677" t="str">
        <f>IFERROR(VLOOKUP(F189,'Tablas Técnicas'!$O$9:$T$88,5,FALSE),"")</f>
        <v/>
      </c>
      <c r="R189" s="4677"/>
      <c r="S189" s="4677"/>
      <c r="T189" s="4677"/>
      <c r="U189" s="4677"/>
      <c r="V189" s="2052"/>
      <c r="W189" s="2053"/>
      <c r="X189" s="2052"/>
      <c r="Y189" s="2054"/>
      <c r="Z189" s="2055"/>
      <c r="AA189" s="2053"/>
      <c r="AB189" s="2052"/>
      <c r="AC189" s="2054"/>
      <c r="AD189" s="2055"/>
      <c r="AE189" s="2053"/>
      <c r="AF189" s="2052"/>
      <c r="AG189" s="2056"/>
      <c r="AH189" s="2180"/>
      <c r="AI189" s="4604"/>
      <c r="AJ189" s="3128">
        <v>3</v>
      </c>
      <c r="AK189" s="3128">
        <f>P183</f>
        <v>1</v>
      </c>
      <c r="AL189" s="3128" t="str">
        <f>IF(AND(ISNUMBER(MATCH($F189,'Tablas Técnicas'!$L$10:$L$643,0)),INDEX($P200:$P206,Tablas!A$1)="",COUNTIF(AM189:$AS189,$F189)=0),$F189,IF(INDEX($P200:$P206,Tablas!A$1)="","",$F189&amp;INDEX($P200:$P206,Tablas!A$1)))</f>
        <v/>
      </c>
      <c r="AM189" s="3128" t="str">
        <f>IF(AND(ISNUMBER(MATCH($F189,'Tablas Técnicas'!$L$10:$L$643,0)),INDEX($P200:$P206,Tablas!B$1)="",COUNTIF(AN189:$AS189,$F189)=0),$F189,IF(INDEX($P200:$P206,Tablas!B$1)="","",$F189&amp;INDEX($P200:$P206,Tablas!B$1)))</f>
        <v/>
      </c>
      <c r="AN189" s="3128" t="str">
        <f>IF(AND(ISNUMBER(MATCH($F189,'Tablas Técnicas'!$L$10:$L$643,0)),INDEX($P200:$P206,Tablas!C$1)="",COUNTIF(AO189:$AS189,$F189)=0),$F189,IF(INDEX($P200:$P206,Tablas!C$1)="","",$F189&amp;INDEX($P200:$P206,Tablas!C$1)))</f>
        <v/>
      </c>
      <c r="AO189" s="3128" t="str">
        <f>IF(AND(ISNUMBER(MATCH($F189,'Tablas Técnicas'!$L$10:$L$643,0)),INDEX($P200:$P206,Tablas!D$1)="",COUNTIF(AP189:$AS189,$F189)=0),$F189,IF(INDEX($P200:$P206,Tablas!D$1)="","",$F189&amp;INDEX($P200:$P206,Tablas!D$1)))</f>
        <v/>
      </c>
      <c r="AP189" s="3128" t="str">
        <f>IF(AND(ISNUMBER(MATCH($F189,'Tablas Técnicas'!$L$10:$L$643,0)),INDEX($P200:$P206,Tablas!E$1)="",COUNTIF(AQ189:$AS189,$F189)=0),$F189,IF(INDEX($P200:$P206,Tablas!E$1)="","",$F189&amp;INDEX($P200:$P206,Tablas!E$1)))</f>
        <v/>
      </c>
      <c r="AQ189" s="3128" t="str">
        <f>IF(AND(ISNUMBER(MATCH($F189,'Tablas Técnicas'!$L$10:$L$643,0)),INDEX($P200:$P206,Tablas!F$1)="",COUNTIF(AR189:$AS189,$F189)=0),$F189,IF(INDEX($P200:$P206,Tablas!F$1)="","",$F189&amp;INDEX($P200:$P206,Tablas!F$1)))</f>
        <v/>
      </c>
      <c r="AR189" s="3128" t="str">
        <f>IF(AND(ISNUMBER(MATCH($F189,'Tablas Técnicas'!$L$10:$L$643,0)),INDEX($P200:$P206,Tablas!G$1)="",COUNTIF(AS189:$AS189,$F189)=0),$F189,IF(INDEX($P200:$P206,Tablas!G$1)="","",$F189&amp;INDEX($P200:$P206,Tablas!G$1)))</f>
        <v/>
      </c>
      <c r="AS189" s="3132">
        <f>V189+X189+Z189+AB189+AD189+AF189</f>
        <v>0</v>
      </c>
      <c r="AT189" s="3132">
        <f t="array" ref="AT189">SUM(IF($AL189:$AR189='Tablas Técnicas'!$L$10:$L$643,IF(D189="Primario",'Tablas Técnicas'!$E$10:$E$643,'Tablas Técnicas'!$F$10:$F$643)+IF(K189="Sostenimiento menor",'Tablas Técnicas'!$I$10:$I$643,IF(K189="sostenimiento mayor",'Tablas Técnicas'!$J$10:$J$643,0)),0),0)+VALUE(RIGHT(P189,2))+AU189+AV189</f>
        <v>0</v>
      </c>
      <c r="AU189" s="313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32">
        <f>(COUNTIF(AL189:AR189,"*Estado añadido:*")-1)*COUNTIF(AL189:AR189,"*Estado añadido:*")</f>
        <v>0</v>
      </c>
      <c r="AW189" s="3132">
        <f t="array" ref="AW189">SUM(IF($AL189:$AR189='Tablas Técnicas'!$L$10:$L$643,'Tablas Técnicas'!$G$10:$G$643,0))</f>
        <v>0</v>
      </c>
      <c r="AX189" s="312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8" t="str">
        <f>IFERROR(LEFT(AX189,LEN(AX189)-2)&amp;"), ","")</f>
        <v/>
      </c>
    </row>
    <row r="190" spans="1:51" ht="12.2" customHeight="1" x14ac:dyDescent="0.2">
      <c r="A190" s="2172"/>
      <c r="B190" s="2086">
        <f t="shared" si="4"/>
        <v>6</v>
      </c>
      <c r="C190" s="4584"/>
      <c r="D190" s="4629" t="s">
        <v>524</v>
      </c>
      <c r="E190" s="4630"/>
      <c r="F190" s="4661"/>
      <c r="G190" s="4662"/>
      <c r="H190" s="4662"/>
      <c r="I190" s="4662"/>
      <c r="J190" s="4663"/>
      <c r="K190" s="4664" t="s">
        <v>1455</v>
      </c>
      <c r="L190" s="4665"/>
      <c r="M190" s="4666"/>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1" t="str">
        <f>IFERROR(VLOOKUP(F190,'Tablas Técnicas'!$O$9:$T$88,5,FALSE),"")</f>
        <v/>
      </c>
      <c r="R190" s="4631"/>
      <c r="S190" s="4631"/>
      <c r="T190" s="4631"/>
      <c r="U190" s="4631"/>
      <c r="V190" s="2047"/>
      <c r="W190" s="2048"/>
      <c r="X190" s="2047"/>
      <c r="Y190" s="2049"/>
      <c r="Z190" s="2050"/>
      <c r="AA190" s="2048"/>
      <c r="AB190" s="2047"/>
      <c r="AC190" s="2049"/>
      <c r="AD190" s="2050"/>
      <c r="AE190" s="2048"/>
      <c r="AF190" s="2047"/>
      <c r="AG190" s="2051"/>
      <c r="AH190" s="2180"/>
      <c r="AI190" s="4604"/>
      <c r="AJ190" s="3128">
        <v>4</v>
      </c>
      <c r="AK190" s="3128">
        <f>P183</f>
        <v>1</v>
      </c>
      <c r="AL190" s="3128" t="str">
        <f>IF(AND(ISNUMBER(MATCH($F190,'Tablas Técnicas'!$L$10:$L$643,0)),INDEX($V200:$V206,Tablas!A$1)="",COUNTIF(AM190:$AS190,$F190)=0),$F190,IF(INDEX($V200:$V206,Tablas!A$1)="","",$F190&amp;INDEX($V200:$V206,Tablas!A$1)))</f>
        <v/>
      </c>
      <c r="AM190" s="3128" t="str">
        <f>IF(AND(ISNUMBER(MATCH($F190,'Tablas Técnicas'!$L$10:$L$643,0)),INDEX($V200:$V206,Tablas!B$1)="",COUNTIF(AN190:$AS190,$F190)=0),$F190,IF(INDEX($V200:$V206,Tablas!B$1)="","",$F190&amp;INDEX($V200:$V206,Tablas!B$1)))</f>
        <v/>
      </c>
      <c r="AN190" s="3128" t="str">
        <f>IF(AND(ISNUMBER(MATCH($F190,'Tablas Técnicas'!$L$10:$L$643,0)),INDEX($V200:$V206,Tablas!C$1)="",COUNTIF(AO190:$AS190,$F190)=0),$F190,IF(INDEX($V200:$V206,Tablas!C$1)="","",$F190&amp;INDEX($V200:$V206,Tablas!C$1)))</f>
        <v/>
      </c>
      <c r="AO190" s="3128" t="str">
        <f>IF(AND(ISNUMBER(MATCH($F190,'Tablas Técnicas'!$L$10:$L$643,0)),INDEX($V200:$V206,Tablas!D$1)="",COUNTIF(AP190:$AS190,$F190)=0),$F190,IF(INDEX($V200:$V206,Tablas!D$1)="","",$F190&amp;INDEX($V200:$V206,Tablas!D$1)))</f>
        <v/>
      </c>
      <c r="AP190" s="3128" t="str">
        <f>IF(AND(ISNUMBER(MATCH($F190,'Tablas Técnicas'!$L$10:$L$643,0)),INDEX($V200:$V206,Tablas!E$1)="",COUNTIF(AQ190:$AS190,$F190)=0),$F190,IF(INDEX($V200:$V206,Tablas!E$1)="","",$F190&amp;INDEX($V200:$V206,Tablas!E$1)))</f>
        <v/>
      </c>
      <c r="AQ190" s="3128" t="str">
        <f>IF(AND(ISNUMBER(MATCH($F190,'Tablas Técnicas'!$L$10:$L$643,0)),INDEX($V200:$V206,Tablas!F$1)="",COUNTIF(AR190:$AS190,$F190)=0),$F190,IF(INDEX($V200:$V206,Tablas!F$1)="","",$F190&amp;INDEX($V200:$V206,Tablas!F$1)))</f>
        <v/>
      </c>
      <c r="AR190" s="3128" t="str">
        <f>IF(AND(ISNUMBER(MATCH($F190,'Tablas Técnicas'!$L$10:$L$643,0)),INDEX($V200:$V206,Tablas!G$1)="",COUNTIF(AS190:$AS190,$F190)=0),$F190,IF(INDEX($V200:$V206,Tablas!G$1)="","",$F190&amp;INDEX($V200:$V206,Tablas!G$1)))</f>
        <v/>
      </c>
      <c r="AS190" s="3132">
        <f>V190+X190+Z190+AB190+AD190+AF190</f>
        <v>0</v>
      </c>
      <c r="AT190" s="3132">
        <f t="array" ref="AT190">SUM(IF($AL190:$AR190='Tablas Técnicas'!$L$10:$L$643,IF(D190="Primario",'Tablas Técnicas'!$E$10:$E$643,'Tablas Técnicas'!$F$10:$F$643)+IF(K190="Sostenimiento menor",'Tablas Técnicas'!$I$10:$I$643,IF(K190="sostenimiento mayor",'Tablas Técnicas'!$J$10:$J$643,0)),0),0)+VALUE(RIGHT(P190,2))+AU190+AV190</f>
        <v>0</v>
      </c>
      <c r="AU190" s="313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32">
        <f>(COUNTIF(AL190:AR190,"*Estado añadido:*")-1)*COUNTIF(AL190:AR190,"*Estado añadido:*")</f>
        <v>0</v>
      </c>
      <c r="AW190" s="3132">
        <f t="array" ref="AW190">SUM(IF($AL190:$AR190='Tablas Técnicas'!$L$10:$L$643,'Tablas Técnicas'!$G$10:$G$643,0))</f>
        <v>0</v>
      </c>
      <c r="AX190" s="312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8" t="str">
        <f>IFERROR(LEFT(AX190,LEN(AX190)-2)&amp;"), ","")</f>
        <v/>
      </c>
    </row>
    <row r="191" spans="1:51" ht="12.2" customHeight="1" thickBot="1" x14ac:dyDescent="0.25">
      <c r="A191" s="2172"/>
      <c r="B191" s="2086">
        <f t="shared" si="4"/>
        <v>6</v>
      </c>
      <c r="C191" s="4584"/>
      <c r="D191" s="4632" t="s">
        <v>524</v>
      </c>
      <c r="E191" s="4633"/>
      <c r="F191" s="4589"/>
      <c r="G191" s="4590"/>
      <c r="H191" s="4590"/>
      <c r="I191" s="4590"/>
      <c r="J191" s="4591"/>
      <c r="K191" s="4592" t="s">
        <v>1455</v>
      </c>
      <c r="L191" s="4593"/>
      <c r="M191" s="4594"/>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34" t="str">
        <f>IFERROR(VLOOKUP(F191,'Tablas Técnicas'!$O$9:$T$88,5,FALSE),"")</f>
        <v/>
      </c>
      <c r="R191" s="4634"/>
      <c r="S191" s="4634"/>
      <c r="T191" s="4634"/>
      <c r="U191" s="4634"/>
      <c r="V191" s="2057"/>
      <c r="W191" s="2058"/>
      <c r="X191" s="2057"/>
      <c r="Y191" s="2059"/>
      <c r="Z191" s="2060"/>
      <c r="AA191" s="2058"/>
      <c r="AB191" s="2057"/>
      <c r="AC191" s="2059"/>
      <c r="AD191" s="2060"/>
      <c r="AE191" s="2058"/>
      <c r="AF191" s="2057"/>
      <c r="AG191" s="2061"/>
      <c r="AH191" s="2180"/>
      <c r="AI191" s="4604"/>
      <c r="AJ191" s="3128">
        <v>5</v>
      </c>
      <c r="AK191" s="3128">
        <f>P183</f>
        <v>1</v>
      </c>
      <c r="AL191" s="3128" t="str">
        <f>IF(AND(ISNUMBER(MATCH($F191,'Tablas Técnicas'!$L$10:$L$643,0)),INDEX($AB200:$AB206,Tablas!A$1)="",COUNTIF(AM191:$AS191,$F191)=0),$F191,IF(INDEX($AB200:$AB206,Tablas!A$1)="","",$F191&amp;INDEX($AB200:$AB206,Tablas!A$1)))</f>
        <v/>
      </c>
      <c r="AM191" s="3128" t="str">
        <f>IF(AND(ISNUMBER(MATCH($F191,'Tablas Técnicas'!$L$10:$L$643,0)),INDEX($AB200:$AB206,Tablas!B$1)="",COUNTIF(AN191:$AS191,$F191)=0),$F191,IF(INDEX($AB200:$AB206,Tablas!B$1)="","",$F191&amp;INDEX($AB200:$AB206,Tablas!B$1)))</f>
        <v/>
      </c>
      <c r="AN191" s="3128" t="str">
        <f>IF(AND(ISNUMBER(MATCH($F191,'Tablas Técnicas'!$L$10:$L$643,0)),INDEX($AB200:$AB206,Tablas!C$1)="",COUNTIF(AO191:$AS191,$F191)=0),$F191,IF(INDEX($AB200:$AB206,Tablas!C$1)="","",$F191&amp;INDEX($AB200:$AB206,Tablas!C$1)))</f>
        <v/>
      </c>
      <c r="AO191" s="3128" t="str">
        <f>IF(AND(ISNUMBER(MATCH($F191,'Tablas Técnicas'!$L$10:$L$643,0)),INDEX($AB200:$AB206,Tablas!D$1)="",COUNTIF(AP191:$AS191,$F191)=0),$F191,IF(INDEX($AB200:$AB206,Tablas!D$1)="","",$F191&amp;INDEX($AB200:$AB206,Tablas!D$1)))</f>
        <v/>
      </c>
      <c r="AP191" s="3128" t="str">
        <f>IF(AND(ISNUMBER(MATCH($F191,'Tablas Técnicas'!$L$10:$L$643,0)),INDEX($AB200:$AB206,Tablas!E$1)="",COUNTIF(AQ191:$AS191,$F191)=0),$F191,IF(INDEX($AB200:$AB206,Tablas!E$1)="","",$F191&amp;INDEX($AB200:$AB206,Tablas!E$1)))</f>
        <v/>
      </c>
      <c r="AQ191" s="3128" t="str">
        <f>IF(AND(ISNUMBER(MATCH($F191,'Tablas Técnicas'!$L$10:$L$643,0)),INDEX($AB200:$AB206,Tablas!F$1)="",COUNTIF(AR191:$AS191,$F191)=0),$F191,IF(INDEX($AB200:$AB206,Tablas!F$1)="","",$F191&amp;INDEX($AB200:$AB206,Tablas!F$1)))</f>
        <v/>
      </c>
      <c r="AR191" s="3128" t="str">
        <f>IF(AND(ISNUMBER(MATCH($F191,'Tablas Técnicas'!$L$10:$L$643,0)),INDEX($AB200:$AB206,Tablas!G$1)="",COUNTIF(AS191:$AS191,$F191)=0),$F191,IF(INDEX($AB200:$AB206,Tablas!G$1)="","",$F191&amp;INDEX($AB200:$AB206,Tablas!G$1)))</f>
        <v/>
      </c>
      <c r="AS191" s="3132">
        <f>V191+X191+Z191+AB191+AD191+AF191</f>
        <v>0</v>
      </c>
      <c r="AT191" s="3132">
        <f t="array" ref="AT191">SUM(IF($AL191:$AR191='Tablas Técnicas'!$L$10:$L$643,IF(D191="Primario",'Tablas Técnicas'!$E$10:$E$643,'Tablas Técnicas'!$F$10:$F$643)+IF(K191="Sostenimiento menor",'Tablas Técnicas'!$I$10:$I$643,IF(K191="sostenimiento mayor",'Tablas Técnicas'!$J$10:$J$643,0)),0),0)+VALUE(RIGHT(P191,2))+AU191+AV191</f>
        <v>0</v>
      </c>
      <c r="AU191" s="313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32">
        <f>(COUNTIF(AL191:AR191,"*Estado añadido:*")-1)*COUNTIF(AL191:AR191,"*Estado añadido:*")</f>
        <v>0</v>
      </c>
      <c r="AW191" s="3132">
        <f t="array" ref="AW191">SUM(IF($AL191:$AR191='Tablas Técnicas'!$L$10:$L$643,'Tablas Técnicas'!$G$10:$G$643,0))</f>
        <v>0</v>
      </c>
      <c r="AX191" s="312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8" t="str">
        <f>IFERROR(LEFT(AX191,LEN(AX191)-2)&amp;"), ","")</f>
        <v/>
      </c>
    </row>
    <row r="192" spans="1:51" ht="12.2" customHeight="1" x14ac:dyDescent="0.2">
      <c r="A192" s="2172"/>
      <c r="B192" s="2086">
        <f t="shared" si="4"/>
        <v>6</v>
      </c>
      <c r="C192" s="4584"/>
      <c r="D192" s="4635" t="s">
        <v>2818</v>
      </c>
      <c r="E192" s="4636"/>
      <c r="F192" s="4656"/>
      <c r="G192" s="4657"/>
      <c r="H192" s="4657"/>
      <c r="I192" s="4657"/>
      <c r="J192" s="4658"/>
      <c r="K192" s="4674"/>
      <c r="L192" s="4703"/>
      <c r="M192" s="4704"/>
      <c r="N192" s="1916" t="str">
        <f>IFERROR(INDEX('Tablas Técnicas'!$Q$200:$Q$301,MATCH(F192&amp;K192,'Tablas Técnicas'!$S$200:$S$301,0)),"")</f>
        <v/>
      </c>
      <c r="O192" s="4705"/>
      <c r="P192" s="4706"/>
      <c r="Q192" s="4707"/>
      <c r="R192" s="4706"/>
      <c r="S192" s="2745" t="str">
        <f>IFERROR("Nivel: "&amp;MAX(1,INDEX('Tablas Técnicas'!$R$200:$R$301,MATCH(F192&amp;K192,'Tablas Técnicas'!$S$200:$S$301,0))),"")</f>
        <v/>
      </c>
      <c r="T192" s="1917"/>
      <c r="U192" s="1918" t="str">
        <f>IFERROR("("&amp;VLOOKUP(F192,'Tablas Técnicas'!$O$165:$Q$192,3,FALSE)&amp;")","")</f>
        <v/>
      </c>
      <c r="V192" s="4644" t="s">
        <v>9619</v>
      </c>
      <c r="W192" s="4645"/>
      <c r="X192" s="4646"/>
      <c r="Y192" s="2297">
        <v>0</v>
      </c>
      <c r="Z192" s="4647" t="s">
        <v>8806</v>
      </c>
      <c r="AA192" s="4648"/>
      <c r="AB192" s="4649"/>
      <c r="AC192" s="2297">
        <v>0</v>
      </c>
      <c r="AD192" s="4650" t="str">
        <f>"Ki sin repartir: "&amp;AL200-AL201&amp;IF(AM200=0,""," ("&amp;AM200-AM201&amp;")")</f>
        <v>Ki sin repartir: 0</v>
      </c>
      <c r="AE192" s="4651"/>
      <c r="AF192" s="4651"/>
      <c r="AG192" s="4652"/>
      <c r="AH192" s="2180"/>
      <c r="AI192" s="4604"/>
      <c r="AJ192" s="3128">
        <v>1</v>
      </c>
      <c r="AK192" s="3128">
        <f>P183</f>
        <v>1</v>
      </c>
      <c r="AL192" s="3128" t="e">
        <f>VLOOKUP(F192,'Tablas Técnicas'!$O$165:$Q$188,2,FALSE)</f>
        <v>#N/A</v>
      </c>
      <c r="AM192" s="3128"/>
      <c r="AN192" s="3129"/>
      <c r="AO192" s="3128"/>
      <c r="AP192" s="3128"/>
      <c r="AQ192" s="3129"/>
      <c r="AR192" s="3128"/>
      <c r="AS192" s="3128"/>
      <c r="AT192" s="3128"/>
      <c r="AU192" s="3128"/>
      <c r="AV192" s="3128"/>
      <c r="AW192" s="3132"/>
      <c r="AX192" s="3132"/>
      <c r="AY192" s="3128" t="str">
        <f>IF(F192="","",F192&amp;IF(K192="",""," ("&amp;IF(F192="Atadura Elemental",O192&amp;IF(Q192="","",", "&amp;Q192),K192)&amp;")")&amp;", ")</f>
        <v/>
      </c>
    </row>
    <row r="193" spans="1:51" ht="12.2" customHeight="1" x14ac:dyDescent="0.2">
      <c r="A193" s="2172"/>
      <c r="B193" s="2086">
        <f t="shared" si="4"/>
        <v>6</v>
      </c>
      <c r="C193" s="4584"/>
      <c r="D193" s="4637"/>
      <c r="E193" s="4638"/>
      <c r="F193" s="4708"/>
      <c r="G193" s="4709"/>
      <c r="H193" s="4709"/>
      <c r="I193" s="4709"/>
      <c r="J193" s="4710"/>
      <c r="K193" s="4663"/>
      <c r="L193" s="4723"/>
      <c r="M193" s="4724"/>
      <c r="N193" s="1919" t="str">
        <f>IFERROR(INDEX('Tablas Técnicas'!$Q$200:$Q$301,MATCH(F193&amp;K193,'Tablas Técnicas'!$S$200:$S$301,0)),"")</f>
        <v/>
      </c>
      <c r="O193" s="4711"/>
      <c r="P193" s="4712"/>
      <c r="Q193" s="4713"/>
      <c r="R193" s="4712"/>
      <c r="S193" s="2747" t="str">
        <f>IFERROR("Nivel: "&amp;MAX(1,INDEX('Tablas Técnicas'!$R$200:$R$301,MATCH(F193&amp;K193,'Tablas Técnicas'!$S$200:$S$301,0))),"")</f>
        <v/>
      </c>
      <c r="T193" s="2528"/>
      <c r="U193" s="2529" t="str">
        <f>IFERROR("("&amp;VLOOKUP(F193,'Tablas Técnicas'!$O$165:$Q$192,3,FALSE)&amp;")","")</f>
        <v/>
      </c>
      <c r="V193" s="4653" t="str">
        <f>"Mod. "&amp;V185</f>
        <v>Mod. AGI</v>
      </c>
      <c r="W193" s="4654"/>
      <c r="X193" s="4653" t="str">
        <f>"Mod. "&amp;X185</f>
        <v>Mod. CON</v>
      </c>
      <c r="Y193" s="4654"/>
      <c r="Z193" s="4653" t="str">
        <f>"Mod. "&amp;Z185</f>
        <v>Mod. DES</v>
      </c>
      <c r="AA193" s="4654"/>
      <c r="AB193" s="4653" t="str">
        <f>"Mod. "&amp;AB185</f>
        <v>Mod. FUE</v>
      </c>
      <c r="AC193" s="4654"/>
      <c r="AD193" s="4653" t="str">
        <f>"Mod. "&amp;AD185</f>
        <v>Mod. POD</v>
      </c>
      <c r="AE193" s="4654"/>
      <c r="AF193" s="4653" t="str">
        <f>"Mod. "&amp;AF185</f>
        <v>Mod. VOL</v>
      </c>
      <c r="AG193" s="4655"/>
      <c r="AH193" s="2180"/>
      <c r="AI193" s="4604"/>
      <c r="AJ193" s="3128">
        <v>2</v>
      </c>
      <c r="AK193" s="3128">
        <f>P183</f>
        <v>1</v>
      </c>
      <c r="AL193" s="3128" t="e">
        <f>VLOOKUP(F193,'Tablas Técnicas'!$O$165:$Q$188,2,FALSE)</f>
        <v>#N/A</v>
      </c>
      <c r="AM193" s="3128"/>
      <c r="AN193" s="3129"/>
      <c r="AO193" s="3128"/>
      <c r="AP193" s="3128"/>
      <c r="AQ193" s="3129"/>
      <c r="AR193" s="3128"/>
      <c r="AS193" s="3128"/>
      <c r="AT193" s="3128"/>
      <c r="AU193" s="3128"/>
      <c r="AV193" s="3128"/>
      <c r="AW193" s="3132"/>
      <c r="AX193" s="3132"/>
      <c r="AY193" s="3128" t="str">
        <f>IF(F193="","",F193&amp;IF(K193="",""," ("&amp;IF(F193="Atadura Elemental",O193&amp;IF(Q193="","",", "&amp;Q193),K193)&amp;")")&amp;", ")</f>
        <v/>
      </c>
    </row>
    <row r="194" spans="1:51" ht="12.2" customHeight="1" thickBot="1" x14ac:dyDescent="0.25">
      <c r="A194" s="2172"/>
      <c r="B194" s="2086">
        <f t="shared" si="4"/>
        <v>6</v>
      </c>
      <c r="C194" s="4584"/>
      <c r="D194" s="4639"/>
      <c r="E194" s="4640"/>
      <c r="F194" s="4714"/>
      <c r="G194" s="4715"/>
      <c r="H194" s="4715"/>
      <c r="I194" s="4715"/>
      <c r="J194" s="4716"/>
      <c r="K194" s="4718"/>
      <c r="L194" s="4719"/>
      <c r="M194" s="4720"/>
      <c r="N194" s="1920" t="str">
        <f>IFERROR(INDEX('Tablas Técnicas'!$Q$200:$Q$301,MATCH(F194&amp;K194,'Tablas Técnicas'!$S$200:$S$301,0)),"")</f>
        <v/>
      </c>
      <c r="O194" s="4701"/>
      <c r="P194" s="4702"/>
      <c r="Q194" s="4717"/>
      <c r="R194" s="4702"/>
      <c r="S194" s="2746" t="str">
        <f>IFERROR("Nivel: "&amp;MAX(1,INDEX('Tablas Técnicas'!$R$200:$R$301,MATCH(F194&amp;K194,'Tablas Técnicas'!$S$200:$S$301,0))),"")</f>
        <v/>
      </c>
      <c r="T194" s="2530"/>
      <c r="U194" s="2531" t="str">
        <f>IFERROR("("&amp;VLOOKUP(F194,'Tablas Técnicas'!$O$165:$Q$192,3,FALSE)&amp;")","")</f>
        <v/>
      </c>
      <c r="V194" s="4610"/>
      <c r="W194" s="4608"/>
      <c r="X194" s="4608"/>
      <c r="Y194" s="4608"/>
      <c r="Z194" s="4608"/>
      <c r="AA194" s="4608"/>
      <c r="AB194" s="4608"/>
      <c r="AC194" s="4608"/>
      <c r="AD194" s="4608"/>
      <c r="AE194" s="4608"/>
      <c r="AF194" s="4608"/>
      <c r="AG194" s="4620"/>
      <c r="AH194" s="2180"/>
      <c r="AI194" s="4604"/>
      <c r="AJ194" s="3128">
        <v>3</v>
      </c>
      <c r="AK194" s="3128">
        <f>P183</f>
        <v>1</v>
      </c>
      <c r="AL194" s="3128" t="e">
        <f>VLOOKUP(F194,'Tablas Técnicas'!$O$165:$Q$188,2,FALSE)</f>
        <v>#N/A</v>
      </c>
      <c r="AM194" s="3128"/>
      <c r="AN194" s="3129"/>
      <c r="AO194" s="3128"/>
      <c r="AP194" s="3128"/>
      <c r="AQ194" s="3129"/>
      <c r="AR194" s="3132"/>
      <c r="AS194" s="3132"/>
      <c r="AT194" s="3132"/>
      <c r="AU194" s="3132"/>
      <c r="AV194" s="3132"/>
      <c r="AW194" s="3132"/>
      <c r="AX194" s="3132"/>
      <c r="AY194" s="3128" t="str">
        <f>IF(F194="","",F194&amp;IF(K194="",""," ("&amp;IF(F194="Atadura Elemental",O194&amp;IF(Q194="","",", "&amp;Q194),K194)&amp;")")&amp;", ")</f>
        <v/>
      </c>
    </row>
    <row r="195" spans="1:51" ht="12.2" customHeight="1" x14ac:dyDescent="0.2">
      <c r="A195" s="2172"/>
      <c r="B195" s="2086">
        <f t="shared" si="4"/>
        <v>6</v>
      </c>
      <c r="C195" s="4584"/>
      <c r="D195" s="4595" t="s">
        <v>9301</v>
      </c>
      <c r="E195" s="4596"/>
      <c r="F195" s="4596"/>
      <c r="G195" s="4596"/>
      <c r="H195" s="4596"/>
      <c r="I195" s="4596"/>
      <c r="J195" s="4596"/>
      <c r="K195" s="4596"/>
      <c r="L195" s="4596"/>
      <c r="M195" s="4596"/>
      <c r="N195" s="4596"/>
      <c r="O195" s="4596"/>
      <c r="P195" s="4596"/>
      <c r="Q195" s="4596"/>
      <c r="R195" s="4596"/>
      <c r="S195" s="4596"/>
      <c r="T195" s="4596"/>
      <c r="U195" s="4596"/>
      <c r="V195" s="4597"/>
      <c r="W195" s="4597"/>
      <c r="X195" s="4597"/>
      <c r="Y195" s="4597"/>
      <c r="Z195" s="4597"/>
      <c r="AA195" s="4597"/>
      <c r="AB195" s="4597"/>
      <c r="AC195" s="4597"/>
      <c r="AD195" s="4597"/>
      <c r="AE195" s="4597"/>
      <c r="AF195" s="4597"/>
      <c r="AG195" s="4598"/>
      <c r="AH195" s="2180"/>
      <c r="AI195" s="4604"/>
      <c r="AJ195" s="3128"/>
      <c r="AK195" s="3128"/>
      <c r="AL195" s="3128"/>
      <c r="AM195" s="3128"/>
      <c r="AN195" s="3129" t="s">
        <v>8807</v>
      </c>
      <c r="AO195" s="3128" t="e">
        <f>LEFT(AY187&amp;AY188&amp;AY189&amp;AY190&amp;AY191,LEN(AY187&amp;AY188&amp;AY189&amp;AY190&amp;AY191)-2)</f>
        <v>#VALUE!</v>
      </c>
      <c r="AP195" s="3128"/>
      <c r="AQ195" s="3129"/>
      <c r="AR195" s="3132"/>
      <c r="AS195" s="3132"/>
      <c r="AT195" s="3132"/>
      <c r="AU195" s="3129"/>
      <c r="AV195" s="3129"/>
      <c r="AW195" s="3132"/>
      <c r="AX195" s="3132"/>
      <c r="AY195" s="3128"/>
    </row>
    <row r="196" spans="1:51" ht="12.2" customHeight="1" x14ac:dyDescent="0.2">
      <c r="A196" s="2172"/>
      <c r="B196" s="2086">
        <f t="shared" si="4"/>
        <v>6</v>
      </c>
      <c r="C196" s="4584"/>
      <c r="D196" s="4599" t="str">
        <f>IF(F187="","",F187)</f>
        <v/>
      </c>
      <c r="E196" s="4600"/>
      <c r="F196" s="4600"/>
      <c r="G196" s="4600"/>
      <c r="H196" s="4600"/>
      <c r="I196" s="4601"/>
      <c r="J196" s="4599" t="str">
        <f>IF(F188="","",F188)</f>
        <v/>
      </c>
      <c r="K196" s="4600"/>
      <c r="L196" s="4600"/>
      <c r="M196" s="4600"/>
      <c r="N196" s="4600"/>
      <c r="O196" s="4601"/>
      <c r="P196" s="4600" t="str">
        <f>IF(F189="","",F189)</f>
        <v/>
      </c>
      <c r="Q196" s="4600"/>
      <c r="R196" s="4600"/>
      <c r="S196" s="4600"/>
      <c r="T196" s="4600"/>
      <c r="U196" s="4601"/>
      <c r="V196" s="4599" t="str">
        <f>IF(F190="","",F190)</f>
        <v/>
      </c>
      <c r="W196" s="4600"/>
      <c r="X196" s="4600"/>
      <c r="Y196" s="4600"/>
      <c r="Z196" s="4600"/>
      <c r="AA196" s="4601"/>
      <c r="AB196" s="4600" t="str">
        <f>IF(F191="","",F191)</f>
        <v/>
      </c>
      <c r="AC196" s="4600"/>
      <c r="AD196" s="4600"/>
      <c r="AE196" s="4600"/>
      <c r="AF196" s="4600"/>
      <c r="AG196" s="4623"/>
      <c r="AH196" s="2180"/>
      <c r="AI196" s="4604"/>
      <c r="AJ196" s="3128"/>
      <c r="AK196" s="3128"/>
      <c r="AL196" s="3128"/>
      <c r="AM196" s="3128"/>
      <c r="AN196" s="3129" t="s">
        <v>8808</v>
      </c>
      <c r="AO196" s="3128" t="e">
        <f>LEFT(AY192&amp;AY193&amp;AY194,LEN(AY192&amp;AY193&amp;AY194)-2)</f>
        <v>#VALUE!</v>
      </c>
      <c r="AP196" s="3128"/>
      <c r="AQ196" s="3129"/>
      <c r="AR196" s="3132"/>
      <c r="AS196" s="3132"/>
      <c r="AT196" s="3132"/>
      <c r="AU196" s="3129"/>
      <c r="AV196" s="3129"/>
      <c r="AW196" s="3132"/>
      <c r="AX196" s="3132"/>
      <c r="AY196" s="3128"/>
    </row>
    <row r="197" spans="1:51" ht="12.2" customHeight="1" x14ac:dyDescent="0.2">
      <c r="A197" s="2172"/>
      <c r="B197" s="2086">
        <f t="shared" si="4"/>
        <v>6</v>
      </c>
      <c r="C197" s="4584"/>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604"/>
      <c r="AJ197" s="3128"/>
      <c r="AK197" s="3128"/>
      <c r="AL197" s="3128"/>
      <c r="AM197" s="3128"/>
      <c r="AN197" s="3129"/>
      <c r="AO197" s="3128"/>
      <c r="AP197" s="3128"/>
      <c r="AQ197" s="3129"/>
      <c r="AR197" s="3132"/>
      <c r="AS197" s="3132"/>
      <c r="AT197" s="3132"/>
      <c r="AU197" s="3132"/>
      <c r="AV197" s="3132"/>
      <c r="AW197" s="3132"/>
      <c r="AX197" s="3132"/>
      <c r="AY197" s="3128"/>
    </row>
    <row r="198" spans="1:51" ht="12.2" customHeight="1" x14ac:dyDescent="0.2">
      <c r="A198" s="2172"/>
      <c r="B198" s="2086">
        <f t="shared" si="4"/>
        <v>6</v>
      </c>
      <c r="C198" s="4584"/>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604"/>
      <c r="AJ198" s="3128"/>
      <c r="AK198" s="3132" t="s">
        <v>1373</v>
      </c>
      <c r="AL198" s="3132" t="s">
        <v>1497</v>
      </c>
      <c r="AM198" s="3132" t="s">
        <v>1378</v>
      </c>
      <c r="AN198" s="3132" t="s">
        <v>1383</v>
      </c>
      <c r="AO198" s="3132" t="s">
        <v>1390</v>
      </c>
      <c r="AP198" s="3132" t="s">
        <v>1391</v>
      </c>
      <c r="AQ198" s="3129"/>
      <c r="AR198" s="3132"/>
      <c r="AS198" s="3132"/>
      <c r="AT198" s="3132"/>
      <c r="AU198" s="3132"/>
      <c r="AV198" s="3132"/>
      <c r="AW198" s="3132"/>
      <c r="AX198" s="3132"/>
      <c r="AY198" s="3128"/>
    </row>
    <row r="199" spans="1:51" ht="12.2" customHeight="1" x14ac:dyDescent="0.2">
      <c r="A199" s="2172"/>
      <c r="B199" s="2086">
        <f t="shared" si="4"/>
        <v>6</v>
      </c>
      <c r="C199" s="4584"/>
      <c r="D199" s="4599" t="s">
        <v>2826</v>
      </c>
      <c r="E199" s="4600"/>
      <c r="F199" s="4600"/>
      <c r="G199" s="4600"/>
      <c r="H199" s="4601"/>
      <c r="I199" s="1925" t="s">
        <v>1402</v>
      </c>
      <c r="J199" s="4599" t="s">
        <v>2826</v>
      </c>
      <c r="K199" s="4600"/>
      <c r="L199" s="4600"/>
      <c r="M199" s="4600"/>
      <c r="N199" s="4601"/>
      <c r="O199" s="1926" t="s">
        <v>1402</v>
      </c>
      <c r="P199" s="4599" t="s">
        <v>2826</v>
      </c>
      <c r="Q199" s="4600"/>
      <c r="R199" s="4600"/>
      <c r="S199" s="4600"/>
      <c r="T199" s="4601"/>
      <c r="U199" s="1926" t="s">
        <v>1402</v>
      </c>
      <c r="V199" s="4599"/>
      <c r="W199" s="4600"/>
      <c r="X199" s="4600"/>
      <c r="Y199" s="4600"/>
      <c r="Z199" s="4601"/>
      <c r="AA199" s="1926" t="s">
        <v>1402</v>
      </c>
      <c r="AB199" s="4599" t="s">
        <v>2826</v>
      </c>
      <c r="AC199" s="4600"/>
      <c r="AD199" s="4600"/>
      <c r="AE199" s="4600"/>
      <c r="AF199" s="4601"/>
      <c r="AG199" s="1927" t="s">
        <v>1402</v>
      </c>
      <c r="AH199" s="2180"/>
      <c r="AI199" s="4604"/>
      <c r="AJ199" s="3133" t="s">
        <v>9338</v>
      </c>
      <c r="AK199" s="3128" t="str">
        <f>IF(V185="","",IF(SUM(V187:V191)=0,"",V185&amp;" "&amp;SUM(V187:V191)+V194&amp;IF(SUM(W187:W191)=0,""," ("&amp;SUM(W187:W191)&amp;")")&amp;", "))</f>
        <v/>
      </c>
      <c r="AL199" s="3128" t="str">
        <f>IF(X185="","",IF(SUM(X187:X191)=0,"",X185&amp;" "&amp;SUM(X187:X191)+X194&amp;IF(SUM(Y187:Y191)=0,""," ("&amp;SUM(Y187:Y191)&amp;")")&amp;", "))</f>
        <v/>
      </c>
      <c r="AM199" s="3128" t="str">
        <f>IF(Z185="","",IF(SUM(Z187:Z191)=0,"",Z185&amp;" "&amp;SUM(Z187:Z191)+Z194&amp;IF(SUM(AA187:AA191)=0,""," ("&amp;SUM(AA187:AA191)&amp;")")&amp;", "))</f>
        <v/>
      </c>
      <c r="AN199" s="3128" t="str">
        <f>IF(AB185="","",IF(SUM(AB187:AB191)=0,"",AB185&amp;" "&amp;SUM(AB187:AB191)+AB194&amp;IF(SUM(AC187:AC191)=0,""," ("&amp;SUM(AC187:AC191)&amp;")")&amp;", "))</f>
        <v/>
      </c>
      <c r="AO199" s="3128" t="str">
        <f>IF(AD185="","",IF(SUM(AD187:AD191)=0,"",AD185&amp;" "&amp;SUM(AD187:AD191)+AD194&amp;IF(SUM(AE187:AE191)=0,""," ("&amp;SUM(AE187:AE191)&amp;")")&amp;", "))</f>
        <v/>
      </c>
      <c r="AP199" s="3128" t="str">
        <f>IF(AF185="","",IF(SUM(AF187:AF191)=0,"",AF185&amp;" "&amp;SUM(AF187:AF191)+AF194&amp;IF(SUM(AG187:AG191)=0,""," ("&amp;SUM(AG187:AG191)&amp;")")&amp;", "))</f>
        <v/>
      </c>
      <c r="AQ199" s="3128"/>
      <c r="AR199" s="3128"/>
      <c r="AS199" s="3128"/>
      <c r="AT199" s="3128"/>
      <c r="AU199" s="3128"/>
      <c r="AV199" s="3128"/>
      <c r="AW199" s="3128"/>
      <c r="AX199" s="3128"/>
      <c r="AY199" s="3128"/>
    </row>
    <row r="200" spans="1:51" ht="12.2" customHeight="1" x14ac:dyDescent="0.2">
      <c r="A200" s="2172"/>
      <c r="B200" s="2086">
        <f t="shared" si="4"/>
        <v>6</v>
      </c>
      <c r="C200" s="4584"/>
      <c r="D200" s="4621"/>
      <c r="E200" s="4619"/>
      <c r="F200" s="4619"/>
      <c r="G200" s="4619"/>
      <c r="H200" s="4619"/>
      <c r="I200" s="1928" t="str">
        <f>IF(OR(D196="",D200=""),"",MAX(1,SUMPRODUCT(--(INDEX('Tablas Técnicas'!$C$10:$L$643,,1)=D196),--(INDEX('Tablas Técnicas'!$C$10:$L$643,,2)=D200),INDEX('Tablas Técnicas'!$C$10:$L$643,,9))))</f>
        <v/>
      </c>
      <c r="J200" s="4618"/>
      <c r="K200" s="4619"/>
      <c r="L200" s="4619"/>
      <c r="M200" s="4619"/>
      <c r="N200" s="4619"/>
      <c r="O200" s="1928" t="str">
        <f>IF(OR(J196="",J200=""),"",MAX(1,SUMPRODUCT(--(INDEX('Tablas Técnicas'!$C$10:$L$643,,1)=J196),--(INDEX('Tablas Técnicas'!$C$10:$L$643,,2)=J200),INDEX('Tablas Técnicas'!$C$10:$L$643,,9))))</f>
        <v/>
      </c>
      <c r="P200" s="4618"/>
      <c r="Q200" s="4619"/>
      <c r="R200" s="4619"/>
      <c r="S200" s="4619"/>
      <c r="T200" s="4619"/>
      <c r="U200" s="1928" t="str">
        <f>IF(OR(P196="",P200=""),"",MAX(1,SUMPRODUCT(--(INDEX('Tablas Técnicas'!$C$10:$L$643,,1)=P196),--(INDEX('Tablas Técnicas'!$C$10:$L$643,,2)=P200),INDEX('Tablas Técnicas'!$C$10:$L$643,,9))))</f>
        <v/>
      </c>
      <c r="V200" s="4618"/>
      <c r="W200" s="4619"/>
      <c r="X200" s="4619"/>
      <c r="Y200" s="4619"/>
      <c r="Z200" s="4619"/>
      <c r="AA200" s="1928" t="str">
        <f>IF(OR(V196="",V200=""),"",MAX(1,SUMPRODUCT(--(INDEX('Tablas Técnicas'!$C$10:$L$643,,1)=V196),--(INDEX('Tablas Técnicas'!$C$10:$L$643,,2)=V200),INDEX('Tablas Técnicas'!$C$10:$L$643,,9))))</f>
        <v/>
      </c>
      <c r="AB200" s="4618"/>
      <c r="AC200" s="4619"/>
      <c r="AD200" s="4619"/>
      <c r="AE200" s="4619"/>
      <c r="AF200" s="4619"/>
      <c r="AG200" s="1929" t="str">
        <f>IF(OR(AB196="",AB200=""),"",MAX(1,SUMPRODUCT(--(INDEX('Tablas Técnicas'!$C$10:$L$643,,1)=AB196),--(INDEX('Tablas Técnicas'!$C$10:$L$643,,2)=AB200),INDEX('Tablas Técnicas'!$C$10:$L$643,,9))))</f>
        <v/>
      </c>
      <c r="AH200" s="2180">
        <f>P183</f>
        <v>1</v>
      </c>
      <c r="AI200" s="4604"/>
      <c r="AJ200" s="3128" t="s">
        <v>9302</v>
      </c>
      <c r="AK200" s="3128"/>
      <c r="AL200" s="3128">
        <f>MAX(0,SUM(AT187:AT191)+ABS($AC192*2/5))+IF(AM209,0,Y192)+IF(S183="Sí",3*P183,0)</f>
        <v>0</v>
      </c>
      <c r="AM200" s="3128">
        <f t="array" ref="AM200">IF(ISNUMBER(SEARCH("Mantenido",K187&amp;K188&amp;K189&amp;K190&amp;K191)),MAX(0,SUM(VALUE(RIGHT($P187:$P191,2)))),0)</f>
        <v>0</v>
      </c>
      <c r="AN200" s="3132"/>
      <c r="AO200" s="3132"/>
      <c r="AP200" s="3135"/>
      <c r="AQ200" s="3135"/>
      <c r="AR200" s="3135"/>
      <c r="AS200" s="3135"/>
      <c r="AT200" s="3135"/>
      <c r="AU200" s="3135"/>
      <c r="AV200" s="3135"/>
      <c r="AW200" s="3135"/>
      <c r="AX200" s="3135"/>
      <c r="AY200" s="3128"/>
    </row>
    <row r="201" spans="1:51" ht="12.2" customHeight="1" x14ac:dyDescent="0.2">
      <c r="A201" s="2172"/>
      <c r="B201" s="2086">
        <f t="shared" si="4"/>
        <v>6</v>
      </c>
      <c r="C201" s="4584"/>
      <c r="D201" s="4602"/>
      <c r="E201" s="4603"/>
      <c r="F201" s="4603"/>
      <c r="G201" s="4603"/>
      <c r="H201" s="4603"/>
      <c r="I201" s="1930" t="str">
        <f>IF(OR(D196="",D201=""),"",MAX(1,SUMPRODUCT(--(INDEX('Tablas Técnicas'!$C$10:$L$643,,1)=D196),--(INDEX('Tablas Técnicas'!$C$10:$L$643,,2)=D201),INDEX('Tablas Técnicas'!$C$10:$L$643,,9))))</f>
        <v/>
      </c>
      <c r="J201" s="4602"/>
      <c r="K201" s="4603"/>
      <c r="L201" s="4603"/>
      <c r="M201" s="4603"/>
      <c r="N201" s="4603"/>
      <c r="O201" s="1930" t="str">
        <f>IF(OR(J196="",J201=""),"",MAX(1,SUMPRODUCT(--(INDEX('Tablas Técnicas'!$C$10:$L$643,,1)=J196),--(INDEX('Tablas Técnicas'!$C$10:$L$643,,2)=J201),INDEX('Tablas Técnicas'!$C$10:$L$643,,9))))</f>
        <v/>
      </c>
      <c r="P201" s="4602"/>
      <c r="Q201" s="4603"/>
      <c r="R201" s="4603"/>
      <c r="S201" s="4603"/>
      <c r="T201" s="4603"/>
      <c r="U201" s="1930" t="str">
        <f>IF(OR(P196="",P201=""),"",MAX(1,SUMPRODUCT(--(INDEX('Tablas Técnicas'!$C$10:$L$643,,1)=P196),--(INDEX('Tablas Técnicas'!$C$10:$L$643,,2)=P201),INDEX('Tablas Técnicas'!$C$10:$L$643,,9))))</f>
        <v/>
      </c>
      <c r="V201" s="4602"/>
      <c r="W201" s="4603"/>
      <c r="X201" s="4603"/>
      <c r="Y201" s="4603"/>
      <c r="Z201" s="4603"/>
      <c r="AA201" s="1930" t="str">
        <f>IF(OR(V196="",V201=""),"",MAX(1,SUMPRODUCT(--(INDEX('Tablas Técnicas'!$C$10:$L$643,,1)=V196),--(INDEX('Tablas Técnicas'!$C$10:$L$643,,2)=V201),INDEX('Tablas Técnicas'!$C$10:$L$643,,9))))</f>
        <v/>
      </c>
      <c r="AB201" s="4602"/>
      <c r="AC201" s="4603"/>
      <c r="AD201" s="4603"/>
      <c r="AE201" s="4603"/>
      <c r="AF201" s="4603"/>
      <c r="AG201" s="1931" t="str">
        <f>IF(OR(AB196="",AB201=""),"",MAX(1,SUMPRODUCT(--(INDEX('Tablas Técnicas'!$C$10:$L$643,,1)=AB196),--(INDEX('Tablas Técnicas'!$C$10:$L$643,,2)=AB201),INDEX('Tablas Técnicas'!$C$10:$L$643,,9))))</f>
        <v/>
      </c>
      <c r="AH201" s="2180">
        <f>P183</f>
        <v>1</v>
      </c>
      <c r="AI201" s="4604"/>
      <c r="AJ201" s="3128" t="s">
        <v>8811</v>
      </c>
      <c r="AK201" s="3128"/>
      <c r="AL201" s="3128">
        <f>SUM(V187:V191,X187:X191,Z187:Z191,AB187:AB191,AD187:AD191,AF187:AF191)+SUM(V194:AG194)</f>
        <v>0</v>
      </c>
      <c r="AM201" s="3128">
        <f>SUM(W187:W191,Y187:Y191,AA187:AA191,AC187:AC191,AE187:AE191,AG187:AG191)</f>
        <v>0</v>
      </c>
      <c r="AN201" s="3128"/>
      <c r="AO201" s="3128"/>
      <c r="AP201" s="3128"/>
      <c r="AQ201" s="3128"/>
      <c r="AR201" s="3128"/>
      <c r="AS201" s="3128"/>
      <c r="AT201" s="3128"/>
      <c r="AU201" s="3128"/>
      <c r="AV201" s="3128"/>
      <c r="AW201" s="3132"/>
      <c r="AX201" s="3128"/>
      <c r="AY201" s="3128"/>
    </row>
    <row r="202" spans="1:51" ht="12.2" customHeight="1" x14ac:dyDescent="0.2">
      <c r="A202" s="2172"/>
      <c r="B202" s="2086">
        <f t="shared" si="4"/>
        <v>6</v>
      </c>
      <c r="C202" s="4584"/>
      <c r="D202" s="4602"/>
      <c r="E202" s="4603"/>
      <c r="F202" s="4603"/>
      <c r="G202" s="4603"/>
      <c r="H202" s="4603"/>
      <c r="I202" s="1930" t="str">
        <f>IF(OR(D196="",D202=""),"",MAX(1,SUMPRODUCT(--(INDEX('Tablas Técnicas'!$C$10:$L$643,,1)=D196),--(INDEX('Tablas Técnicas'!$C$10:$L$643,,2)=D202),INDEX('Tablas Técnicas'!$C$10:$L$643,,9))))</f>
        <v/>
      </c>
      <c r="J202" s="4602"/>
      <c r="K202" s="4603"/>
      <c r="L202" s="4603"/>
      <c r="M202" s="4603"/>
      <c r="N202" s="4603"/>
      <c r="O202" s="1930" t="str">
        <f>IF(OR(J196="",J202=""),"",MAX(1,SUMPRODUCT(--(INDEX('Tablas Técnicas'!$C$10:$L$643,,1)=J196),--(INDEX('Tablas Técnicas'!$C$10:$L$643,,2)=J202),INDEX('Tablas Técnicas'!$C$10:$L$643,,9))))</f>
        <v/>
      </c>
      <c r="P202" s="4602"/>
      <c r="Q202" s="4603"/>
      <c r="R202" s="4603"/>
      <c r="S202" s="4603"/>
      <c r="T202" s="4603"/>
      <c r="U202" s="1930" t="str">
        <f>IF(OR(P196="",P202=""),"",MAX(1,SUMPRODUCT(--(INDEX('Tablas Técnicas'!$C$10:$L$643,,1)=P196),--(INDEX('Tablas Técnicas'!$C$10:$L$643,,2)=P202),INDEX('Tablas Técnicas'!$C$10:$L$643,,9))))</f>
        <v/>
      </c>
      <c r="V202" s="4602"/>
      <c r="W202" s="4603"/>
      <c r="X202" s="4603"/>
      <c r="Y202" s="4603"/>
      <c r="Z202" s="4603"/>
      <c r="AA202" s="1930" t="str">
        <f>IF(OR(V196="",V202=""),"",MAX(1,SUMPRODUCT(--(INDEX('Tablas Técnicas'!$C$10:$L$643,,1)=V196),--(INDEX('Tablas Técnicas'!$C$10:$L$643,,2)=V202),INDEX('Tablas Técnicas'!$C$10:$L$643,,9))))</f>
        <v/>
      </c>
      <c r="AB202" s="4602"/>
      <c r="AC202" s="4603"/>
      <c r="AD202" s="4603"/>
      <c r="AE202" s="4603"/>
      <c r="AF202" s="4603"/>
      <c r="AG202" s="1931" t="str">
        <f>IF(OR(AB196="",AB202=""),"",MAX(1,SUMPRODUCT(--(INDEX('Tablas Técnicas'!$C$10:$L$643,,1)=AB196),--(INDEX('Tablas Técnicas'!$C$10:$L$643,,2)=AB202),INDEX('Tablas Técnicas'!$C$10:$L$643,,9))))</f>
        <v/>
      </c>
      <c r="AH202" s="2180">
        <f>P183</f>
        <v>1</v>
      </c>
      <c r="AI202" s="4604"/>
      <c r="AJ202" s="3128"/>
      <c r="AK202" s="3128"/>
      <c r="AL202" s="3128"/>
      <c r="AM202" s="3128"/>
      <c r="AN202" s="3128"/>
      <c r="AO202" s="3128"/>
      <c r="AP202" s="3128"/>
      <c r="AQ202" s="3128"/>
      <c r="AR202" s="3128"/>
      <c r="AS202" s="3128"/>
      <c r="AT202" s="3128"/>
      <c r="AU202" s="3128"/>
      <c r="AV202" s="3128"/>
      <c r="AW202" s="3132"/>
      <c r="AX202" s="3132"/>
      <c r="AY202" s="3128"/>
    </row>
    <row r="203" spans="1:51" ht="12.2" customHeight="1" x14ac:dyDescent="0.2">
      <c r="A203" s="2172"/>
      <c r="B203" s="2086">
        <f t="shared" si="4"/>
        <v>6</v>
      </c>
      <c r="C203" s="4584"/>
      <c r="D203" s="4602"/>
      <c r="E203" s="4603"/>
      <c r="F203" s="4603"/>
      <c r="G203" s="4603"/>
      <c r="H203" s="4603"/>
      <c r="I203" s="1930" t="str">
        <f>IF(OR(D196="",D203=""),"",MAX(1,SUMPRODUCT(--(INDEX('Tablas Técnicas'!$C$10:$L$643,,1)=D196),--(INDEX('Tablas Técnicas'!$C$10:$L$643,,2)=D203),INDEX('Tablas Técnicas'!$C$10:$L$643,,9))))</f>
        <v/>
      </c>
      <c r="J203" s="4602"/>
      <c r="K203" s="4603"/>
      <c r="L203" s="4603"/>
      <c r="M203" s="4603"/>
      <c r="N203" s="4603"/>
      <c r="O203" s="1930" t="str">
        <f>IF(OR(J196="",J203=""),"",MAX(1,SUMPRODUCT(--(INDEX('Tablas Técnicas'!$C$10:$L$643,,1)=J196),--(INDEX('Tablas Técnicas'!$C$10:$L$643,,2)=J203),INDEX('Tablas Técnicas'!$C$10:$L$643,,9))))</f>
        <v/>
      </c>
      <c r="P203" s="4602"/>
      <c r="Q203" s="4603"/>
      <c r="R203" s="4603"/>
      <c r="S203" s="4603"/>
      <c r="T203" s="4603"/>
      <c r="U203" s="1930" t="str">
        <f>IF(OR(P196="",P203=""),"",MAX(1,SUMPRODUCT(--(INDEX('Tablas Técnicas'!$C$10:$L$643,,1)=P196),--(INDEX('Tablas Técnicas'!$C$10:$L$643,,2)=P203),INDEX('Tablas Técnicas'!$C$10:$L$643,,9))))</f>
        <v/>
      </c>
      <c r="V203" s="4602"/>
      <c r="W203" s="4603"/>
      <c r="X203" s="4603"/>
      <c r="Y203" s="4603"/>
      <c r="Z203" s="4603"/>
      <c r="AA203" s="1930" t="str">
        <f>IF(OR(V196="",V203=""),"",MAX(1,SUMPRODUCT(--(INDEX('Tablas Técnicas'!$C$10:$L$643,,1)=V196),--(INDEX('Tablas Técnicas'!$C$10:$L$643,,2)=V203),INDEX('Tablas Técnicas'!$C$10:$L$643,,9))))</f>
        <v/>
      </c>
      <c r="AB203" s="4602"/>
      <c r="AC203" s="4603"/>
      <c r="AD203" s="4603"/>
      <c r="AE203" s="4603"/>
      <c r="AF203" s="4603"/>
      <c r="AG203" s="1931" t="str">
        <f>IF(OR(AB196="",AB203=""),"",MAX(1,SUMPRODUCT(--(INDEX('Tablas Técnicas'!$C$10:$L$643,,1)=AB196),--(INDEX('Tablas Técnicas'!$C$10:$L$643,,2)=AB203),INDEX('Tablas Técnicas'!$C$10:$L$643,,9))))</f>
        <v/>
      </c>
      <c r="AH203" s="2180">
        <f>P183</f>
        <v>1</v>
      </c>
      <c r="AI203" s="4604"/>
      <c r="AJ203" s="3128" t="s">
        <v>8812</v>
      </c>
      <c r="AK203" s="3128"/>
      <c r="AL203" s="3128"/>
      <c r="AM203" s="3128"/>
      <c r="AN203" s="3128"/>
      <c r="AO203" s="3128"/>
      <c r="AP203" s="3128"/>
      <c r="AQ203" s="3129"/>
      <c r="AR203" s="3132"/>
      <c r="AS203" s="3132"/>
      <c r="AT203" s="3132"/>
      <c r="AU203" s="3132"/>
      <c r="AV203" s="3132"/>
      <c r="AW203" s="3132"/>
      <c r="AX203" s="3132"/>
      <c r="AY203" s="3128"/>
    </row>
    <row r="204" spans="1:51" ht="12.2" customHeight="1" x14ac:dyDescent="0.2">
      <c r="A204" s="2172"/>
      <c r="B204" s="2086">
        <f t="shared" si="4"/>
        <v>6</v>
      </c>
      <c r="C204" s="4584"/>
      <c r="D204" s="4602"/>
      <c r="E204" s="4603"/>
      <c r="F204" s="4603"/>
      <c r="G204" s="4603"/>
      <c r="H204" s="4603"/>
      <c r="I204" s="1930" t="str">
        <f>IF(OR(D196="",D204=""),"",MAX(1,SUMPRODUCT(--(INDEX('Tablas Técnicas'!$C$10:$L$643,,1)=D196),--(INDEX('Tablas Técnicas'!$C$10:$L$643,,2)=D204),INDEX('Tablas Técnicas'!$C$10:$L$643,,9))))</f>
        <v/>
      </c>
      <c r="J204" s="4602"/>
      <c r="K204" s="4603"/>
      <c r="L204" s="4603"/>
      <c r="M204" s="4603"/>
      <c r="N204" s="4603"/>
      <c r="O204" s="1930" t="str">
        <f>IF(OR(J196="",J204=""),"",MAX(1,SUMPRODUCT(--(INDEX('Tablas Técnicas'!$C$10:$L$643,,1)=J196),--(INDEX('Tablas Técnicas'!$C$10:$L$643,,2)=J204),INDEX('Tablas Técnicas'!$C$10:$L$643,,9))))</f>
        <v/>
      </c>
      <c r="P204" s="4602"/>
      <c r="Q204" s="4603"/>
      <c r="R204" s="4603"/>
      <c r="S204" s="4603"/>
      <c r="T204" s="4603"/>
      <c r="U204" s="1930" t="str">
        <f>IF(OR(P196="",P204=""),"",MAX(1,SUMPRODUCT(--(INDEX('Tablas Técnicas'!$C$10:$L$643,,1)=P196),--(INDEX('Tablas Técnicas'!$C$10:$L$643,,2)=P204),INDEX('Tablas Técnicas'!$C$10:$L$643,,9))))</f>
        <v/>
      </c>
      <c r="V204" s="4602"/>
      <c r="W204" s="4603"/>
      <c r="X204" s="4603"/>
      <c r="Y204" s="4603"/>
      <c r="Z204" s="4603"/>
      <c r="AA204" s="1930" t="str">
        <f>IF(OR(V196="",V204=""),"",MAX(1,SUMPRODUCT(--(INDEX('Tablas Técnicas'!$C$10:$L$643,,1)=V196),--(INDEX('Tablas Técnicas'!$C$10:$L$643,,2)=V204),INDEX('Tablas Técnicas'!$C$10:$L$643,,9))))</f>
        <v/>
      </c>
      <c r="AB204" s="4602"/>
      <c r="AC204" s="4603"/>
      <c r="AD204" s="4603"/>
      <c r="AE204" s="4603"/>
      <c r="AF204" s="4603"/>
      <c r="AG204" s="1931" t="str">
        <f>IF(OR(AB196="",AB204=""),"",MAX(1,SUMPRODUCT(--(INDEX('Tablas Técnicas'!$C$10:$L$643,,1)=AB196),--(INDEX('Tablas Técnicas'!$C$10:$L$643,,2)=AB204),INDEX('Tablas Técnicas'!$C$10:$L$643,,9))))</f>
        <v/>
      </c>
      <c r="AH204" s="2180">
        <f>P183</f>
        <v>1</v>
      </c>
      <c r="AI204" s="4604"/>
      <c r="AJ204" s="3128" t="s">
        <v>9965</v>
      </c>
      <c r="AK204" s="3128"/>
      <c r="AL204" s="3128"/>
      <c r="AM204" s="3128" t="b">
        <f>U183&gt;IF(P183=3,200,IF(P183=2,100,50))</f>
        <v>0</v>
      </c>
      <c r="AN204" s="3128"/>
      <c r="AO204" s="3128"/>
      <c r="AP204" s="3128"/>
      <c r="AQ204" s="3128"/>
      <c r="AR204" s="3132"/>
      <c r="AS204" s="3132"/>
      <c r="AT204" s="3132"/>
      <c r="AU204" s="3132"/>
      <c r="AV204" s="3132"/>
      <c r="AW204" s="3132"/>
      <c r="AX204" s="3132"/>
      <c r="AY204" s="3128"/>
    </row>
    <row r="205" spans="1:51" ht="12.2" customHeight="1" x14ac:dyDescent="0.2">
      <c r="A205" s="2172"/>
      <c r="B205" s="2086">
        <f t="shared" si="4"/>
        <v>6</v>
      </c>
      <c r="C205" s="4584"/>
      <c r="D205" s="4602"/>
      <c r="E205" s="4603"/>
      <c r="F205" s="4603"/>
      <c r="G205" s="4603"/>
      <c r="H205" s="4603"/>
      <c r="I205" s="1930" t="str">
        <f>IF(OR(D196="",D205=""),"",MAX(1,SUMPRODUCT(--(INDEX('Tablas Técnicas'!$C$10:$L$643,,1)=D196),--(INDEX('Tablas Técnicas'!$C$10:$L$643,,2)=D205),INDEX('Tablas Técnicas'!$C$10:$L$643,,9))))</f>
        <v/>
      </c>
      <c r="J205" s="4602"/>
      <c r="K205" s="4603"/>
      <c r="L205" s="4603"/>
      <c r="M205" s="4603"/>
      <c r="N205" s="4603"/>
      <c r="O205" s="1930" t="str">
        <f>IF(OR(J196="",J205=""),"",MAX(1,SUMPRODUCT(--(INDEX('Tablas Técnicas'!$C$10:$L$643,,1)=J196),--(INDEX('Tablas Técnicas'!$C$10:$L$643,,2)=J205),INDEX('Tablas Técnicas'!$C$10:$L$643,,9))))</f>
        <v/>
      </c>
      <c r="P205" s="4602"/>
      <c r="Q205" s="4603"/>
      <c r="R205" s="4603"/>
      <c r="S205" s="4603"/>
      <c r="T205" s="4603"/>
      <c r="U205" s="1930" t="str">
        <f>IF(OR(P196="",P205=""),"",MAX(1,SUMPRODUCT(--(INDEX('Tablas Técnicas'!$C$10:$L$643,,1)=P196),--(INDEX('Tablas Técnicas'!$C$10:$L$643,,2)=P205),INDEX('Tablas Técnicas'!$C$10:$L$643,,9))))</f>
        <v/>
      </c>
      <c r="V205" s="4602"/>
      <c r="W205" s="4603"/>
      <c r="X205" s="4603"/>
      <c r="Y205" s="4603"/>
      <c r="Z205" s="4603"/>
      <c r="AA205" s="1930" t="str">
        <f>IF(OR(V196="",V205=""),"",MAX(1,SUMPRODUCT(--(INDEX('Tablas Técnicas'!$C$10:$L$643,,1)=V196),--(INDEX('Tablas Técnicas'!$C$10:$L$643,,2)=V205),INDEX('Tablas Técnicas'!$C$10:$L$643,,9))))</f>
        <v/>
      </c>
      <c r="AB205" s="4602"/>
      <c r="AC205" s="4603"/>
      <c r="AD205" s="4603"/>
      <c r="AE205" s="4603"/>
      <c r="AF205" s="4603"/>
      <c r="AG205" s="1931" t="str">
        <f>IF(OR(AB196="",AB205=""),"",MAX(1,SUMPRODUCT(--(INDEX('Tablas Técnicas'!$C$10:$L$643,,1)=AB196),--(INDEX('Tablas Técnicas'!$C$10:$L$643,,2)=AB205),INDEX('Tablas Técnicas'!$C$10:$L$643,,9))))</f>
        <v/>
      </c>
      <c r="AH205" s="2180">
        <f>P183</f>
        <v>1</v>
      </c>
      <c r="AI205" s="4604"/>
      <c r="AJ205" s="3128" t="s">
        <v>8813</v>
      </c>
      <c r="AK205" s="3128"/>
      <c r="AL205" s="3128"/>
      <c r="AM205" s="3128" t="b">
        <f t="array" ref="AM205">MAX(I200:I206,O200:O206,U200:U206,AA200:AA206,AG200:AG206,RIGHT(S192:S194,1))&gt;P183</f>
        <v>0</v>
      </c>
      <c r="AN205" s="3128"/>
      <c r="AO205" s="3128"/>
      <c r="AP205" s="3128"/>
      <c r="AQ205" s="3129"/>
      <c r="AR205" s="3132"/>
      <c r="AS205" s="3132"/>
      <c r="AT205" s="3132"/>
      <c r="AU205" s="3132"/>
      <c r="AV205" s="3132"/>
      <c r="AW205" s="3132"/>
      <c r="AX205" s="3132"/>
      <c r="AY205" s="3128"/>
    </row>
    <row r="206" spans="1:51" ht="12.2" customHeight="1" x14ac:dyDescent="0.2">
      <c r="A206" s="2172"/>
      <c r="B206" s="2086">
        <f t="shared" si="4"/>
        <v>6</v>
      </c>
      <c r="C206" s="4584"/>
      <c r="D206" s="4616"/>
      <c r="E206" s="4617"/>
      <c r="F206" s="4617"/>
      <c r="G206" s="4617"/>
      <c r="H206" s="4617"/>
      <c r="I206" s="1932" t="str">
        <f>IF(OR(D196="",D206=""),"",MAX(1,SUMPRODUCT(--(INDEX('Tablas Técnicas'!$C$10:$L$643,,1)=D196),--(INDEX('Tablas Técnicas'!$C$10:$L$643,,2)=D206),INDEX('Tablas Técnicas'!$C$10:$L$643,,9))))</f>
        <v/>
      </c>
      <c r="J206" s="4616"/>
      <c r="K206" s="4617"/>
      <c r="L206" s="4617"/>
      <c r="M206" s="4617"/>
      <c r="N206" s="4617"/>
      <c r="O206" s="1932" t="str">
        <f>IF(OR(J196="",J206=""),"",MAX(1,SUMPRODUCT(--(INDEX('Tablas Técnicas'!$C$10:$L$643,,1)=J196),--(INDEX('Tablas Técnicas'!$C$10:$L$643,,2)=J206),INDEX('Tablas Técnicas'!$C$10:$L$643,,9))))</f>
        <v/>
      </c>
      <c r="P206" s="4616"/>
      <c r="Q206" s="4617"/>
      <c r="R206" s="4617"/>
      <c r="S206" s="4617"/>
      <c r="T206" s="4617"/>
      <c r="U206" s="1932" t="str">
        <f>IF(OR(P196="",P206=""),"",MAX(1,SUMPRODUCT(--(INDEX('Tablas Técnicas'!$C$10:$L$643,,1)=P196),--(INDEX('Tablas Técnicas'!$C$10:$L$643,,2)=P206),INDEX('Tablas Técnicas'!$C$10:$L$643,,9))))</f>
        <v/>
      </c>
      <c r="V206" s="4616"/>
      <c r="W206" s="4617"/>
      <c r="X206" s="4617"/>
      <c r="Y206" s="4617"/>
      <c r="Z206" s="4617"/>
      <c r="AA206" s="1932" t="str">
        <f>IF(OR(V196="",V206=""),"",MAX(1,SUMPRODUCT(--(INDEX('Tablas Técnicas'!$C$10:$L$643,,1)=V196),--(INDEX('Tablas Técnicas'!$C$10:$L$643,,2)=V206),INDEX('Tablas Técnicas'!$C$10:$L$643,,9))))</f>
        <v/>
      </c>
      <c r="AB206" s="4616"/>
      <c r="AC206" s="4617"/>
      <c r="AD206" s="4617"/>
      <c r="AE206" s="4617"/>
      <c r="AF206" s="4617"/>
      <c r="AG206" s="1933" t="str">
        <f>IF(OR(AB196="",AB206=""),"",MAX(1,SUMPRODUCT(--(INDEX('Tablas Técnicas'!$C$10:$L$643,,1)=AB196),--(INDEX('Tablas Técnicas'!$C$10:$L$643,,2)=AB206),INDEX('Tablas Técnicas'!$C$10:$L$643,,9))))</f>
        <v/>
      </c>
      <c r="AH206" s="2180">
        <f>P183</f>
        <v>1</v>
      </c>
      <c r="AI206" s="4604"/>
      <c r="AJ206" s="3128" t="s">
        <v>9319</v>
      </c>
      <c r="AK206" s="3128"/>
      <c r="AL206" s="3128"/>
      <c r="AM206" s="3128" t="b">
        <f>AND(COUNTIF(K187:M191,"Mantenido"),OR(COUNTIF(K187:M191,"Sostenimiento Menor"),COUNTIF(K187:M191,"Sostenimiento Mayor")))</f>
        <v>0</v>
      </c>
      <c r="AN206" s="3129"/>
      <c r="AO206" s="3128"/>
      <c r="AP206" s="3128"/>
      <c r="AQ206" s="3128"/>
      <c r="AR206" s="3128"/>
      <c r="AS206" s="3128"/>
      <c r="AT206" s="3128"/>
      <c r="AU206" s="3132"/>
      <c r="AV206" s="3132"/>
      <c r="AW206" s="3132"/>
      <c r="AX206" s="3132"/>
      <c r="AY206" s="3128"/>
    </row>
    <row r="207" spans="1:51" ht="12.2" customHeight="1" x14ac:dyDescent="0.2">
      <c r="A207" s="2172"/>
      <c r="B207" s="2086">
        <f t="shared" si="4"/>
        <v>6</v>
      </c>
      <c r="C207" s="4584"/>
      <c r="D207" s="4595" t="s">
        <v>1548</v>
      </c>
      <c r="E207" s="4596"/>
      <c r="F207" s="4596"/>
      <c r="G207" s="4596"/>
      <c r="H207" s="4596"/>
      <c r="I207" s="4596"/>
      <c r="J207" s="4596"/>
      <c r="K207" s="4596"/>
      <c r="L207" s="4596"/>
      <c r="M207" s="4596"/>
      <c r="N207" s="4596"/>
      <c r="O207" s="4596"/>
      <c r="P207" s="4596"/>
      <c r="Q207" s="4596"/>
      <c r="R207" s="4596"/>
      <c r="S207" s="4596"/>
      <c r="T207" s="4596"/>
      <c r="U207" s="4596"/>
      <c r="V207" s="4596"/>
      <c r="W207" s="4596"/>
      <c r="X207" s="4596"/>
      <c r="Y207" s="4596"/>
      <c r="Z207" s="4596"/>
      <c r="AA207" s="4596"/>
      <c r="AB207" s="4596"/>
      <c r="AC207" s="4596"/>
      <c r="AD207" s="4596"/>
      <c r="AE207" s="4596"/>
      <c r="AF207" s="4596"/>
      <c r="AG207" s="4622"/>
      <c r="AH207" s="2180"/>
      <c r="AI207" s="4604"/>
      <c r="AJ207" s="3128" t="s">
        <v>9318</v>
      </c>
      <c r="AK207" s="3128"/>
      <c r="AL207" s="3128"/>
      <c r="AM207" s="312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8"/>
      <c r="AO207" s="3128"/>
      <c r="AP207" s="3128"/>
      <c r="AQ207" s="3129"/>
      <c r="AR207" s="3128"/>
      <c r="AS207" s="3128"/>
      <c r="AT207" s="3128"/>
      <c r="AU207" s="3132"/>
      <c r="AV207" s="3132"/>
      <c r="AW207" s="3132"/>
      <c r="AX207" s="3132"/>
      <c r="AY207" s="3128"/>
    </row>
    <row r="208" spans="1:51" ht="12.2" customHeight="1" x14ac:dyDescent="0.2">
      <c r="A208" s="2172"/>
      <c r="B208" s="2086">
        <f t="shared" si="4"/>
        <v>6</v>
      </c>
      <c r="C208" s="4584"/>
      <c r="D208" s="4624"/>
      <c r="E208" s="4625"/>
      <c r="F208" s="4625"/>
      <c r="G208" s="4625"/>
      <c r="H208" s="4625"/>
      <c r="I208" s="4625"/>
      <c r="J208" s="4625"/>
      <c r="K208" s="4625"/>
      <c r="L208" s="4625"/>
      <c r="M208" s="4625"/>
      <c r="N208" s="4625"/>
      <c r="O208" s="4625"/>
      <c r="P208" s="4625"/>
      <c r="Q208" s="4625"/>
      <c r="R208" s="4625"/>
      <c r="S208" s="4625"/>
      <c r="T208" s="4625"/>
      <c r="U208" s="4625"/>
      <c r="V208" s="4625"/>
      <c r="W208" s="4625"/>
      <c r="X208" s="4625"/>
      <c r="Y208" s="4625"/>
      <c r="Z208" s="4625"/>
      <c r="AA208" s="4625"/>
      <c r="AB208" s="4625"/>
      <c r="AC208" s="4625"/>
      <c r="AD208" s="4625"/>
      <c r="AE208" s="4625"/>
      <c r="AF208" s="4625"/>
      <c r="AG208" s="4626"/>
      <c r="AH208" s="2180"/>
      <c r="AI208" s="4604"/>
      <c r="AJ208" s="3128" t="s">
        <v>9326</v>
      </c>
      <c r="AK208" s="3128"/>
      <c r="AL208" s="3128"/>
      <c r="AM208" s="312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8"/>
      <c r="AO208" s="3128"/>
      <c r="AP208" s="3128"/>
      <c r="AQ208" s="3129"/>
      <c r="AR208" s="3128"/>
      <c r="AS208" s="3128"/>
      <c r="AT208" s="3128"/>
      <c r="AU208" s="3132"/>
      <c r="AV208" s="3132"/>
      <c r="AW208" s="3132"/>
      <c r="AX208" s="3132"/>
      <c r="AY208" s="3128"/>
    </row>
    <row r="209" spans="1:51" ht="12.2" customHeight="1" x14ac:dyDescent="0.2">
      <c r="A209" s="2172"/>
      <c r="B209" s="2086">
        <f t="shared" si="4"/>
        <v>6</v>
      </c>
      <c r="C209" s="4584"/>
      <c r="D209" s="4624"/>
      <c r="E209" s="4625"/>
      <c r="F209" s="4625"/>
      <c r="G209" s="4625"/>
      <c r="H209" s="4625"/>
      <c r="I209" s="4625"/>
      <c r="J209" s="4625"/>
      <c r="K209" s="4625"/>
      <c r="L209" s="4625"/>
      <c r="M209" s="4625"/>
      <c r="N209" s="4625"/>
      <c r="O209" s="4625"/>
      <c r="P209" s="4625"/>
      <c r="Q209" s="4625"/>
      <c r="R209" s="4625"/>
      <c r="S209" s="4625"/>
      <c r="T209" s="4625"/>
      <c r="U209" s="4625"/>
      <c r="V209" s="4625"/>
      <c r="W209" s="4625"/>
      <c r="X209" s="4625"/>
      <c r="Y209" s="4625"/>
      <c r="Z209" s="4625"/>
      <c r="AA209" s="4625"/>
      <c r="AB209" s="4625"/>
      <c r="AC209" s="4625"/>
      <c r="AD209" s="4625"/>
      <c r="AE209" s="4625"/>
      <c r="AF209" s="4625"/>
      <c r="AG209" s="4626"/>
      <c r="AH209" s="2180"/>
      <c r="AI209" s="4604"/>
      <c r="AJ209" s="3128" t="s">
        <v>9305</v>
      </c>
      <c r="AK209" s="3128"/>
      <c r="AL209" s="3128"/>
      <c r="AM209" s="3128" t="b">
        <f>AND((IF(SUM(V187:V191)&gt;0,1,0)+IF(SUM(X187:X191)&gt;0,1,0)+IF(SUM(Z187:Z191)&gt;0,1,0)+IF(SUM(AB187:AB191)&gt;0,1,0)+IF(SUM(AD187:AD191,)&gt;0,1,0)+IF(SUM(AF187:AF191)&gt;0,1,0))&lt;3,OR(V194&lt;0,X194&lt;0,Z194&lt;0,AB194&lt;0,AD194&lt;0,AF194&lt;0,Y192&lt;0))</f>
        <v>0</v>
      </c>
      <c r="AN209" s="3128"/>
      <c r="AO209" s="3128"/>
      <c r="AP209" s="3128"/>
      <c r="AQ209" s="3129"/>
      <c r="AR209" s="3128"/>
      <c r="AS209" s="3128"/>
      <c r="AT209" s="3128"/>
      <c r="AU209" s="3132"/>
      <c r="AV209" s="3132"/>
      <c r="AW209" s="3132"/>
      <c r="AX209" s="3132"/>
      <c r="AY209" s="3128"/>
    </row>
    <row r="210" spans="1:51" ht="12.2" customHeight="1" x14ac:dyDescent="0.2">
      <c r="A210" s="2172"/>
      <c r="B210" s="2086">
        <f t="shared" si="4"/>
        <v>6</v>
      </c>
      <c r="C210" s="4584"/>
      <c r="D210" s="4624"/>
      <c r="E210" s="4625"/>
      <c r="F210" s="4625"/>
      <c r="G210" s="4625"/>
      <c r="H210" s="4625"/>
      <c r="I210" s="4625"/>
      <c r="J210" s="4625"/>
      <c r="K210" s="4625"/>
      <c r="L210" s="4625"/>
      <c r="M210" s="4625"/>
      <c r="N210" s="4625"/>
      <c r="O210" s="4625"/>
      <c r="P210" s="4625"/>
      <c r="Q210" s="4625"/>
      <c r="R210" s="4625"/>
      <c r="S210" s="4625"/>
      <c r="T210" s="4625"/>
      <c r="U210" s="4625"/>
      <c r="V210" s="4625"/>
      <c r="W210" s="4625"/>
      <c r="X210" s="4625"/>
      <c r="Y210" s="4625"/>
      <c r="Z210" s="4625"/>
      <c r="AA210" s="4625"/>
      <c r="AB210" s="4625"/>
      <c r="AC210" s="4625"/>
      <c r="AD210" s="4625"/>
      <c r="AE210" s="4625"/>
      <c r="AF210" s="4625"/>
      <c r="AG210" s="4626"/>
      <c r="AH210" s="2180"/>
      <c r="AI210" s="4604"/>
      <c r="AJ210" s="3128" t="s">
        <v>9320</v>
      </c>
      <c r="AK210" s="3128"/>
      <c r="AL210" s="3128"/>
      <c r="AM210" s="3128" t="b">
        <f>OR(-V194&gt;TRUNC(SUM(V187:V191)/2),-X194&gt;TRUNC(SUM(X187:X191)/2),-Z194&gt;TRUNC(SUM(Z187:Z191)/2),-AB194&gt;TRUNC(SUM(AB187:AB191)/2),-AD194&gt;TRUNC(SUM(AD187:AD191)/2),-AF194&gt;TRUNC(SUM(AF187:AF191)/2))</f>
        <v>0</v>
      </c>
      <c r="AN210" s="3128"/>
      <c r="AO210" s="3128"/>
      <c r="AP210" s="3128"/>
      <c r="AQ210" s="3129"/>
      <c r="AR210" s="3128"/>
      <c r="AS210" s="3128"/>
      <c r="AT210" s="3128"/>
      <c r="AU210" s="3132"/>
      <c r="AV210" s="3132"/>
      <c r="AW210" s="3132"/>
      <c r="AX210" s="3132"/>
      <c r="AY210" s="3128"/>
    </row>
    <row r="211" spans="1:51" ht="12.2" customHeight="1" x14ac:dyDescent="0.2">
      <c r="A211" s="2172"/>
      <c r="B211" s="2086">
        <f t="shared" si="4"/>
        <v>6</v>
      </c>
      <c r="C211" s="4584"/>
      <c r="D211" s="4624"/>
      <c r="E211" s="4625"/>
      <c r="F211" s="4625"/>
      <c r="G211" s="4625"/>
      <c r="H211" s="4625"/>
      <c r="I211" s="4625"/>
      <c r="J211" s="4625"/>
      <c r="K211" s="4625"/>
      <c r="L211" s="4625"/>
      <c r="M211" s="4625"/>
      <c r="N211" s="4625"/>
      <c r="O211" s="4625"/>
      <c r="P211" s="4625"/>
      <c r="Q211" s="4625"/>
      <c r="R211" s="4625"/>
      <c r="S211" s="4625"/>
      <c r="T211" s="4625"/>
      <c r="U211" s="4625"/>
      <c r="V211" s="4625"/>
      <c r="W211" s="4625"/>
      <c r="X211" s="4625"/>
      <c r="Y211" s="4625"/>
      <c r="Z211" s="4625"/>
      <c r="AA211" s="4625"/>
      <c r="AB211" s="4625"/>
      <c r="AC211" s="4625"/>
      <c r="AD211" s="4625"/>
      <c r="AE211" s="4625"/>
      <c r="AF211" s="4625"/>
      <c r="AG211" s="4626"/>
      <c r="AH211" s="2180"/>
      <c r="AI211" s="4604"/>
      <c r="AJ211" s="3128" t="s">
        <v>9321</v>
      </c>
      <c r="AK211" s="3128"/>
      <c r="AL211" s="3128"/>
      <c r="AM211" s="3128" t="b">
        <f>COUNTIF(D187:E191,"Primario")&gt;1</f>
        <v>0</v>
      </c>
      <c r="AN211" s="3128"/>
      <c r="AO211" s="3128"/>
      <c r="AP211" s="3128"/>
      <c r="AQ211" s="3129"/>
      <c r="AR211" s="3129"/>
      <c r="AS211" s="3129"/>
      <c r="AT211" s="3129"/>
      <c r="AU211" s="3132"/>
      <c r="AV211" s="3132"/>
      <c r="AW211" s="3132"/>
      <c r="AX211" s="3128"/>
      <c r="AY211" s="3128"/>
    </row>
    <row r="212" spans="1:51" ht="12.2" customHeight="1" x14ac:dyDescent="0.2">
      <c r="A212" s="2172"/>
      <c r="B212" s="2086">
        <f t="shared" si="4"/>
        <v>6</v>
      </c>
      <c r="C212" s="4584"/>
      <c r="D212" s="4624"/>
      <c r="E212" s="4625"/>
      <c r="F212" s="4625"/>
      <c r="G212" s="4625"/>
      <c r="H212" s="4625"/>
      <c r="I212" s="4625"/>
      <c r="J212" s="4625"/>
      <c r="K212" s="4625"/>
      <c r="L212" s="4625"/>
      <c r="M212" s="4625"/>
      <c r="N212" s="4625"/>
      <c r="O212" s="4625"/>
      <c r="P212" s="4625"/>
      <c r="Q212" s="4625"/>
      <c r="R212" s="4625"/>
      <c r="S212" s="4625"/>
      <c r="T212" s="4625"/>
      <c r="U212" s="4625"/>
      <c r="V212" s="4625"/>
      <c r="W212" s="4625"/>
      <c r="X212" s="4625"/>
      <c r="Y212" s="4625"/>
      <c r="Z212" s="4625"/>
      <c r="AA212" s="4625"/>
      <c r="AB212" s="4625"/>
      <c r="AC212" s="4625"/>
      <c r="AD212" s="4625"/>
      <c r="AE212" s="4625"/>
      <c r="AF212" s="4625"/>
      <c r="AG212" s="4626"/>
      <c r="AH212" s="2180"/>
      <c r="AI212" s="4604"/>
      <c r="AJ212" s="3128" t="s">
        <v>9304</v>
      </c>
      <c r="AK212" s="3128"/>
      <c r="AL212" s="3128"/>
      <c r="AM212" s="3128" t="b">
        <f>SUM(V194:AG194)&lt;&gt;Y192+ABS(AC192)*2/5+IF(S183="Sí",3*P183,0)</f>
        <v>0</v>
      </c>
      <c r="AN212" s="3128"/>
      <c r="AO212" s="3128"/>
      <c r="AP212" s="3128"/>
      <c r="AQ212" s="3129"/>
      <c r="AR212" s="3129"/>
      <c r="AS212" s="3129"/>
      <c r="AT212" s="3129"/>
      <c r="AU212" s="3132"/>
      <c r="AV212" s="3132"/>
      <c r="AW212" s="3132"/>
      <c r="AX212" s="3128"/>
      <c r="AY212" s="3128"/>
    </row>
    <row r="213" spans="1:51" ht="12.2" customHeight="1" x14ac:dyDescent="0.2">
      <c r="A213" s="2172"/>
      <c r="B213" s="2086">
        <f t="shared" si="4"/>
        <v>6</v>
      </c>
      <c r="C213" s="4584"/>
      <c r="D213" s="4624"/>
      <c r="E213" s="4625"/>
      <c r="F213" s="4625"/>
      <c r="G213" s="4625"/>
      <c r="H213" s="4625"/>
      <c r="I213" s="4625"/>
      <c r="J213" s="4625"/>
      <c r="K213" s="4625"/>
      <c r="L213" s="4625"/>
      <c r="M213" s="4625"/>
      <c r="N213" s="4625"/>
      <c r="O213" s="4625"/>
      <c r="P213" s="4625"/>
      <c r="Q213" s="4625"/>
      <c r="R213" s="4625"/>
      <c r="S213" s="4625"/>
      <c r="T213" s="4625"/>
      <c r="U213" s="4625"/>
      <c r="V213" s="4625"/>
      <c r="W213" s="4625"/>
      <c r="X213" s="4625"/>
      <c r="Y213" s="4625"/>
      <c r="Z213" s="4625"/>
      <c r="AA213" s="4625"/>
      <c r="AB213" s="4625"/>
      <c r="AC213" s="4625"/>
      <c r="AD213" s="4625"/>
      <c r="AE213" s="4625"/>
      <c r="AF213" s="4625"/>
      <c r="AG213" s="4626"/>
      <c r="AH213" s="2180"/>
      <c r="AI213" s="4604"/>
      <c r="AJ213" s="3128" t="s">
        <v>9303</v>
      </c>
      <c r="AK213" s="3128"/>
      <c r="AL213" s="3128"/>
      <c r="AM213" s="3128" t="b">
        <f>AL200-AL201+AM200-AM201&lt;&gt;0</f>
        <v>0</v>
      </c>
      <c r="AN213" s="3132"/>
      <c r="AO213" s="3132"/>
      <c r="AP213" s="3132"/>
      <c r="AQ213" s="3132"/>
      <c r="AR213" s="3129"/>
      <c r="AS213" s="3129"/>
      <c r="AT213" s="3129"/>
      <c r="AU213" s="3132"/>
      <c r="AV213" s="3132"/>
      <c r="AW213" s="3132"/>
      <c r="AX213" s="3128"/>
      <c r="AY213" s="3128"/>
    </row>
    <row r="214" spans="1:51" ht="12.2" customHeight="1" thickBot="1" x14ac:dyDescent="0.25">
      <c r="A214" s="2172"/>
      <c r="B214" s="2086"/>
      <c r="C214" s="4585"/>
      <c r="D214" s="4586"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87"/>
      <c r="F214" s="4587"/>
      <c r="G214" s="4587"/>
      <c r="H214" s="4587"/>
      <c r="I214" s="4587"/>
      <c r="J214" s="4587"/>
      <c r="K214" s="4587"/>
      <c r="L214" s="4587"/>
      <c r="M214" s="4587"/>
      <c r="N214" s="4587"/>
      <c r="O214" s="4587"/>
      <c r="P214" s="4587"/>
      <c r="Q214" s="4587"/>
      <c r="R214" s="4587"/>
      <c r="S214" s="4587"/>
      <c r="T214" s="4587"/>
      <c r="U214" s="4587"/>
      <c r="V214" s="4587"/>
      <c r="W214" s="4587"/>
      <c r="X214" s="4587"/>
      <c r="Y214" s="4587"/>
      <c r="Z214" s="4587"/>
      <c r="AA214" s="4587"/>
      <c r="AB214" s="4587"/>
      <c r="AC214" s="4587"/>
      <c r="AD214" s="4587"/>
      <c r="AE214" s="4587"/>
      <c r="AF214" s="4587"/>
      <c r="AG214" s="4588"/>
      <c r="AH214" s="2180"/>
      <c r="AI214" s="4604"/>
      <c r="AJ214" s="3128" t="s">
        <v>9340</v>
      </c>
      <c r="AK214" s="3132"/>
      <c r="AL214" s="3132"/>
      <c r="AM214" s="3132" t="b">
        <f>ABS(SUM(N192:N194))&gt;(SUM(N187:N191)-10*Y192+AC192+IF(S183="Sí",10*P183,0)+IF(COUNTIF(K187:M191,"Mantenido")&gt;0,P183*10)+MAX(IF(COUNTIF(K187:M191,"Sostenimiento Menor")&gt;0,P183*20)+IF(COUNTIF(K187:M191,"Sostenimiento Mayor")&gt;0,P183*30)))/2</f>
        <v>0</v>
      </c>
      <c r="AN214" s="3128"/>
      <c r="AO214" s="3128"/>
      <c r="AP214" s="3128"/>
      <c r="AQ214" s="3128"/>
      <c r="AR214" s="3129"/>
      <c r="AS214" s="3129"/>
      <c r="AT214" s="3129"/>
      <c r="AU214" s="3132"/>
      <c r="AV214" s="3132"/>
      <c r="AW214" s="3132"/>
      <c r="AX214" s="3128"/>
      <c r="AY214" s="3128"/>
    </row>
    <row r="215" spans="1:51" ht="12.2" customHeight="1" x14ac:dyDescent="0.2">
      <c r="A215" s="2172"/>
      <c r="B215" s="2086"/>
      <c r="C215" s="4580"/>
      <c r="D215" s="4580" t="str">
        <f>IFERROR(VLOOKUP(D196,'Tablas Técnicas'!$O$9:$T$88,2,FALSE),"")</f>
        <v/>
      </c>
      <c r="E215" s="4580"/>
      <c r="F215" s="4580"/>
      <c r="G215" s="4580"/>
      <c r="H215" s="4580"/>
      <c r="I215" s="4580"/>
      <c r="J215" s="4580" t="str">
        <f>IFERROR(VLOOKUP(J196,'Tablas Técnicas'!$O$9:$T$88,2,FALSE),"")</f>
        <v/>
      </c>
      <c r="K215" s="4580"/>
      <c r="L215" s="4580"/>
      <c r="M215" s="4580"/>
      <c r="N215" s="4580"/>
      <c r="O215" s="4580"/>
      <c r="P215" s="4580" t="str">
        <f>IFERROR(VLOOKUP(P196,'Tablas Técnicas'!$O$9:$T$88,2,FALSE),"")</f>
        <v/>
      </c>
      <c r="Q215" s="4580"/>
      <c r="R215" s="4580"/>
      <c r="S215" s="4580"/>
      <c r="T215" s="4580"/>
      <c r="U215" s="4580"/>
      <c r="V215" s="4580" t="str">
        <f>IFERROR(VLOOKUP(V196,'Tablas Técnicas'!$O$9:$T$88,2,FALSE),"")</f>
        <v/>
      </c>
      <c r="W215" s="4580"/>
      <c r="X215" s="4580"/>
      <c r="Y215" s="4580"/>
      <c r="Z215" s="4580"/>
      <c r="AA215" s="4580"/>
      <c r="AB215" s="4580" t="str">
        <f>IFERROR(VLOOKUP(AB196,'Tablas Técnicas'!$O$9:$T$88,2,FALSE),"")</f>
        <v/>
      </c>
      <c r="AC215" s="4580"/>
      <c r="AD215" s="4580"/>
      <c r="AE215" s="4580"/>
      <c r="AF215" s="4580"/>
      <c r="AG215" s="4580"/>
      <c r="AH215" s="2180"/>
      <c r="AI215" s="1908"/>
      <c r="AJ215" s="3128"/>
      <c r="AK215" s="3128"/>
      <c r="AL215" s="3128"/>
      <c r="AM215" s="3128"/>
      <c r="AN215" s="3128"/>
      <c r="AO215" s="3128"/>
      <c r="AP215" s="3128"/>
      <c r="AQ215" s="3128"/>
      <c r="AR215" s="3129"/>
      <c r="AS215" s="3129"/>
      <c r="AT215" s="3129"/>
      <c r="AU215" s="3132"/>
      <c r="AV215" s="3132"/>
      <c r="AW215" s="3132"/>
      <c r="AX215" s="3132"/>
      <c r="AY215" s="3128"/>
    </row>
    <row r="216" spans="1:51" ht="12.2" customHeight="1" thickBot="1" x14ac:dyDescent="0.25">
      <c r="A216" s="2172"/>
      <c r="B216" s="2086"/>
      <c r="C216" s="4580"/>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6"/>
      <c r="AK216" s="3136"/>
      <c r="AL216" s="3136"/>
      <c r="AM216" s="3136"/>
      <c r="AN216" s="3136"/>
      <c r="AO216" s="3136"/>
      <c r="AP216" s="3128"/>
      <c r="AQ216" s="3129"/>
      <c r="AR216" s="3132"/>
      <c r="AS216" s="3132"/>
      <c r="AT216" s="3132"/>
      <c r="AU216" s="3132"/>
      <c r="AV216" s="3132"/>
      <c r="AW216" s="3132"/>
      <c r="AX216" s="3132"/>
      <c r="AY216" s="3137"/>
    </row>
    <row r="217" spans="1:51" ht="12.2" customHeight="1" x14ac:dyDescent="0.2">
      <c r="A217" s="2172"/>
      <c r="B217" s="2086">
        <f t="shared" ref="B217:B247" si="5">1+B183</f>
        <v>7</v>
      </c>
      <c r="C217" s="4583" t="str">
        <f>"Técnica "&amp;B217</f>
        <v>Técnica 7</v>
      </c>
      <c r="D217" s="4682" t="s">
        <v>8711</v>
      </c>
      <c r="E217" s="4683"/>
      <c r="F217" s="4683"/>
      <c r="G217" s="4683"/>
      <c r="H217" s="4683"/>
      <c r="I217" s="4683"/>
      <c r="J217" s="4683"/>
      <c r="K217" s="4683"/>
      <c r="L217" s="4683"/>
      <c r="M217" s="4683"/>
      <c r="N217" s="4684"/>
      <c r="O217" s="4688" t="s">
        <v>1325</v>
      </c>
      <c r="P217" s="4690">
        <v>1</v>
      </c>
      <c r="Q217" s="4692" t="s">
        <v>8795</v>
      </c>
      <c r="R217" s="4693"/>
      <c r="S217" s="4696" t="s">
        <v>1381</v>
      </c>
      <c r="T217" s="4697" t="s">
        <v>1505</v>
      </c>
      <c r="U217" s="4699">
        <f>MAX(IF(P217=3,60,IF(P217=2,40,20)),MIN(SUM(N221:N228)-10*Y226+AC226+IF(S217="Sí",10*P217,0)+IF(COUNTIF(K221:M225,"Mantenido")&gt;0,P217*10)+MAX(IF(COUNTIF(K221:M225,"Sostenimiento Menor")&gt;0,P217*20)+IF(COUNTIF(K221:M225,"Sostenimiento Mayor")&gt;0,P217*30))))</f>
        <v>20</v>
      </c>
      <c r="V217" s="4692" t="s">
        <v>8796</v>
      </c>
      <c r="W217" s="4697"/>
      <c r="X217" s="4612" t="str">
        <f>IFERROR(LEFT(AK233&amp;AL233&amp;AM233&amp;AN233&amp;AO233&amp;AP233,LEN(AK233&amp;AL233&amp;AM233&amp;AN233&amp;AO233&amp;AP233)-2),"")</f>
        <v/>
      </c>
      <c r="Y217" s="4612"/>
      <c r="Z217" s="4612"/>
      <c r="AA217" s="4612"/>
      <c r="AB217" s="4612"/>
      <c r="AC217" s="4612"/>
      <c r="AD217" s="4612"/>
      <c r="AE217" s="4612"/>
      <c r="AF217" s="4612"/>
      <c r="AG217" s="4613"/>
      <c r="AH217" s="2180"/>
      <c r="AI217" s="4604"/>
      <c r="AJ217" s="3133" t="s">
        <v>9337</v>
      </c>
      <c r="AK217" s="3133"/>
      <c r="AL217" s="3133"/>
      <c r="AM217" s="3133"/>
      <c r="AN217" s="3133"/>
      <c r="AO217" s="3133"/>
      <c r="AP217" s="3133"/>
      <c r="AQ217" s="3133"/>
      <c r="AR217" s="3133"/>
      <c r="AS217" s="3128"/>
      <c r="AT217" s="3128"/>
      <c r="AU217" s="3128"/>
      <c r="AV217" s="3128"/>
      <c r="AW217" s="3132"/>
      <c r="AX217" s="3132"/>
      <c r="AY217" s="3128"/>
    </row>
    <row r="218" spans="1:51" ht="12.2" customHeight="1" x14ac:dyDescent="0.2">
      <c r="A218" s="2172"/>
      <c r="B218" s="2086">
        <f t="shared" si="5"/>
        <v>7</v>
      </c>
      <c r="C218" s="4584"/>
      <c r="D218" s="4685"/>
      <c r="E218" s="4686"/>
      <c r="F218" s="4686"/>
      <c r="G218" s="4686"/>
      <c r="H218" s="4686"/>
      <c r="I218" s="4686"/>
      <c r="J218" s="4686"/>
      <c r="K218" s="4686"/>
      <c r="L218" s="4686"/>
      <c r="M218" s="4686"/>
      <c r="N218" s="4687"/>
      <c r="O218" s="4689"/>
      <c r="P218" s="4691"/>
      <c r="Q218" s="4694"/>
      <c r="R218" s="4695"/>
      <c r="S218" s="4691"/>
      <c r="T218" s="4698"/>
      <c r="U218" s="4700"/>
      <c r="V218" s="4694"/>
      <c r="W218" s="4698"/>
      <c r="X218" s="4614"/>
      <c r="Y218" s="4614"/>
      <c r="Z218" s="4614"/>
      <c r="AA218" s="4614"/>
      <c r="AB218" s="4614"/>
      <c r="AC218" s="4614"/>
      <c r="AD218" s="4614"/>
      <c r="AE218" s="4614"/>
      <c r="AF218" s="4614"/>
      <c r="AG218" s="4615"/>
      <c r="AH218" s="2180"/>
      <c r="AI218" s="4604"/>
      <c r="AJ218" s="3133"/>
      <c r="AK218" s="3133" t="s">
        <v>9338</v>
      </c>
      <c r="AL218" s="3133" t="s">
        <v>10493</v>
      </c>
      <c r="AM218" s="3134"/>
      <c r="AN218" s="3134"/>
      <c r="AO218" s="3134"/>
      <c r="AP218" s="3134"/>
      <c r="AQ218" s="3134"/>
      <c r="AR218" s="3133"/>
      <c r="AS218" s="3128"/>
      <c r="AT218" s="3128"/>
      <c r="AU218" s="3128"/>
      <c r="AV218" s="3128"/>
      <c r="AW218" s="3132"/>
      <c r="AX218" s="4582" t="s">
        <v>9307</v>
      </c>
      <c r="AY218" s="4582"/>
    </row>
    <row r="219" spans="1:51" ht="12.2" customHeight="1" x14ac:dyDescent="0.2">
      <c r="A219" s="2172"/>
      <c r="B219" s="2086">
        <f t="shared" si="5"/>
        <v>7</v>
      </c>
      <c r="C219" s="4584"/>
      <c r="D219" s="4595" t="s">
        <v>2823</v>
      </c>
      <c r="E219" s="4596"/>
      <c r="F219" s="4596"/>
      <c r="G219" s="4596"/>
      <c r="H219" s="4596"/>
      <c r="I219" s="4596"/>
      <c r="J219" s="4596"/>
      <c r="K219" s="4679" t="s">
        <v>9630</v>
      </c>
      <c r="L219" s="4679"/>
      <c r="M219" s="4679"/>
      <c r="N219" s="4596" t="s">
        <v>1499</v>
      </c>
      <c r="O219" s="4679" t="s">
        <v>2821</v>
      </c>
      <c r="P219" s="4679" t="s">
        <v>8797</v>
      </c>
      <c r="Q219" s="4596" t="s">
        <v>1364</v>
      </c>
      <c r="R219" s="4596"/>
      <c r="S219" s="4596"/>
      <c r="T219" s="4596"/>
      <c r="U219" s="4596"/>
      <c r="V219" s="4659" t="s">
        <v>1373</v>
      </c>
      <c r="W219" s="4654"/>
      <c r="X219" s="4659" t="s">
        <v>1497</v>
      </c>
      <c r="Y219" s="4660"/>
      <c r="Z219" s="4654" t="s">
        <v>1378</v>
      </c>
      <c r="AA219" s="4654"/>
      <c r="AB219" s="4659" t="s">
        <v>1383</v>
      </c>
      <c r="AC219" s="4660"/>
      <c r="AD219" s="4654" t="s">
        <v>1390</v>
      </c>
      <c r="AE219" s="4654"/>
      <c r="AF219" s="4659" t="s">
        <v>1391</v>
      </c>
      <c r="AG219" s="4655"/>
      <c r="AH219" s="2180"/>
      <c r="AI219" s="4604"/>
      <c r="AJ219" s="3128"/>
      <c r="AK219" s="3128"/>
      <c r="AL219" s="3128" t="s">
        <v>9609</v>
      </c>
      <c r="AM219" s="3128"/>
      <c r="AN219" s="3128"/>
      <c r="AO219" s="3128"/>
      <c r="AP219" s="3128"/>
      <c r="AQ219" s="3128"/>
      <c r="AR219" s="3132"/>
      <c r="AS219" s="3132" t="s">
        <v>9327</v>
      </c>
      <c r="AT219" s="3132" t="s">
        <v>9328</v>
      </c>
      <c r="AU219" s="3128" t="s">
        <v>9316</v>
      </c>
      <c r="AV219" s="3128" t="s">
        <v>9317</v>
      </c>
      <c r="AW219" s="3132" t="s">
        <v>1499</v>
      </c>
      <c r="AX219" s="3132" t="s">
        <v>8799</v>
      </c>
      <c r="AY219" s="3128" t="s">
        <v>8800</v>
      </c>
    </row>
    <row r="220" spans="1:51" ht="12.2" customHeight="1" x14ac:dyDescent="0.2">
      <c r="A220" s="2172"/>
      <c r="B220" s="2086">
        <f t="shared" si="5"/>
        <v>7</v>
      </c>
      <c r="C220" s="4584"/>
      <c r="D220" s="4627"/>
      <c r="E220" s="4628"/>
      <c r="F220" s="4628"/>
      <c r="G220" s="4628"/>
      <c r="H220" s="4628"/>
      <c r="I220" s="4628"/>
      <c r="J220" s="4628"/>
      <c r="K220" s="4680"/>
      <c r="L220" s="4680"/>
      <c r="M220" s="4680"/>
      <c r="N220" s="4597"/>
      <c r="O220" s="4680"/>
      <c r="P220" s="4681"/>
      <c r="Q220" s="4597"/>
      <c r="R220" s="4597"/>
      <c r="S220" s="4597"/>
      <c r="T220" s="4597"/>
      <c r="U220" s="4597"/>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604"/>
      <c r="AJ220" s="3128"/>
      <c r="AK220" s="3128" t="s">
        <v>9308</v>
      </c>
      <c r="AL220" s="3128">
        <v>1</v>
      </c>
      <c r="AM220" s="3128">
        <v>2</v>
      </c>
      <c r="AN220" s="3128">
        <v>3</v>
      </c>
      <c r="AO220" s="3128">
        <v>4</v>
      </c>
      <c r="AP220" s="3128">
        <v>5</v>
      </c>
      <c r="AQ220" s="3128">
        <v>6</v>
      </c>
      <c r="AR220" s="3128">
        <v>7</v>
      </c>
      <c r="AS220" s="3132"/>
      <c r="AT220" s="3128" t="s">
        <v>9339</v>
      </c>
      <c r="AU220" s="3132"/>
      <c r="AV220" s="3132"/>
      <c r="AW220" s="3132" t="s">
        <v>9339</v>
      </c>
      <c r="AX220" s="3132"/>
      <c r="AY220" s="3128"/>
    </row>
    <row r="221" spans="1:51" ht="12.2" customHeight="1" x14ac:dyDescent="0.2">
      <c r="A221" s="2172"/>
      <c r="B221" s="2086">
        <f t="shared" si="5"/>
        <v>7</v>
      </c>
      <c r="C221" s="4584"/>
      <c r="D221" s="4670" t="s">
        <v>8801</v>
      </c>
      <c r="E221" s="4671"/>
      <c r="F221" s="4672"/>
      <c r="G221" s="4673"/>
      <c r="H221" s="4673"/>
      <c r="I221" s="4673"/>
      <c r="J221" s="4674"/>
      <c r="K221" s="4641" t="s">
        <v>1455</v>
      </c>
      <c r="L221" s="4642"/>
      <c r="M221" s="4643"/>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678" t="str">
        <f>IFERROR(VLOOKUP(F221,'Tablas Técnicas'!$O$9:$T$88,5,FALSE),"")</f>
        <v/>
      </c>
      <c r="R221" s="4678"/>
      <c r="S221" s="4678"/>
      <c r="T221" s="4678"/>
      <c r="U221" s="4678"/>
      <c r="V221" s="2042"/>
      <c r="W221" s="2043"/>
      <c r="X221" s="2042"/>
      <c r="Y221" s="2044"/>
      <c r="Z221" s="2045"/>
      <c r="AA221" s="2043"/>
      <c r="AB221" s="2042"/>
      <c r="AC221" s="2044"/>
      <c r="AD221" s="2045"/>
      <c r="AE221" s="2043"/>
      <c r="AF221" s="2042"/>
      <c r="AG221" s="2046"/>
      <c r="AH221" s="2180"/>
      <c r="AI221" s="4604"/>
      <c r="AJ221" s="3128">
        <v>1</v>
      </c>
      <c r="AK221" s="3128">
        <f>P217</f>
        <v>1</v>
      </c>
      <c r="AL221" s="3128" t="str">
        <f>IF(AND(ISNUMBER(MATCH($F221,'Tablas Técnicas'!$L$10:$L$643,0)),INDEX($D234:$D240,Tablas!A$1)="",COUNTIF(AM221:$AS221,$F221)=0),$F221,IF(INDEX($D234:$D240,Tablas!A$1)="","",$F221&amp;INDEX($D234:$D240,Tablas!A$1)))</f>
        <v/>
      </c>
      <c r="AM221" s="3128" t="str">
        <f>IF(AND(ISNUMBER(MATCH($F221,'Tablas Técnicas'!$L$10:$L$643,0)),INDEX($D234:$D240,Tablas!B$1)="",COUNTIF(AN221:$AS221,$F221)=0),$F221,IF(INDEX($D234:$D240,Tablas!B$1)="","",$F221&amp;INDEX($D234:$D240,Tablas!B$1)))</f>
        <v/>
      </c>
      <c r="AN221" s="3128" t="str">
        <f>IF(AND(ISNUMBER(MATCH($F221,'Tablas Técnicas'!$L$10:$L$643,0)),INDEX($D234:$D240,Tablas!C$1)="",COUNTIF(AO221:$AS221,$F221)=0),$F221,IF(INDEX($D234:$D240,Tablas!C$1)="","",$F221&amp;INDEX($D234:$D240,Tablas!C$1)))</f>
        <v/>
      </c>
      <c r="AO221" s="3128" t="str">
        <f>IF(AND(ISNUMBER(MATCH($F221,'Tablas Técnicas'!$L$10:$L$643,0)),INDEX($D234:$D240,Tablas!D$1)="",COUNTIF(AP221:$AS221,$F221)=0),$F221,IF(INDEX($D234:$D240,Tablas!D$1)="","",$F221&amp;INDEX($D234:$D240,Tablas!D$1)))</f>
        <v/>
      </c>
      <c r="AP221" s="3128" t="str">
        <f>IF(AND(ISNUMBER(MATCH($F221,'Tablas Técnicas'!$L$10:$L$643,0)),INDEX($D234:$D240,Tablas!E$1)="",COUNTIF(AQ221:$AS221,$F221)=0),$F221,IF(INDEX($D234:$D240,Tablas!E$1)="","",$F221&amp;INDEX($D234:$D240,Tablas!E$1)))</f>
        <v/>
      </c>
      <c r="AQ221" s="3128" t="str">
        <f>IF(AND(ISNUMBER(MATCH($F221,'Tablas Técnicas'!$L$10:$L$643,0)),INDEX($D234:$D240,Tablas!F$1)="",COUNTIF(AR221:$AS221,$F221)=0),$F221,IF(INDEX($D234:$D240,Tablas!F$1)="","",$F221&amp;INDEX($D234:$D240,Tablas!F$1)))</f>
        <v/>
      </c>
      <c r="AR221" s="3128" t="str">
        <f>IF(AND(ISNUMBER(MATCH($F221,'Tablas Técnicas'!$L$10:$L$643,0)),INDEX($D234:$D240,Tablas!G$1)="",COUNTIF(AS221:$AS221,$F221)=0),$F221,IF(INDEX($D234:$D240,Tablas!G$1)="","",$F221&amp;INDEX($D234:$D240,Tablas!G$1)))</f>
        <v/>
      </c>
      <c r="AS221" s="3132">
        <f>V221+X221+Z221+AB221+AD221+AF221</f>
        <v>0</v>
      </c>
      <c r="AT221" s="3132">
        <f t="array" ref="AT221">SUM(IF($AL221:$AR221='Tablas Técnicas'!$L$10:$L$643,IF(D221="Primario",'Tablas Técnicas'!$E$10:$E$643,'Tablas Técnicas'!$F$10:$F$643)+IF(K221="Sostenimiento menor",'Tablas Técnicas'!$I$10:$I$643,IF(K221="sostenimiento mayor",'Tablas Técnicas'!$J$10:$J$643,0)),0),0)+VALUE(RIGHT(P221,2))+AU221+AV221</f>
        <v>0</v>
      </c>
      <c r="AU221" s="313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32">
        <f>(COUNTIF(AL221:AR221,"*Estado añadido:*")-1)*COUNTIF(AL221:AR221,"*Estado añadido:*")</f>
        <v>0</v>
      </c>
      <c r="AW221" s="3132">
        <f t="array" ref="AW221">SUM(IF($AL221:$AR221='Tablas Técnicas'!$L$10:$L$643,'Tablas Técnicas'!$G$10:$G$643,0))</f>
        <v>0</v>
      </c>
      <c r="AX221" s="312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8" t="str">
        <f>IFERROR(LEFT(AX221,LEN(AX221)-2)&amp;"), ","")</f>
        <v/>
      </c>
    </row>
    <row r="222" spans="1:51" ht="12.2" customHeight="1" x14ac:dyDescent="0.2">
      <c r="A222" s="2172"/>
      <c r="B222" s="2086">
        <f t="shared" si="5"/>
        <v>7</v>
      </c>
      <c r="C222" s="4584"/>
      <c r="D222" s="4629" t="s">
        <v>524</v>
      </c>
      <c r="E222" s="4630"/>
      <c r="F222" s="4661"/>
      <c r="G222" s="4662"/>
      <c r="H222" s="4662"/>
      <c r="I222" s="4662"/>
      <c r="J222" s="4663"/>
      <c r="K222" s="4664" t="s">
        <v>1455</v>
      </c>
      <c r="L222" s="4665"/>
      <c r="M222" s="4666"/>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1" t="str">
        <f>IFERROR(VLOOKUP(F222,'Tablas Técnicas'!$O$9:$T$88,5,FALSE),"")</f>
        <v/>
      </c>
      <c r="R222" s="4631"/>
      <c r="S222" s="4631"/>
      <c r="T222" s="4631"/>
      <c r="U222" s="4631"/>
      <c r="V222" s="2047"/>
      <c r="W222" s="2048"/>
      <c r="X222" s="2047"/>
      <c r="Y222" s="2049"/>
      <c r="Z222" s="2050"/>
      <c r="AA222" s="2048"/>
      <c r="AB222" s="2047"/>
      <c r="AC222" s="2049"/>
      <c r="AD222" s="2050"/>
      <c r="AE222" s="2048"/>
      <c r="AF222" s="2047"/>
      <c r="AG222" s="2051"/>
      <c r="AH222" s="2180"/>
      <c r="AI222" s="4604"/>
      <c r="AJ222" s="3128">
        <v>2</v>
      </c>
      <c r="AK222" s="3128">
        <f>P217</f>
        <v>1</v>
      </c>
      <c r="AL222" s="3128" t="str">
        <f>IF(AND(ISNUMBER(MATCH($F222,'Tablas Técnicas'!$L$10:$L$643,0)),INDEX($J234:$J240,Tablas!A$1)="",COUNTIF(AM222:$AS222,$F222)=0),$F222,IF(INDEX($J234:$J240,Tablas!A$1)="","",$F222&amp;INDEX($J234:$J240,Tablas!A$1)))</f>
        <v/>
      </c>
      <c r="AM222" s="3128" t="str">
        <f>IF(AND(ISNUMBER(MATCH($F222,'Tablas Técnicas'!$L$10:$L$643,0)),INDEX($J234:$J240,Tablas!B$1)="",COUNTIF(AN222:$AS222,$F222)=0),$F222,IF(INDEX($J234:$J240,Tablas!B$1)="","",$F222&amp;INDEX($J234:$J240,Tablas!B$1)))</f>
        <v/>
      </c>
      <c r="AN222" s="3128" t="str">
        <f>IF(AND(ISNUMBER(MATCH($F222,'Tablas Técnicas'!$L$10:$L$643,0)),INDEX($J234:$J240,Tablas!C$1)="",COUNTIF(AO222:$AS222,$F222)=0),$F222,IF(INDEX($J234:$J240,Tablas!C$1)="","",$F222&amp;INDEX($J234:$J240,Tablas!C$1)))</f>
        <v/>
      </c>
      <c r="AO222" s="3128" t="str">
        <f>IF(AND(ISNUMBER(MATCH($F222,'Tablas Técnicas'!$L$10:$L$643,0)),INDEX($J234:$J240,Tablas!D$1)="",COUNTIF(AP222:$AS222,$F222)=0),$F222,IF(INDEX($J234:$J240,Tablas!D$1)="","",$F222&amp;INDEX($J234:$J240,Tablas!D$1)))</f>
        <v/>
      </c>
      <c r="AP222" s="3128" t="str">
        <f>IF(AND(ISNUMBER(MATCH($F222,'Tablas Técnicas'!$L$10:$L$643,0)),INDEX($J234:$J240,Tablas!E$1)="",COUNTIF(AQ222:$AS222,$F222)=0),$F222,IF(INDEX($J234:$J240,Tablas!E$1)="","",$F222&amp;INDEX($J234:$J240,Tablas!E$1)))</f>
        <v/>
      </c>
      <c r="AQ222" s="3128" t="str">
        <f>IF(AND(ISNUMBER(MATCH($F222,'Tablas Técnicas'!$L$10:$L$643,0)),INDEX($J234:$J240,Tablas!F$1)="",COUNTIF(AR222:$AS222,$F222)=0),$F222,IF(INDEX($J234:$J240,Tablas!F$1)="","",$F222&amp;INDEX($J234:$J240,Tablas!F$1)))</f>
        <v/>
      </c>
      <c r="AR222" s="3128" t="str">
        <f>IF(AND(ISNUMBER(MATCH($F222,'Tablas Técnicas'!$L$10:$L$643,0)),INDEX($J234:$J240,Tablas!G$1)="",COUNTIF(AS222:$AS222,$F222)=0),$F222,IF(INDEX($J234:$J240,Tablas!G$1)="","",$F222&amp;INDEX($J234:$J240,Tablas!G$1)))</f>
        <v/>
      </c>
      <c r="AS222" s="3132">
        <f>V222+X222+Z222+AB222+AD222+AF222</f>
        <v>0</v>
      </c>
      <c r="AT222" s="3132">
        <f t="array" ref="AT222">SUM(IF($AL222:$AR222='Tablas Técnicas'!$L$10:$L$643,IF(D222="Primario",'Tablas Técnicas'!$E$10:$E$643,'Tablas Técnicas'!$F$10:$F$643)+IF(K222="Sostenimiento menor",'Tablas Técnicas'!$I$10:$I$643,IF(K222="sostenimiento mayor",'Tablas Técnicas'!$J$10:$J$643,0)),0),0)+VALUE(RIGHT(P222,2))+AU222+AV222</f>
        <v>0</v>
      </c>
      <c r="AU222" s="313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32">
        <f>(COUNTIF(AL222:AR222,"*Estado añadido:*")-1)*COUNTIF(AL222:AR222,"*Estado añadido:*")</f>
        <v>0</v>
      </c>
      <c r="AW222" s="3132">
        <f t="array" ref="AW222">SUM(IF($AL222:$AR222='Tablas Técnicas'!$L$10:$L$643,'Tablas Técnicas'!$G$10:$G$643,0))</f>
        <v>0</v>
      </c>
      <c r="AX222" s="312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8" t="str">
        <f>IFERROR(LEFT(AX222,LEN(AX222)-2)&amp;"), ","")</f>
        <v/>
      </c>
    </row>
    <row r="223" spans="1:51" ht="12.2" customHeight="1" x14ac:dyDescent="0.2">
      <c r="A223" s="2172"/>
      <c r="B223" s="2086">
        <f t="shared" si="5"/>
        <v>7</v>
      </c>
      <c r="C223" s="4584"/>
      <c r="D223" s="4675" t="s">
        <v>524</v>
      </c>
      <c r="E223" s="4676"/>
      <c r="F223" s="4605"/>
      <c r="G223" s="4606"/>
      <c r="H223" s="4606"/>
      <c r="I223" s="4606"/>
      <c r="J223" s="4607"/>
      <c r="K223" s="4667" t="s">
        <v>1455</v>
      </c>
      <c r="L223" s="4668"/>
      <c r="M223" s="4669"/>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677" t="str">
        <f>IFERROR(VLOOKUP(F223,'Tablas Técnicas'!$O$9:$T$88,5,FALSE),"")</f>
        <v/>
      </c>
      <c r="R223" s="4677"/>
      <c r="S223" s="4677"/>
      <c r="T223" s="4677"/>
      <c r="U223" s="4677"/>
      <c r="V223" s="2052"/>
      <c r="W223" s="2053"/>
      <c r="X223" s="2052"/>
      <c r="Y223" s="2054"/>
      <c r="Z223" s="2055"/>
      <c r="AA223" s="2053"/>
      <c r="AB223" s="2052"/>
      <c r="AC223" s="2054"/>
      <c r="AD223" s="2055"/>
      <c r="AE223" s="2053"/>
      <c r="AF223" s="2052"/>
      <c r="AG223" s="2056"/>
      <c r="AH223" s="2180"/>
      <c r="AI223" s="4604"/>
      <c r="AJ223" s="3128">
        <v>3</v>
      </c>
      <c r="AK223" s="3128">
        <f>P217</f>
        <v>1</v>
      </c>
      <c r="AL223" s="3128" t="str">
        <f>IF(AND(ISNUMBER(MATCH($F223,'Tablas Técnicas'!$L$10:$L$643,0)),INDEX($P234:$P240,Tablas!A$1)="",COUNTIF(AM223:$AS223,$F223)=0),$F223,IF(INDEX($P234:$P240,Tablas!A$1)="","",$F223&amp;INDEX($P234:$P240,Tablas!A$1)))</f>
        <v/>
      </c>
      <c r="AM223" s="3128" t="str">
        <f>IF(AND(ISNUMBER(MATCH($F223,'Tablas Técnicas'!$L$10:$L$643,0)),INDEX($P234:$P240,Tablas!B$1)="",COUNTIF(AN223:$AS223,$F223)=0),$F223,IF(INDEX($P234:$P240,Tablas!B$1)="","",$F223&amp;INDEX($P234:$P240,Tablas!B$1)))</f>
        <v/>
      </c>
      <c r="AN223" s="3128" t="str">
        <f>IF(AND(ISNUMBER(MATCH($F223,'Tablas Técnicas'!$L$10:$L$643,0)),INDEX($P234:$P240,Tablas!C$1)="",COUNTIF(AO223:$AS223,$F223)=0),$F223,IF(INDEX($P234:$P240,Tablas!C$1)="","",$F223&amp;INDEX($P234:$P240,Tablas!C$1)))</f>
        <v/>
      </c>
      <c r="AO223" s="3128" t="str">
        <f>IF(AND(ISNUMBER(MATCH($F223,'Tablas Técnicas'!$L$10:$L$643,0)),INDEX($P234:$P240,Tablas!D$1)="",COUNTIF(AP223:$AS223,$F223)=0),$F223,IF(INDEX($P234:$P240,Tablas!D$1)="","",$F223&amp;INDEX($P234:$P240,Tablas!D$1)))</f>
        <v/>
      </c>
      <c r="AP223" s="3128" t="str">
        <f>IF(AND(ISNUMBER(MATCH($F223,'Tablas Técnicas'!$L$10:$L$643,0)),INDEX($P234:$P240,Tablas!E$1)="",COUNTIF(AQ223:$AS223,$F223)=0),$F223,IF(INDEX($P234:$P240,Tablas!E$1)="","",$F223&amp;INDEX($P234:$P240,Tablas!E$1)))</f>
        <v/>
      </c>
      <c r="AQ223" s="3128" t="str">
        <f>IF(AND(ISNUMBER(MATCH($F223,'Tablas Técnicas'!$L$10:$L$643,0)),INDEX($P234:$P240,Tablas!F$1)="",COUNTIF(AR223:$AS223,$F223)=0),$F223,IF(INDEX($P234:$P240,Tablas!F$1)="","",$F223&amp;INDEX($P234:$P240,Tablas!F$1)))</f>
        <v/>
      </c>
      <c r="AR223" s="3128" t="str">
        <f>IF(AND(ISNUMBER(MATCH($F223,'Tablas Técnicas'!$L$10:$L$643,0)),INDEX($P234:$P240,Tablas!G$1)="",COUNTIF(AS223:$AS223,$F223)=0),$F223,IF(INDEX($P234:$P240,Tablas!G$1)="","",$F223&amp;INDEX($P234:$P240,Tablas!G$1)))</f>
        <v/>
      </c>
      <c r="AS223" s="3132">
        <f>V223+X223+Z223+AB223+AD223+AF223</f>
        <v>0</v>
      </c>
      <c r="AT223" s="3132">
        <f t="array" ref="AT223">SUM(IF($AL223:$AR223='Tablas Técnicas'!$L$10:$L$643,IF(D223="Primario",'Tablas Técnicas'!$E$10:$E$643,'Tablas Técnicas'!$F$10:$F$643)+IF(K223="Sostenimiento menor",'Tablas Técnicas'!$I$10:$I$643,IF(K223="sostenimiento mayor",'Tablas Técnicas'!$J$10:$J$643,0)),0),0)+VALUE(RIGHT(P223,2))+AU223+AV223</f>
        <v>0</v>
      </c>
      <c r="AU223" s="313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32">
        <f>(COUNTIF(AL223:AR223,"*Estado añadido:*")-1)*COUNTIF(AL223:AR223,"*Estado añadido:*")</f>
        <v>0</v>
      </c>
      <c r="AW223" s="3132">
        <f t="array" ref="AW223">SUM(IF($AL223:$AR223='Tablas Técnicas'!$L$10:$L$643,'Tablas Técnicas'!$G$10:$G$643,0))</f>
        <v>0</v>
      </c>
      <c r="AX223" s="312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8" t="str">
        <f>IFERROR(LEFT(AX223,LEN(AX223)-2)&amp;"), ","")</f>
        <v/>
      </c>
    </row>
    <row r="224" spans="1:51" ht="12.2" customHeight="1" x14ac:dyDescent="0.2">
      <c r="A224" s="2172"/>
      <c r="B224" s="2086">
        <f t="shared" si="5"/>
        <v>7</v>
      </c>
      <c r="C224" s="4584"/>
      <c r="D224" s="4629" t="s">
        <v>524</v>
      </c>
      <c r="E224" s="4630"/>
      <c r="F224" s="4661"/>
      <c r="G224" s="4662"/>
      <c r="H224" s="4662"/>
      <c r="I224" s="4662"/>
      <c r="J224" s="4663"/>
      <c r="K224" s="4664" t="s">
        <v>1455</v>
      </c>
      <c r="L224" s="4665"/>
      <c r="M224" s="4666"/>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1" t="str">
        <f>IFERROR(VLOOKUP(F224,'Tablas Técnicas'!$O$9:$T$88,5,FALSE),"")</f>
        <v/>
      </c>
      <c r="R224" s="4631"/>
      <c r="S224" s="4631"/>
      <c r="T224" s="4631"/>
      <c r="U224" s="4631"/>
      <c r="V224" s="2047"/>
      <c r="W224" s="2048"/>
      <c r="X224" s="2047"/>
      <c r="Y224" s="2049"/>
      <c r="Z224" s="2050"/>
      <c r="AA224" s="2048"/>
      <c r="AB224" s="2047"/>
      <c r="AC224" s="2049"/>
      <c r="AD224" s="2050"/>
      <c r="AE224" s="2048"/>
      <c r="AF224" s="2047"/>
      <c r="AG224" s="2051"/>
      <c r="AH224" s="2180"/>
      <c r="AI224" s="4604"/>
      <c r="AJ224" s="3128">
        <v>4</v>
      </c>
      <c r="AK224" s="3128">
        <f>P217</f>
        <v>1</v>
      </c>
      <c r="AL224" s="3128" t="str">
        <f>IF(AND(ISNUMBER(MATCH($F224,'Tablas Técnicas'!$L$10:$L$643,0)),INDEX($V234:$V240,Tablas!A$1)="",COUNTIF(AM224:$AS224,$F224)=0),$F224,IF(INDEX($V234:$V240,Tablas!A$1)="","",$F224&amp;INDEX($V234:$V240,Tablas!A$1)))</f>
        <v/>
      </c>
      <c r="AM224" s="3128" t="str">
        <f>IF(AND(ISNUMBER(MATCH($F224,'Tablas Técnicas'!$L$10:$L$643,0)),INDEX($V234:$V240,Tablas!B$1)="",COUNTIF(AN224:$AS224,$F224)=0),$F224,IF(INDEX($V234:$V240,Tablas!B$1)="","",$F224&amp;INDEX($V234:$V240,Tablas!B$1)))</f>
        <v/>
      </c>
      <c r="AN224" s="3128" t="str">
        <f>IF(AND(ISNUMBER(MATCH($F224,'Tablas Técnicas'!$L$10:$L$643,0)),INDEX($V234:$V240,Tablas!C$1)="",COUNTIF(AO224:$AS224,$F224)=0),$F224,IF(INDEX($V234:$V240,Tablas!C$1)="","",$F224&amp;INDEX($V234:$V240,Tablas!C$1)))</f>
        <v/>
      </c>
      <c r="AO224" s="3128" t="str">
        <f>IF(AND(ISNUMBER(MATCH($F224,'Tablas Técnicas'!$L$10:$L$643,0)),INDEX($V234:$V240,Tablas!D$1)="",COUNTIF(AP224:$AS224,$F224)=0),$F224,IF(INDEX($V234:$V240,Tablas!D$1)="","",$F224&amp;INDEX($V234:$V240,Tablas!D$1)))</f>
        <v/>
      </c>
      <c r="AP224" s="3128" t="str">
        <f>IF(AND(ISNUMBER(MATCH($F224,'Tablas Técnicas'!$L$10:$L$643,0)),INDEX($V234:$V240,Tablas!E$1)="",COUNTIF(AQ224:$AS224,$F224)=0),$F224,IF(INDEX($V234:$V240,Tablas!E$1)="","",$F224&amp;INDEX($V234:$V240,Tablas!E$1)))</f>
        <v/>
      </c>
      <c r="AQ224" s="3128" t="str">
        <f>IF(AND(ISNUMBER(MATCH($F224,'Tablas Técnicas'!$L$10:$L$643,0)),INDEX($V234:$V240,Tablas!F$1)="",COUNTIF(AR224:$AS224,$F224)=0),$F224,IF(INDEX($V234:$V240,Tablas!F$1)="","",$F224&amp;INDEX($V234:$V240,Tablas!F$1)))</f>
        <v/>
      </c>
      <c r="AR224" s="3128" t="str">
        <f>IF(AND(ISNUMBER(MATCH($F224,'Tablas Técnicas'!$L$10:$L$643,0)),INDEX($V234:$V240,Tablas!G$1)="",COUNTIF(AS224:$AS224,$F224)=0),$F224,IF(INDEX($V234:$V240,Tablas!G$1)="","",$F224&amp;INDEX($V234:$V240,Tablas!G$1)))</f>
        <v/>
      </c>
      <c r="AS224" s="3132">
        <f>V224+X224+Z224+AB224+AD224+AF224</f>
        <v>0</v>
      </c>
      <c r="AT224" s="3132">
        <f t="array" ref="AT224">SUM(IF($AL224:$AR224='Tablas Técnicas'!$L$10:$L$643,IF(D224="Primario",'Tablas Técnicas'!$E$10:$E$643,'Tablas Técnicas'!$F$10:$F$643)+IF(K224="Sostenimiento menor",'Tablas Técnicas'!$I$10:$I$643,IF(K224="sostenimiento mayor",'Tablas Técnicas'!$J$10:$J$643,0)),0),0)+VALUE(RIGHT(P224,2))+AU224+AV224</f>
        <v>0</v>
      </c>
      <c r="AU224" s="313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32">
        <f>(COUNTIF(AL224:AR224,"*Estado añadido:*")-1)*COUNTIF(AL224:AR224,"*Estado añadido:*")</f>
        <v>0</v>
      </c>
      <c r="AW224" s="3132">
        <f t="array" ref="AW224">SUM(IF($AL224:$AR224='Tablas Técnicas'!$L$10:$L$643,'Tablas Técnicas'!$G$10:$G$643,0))</f>
        <v>0</v>
      </c>
      <c r="AX224" s="312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8" t="str">
        <f>IFERROR(LEFT(AX224,LEN(AX224)-2)&amp;"), ","")</f>
        <v/>
      </c>
    </row>
    <row r="225" spans="1:51" ht="12.2" customHeight="1" thickBot="1" x14ac:dyDescent="0.25">
      <c r="A225" s="2172"/>
      <c r="B225" s="2086">
        <f t="shared" si="5"/>
        <v>7</v>
      </c>
      <c r="C225" s="4584"/>
      <c r="D225" s="4632" t="s">
        <v>524</v>
      </c>
      <c r="E225" s="4633"/>
      <c r="F225" s="4589"/>
      <c r="G225" s="4590"/>
      <c r="H225" s="4590"/>
      <c r="I225" s="4590"/>
      <c r="J225" s="4591"/>
      <c r="K225" s="4592" t="s">
        <v>1455</v>
      </c>
      <c r="L225" s="4593"/>
      <c r="M225" s="4594"/>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34" t="str">
        <f>IFERROR(VLOOKUP(F225,'Tablas Técnicas'!$O$9:$T$88,5,FALSE),"")</f>
        <v/>
      </c>
      <c r="R225" s="4634"/>
      <c r="S225" s="4634"/>
      <c r="T225" s="4634"/>
      <c r="U225" s="4634"/>
      <c r="V225" s="2057"/>
      <c r="W225" s="2058"/>
      <c r="X225" s="2057"/>
      <c r="Y225" s="2059"/>
      <c r="Z225" s="2060"/>
      <c r="AA225" s="2058"/>
      <c r="AB225" s="2057"/>
      <c r="AC225" s="2059"/>
      <c r="AD225" s="2060"/>
      <c r="AE225" s="2058"/>
      <c r="AF225" s="2057"/>
      <c r="AG225" s="2061"/>
      <c r="AH225" s="2180"/>
      <c r="AI225" s="4604"/>
      <c r="AJ225" s="3128">
        <v>5</v>
      </c>
      <c r="AK225" s="3128">
        <f>P217</f>
        <v>1</v>
      </c>
      <c r="AL225" s="3128" t="str">
        <f>IF(AND(ISNUMBER(MATCH($F225,'Tablas Técnicas'!$L$10:$L$643,0)),INDEX($AB234:$AB240,Tablas!A$1)="",COUNTIF(AM225:$AS225,$F225)=0),$F225,IF(INDEX($AB234:$AB240,Tablas!A$1)="","",$F225&amp;INDEX($AB234:$AB240,Tablas!A$1)))</f>
        <v/>
      </c>
      <c r="AM225" s="3128" t="str">
        <f>IF(AND(ISNUMBER(MATCH($F225,'Tablas Técnicas'!$L$10:$L$643,0)),INDEX($AB234:$AB240,Tablas!B$1)="",COUNTIF(AN225:$AS225,$F225)=0),$F225,IF(INDEX($AB234:$AB240,Tablas!B$1)="","",$F225&amp;INDEX($AB234:$AB240,Tablas!B$1)))</f>
        <v/>
      </c>
      <c r="AN225" s="3128" t="str">
        <f>IF(AND(ISNUMBER(MATCH($F225,'Tablas Técnicas'!$L$10:$L$643,0)),INDEX($AB234:$AB240,Tablas!C$1)="",COUNTIF(AO225:$AS225,$F225)=0),$F225,IF(INDEX($AB234:$AB240,Tablas!C$1)="","",$F225&amp;INDEX($AB234:$AB240,Tablas!C$1)))</f>
        <v/>
      </c>
      <c r="AO225" s="3128" t="str">
        <f>IF(AND(ISNUMBER(MATCH($F225,'Tablas Técnicas'!$L$10:$L$643,0)),INDEX($AB234:$AB240,Tablas!D$1)="",COUNTIF(AP225:$AS225,$F225)=0),$F225,IF(INDEX($AB234:$AB240,Tablas!D$1)="","",$F225&amp;INDEX($AB234:$AB240,Tablas!D$1)))</f>
        <v/>
      </c>
      <c r="AP225" s="3128" t="str">
        <f>IF(AND(ISNUMBER(MATCH($F225,'Tablas Técnicas'!$L$10:$L$643,0)),INDEX($AB234:$AB240,Tablas!E$1)="",COUNTIF(AQ225:$AS225,$F225)=0),$F225,IF(INDEX($AB234:$AB240,Tablas!E$1)="","",$F225&amp;INDEX($AB234:$AB240,Tablas!E$1)))</f>
        <v/>
      </c>
      <c r="AQ225" s="3128" t="str">
        <f>IF(AND(ISNUMBER(MATCH($F225,'Tablas Técnicas'!$L$10:$L$643,0)),INDEX($AB234:$AB240,Tablas!F$1)="",COUNTIF(AR225:$AS225,$F225)=0),$F225,IF(INDEX($AB234:$AB240,Tablas!F$1)="","",$F225&amp;INDEX($AB234:$AB240,Tablas!F$1)))</f>
        <v/>
      </c>
      <c r="AR225" s="3128" t="str">
        <f>IF(AND(ISNUMBER(MATCH($F225,'Tablas Técnicas'!$L$10:$L$643,0)),INDEX($AB234:$AB240,Tablas!G$1)="",COUNTIF(AS225:$AS225,$F225)=0),$F225,IF(INDEX($AB234:$AB240,Tablas!G$1)="","",$F225&amp;INDEX($AB234:$AB240,Tablas!G$1)))</f>
        <v/>
      </c>
      <c r="AS225" s="3132">
        <f>V225+X225+Z225+AB225+AD225+AF225</f>
        <v>0</v>
      </c>
      <c r="AT225" s="3132">
        <f t="array" ref="AT225">SUM(IF($AL225:$AR225='Tablas Técnicas'!$L$10:$L$643,IF(D225="Primario",'Tablas Técnicas'!$E$10:$E$643,'Tablas Técnicas'!$F$10:$F$643)+IF(K225="Sostenimiento menor",'Tablas Técnicas'!$I$10:$I$643,IF(K225="sostenimiento mayor",'Tablas Técnicas'!$J$10:$J$643,0)),0),0)+VALUE(RIGHT(P225,2))+AU225+AV225</f>
        <v>0</v>
      </c>
      <c r="AU225" s="313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32">
        <f>(COUNTIF(AL225:AR225,"*Estado añadido:*")-1)*COUNTIF(AL225:AR225,"*Estado añadido:*")</f>
        <v>0</v>
      </c>
      <c r="AW225" s="3132">
        <f t="array" ref="AW225">SUM(IF($AL225:$AR225='Tablas Técnicas'!$L$10:$L$643,'Tablas Técnicas'!$G$10:$G$643,0))</f>
        <v>0</v>
      </c>
      <c r="AX225" s="312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8" t="str">
        <f>IFERROR(LEFT(AX225,LEN(AX225)-2)&amp;"), ","")</f>
        <v/>
      </c>
    </row>
    <row r="226" spans="1:51" ht="12.2" customHeight="1" x14ac:dyDescent="0.2">
      <c r="A226" s="2172"/>
      <c r="B226" s="2086">
        <f t="shared" si="5"/>
        <v>7</v>
      </c>
      <c r="C226" s="4584"/>
      <c r="D226" s="4635" t="s">
        <v>2818</v>
      </c>
      <c r="E226" s="4636"/>
      <c r="F226" s="4656"/>
      <c r="G226" s="4657"/>
      <c r="H226" s="4657"/>
      <c r="I226" s="4657"/>
      <c r="J226" s="4658"/>
      <c r="K226" s="4674"/>
      <c r="L226" s="4703"/>
      <c r="M226" s="4704"/>
      <c r="N226" s="1916" t="str">
        <f>IFERROR(INDEX('Tablas Técnicas'!$Q$200:$Q$301,MATCH(F226&amp;K226,'Tablas Técnicas'!$S$200:$S$301,0)),"")</f>
        <v/>
      </c>
      <c r="O226" s="4705"/>
      <c r="P226" s="4706"/>
      <c r="Q226" s="4707"/>
      <c r="R226" s="4706"/>
      <c r="S226" s="2745" t="str">
        <f>IFERROR("Nivel: "&amp;MAX(1,INDEX('Tablas Técnicas'!$R$200:$R$301,MATCH(F226&amp;K226,'Tablas Técnicas'!$S$200:$S$301,0))),"")</f>
        <v/>
      </c>
      <c r="T226" s="1917"/>
      <c r="U226" s="1918" t="str">
        <f>IFERROR("("&amp;VLOOKUP(F226,'Tablas Técnicas'!$O$165:$Q$192,3,FALSE)&amp;")","")</f>
        <v/>
      </c>
      <c r="V226" s="4644" t="s">
        <v>9619</v>
      </c>
      <c r="W226" s="4645"/>
      <c r="X226" s="4646"/>
      <c r="Y226" s="2297">
        <v>0</v>
      </c>
      <c r="Z226" s="4647" t="s">
        <v>8806</v>
      </c>
      <c r="AA226" s="4648"/>
      <c r="AB226" s="4649"/>
      <c r="AC226" s="2297">
        <v>0</v>
      </c>
      <c r="AD226" s="4650" t="str">
        <f>"Ki sin repartir: "&amp;AL234-AL235&amp;IF(AM234=0,""," ("&amp;AM234-AM235&amp;")")</f>
        <v>Ki sin repartir: 0</v>
      </c>
      <c r="AE226" s="4651"/>
      <c r="AF226" s="4651"/>
      <c r="AG226" s="4652"/>
      <c r="AH226" s="2180"/>
      <c r="AI226" s="4604"/>
      <c r="AJ226" s="3128">
        <v>1</v>
      </c>
      <c r="AK226" s="3128">
        <f>P217</f>
        <v>1</v>
      </c>
      <c r="AL226" s="3128" t="e">
        <f>VLOOKUP(F226,'Tablas Técnicas'!$O$165:$Q$188,2,FALSE)</f>
        <v>#N/A</v>
      </c>
      <c r="AM226" s="3128"/>
      <c r="AN226" s="3129"/>
      <c r="AO226" s="3128"/>
      <c r="AP226" s="3128"/>
      <c r="AQ226" s="3129"/>
      <c r="AR226" s="3128"/>
      <c r="AS226" s="3128"/>
      <c r="AT226" s="3128"/>
      <c r="AU226" s="3128"/>
      <c r="AV226" s="3128"/>
      <c r="AW226" s="3132"/>
      <c r="AX226" s="3132"/>
      <c r="AY226" s="3128" t="str">
        <f>IF(F226="","",F226&amp;IF(K226="",""," ("&amp;IF(F226="Atadura Elemental",O226&amp;IF(Q226="","",", "&amp;Q226),K226)&amp;")")&amp;", ")</f>
        <v/>
      </c>
    </row>
    <row r="227" spans="1:51" ht="12.2" customHeight="1" x14ac:dyDescent="0.2">
      <c r="A227" s="2172"/>
      <c r="B227" s="2086">
        <f t="shared" si="5"/>
        <v>7</v>
      </c>
      <c r="C227" s="4584"/>
      <c r="D227" s="4637"/>
      <c r="E227" s="4638"/>
      <c r="F227" s="4708"/>
      <c r="G227" s="4709"/>
      <c r="H227" s="4709"/>
      <c r="I227" s="4709"/>
      <c r="J227" s="4710"/>
      <c r="K227" s="4663"/>
      <c r="L227" s="4723"/>
      <c r="M227" s="4724"/>
      <c r="N227" s="1919" t="str">
        <f>IFERROR(INDEX('Tablas Técnicas'!$Q$200:$Q$301,MATCH(F227&amp;K227,'Tablas Técnicas'!$S$200:$S$301,0)),"")</f>
        <v/>
      </c>
      <c r="O227" s="4711"/>
      <c r="P227" s="4712"/>
      <c r="Q227" s="4713"/>
      <c r="R227" s="4712"/>
      <c r="S227" s="2747" t="str">
        <f>IFERROR("Nivel: "&amp;MAX(1,INDEX('Tablas Técnicas'!$R$200:$R$301,MATCH(F227&amp;K227,'Tablas Técnicas'!$S$200:$S$301,0))),"")</f>
        <v/>
      </c>
      <c r="T227" s="2528"/>
      <c r="U227" s="2529" t="str">
        <f>IFERROR("("&amp;VLOOKUP(F227,'Tablas Técnicas'!$O$165:$Q$192,3,FALSE)&amp;")","")</f>
        <v/>
      </c>
      <c r="V227" s="4653" t="str">
        <f>"Mod. "&amp;V219</f>
        <v>Mod. AGI</v>
      </c>
      <c r="W227" s="4654"/>
      <c r="X227" s="4653" t="str">
        <f>"Mod. "&amp;X219</f>
        <v>Mod. CON</v>
      </c>
      <c r="Y227" s="4654"/>
      <c r="Z227" s="4653" t="str">
        <f>"Mod. "&amp;Z219</f>
        <v>Mod. DES</v>
      </c>
      <c r="AA227" s="4654"/>
      <c r="AB227" s="4653" t="str">
        <f>"Mod. "&amp;AB219</f>
        <v>Mod. FUE</v>
      </c>
      <c r="AC227" s="4654"/>
      <c r="AD227" s="4653" t="str">
        <f>"Mod. "&amp;AD219</f>
        <v>Mod. POD</v>
      </c>
      <c r="AE227" s="4654"/>
      <c r="AF227" s="4653" t="str">
        <f>"Mod. "&amp;AF219</f>
        <v>Mod. VOL</v>
      </c>
      <c r="AG227" s="4655"/>
      <c r="AH227" s="2180"/>
      <c r="AI227" s="4604"/>
      <c r="AJ227" s="3128">
        <v>2</v>
      </c>
      <c r="AK227" s="3128">
        <f>P217</f>
        <v>1</v>
      </c>
      <c r="AL227" s="3128" t="e">
        <f>VLOOKUP(F227,'Tablas Técnicas'!$O$165:$Q$188,2,FALSE)</f>
        <v>#N/A</v>
      </c>
      <c r="AM227" s="3128"/>
      <c r="AN227" s="3129"/>
      <c r="AO227" s="3128"/>
      <c r="AP227" s="3128"/>
      <c r="AQ227" s="3129"/>
      <c r="AR227" s="3128"/>
      <c r="AS227" s="3128"/>
      <c r="AT227" s="3128"/>
      <c r="AU227" s="3128"/>
      <c r="AV227" s="3128"/>
      <c r="AW227" s="3132"/>
      <c r="AX227" s="3132"/>
      <c r="AY227" s="3128" t="str">
        <f>IF(F227="","",F227&amp;IF(K227="",""," ("&amp;IF(F227="Atadura Elemental",O227&amp;IF(Q227="","",", "&amp;Q227),K227)&amp;")")&amp;", ")</f>
        <v/>
      </c>
    </row>
    <row r="228" spans="1:51" ht="12.2" customHeight="1" thickBot="1" x14ac:dyDescent="0.25">
      <c r="A228" s="2172"/>
      <c r="B228" s="2086">
        <f t="shared" si="5"/>
        <v>7</v>
      </c>
      <c r="C228" s="4584"/>
      <c r="D228" s="4639"/>
      <c r="E228" s="4640"/>
      <c r="F228" s="4714"/>
      <c r="G228" s="4715"/>
      <c r="H228" s="4715"/>
      <c r="I228" s="4715"/>
      <c r="J228" s="4716"/>
      <c r="K228" s="4718"/>
      <c r="L228" s="4719"/>
      <c r="M228" s="4720"/>
      <c r="N228" s="1920" t="str">
        <f>IFERROR(INDEX('Tablas Técnicas'!$Q$200:$Q$301,MATCH(F228&amp;K228,'Tablas Técnicas'!$S$200:$S$301,0)),"")</f>
        <v/>
      </c>
      <c r="O228" s="4701"/>
      <c r="P228" s="4702"/>
      <c r="Q228" s="4717"/>
      <c r="R228" s="4702"/>
      <c r="S228" s="2746" t="str">
        <f>IFERROR("Nivel: "&amp;MAX(1,INDEX('Tablas Técnicas'!$R$200:$R$301,MATCH(F228&amp;K228,'Tablas Técnicas'!$S$200:$S$301,0))),"")</f>
        <v/>
      </c>
      <c r="T228" s="2530"/>
      <c r="U228" s="2531" t="str">
        <f>IFERROR("("&amp;VLOOKUP(F228,'Tablas Técnicas'!$O$165:$Q$192,3,FALSE)&amp;")","")</f>
        <v/>
      </c>
      <c r="V228" s="4610"/>
      <c r="W228" s="4608"/>
      <c r="X228" s="4608"/>
      <c r="Y228" s="4608"/>
      <c r="Z228" s="4608"/>
      <c r="AA228" s="4608"/>
      <c r="AB228" s="4608"/>
      <c r="AC228" s="4608"/>
      <c r="AD228" s="4608"/>
      <c r="AE228" s="4608"/>
      <c r="AF228" s="4608"/>
      <c r="AG228" s="4620"/>
      <c r="AH228" s="2180"/>
      <c r="AI228" s="4604"/>
      <c r="AJ228" s="3128">
        <v>3</v>
      </c>
      <c r="AK228" s="3128">
        <f>P217</f>
        <v>1</v>
      </c>
      <c r="AL228" s="3128" t="e">
        <f>VLOOKUP(F228,'Tablas Técnicas'!$O$165:$Q$188,2,FALSE)</f>
        <v>#N/A</v>
      </c>
      <c r="AM228" s="3128"/>
      <c r="AN228" s="3129"/>
      <c r="AO228" s="3128"/>
      <c r="AP228" s="3128"/>
      <c r="AQ228" s="3129"/>
      <c r="AR228" s="3132"/>
      <c r="AS228" s="3132"/>
      <c r="AT228" s="3132"/>
      <c r="AU228" s="3132"/>
      <c r="AV228" s="3132"/>
      <c r="AW228" s="3132"/>
      <c r="AX228" s="3132"/>
      <c r="AY228" s="3128" t="str">
        <f>IF(F228="","",F228&amp;IF(K228="",""," ("&amp;IF(F228="Atadura Elemental",O228&amp;IF(Q228="","",", "&amp;Q228),K228)&amp;")")&amp;", ")</f>
        <v/>
      </c>
    </row>
    <row r="229" spans="1:51" ht="12.2" customHeight="1" x14ac:dyDescent="0.2">
      <c r="A229" s="2172"/>
      <c r="B229" s="2086">
        <f t="shared" si="5"/>
        <v>7</v>
      </c>
      <c r="C229" s="4584"/>
      <c r="D229" s="4595" t="s">
        <v>9301</v>
      </c>
      <c r="E229" s="4596"/>
      <c r="F229" s="4596"/>
      <c r="G229" s="4596"/>
      <c r="H229" s="4596"/>
      <c r="I229" s="4596"/>
      <c r="J229" s="4596"/>
      <c r="K229" s="4596"/>
      <c r="L229" s="4596"/>
      <c r="M229" s="4596"/>
      <c r="N229" s="4596"/>
      <c r="O229" s="4596"/>
      <c r="P229" s="4596"/>
      <c r="Q229" s="4596"/>
      <c r="R229" s="4596"/>
      <c r="S229" s="4596"/>
      <c r="T229" s="4596"/>
      <c r="U229" s="4596"/>
      <c r="V229" s="4597"/>
      <c r="W229" s="4597"/>
      <c r="X229" s="4597"/>
      <c r="Y229" s="4597"/>
      <c r="Z229" s="4597"/>
      <c r="AA229" s="4597"/>
      <c r="AB229" s="4597"/>
      <c r="AC229" s="4597"/>
      <c r="AD229" s="4597"/>
      <c r="AE229" s="4597"/>
      <c r="AF229" s="4597"/>
      <c r="AG229" s="4598"/>
      <c r="AH229" s="2180"/>
      <c r="AI229" s="4604"/>
      <c r="AJ229" s="3128"/>
      <c r="AK229" s="3128"/>
      <c r="AL229" s="3128"/>
      <c r="AM229" s="3128"/>
      <c r="AN229" s="3129" t="s">
        <v>8807</v>
      </c>
      <c r="AO229" s="3128" t="e">
        <f>LEFT(AY221&amp;AY222&amp;AY223&amp;AY224&amp;AY225,LEN(AY221&amp;AY222&amp;AY223&amp;AY224&amp;AY225)-2)</f>
        <v>#VALUE!</v>
      </c>
      <c r="AP229" s="3128"/>
      <c r="AQ229" s="3129"/>
      <c r="AR229" s="3132"/>
      <c r="AS229" s="3132"/>
      <c r="AT229" s="3132"/>
      <c r="AU229" s="3129"/>
      <c r="AV229" s="3129"/>
      <c r="AW229" s="3132"/>
      <c r="AX229" s="3132"/>
      <c r="AY229" s="3128"/>
    </row>
    <row r="230" spans="1:51" ht="12.2" customHeight="1" x14ac:dyDescent="0.2">
      <c r="A230" s="2172"/>
      <c r="B230" s="2086">
        <f t="shared" si="5"/>
        <v>7</v>
      </c>
      <c r="C230" s="4584"/>
      <c r="D230" s="4599" t="str">
        <f>IF(F221="","",F221)</f>
        <v/>
      </c>
      <c r="E230" s="4600"/>
      <c r="F230" s="4600"/>
      <c r="G230" s="4600"/>
      <c r="H230" s="4600"/>
      <c r="I230" s="4601"/>
      <c r="J230" s="4599" t="str">
        <f>IF(F222="","",F222)</f>
        <v/>
      </c>
      <c r="K230" s="4600"/>
      <c r="L230" s="4600"/>
      <c r="M230" s="4600"/>
      <c r="N230" s="4600"/>
      <c r="O230" s="4601"/>
      <c r="P230" s="4600" t="str">
        <f>IF(F223="","",F223)</f>
        <v/>
      </c>
      <c r="Q230" s="4600"/>
      <c r="R230" s="4600"/>
      <c r="S230" s="4600"/>
      <c r="T230" s="4600"/>
      <c r="U230" s="4601"/>
      <c r="V230" s="4599" t="str">
        <f>IF(F224="","",F224)</f>
        <v/>
      </c>
      <c r="W230" s="4600"/>
      <c r="X230" s="4600"/>
      <c r="Y230" s="4600"/>
      <c r="Z230" s="4600"/>
      <c r="AA230" s="4601"/>
      <c r="AB230" s="4600" t="str">
        <f>IF(F225="","",F225)</f>
        <v/>
      </c>
      <c r="AC230" s="4600"/>
      <c r="AD230" s="4600"/>
      <c r="AE230" s="4600"/>
      <c r="AF230" s="4600"/>
      <c r="AG230" s="4623"/>
      <c r="AH230" s="2180"/>
      <c r="AI230" s="4604"/>
      <c r="AJ230" s="3128"/>
      <c r="AK230" s="3128"/>
      <c r="AL230" s="3128"/>
      <c r="AM230" s="3128"/>
      <c r="AN230" s="3129" t="s">
        <v>8808</v>
      </c>
      <c r="AO230" s="3128" t="e">
        <f>LEFT(AY226&amp;AY227&amp;AY228,LEN(AY226&amp;AY227&amp;AY228)-2)</f>
        <v>#VALUE!</v>
      </c>
      <c r="AP230" s="3128"/>
      <c r="AQ230" s="3129"/>
      <c r="AR230" s="3132"/>
      <c r="AS230" s="3132"/>
      <c r="AT230" s="3132"/>
      <c r="AU230" s="3129"/>
      <c r="AV230" s="3129"/>
      <c r="AW230" s="3132"/>
      <c r="AX230" s="3132"/>
      <c r="AY230" s="3128"/>
    </row>
    <row r="231" spans="1:51" ht="12.2" customHeight="1" x14ac:dyDescent="0.2">
      <c r="A231" s="2172"/>
      <c r="B231" s="2086">
        <f t="shared" si="5"/>
        <v>7</v>
      </c>
      <c r="C231" s="4584"/>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604"/>
      <c r="AJ231" s="3128"/>
      <c r="AK231" s="3128"/>
      <c r="AL231" s="3128"/>
      <c r="AM231" s="3128"/>
      <c r="AN231" s="3129"/>
      <c r="AO231" s="3128"/>
      <c r="AP231" s="3128"/>
      <c r="AQ231" s="3129"/>
      <c r="AR231" s="3132"/>
      <c r="AS231" s="3132"/>
      <c r="AT231" s="3132"/>
      <c r="AU231" s="3132"/>
      <c r="AV231" s="3132"/>
      <c r="AW231" s="3132"/>
      <c r="AX231" s="3132"/>
      <c r="AY231" s="3128"/>
    </row>
    <row r="232" spans="1:51" ht="12.2" customHeight="1" x14ac:dyDescent="0.2">
      <c r="A232" s="2172"/>
      <c r="B232" s="2086">
        <f t="shared" si="5"/>
        <v>7</v>
      </c>
      <c r="C232" s="4584"/>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604"/>
      <c r="AJ232" s="3128"/>
      <c r="AK232" s="3132" t="s">
        <v>1373</v>
      </c>
      <c r="AL232" s="3132" t="s">
        <v>1497</v>
      </c>
      <c r="AM232" s="3132" t="s">
        <v>1378</v>
      </c>
      <c r="AN232" s="3132" t="s">
        <v>1383</v>
      </c>
      <c r="AO232" s="3132" t="s">
        <v>1390</v>
      </c>
      <c r="AP232" s="3132" t="s">
        <v>1391</v>
      </c>
      <c r="AQ232" s="3129"/>
      <c r="AR232" s="3132"/>
      <c r="AS232" s="3132"/>
      <c r="AT232" s="3132"/>
      <c r="AU232" s="3132"/>
      <c r="AV232" s="3132"/>
      <c r="AW232" s="3132"/>
      <c r="AX232" s="3132"/>
      <c r="AY232" s="3128"/>
    </row>
    <row r="233" spans="1:51" ht="12.2" customHeight="1" x14ac:dyDescent="0.2">
      <c r="A233" s="2172"/>
      <c r="B233" s="2086">
        <f t="shared" si="5"/>
        <v>7</v>
      </c>
      <c r="C233" s="4584"/>
      <c r="D233" s="4599" t="s">
        <v>2826</v>
      </c>
      <c r="E233" s="4600"/>
      <c r="F233" s="4600"/>
      <c r="G233" s="4600"/>
      <c r="H233" s="4601"/>
      <c r="I233" s="1925" t="s">
        <v>1402</v>
      </c>
      <c r="J233" s="4599" t="s">
        <v>2826</v>
      </c>
      <c r="K233" s="4600"/>
      <c r="L233" s="4600"/>
      <c r="M233" s="4600"/>
      <c r="N233" s="4601"/>
      <c r="O233" s="1926" t="s">
        <v>1402</v>
      </c>
      <c r="P233" s="4599" t="s">
        <v>2826</v>
      </c>
      <c r="Q233" s="4600"/>
      <c r="R233" s="4600"/>
      <c r="S233" s="4600"/>
      <c r="T233" s="4601"/>
      <c r="U233" s="1926" t="s">
        <v>1402</v>
      </c>
      <c r="V233" s="4599"/>
      <c r="W233" s="4600"/>
      <c r="X233" s="4600"/>
      <c r="Y233" s="4600"/>
      <c r="Z233" s="4601"/>
      <c r="AA233" s="1926" t="s">
        <v>1402</v>
      </c>
      <c r="AB233" s="4599" t="s">
        <v>2826</v>
      </c>
      <c r="AC233" s="4600"/>
      <c r="AD233" s="4600"/>
      <c r="AE233" s="4600"/>
      <c r="AF233" s="4601"/>
      <c r="AG233" s="1927" t="s">
        <v>1402</v>
      </c>
      <c r="AH233" s="2180"/>
      <c r="AI233" s="4604"/>
      <c r="AJ233" s="3133" t="s">
        <v>9338</v>
      </c>
      <c r="AK233" s="3128" t="str">
        <f>IF(V219="","",IF(SUM(V221:V225)=0,"",V219&amp;" "&amp;SUM(V221:V225)+V228&amp;IF(SUM(W221:W225)=0,""," ("&amp;SUM(W221:W225)&amp;")")&amp;", "))</f>
        <v/>
      </c>
      <c r="AL233" s="3128" t="str">
        <f>IF(X219="","",IF(SUM(X221:X225)=0,"",X219&amp;" "&amp;SUM(X221:X225)+X228&amp;IF(SUM(Y221:Y225)=0,""," ("&amp;SUM(Y221:Y225)&amp;")")&amp;", "))</f>
        <v/>
      </c>
      <c r="AM233" s="3128" t="str">
        <f>IF(Z219="","",IF(SUM(Z221:Z225)=0,"",Z219&amp;" "&amp;SUM(Z221:Z225)+Z228&amp;IF(SUM(AA221:AA225)=0,""," ("&amp;SUM(AA221:AA225)&amp;")")&amp;", "))</f>
        <v/>
      </c>
      <c r="AN233" s="3128" t="str">
        <f>IF(AB219="","",IF(SUM(AB221:AB225)=0,"",AB219&amp;" "&amp;SUM(AB221:AB225)+AB228&amp;IF(SUM(AC221:AC225)=0,""," ("&amp;SUM(AC221:AC225)&amp;")")&amp;", "))</f>
        <v/>
      </c>
      <c r="AO233" s="3128" t="str">
        <f>IF(AD219="","",IF(SUM(AD221:AD225)=0,"",AD219&amp;" "&amp;SUM(AD221:AD225)+AD228&amp;IF(SUM(AE221:AE225)=0,""," ("&amp;SUM(AE221:AE225)&amp;")")&amp;", "))</f>
        <v/>
      </c>
      <c r="AP233" s="3128" t="str">
        <f>IF(AF219="","",IF(SUM(AF221:AF225)=0,"",AF219&amp;" "&amp;SUM(AF221:AF225)+AF228&amp;IF(SUM(AG221:AG225)=0,""," ("&amp;SUM(AG221:AG225)&amp;")")&amp;", "))</f>
        <v/>
      </c>
      <c r="AQ233" s="3128"/>
      <c r="AR233" s="3128"/>
      <c r="AS233" s="3128"/>
      <c r="AT233" s="3128"/>
      <c r="AU233" s="3128"/>
      <c r="AV233" s="3128"/>
      <c r="AW233" s="3128"/>
      <c r="AX233" s="3128"/>
      <c r="AY233" s="3128"/>
    </row>
    <row r="234" spans="1:51" ht="12.2" customHeight="1" x14ac:dyDescent="0.2">
      <c r="A234" s="2172"/>
      <c r="B234" s="2086">
        <f t="shared" si="5"/>
        <v>7</v>
      </c>
      <c r="C234" s="4584"/>
      <c r="D234" s="4621"/>
      <c r="E234" s="4619"/>
      <c r="F234" s="4619"/>
      <c r="G234" s="4619"/>
      <c r="H234" s="4619"/>
      <c r="I234" s="1928" t="str">
        <f>IF(OR(D230="",D234=""),"",MAX(1,SUMPRODUCT(--(INDEX('Tablas Técnicas'!$C$10:$L$643,,1)=D230),--(INDEX('Tablas Técnicas'!$C$10:$L$643,,2)=D234),INDEX('Tablas Técnicas'!$C$10:$L$643,,9))))</f>
        <v/>
      </c>
      <c r="J234" s="4618"/>
      <c r="K234" s="4619"/>
      <c r="L234" s="4619"/>
      <c r="M234" s="4619"/>
      <c r="N234" s="4619"/>
      <c r="O234" s="1928" t="str">
        <f>IF(OR(J230="",J234=""),"",MAX(1,SUMPRODUCT(--(INDEX('Tablas Técnicas'!$C$10:$L$643,,1)=J230),--(INDEX('Tablas Técnicas'!$C$10:$L$643,,2)=J234),INDEX('Tablas Técnicas'!$C$10:$L$643,,9))))</f>
        <v/>
      </c>
      <c r="P234" s="4618"/>
      <c r="Q234" s="4619"/>
      <c r="R234" s="4619"/>
      <c r="S234" s="4619"/>
      <c r="T234" s="4619"/>
      <c r="U234" s="1928" t="str">
        <f>IF(OR(P230="",P234=""),"",MAX(1,SUMPRODUCT(--(INDEX('Tablas Técnicas'!$C$10:$L$643,,1)=P230),--(INDEX('Tablas Técnicas'!$C$10:$L$643,,2)=P234),INDEX('Tablas Técnicas'!$C$10:$L$643,,9))))</f>
        <v/>
      </c>
      <c r="V234" s="4618"/>
      <c r="W234" s="4619"/>
      <c r="X234" s="4619"/>
      <c r="Y234" s="4619"/>
      <c r="Z234" s="4619"/>
      <c r="AA234" s="1928" t="str">
        <f>IF(OR(V230="",V234=""),"",MAX(1,SUMPRODUCT(--(INDEX('Tablas Técnicas'!$C$10:$L$643,,1)=V230),--(INDEX('Tablas Técnicas'!$C$10:$L$643,,2)=V234),INDEX('Tablas Técnicas'!$C$10:$L$643,,9))))</f>
        <v/>
      </c>
      <c r="AB234" s="4618"/>
      <c r="AC234" s="4619"/>
      <c r="AD234" s="4619"/>
      <c r="AE234" s="4619"/>
      <c r="AF234" s="4619"/>
      <c r="AG234" s="1929" t="str">
        <f>IF(OR(AB230="",AB234=""),"",MAX(1,SUMPRODUCT(--(INDEX('Tablas Técnicas'!$C$10:$L$643,,1)=AB230),--(INDEX('Tablas Técnicas'!$C$10:$L$643,,2)=AB234),INDEX('Tablas Técnicas'!$C$10:$L$643,,9))))</f>
        <v/>
      </c>
      <c r="AH234" s="2180">
        <f>P217</f>
        <v>1</v>
      </c>
      <c r="AI234" s="4604"/>
      <c r="AJ234" s="3128" t="s">
        <v>9302</v>
      </c>
      <c r="AK234" s="3128"/>
      <c r="AL234" s="3128">
        <f>MAX(0,SUM(AT221:AT225)+ABS($AC226*2/5))+IF(AM243,0,Y226)+IF(S217="Sí",3*P217,0)</f>
        <v>0</v>
      </c>
      <c r="AM234" s="3128">
        <f t="array" ref="AM234">IF(ISNUMBER(SEARCH("Mantenido",K221&amp;K222&amp;K223&amp;K224&amp;K225)),MAX(0,SUM(VALUE(RIGHT($P221:$P225,2)))),0)</f>
        <v>0</v>
      </c>
      <c r="AN234" s="3132"/>
      <c r="AO234" s="3132"/>
      <c r="AP234" s="3135"/>
      <c r="AQ234" s="3135"/>
      <c r="AR234" s="3135"/>
      <c r="AS234" s="3135"/>
      <c r="AT234" s="3135"/>
      <c r="AU234" s="3135"/>
      <c r="AV234" s="3135"/>
      <c r="AW234" s="3135"/>
      <c r="AX234" s="3135"/>
      <c r="AY234" s="3128"/>
    </row>
    <row r="235" spans="1:51" ht="12.2" customHeight="1" x14ac:dyDescent="0.2">
      <c r="A235" s="2172"/>
      <c r="B235" s="2086">
        <f t="shared" si="5"/>
        <v>7</v>
      </c>
      <c r="C235" s="4584"/>
      <c r="D235" s="4602"/>
      <c r="E235" s="4603"/>
      <c r="F235" s="4603"/>
      <c r="G235" s="4603"/>
      <c r="H235" s="4603"/>
      <c r="I235" s="1930" t="str">
        <f>IF(OR(D230="",D235=""),"",MAX(1,SUMPRODUCT(--(INDEX('Tablas Técnicas'!$C$10:$L$643,,1)=D230),--(INDEX('Tablas Técnicas'!$C$10:$L$643,,2)=D235),INDEX('Tablas Técnicas'!$C$10:$L$643,,9))))</f>
        <v/>
      </c>
      <c r="J235" s="4602"/>
      <c r="K235" s="4603"/>
      <c r="L235" s="4603"/>
      <c r="M235" s="4603"/>
      <c r="N235" s="4603"/>
      <c r="O235" s="1930" t="str">
        <f>IF(OR(J230="",J235=""),"",MAX(1,SUMPRODUCT(--(INDEX('Tablas Técnicas'!$C$10:$L$643,,1)=J230),--(INDEX('Tablas Técnicas'!$C$10:$L$643,,2)=J235),INDEX('Tablas Técnicas'!$C$10:$L$643,,9))))</f>
        <v/>
      </c>
      <c r="P235" s="4602"/>
      <c r="Q235" s="4603"/>
      <c r="R235" s="4603"/>
      <c r="S235" s="4603"/>
      <c r="T235" s="4603"/>
      <c r="U235" s="1930" t="str">
        <f>IF(OR(P230="",P235=""),"",MAX(1,SUMPRODUCT(--(INDEX('Tablas Técnicas'!$C$10:$L$643,,1)=P230),--(INDEX('Tablas Técnicas'!$C$10:$L$643,,2)=P235),INDEX('Tablas Técnicas'!$C$10:$L$643,,9))))</f>
        <v/>
      </c>
      <c r="V235" s="4602"/>
      <c r="W235" s="4603"/>
      <c r="X235" s="4603"/>
      <c r="Y235" s="4603"/>
      <c r="Z235" s="4603"/>
      <c r="AA235" s="1930" t="str">
        <f>IF(OR(V230="",V235=""),"",MAX(1,SUMPRODUCT(--(INDEX('Tablas Técnicas'!$C$10:$L$643,,1)=V230),--(INDEX('Tablas Técnicas'!$C$10:$L$643,,2)=V235),INDEX('Tablas Técnicas'!$C$10:$L$643,,9))))</f>
        <v/>
      </c>
      <c r="AB235" s="4602"/>
      <c r="AC235" s="4603"/>
      <c r="AD235" s="4603"/>
      <c r="AE235" s="4603"/>
      <c r="AF235" s="4603"/>
      <c r="AG235" s="1931" t="str">
        <f>IF(OR(AB230="",AB235=""),"",MAX(1,SUMPRODUCT(--(INDEX('Tablas Técnicas'!$C$10:$L$643,,1)=AB230),--(INDEX('Tablas Técnicas'!$C$10:$L$643,,2)=AB235),INDEX('Tablas Técnicas'!$C$10:$L$643,,9))))</f>
        <v/>
      </c>
      <c r="AH235" s="2180">
        <f>P217</f>
        <v>1</v>
      </c>
      <c r="AI235" s="4604"/>
      <c r="AJ235" s="3128" t="s">
        <v>8811</v>
      </c>
      <c r="AK235" s="3128"/>
      <c r="AL235" s="3128">
        <f>SUM(V221:V225,X221:X225,Z221:Z225,AB221:AB225,AD221:AD225,AF221:AF225)+SUM(V228:AG228)</f>
        <v>0</v>
      </c>
      <c r="AM235" s="3128">
        <f>SUM(W221:W225,Y221:Y225,AA221:AA225,AC221:AC225,AE221:AE225,AG221:AG225)</f>
        <v>0</v>
      </c>
      <c r="AN235" s="3128"/>
      <c r="AO235" s="3128"/>
      <c r="AP235" s="3128"/>
      <c r="AQ235" s="3128"/>
      <c r="AR235" s="3128"/>
      <c r="AS235" s="3128"/>
      <c r="AT235" s="3128"/>
      <c r="AU235" s="3128"/>
      <c r="AV235" s="3128"/>
      <c r="AW235" s="3132"/>
      <c r="AX235" s="3128"/>
      <c r="AY235" s="3128"/>
    </row>
    <row r="236" spans="1:51" ht="12.2" customHeight="1" x14ac:dyDescent="0.2">
      <c r="A236" s="2172"/>
      <c r="B236" s="2086">
        <f t="shared" si="5"/>
        <v>7</v>
      </c>
      <c r="C236" s="4584"/>
      <c r="D236" s="4602"/>
      <c r="E236" s="4603"/>
      <c r="F236" s="4603"/>
      <c r="G236" s="4603"/>
      <c r="H236" s="4603"/>
      <c r="I236" s="1930" t="str">
        <f>IF(OR(D230="",D236=""),"",MAX(1,SUMPRODUCT(--(INDEX('Tablas Técnicas'!$C$10:$L$643,,1)=D230),--(INDEX('Tablas Técnicas'!$C$10:$L$643,,2)=D236),INDEX('Tablas Técnicas'!$C$10:$L$643,,9))))</f>
        <v/>
      </c>
      <c r="J236" s="4602"/>
      <c r="K236" s="4603"/>
      <c r="L236" s="4603"/>
      <c r="M236" s="4603"/>
      <c r="N236" s="4603"/>
      <c r="O236" s="1930" t="str">
        <f>IF(OR(J230="",J236=""),"",MAX(1,SUMPRODUCT(--(INDEX('Tablas Técnicas'!$C$10:$L$643,,1)=J230),--(INDEX('Tablas Técnicas'!$C$10:$L$643,,2)=J236),INDEX('Tablas Técnicas'!$C$10:$L$643,,9))))</f>
        <v/>
      </c>
      <c r="P236" s="4602"/>
      <c r="Q236" s="4603"/>
      <c r="R236" s="4603"/>
      <c r="S236" s="4603"/>
      <c r="T236" s="4603"/>
      <c r="U236" s="1930" t="str">
        <f>IF(OR(P230="",P236=""),"",MAX(1,SUMPRODUCT(--(INDEX('Tablas Técnicas'!$C$10:$L$643,,1)=P230),--(INDEX('Tablas Técnicas'!$C$10:$L$643,,2)=P236),INDEX('Tablas Técnicas'!$C$10:$L$643,,9))))</f>
        <v/>
      </c>
      <c r="V236" s="4602"/>
      <c r="W236" s="4603"/>
      <c r="X236" s="4603"/>
      <c r="Y236" s="4603"/>
      <c r="Z236" s="4603"/>
      <c r="AA236" s="1930" t="str">
        <f>IF(OR(V230="",V236=""),"",MAX(1,SUMPRODUCT(--(INDEX('Tablas Técnicas'!$C$10:$L$643,,1)=V230),--(INDEX('Tablas Técnicas'!$C$10:$L$643,,2)=V236),INDEX('Tablas Técnicas'!$C$10:$L$643,,9))))</f>
        <v/>
      </c>
      <c r="AB236" s="4602"/>
      <c r="AC236" s="4603"/>
      <c r="AD236" s="4603"/>
      <c r="AE236" s="4603"/>
      <c r="AF236" s="4603"/>
      <c r="AG236" s="1931" t="str">
        <f>IF(OR(AB230="",AB236=""),"",MAX(1,SUMPRODUCT(--(INDEX('Tablas Técnicas'!$C$10:$L$643,,1)=AB230),--(INDEX('Tablas Técnicas'!$C$10:$L$643,,2)=AB236),INDEX('Tablas Técnicas'!$C$10:$L$643,,9))))</f>
        <v/>
      </c>
      <c r="AH236" s="2180">
        <f>P217</f>
        <v>1</v>
      </c>
      <c r="AI236" s="4604"/>
      <c r="AJ236" s="3128"/>
      <c r="AK236" s="3128"/>
      <c r="AL236" s="3128"/>
      <c r="AM236" s="3128"/>
      <c r="AN236" s="3128"/>
      <c r="AO236" s="3128"/>
      <c r="AP236" s="3128"/>
      <c r="AQ236" s="3128"/>
      <c r="AR236" s="3128"/>
      <c r="AS236" s="3128"/>
      <c r="AT236" s="3128"/>
      <c r="AU236" s="3128"/>
      <c r="AV236" s="3128"/>
      <c r="AW236" s="3132"/>
      <c r="AX236" s="3132"/>
      <c r="AY236" s="3128"/>
    </row>
    <row r="237" spans="1:51" ht="12.2" customHeight="1" x14ac:dyDescent="0.2">
      <c r="A237" s="2172"/>
      <c r="B237" s="2086">
        <f t="shared" si="5"/>
        <v>7</v>
      </c>
      <c r="C237" s="4584"/>
      <c r="D237" s="4602"/>
      <c r="E237" s="4603"/>
      <c r="F237" s="4603"/>
      <c r="G237" s="4603"/>
      <c r="H237" s="4603"/>
      <c r="I237" s="1930" t="str">
        <f>IF(OR(D230="",D237=""),"",MAX(1,SUMPRODUCT(--(INDEX('Tablas Técnicas'!$C$10:$L$643,,1)=D230),--(INDEX('Tablas Técnicas'!$C$10:$L$643,,2)=D237),INDEX('Tablas Técnicas'!$C$10:$L$643,,9))))</f>
        <v/>
      </c>
      <c r="J237" s="4602"/>
      <c r="K237" s="4603"/>
      <c r="L237" s="4603"/>
      <c r="M237" s="4603"/>
      <c r="N237" s="4603"/>
      <c r="O237" s="1930" t="str">
        <f>IF(OR(J230="",J237=""),"",MAX(1,SUMPRODUCT(--(INDEX('Tablas Técnicas'!$C$10:$L$643,,1)=J230),--(INDEX('Tablas Técnicas'!$C$10:$L$643,,2)=J237),INDEX('Tablas Técnicas'!$C$10:$L$643,,9))))</f>
        <v/>
      </c>
      <c r="P237" s="4602"/>
      <c r="Q237" s="4603"/>
      <c r="R237" s="4603"/>
      <c r="S237" s="4603"/>
      <c r="T237" s="4603"/>
      <c r="U237" s="1930" t="str">
        <f>IF(OR(P230="",P237=""),"",MAX(1,SUMPRODUCT(--(INDEX('Tablas Técnicas'!$C$10:$L$643,,1)=P230),--(INDEX('Tablas Técnicas'!$C$10:$L$643,,2)=P237),INDEX('Tablas Técnicas'!$C$10:$L$643,,9))))</f>
        <v/>
      </c>
      <c r="V237" s="4602"/>
      <c r="W237" s="4603"/>
      <c r="X237" s="4603"/>
      <c r="Y237" s="4603"/>
      <c r="Z237" s="4603"/>
      <c r="AA237" s="1930" t="str">
        <f>IF(OR(V230="",V237=""),"",MAX(1,SUMPRODUCT(--(INDEX('Tablas Técnicas'!$C$10:$L$643,,1)=V230),--(INDEX('Tablas Técnicas'!$C$10:$L$643,,2)=V237),INDEX('Tablas Técnicas'!$C$10:$L$643,,9))))</f>
        <v/>
      </c>
      <c r="AB237" s="4602"/>
      <c r="AC237" s="4603"/>
      <c r="AD237" s="4603"/>
      <c r="AE237" s="4603"/>
      <c r="AF237" s="4603"/>
      <c r="AG237" s="1931" t="str">
        <f>IF(OR(AB230="",AB237=""),"",MAX(1,SUMPRODUCT(--(INDEX('Tablas Técnicas'!$C$10:$L$643,,1)=AB230),--(INDEX('Tablas Técnicas'!$C$10:$L$643,,2)=AB237),INDEX('Tablas Técnicas'!$C$10:$L$643,,9))))</f>
        <v/>
      </c>
      <c r="AH237" s="2180">
        <f>P217</f>
        <v>1</v>
      </c>
      <c r="AI237" s="4604"/>
      <c r="AJ237" s="3128" t="s">
        <v>8812</v>
      </c>
      <c r="AK237" s="3128"/>
      <c r="AL237" s="3128"/>
      <c r="AM237" s="3128"/>
      <c r="AN237" s="3128"/>
      <c r="AO237" s="3128"/>
      <c r="AP237" s="3128"/>
      <c r="AQ237" s="3129"/>
      <c r="AR237" s="3132"/>
      <c r="AS237" s="3132"/>
      <c r="AT237" s="3132"/>
      <c r="AU237" s="3132"/>
      <c r="AV237" s="3132"/>
      <c r="AW237" s="3132"/>
      <c r="AX237" s="3132"/>
      <c r="AY237" s="3128"/>
    </row>
    <row r="238" spans="1:51" ht="12.2" customHeight="1" x14ac:dyDescent="0.2">
      <c r="A238" s="2172"/>
      <c r="B238" s="2086">
        <f t="shared" si="5"/>
        <v>7</v>
      </c>
      <c r="C238" s="4584"/>
      <c r="D238" s="4602"/>
      <c r="E238" s="4603"/>
      <c r="F238" s="4603"/>
      <c r="G238" s="4603"/>
      <c r="H238" s="4603"/>
      <c r="I238" s="1930" t="str">
        <f>IF(OR(D230="",D238=""),"",MAX(1,SUMPRODUCT(--(INDEX('Tablas Técnicas'!$C$10:$L$643,,1)=D230),--(INDEX('Tablas Técnicas'!$C$10:$L$643,,2)=D238),INDEX('Tablas Técnicas'!$C$10:$L$643,,9))))</f>
        <v/>
      </c>
      <c r="J238" s="4602"/>
      <c r="K238" s="4603"/>
      <c r="L238" s="4603"/>
      <c r="M238" s="4603"/>
      <c r="N238" s="4603"/>
      <c r="O238" s="1930" t="str">
        <f>IF(OR(J230="",J238=""),"",MAX(1,SUMPRODUCT(--(INDEX('Tablas Técnicas'!$C$10:$L$643,,1)=J230),--(INDEX('Tablas Técnicas'!$C$10:$L$643,,2)=J238),INDEX('Tablas Técnicas'!$C$10:$L$643,,9))))</f>
        <v/>
      </c>
      <c r="P238" s="4602"/>
      <c r="Q238" s="4603"/>
      <c r="R238" s="4603"/>
      <c r="S238" s="4603"/>
      <c r="T238" s="4603"/>
      <c r="U238" s="1930" t="str">
        <f>IF(OR(P230="",P238=""),"",MAX(1,SUMPRODUCT(--(INDEX('Tablas Técnicas'!$C$10:$L$643,,1)=P230),--(INDEX('Tablas Técnicas'!$C$10:$L$643,,2)=P238),INDEX('Tablas Técnicas'!$C$10:$L$643,,9))))</f>
        <v/>
      </c>
      <c r="V238" s="4602"/>
      <c r="W238" s="4603"/>
      <c r="X238" s="4603"/>
      <c r="Y238" s="4603"/>
      <c r="Z238" s="4603"/>
      <c r="AA238" s="1930" t="str">
        <f>IF(OR(V230="",V238=""),"",MAX(1,SUMPRODUCT(--(INDEX('Tablas Técnicas'!$C$10:$L$643,,1)=V230),--(INDEX('Tablas Técnicas'!$C$10:$L$643,,2)=V238),INDEX('Tablas Técnicas'!$C$10:$L$643,,9))))</f>
        <v/>
      </c>
      <c r="AB238" s="4602"/>
      <c r="AC238" s="4603"/>
      <c r="AD238" s="4603"/>
      <c r="AE238" s="4603"/>
      <c r="AF238" s="4603"/>
      <c r="AG238" s="1931" t="str">
        <f>IF(OR(AB230="",AB238=""),"",MAX(1,SUMPRODUCT(--(INDEX('Tablas Técnicas'!$C$10:$L$643,,1)=AB230),--(INDEX('Tablas Técnicas'!$C$10:$L$643,,2)=AB238),INDEX('Tablas Técnicas'!$C$10:$L$643,,9))))</f>
        <v/>
      </c>
      <c r="AH238" s="2180">
        <f>P217</f>
        <v>1</v>
      </c>
      <c r="AI238" s="4604"/>
      <c r="AJ238" s="3128" t="s">
        <v>9965</v>
      </c>
      <c r="AK238" s="3128"/>
      <c r="AL238" s="3128"/>
      <c r="AM238" s="3128" t="b">
        <f>U217&gt;IF(P217=3,200,IF(P217=2,100,50))</f>
        <v>0</v>
      </c>
      <c r="AN238" s="3128"/>
      <c r="AO238" s="3128"/>
      <c r="AP238" s="3128"/>
      <c r="AQ238" s="3128"/>
      <c r="AR238" s="3132"/>
      <c r="AS238" s="3132"/>
      <c r="AT238" s="3132"/>
      <c r="AU238" s="3132"/>
      <c r="AV238" s="3132"/>
      <c r="AW238" s="3132"/>
      <c r="AX238" s="3132"/>
      <c r="AY238" s="3128"/>
    </row>
    <row r="239" spans="1:51" ht="12.2" customHeight="1" x14ac:dyDescent="0.2">
      <c r="A239" s="2172"/>
      <c r="B239" s="2086">
        <f t="shared" si="5"/>
        <v>7</v>
      </c>
      <c r="C239" s="4584"/>
      <c r="D239" s="4602"/>
      <c r="E239" s="4603"/>
      <c r="F239" s="4603"/>
      <c r="G239" s="4603"/>
      <c r="H239" s="4603"/>
      <c r="I239" s="1930" t="str">
        <f>IF(OR(D230="",D239=""),"",MAX(1,SUMPRODUCT(--(INDEX('Tablas Técnicas'!$C$10:$L$643,,1)=D230),--(INDEX('Tablas Técnicas'!$C$10:$L$643,,2)=D239),INDEX('Tablas Técnicas'!$C$10:$L$643,,9))))</f>
        <v/>
      </c>
      <c r="J239" s="4602"/>
      <c r="K239" s="4603"/>
      <c r="L239" s="4603"/>
      <c r="M239" s="4603"/>
      <c r="N239" s="4603"/>
      <c r="O239" s="1930" t="str">
        <f>IF(OR(J230="",J239=""),"",MAX(1,SUMPRODUCT(--(INDEX('Tablas Técnicas'!$C$10:$L$643,,1)=J230),--(INDEX('Tablas Técnicas'!$C$10:$L$643,,2)=J239),INDEX('Tablas Técnicas'!$C$10:$L$643,,9))))</f>
        <v/>
      </c>
      <c r="P239" s="4602"/>
      <c r="Q239" s="4603"/>
      <c r="R239" s="4603"/>
      <c r="S239" s="4603"/>
      <c r="T239" s="4603"/>
      <c r="U239" s="1930" t="str">
        <f>IF(OR(P230="",P239=""),"",MAX(1,SUMPRODUCT(--(INDEX('Tablas Técnicas'!$C$10:$L$643,,1)=P230),--(INDEX('Tablas Técnicas'!$C$10:$L$643,,2)=P239),INDEX('Tablas Técnicas'!$C$10:$L$643,,9))))</f>
        <v/>
      </c>
      <c r="V239" s="4602"/>
      <c r="W239" s="4603"/>
      <c r="X239" s="4603"/>
      <c r="Y239" s="4603"/>
      <c r="Z239" s="4603"/>
      <c r="AA239" s="1930" t="str">
        <f>IF(OR(V230="",V239=""),"",MAX(1,SUMPRODUCT(--(INDEX('Tablas Técnicas'!$C$10:$L$643,,1)=V230),--(INDEX('Tablas Técnicas'!$C$10:$L$643,,2)=V239),INDEX('Tablas Técnicas'!$C$10:$L$643,,9))))</f>
        <v/>
      </c>
      <c r="AB239" s="4602"/>
      <c r="AC239" s="4603"/>
      <c r="AD239" s="4603"/>
      <c r="AE239" s="4603"/>
      <c r="AF239" s="4603"/>
      <c r="AG239" s="1931" t="str">
        <f>IF(OR(AB230="",AB239=""),"",MAX(1,SUMPRODUCT(--(INDEX('Tablas Técnicas'!$C$10:$L$643,,1)=AB230),--(INDEX('Tablas Técnicas'!$C$10:$L$643,,2)=AB239),INDEX('Tablas Técnicas'!$C$10:$L$643,,9))))</f>
        <v/>
      </c>
      <c r="AH239" s="2180">
        <f>P217</f>
        <v>1</v>
      </c>
      <c r="AI239" s="4604"/>
      <c r="AJ239" s="3128" t="s">
        <v>8813</v>
      </c>
      <c r="AK239" s="3128"/>
      <c r="AL239" s="3128"/>
      <c r="AM239" s="3128" t="b">
        <f t="array" ref="AM239">MAX(I234:I240,O234:O240,U234:U240,AA234:AA240,AG234:AG240,RIGHT(S226:S228,1))&gt;P217</f>
        <v>0</v>
      </c>
      <c r="AN239" s="3128"/>
      <c r="AO239" s="3128"/>
      <c r="AP239" s="3128"/>
      <c r="AQ239" s="3129"/>
      <c r="AR239" s="3132"/>
      <c r="AS239" s="3132"/>
      <c r="AT239" s="3132"/>
      <c r="AU239" s="3132"/>
      <c r="AV239" s="3132"/>
      <c r="AW239" s="3132"/>
      <c r="AX239" s="3132"/>
      <c r="AY239" s="3128"/>
    </row>
    <row r="240" spans="1:51" ht="12.2" customHeight="1" x14ac:dyDescent="0.2">
      <c r="A240" s="2172"/>
      <c r="B240" s="2086">
        <f t="shared" si="5"/>
        <v>7</v>
      </c>
      <c r="C240" s="4584"/>
      <c r="D240" s="4616"/>
      <c r="E240" s="4617"/>
      <c r="F240" s="4617"/>
      <c r="G240" s="4617"/>
      <c r="H240" s="4617"/>
      <c r="I240" s="1932" t="str">
        <f>IF(OR(D230="",D240=""),"",MAX(1,SUMPRODUCT(--(INDEX('Tablas Técnicas'!$C$10:$L$643,,1)=D230),--(INDEX('Tablas Técnicas'!$C$10:$L$643,,2)=D240),INDEX('Tablas Técnicas'!$C$10:$L$643,,9))))</f>
        <v/>
      </c>
      <c r="J240" s="4616"/>
      <c r="K240" s="4617"/>
      <c r="L240" s="4617"/>
      <c r="M240" s="4617"/>
      <c r="N240" s="4617"/>
      <c r="O240" s="1932" t="str">
        <f>IF(OR(J230="",J240=""),"",MAX(1,SUMPRODUCT(--(INDEX('Tablas Técnicas'!$C$10:$L$643,,1)=J230),--(INDEX('Tablas Técnicas'!$C$10:$L$643,,2)=J240),INDEX('Tablas Técnicas'!$C$10:$L$643,,9))))</f>
        <v/>
      </c>
      <c r="P240" s="4616"/>
      <c r="Q240" s="4617"/>
      <c r="R240" s="4617"/>
      <c r="S240" s="4617"/>
      <c r="T240" s="4617"/>
      <c r="U240" s="1932" t="str">
        <f>IF(OR(P230="",P240=""),"",MAX(1,SUMPRODUCT(--(INDEX('Tablas Técnicas'!$C$10:$L$643,,1)=P230),--(INDEX('Tablas Técnicas'!$C$10:$L$643,,2)=P240),INDEX('Tablas Técnicas'!$C$10:$L$643,,9))))</f>
        <v/>
      </c>
      <c r="V240" s="4616"/>
      <c r="W240" s="4617"/>
      <c r="X240" s="4617"/>
      <c r="Y240" s="4617"/>
      <c r="Z240" s="4617"/>
      <c r="AA240" s="1932" t="str">
        <f>IF(OR(V230="",V240=""),"",MAX(1,SUMPRODUCT(--(INDEX('Tablas Técnicas'!$C$10:$L$643,,1)=V230),--(INDEX('Tablas Técnicas'!$C$10:$L$643,,2)=V240),INDEX('Tablas Técnicas'!$C$10:$L$643,,9))))</f>
        <v/>
      </c>
      <c r="AB240" s="4616"/>
      <c r="AC240" s="4617"/>
      <c r="AD240" s="4617"/>
      <c r="AE240" s="4617"/>
      <c r="AF240" s="4617"/>
      <c r="AG240" s="1933" t="str">
        <f>IF(OR(AB230="",AB240=""),"",MAX(1,SUMPRODUCT(--(INDEX('Tablas Técnicas'!$C$10:$L$643,,1)=AB230),--(INDEX('Tablas Técnicas'!$C$10:$L$643,,2)=AB240),INDEX('Tablas Técnicas'!$C$10:$L$643,,9))))</f>
        <v/>
      </c>
      <c r="AH240" s="2180">
        <f>P217</f>
        <v>1</v>
      </c>
      <c r="AI240" s="4604"/>
      <c r="AJ240" s="3128" t="s">
        <v>9319</v>
      </c>
      <c r="AK240" s="3128"/>
      <c r="AL240" s="3128"/>
      <c r="AM240" s="3128" t="b">
        <f>AND(COUNTIF(K221:M225,"Mantenido"),OR(COUNTIF(K221:M225,"Sostenimiento Menor"),COUNTIF(K221:M225,"Sostenimiento Mayor")))</f>
        <v>0</v>
      </c>
      <c r="AN240" s="3129"/>
      <c r="AO240" s="3128"/>
      <c r="AP240" s="3128"/>
      <c r="AQ240" s="3128"/>
      <c r="AR240" s="3128"/>
      <c r="AS240" s="3128"/>
      <c r="AT240" s="3128"/>
      <c r="AU240" s="3132"/>
      <c r="AV240" s="3132"/>
      <c r="AW240" s="3132"/>
      <c r="AX240" s="3132"/>
      <c r="AY240" s="3128"/>
    </row>
    <row r="241" spans="1:51" ht="12.2" customHeight="1" x14ac:dyDescent="0.2">
      <c r="A241" s="2172"/>
      <c r="B241" s="2086">
        <f t="shared" si="5"/>
        <v>7</v>
      </c>
      <c r="C241" s="4584"/>
      <c r="D241" s="4595" t="s">
        <v>1548</v>
      </c>
      <c r="E241" s="4596"/>
      <c r="F241" s="4596"/>
      <c r="G241" s="4596"/>
      <c r="H241" s="4596"/>
      <c r="I241" s="4596"/>
      <c r="J241" s="4596"/>
      <c r="K241" s="4596"/>
      <c r="L241" s="4596"/>
      <c r="M241" s="4596"/>
      <c r="N241" s="4596"/>
      <c r="O241" s="4596"/>
      <c r="P241" s="4596"/>
      <c r="Q241" s="4596"/>
      <c r="R241" s="4596"/>
      <c r="S241" s="4596"/>
      <c r="T241" s="4596"/>
      <c r="U241" s="4596"/>
      <c r="V241" s="4596"/>
      <c r="W241" s="4596"/>
      <c r="X241" s="4596"/>
      <c r="Y241" s="4596"/>
      <c r="Z241" s="4596"/>
      <c r="AA241" s="4596"/>
      <c r="AB241" s="4596"/>
      <c r="AC241" s="4596"/>
      <c r="AD241" s="4596"/>
      <c r="AE241" s="4596"/>
      <c r="AF241" s="4596"/>
      <c r="AG241" s="4622"/>
      <c r="AH241" s="2180"/>
      <c r="AI241" s="4604"/>
      <c r="AJ241" s="3128" t="s">
        <v>9318</v>
      </c>
      <c r="AK241" s="3128"/>
      <c r="AL241" s="3128"/>
      <c r="AM241" s="312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8"/>
      <c r="AO241" s="3128"/>
      <c r="AP241" s="3128"/>
      <c r="AQ241" s="3129"/>
      <c r="AR241" s="3128"/>
      <c r="AS241" s="3128"/>
      <c r="AT241" s="3128"/>
      <c r="AU241" s="3132"/>
      <c r="AV241" s="3132"/>
      <c r="AW241" s="3132"/>
      <c r="AX241" s="3132"/>
      <c r="AY241" s="3128"/>
    </row>
    <row r="242" spans="1:51" ht="12.2" customHeight="1" x14ac:dyDescent="0.2">
      <c r="A242" s="2172"/>
      <c r="B242" s="2086">
        <f t="shared" si="5"/>
        <v>7</v>
      </c>
      <c r="C242" s="4584"/>
      <c r="D242" s="4624"/>
      <c r="E242" s="4625"/>
      <c r="F242" s="4625"/>
      <c r="G242" s="4625"/>
      <c r="H242" s="4625"/>
      <c r="I242" s="4625"/>
      <c r="J242" s="4625"/>
      <c r="K242" s="4625"/>
      <c r="L242" s="4625"/>
      <c r="M242" s="4625"/>
      <c r="N242" s="4625"/>
      <c r="O242" s="4625"/>
      <c r="P242" s="4625"/>
      <c r="Q242" s="4625"/>
      <c r="R242" s="4625"/>
      <c r="S242" s="4625"/>
      <c r="T242" s="4625"/>
      <c r="U242" s="4625"/>
      <c r="V242" s="4625"/>
      <c r="W242" s="4625"/>
      <c r="X242" s="4625"/>
      <c r="Y242" s="4625"/>
      <c r="Z242" s="4625"/>
      <c r="AA242" s="4625"/>
      <c r="AB242" s="4625"/>
      <c r="AC242" s="4625"/>
      <c r="AD242" s="4625"/>
      <c r="AE242" s="4625"/>
      <c r="AF242" s="4625"/>
      <c r="AG242" s="4626"/>
      <c r="AH242" s="2180"/>
      <c r="AI242" s="4604"/>
      <c r="AJ242" s="3128" t="s">
        <v>9326</v>
      </c>
      <c r="AK242" s="3128"/>
      <c r="AL242" s="3128"/>
      <c r="AM242" s="312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8"/>
      <c r="AO242" s="3128"/>
      <c r="AP242" s="3128"/>
      <c r="AQ242" s="3129"/>
      <c r="AR242" s="3128"/>
      <c r="AS242" s="3128"/>
      <c r="AT242" s="3128"/>
      <c r="AU242" s="3132"/>
      <c r="AV242" s="3132"/>
      <c r="AW242" s="3132"/>
      <c r="AX242" s="3132"/>
      <c r="AY242" s="3128"/>
    </row>
    <row r="243" spans="1:51" ht="12.2" customHeight="1" x14ac:dyDescent="0.2">
      <c r="A243" s="2172"/>
      <c r="B243" s="2086">
        <f t="shared" si="5"/>
        <v>7</v>
      </c>
      <c r="C243" s="4584"/>
      <c r="D243" s="4624"/>
      <c r="E243" s="4625"/>
      <c r="F243" s="4625"/>
      <c r="G243" s="4625"/>
      <c r="H243" s="4625"/>
      <c r="I243" s="4625"/>
      <c r="J243" s="4625"/>
      <c r="K243" s="4625"/>
      <c r="L243" s="4625"/>
      <c r="M243" s="4625"/>
      <c r="N243" s="4625"/>
      <c r="O243" s="4625"/>
      <c r="P243" s="4625"/>
      <c r="Q243" s="4625"/>
      <c r="R243" s="4625"/>
      <c r="S243" s="4625"/>
      <c r="T243" s="4625"/>
      <c r="U243" s="4625"/>
      <c r="V243" s="4625"/>
      <c r="W243" s="4625"/>
      <c r="X243" s="4625"/>
      <c r="Y243" s="4625"/>
      <c r="Z243" s="4625"/>
      <c r="AA243" s="4625"/>
      <c r="AB243" s="4625"/>
      <c r="AC243" s="4625"/>
      <c r="AD243" s="4625"/>
      <c r="AE243" s="4625"/>
      <c r="AF243" s="4625"/>
      <c r="AG243" s="4626"/>
      <c r="AH243" s="2180"/>
      <c r="AI243" s="4604"/>
      <c r="AJ243" s="3128" t="s">
        <v>9305</v>
      </c>
      <c r="AK243" s="3128"/>
      <c r="AL243" s="3128"/>
      <c r="AM243" s="3128" t="b">
        <f>AND((IF(SUM(V221:V225)&gt;0,1,0)+IF(SUM(X221:X225)&gt;0,1,0)+IF(SUM(Z221:Z225)&gt;0,1,0)+IF(SUM(AB221:AB225)&gt;0,1,0)+IF(SUM(AD221:AD225,)&gt;0,1,0)+IF(SUM(AF221:AF225)&gt;0,1,0))&lt;3,OR(V228&lt;0,X228&lt;0,Z228&lt;0,AB228&lt;0,AD228&lt;0,AF228&lt;0,Y226&lt;0))</f>
        <v>0</v>
      </c>
      <c r="AN243" s="3128"/>
      <c r="AO243" s="3128"/>
      <c r="AP243" s="3128"/>
      <c r="AQ243" s="3129"/>
      <c r="AR243" s="3128"/>
      <c r="AS243" s="3128"/>
      <c r="AT243" s="3128"/>
      <c r="AU243" s="3132"/>
      <c r="AV243" s="3132"/>
      <c r="AW243" s="3132"/>
      <c r="AX243" s="3132"/>
      <c r="AY243" s="3128"/>
    </row>
    <row r="244" spans="1:51" ht="12.2" customHeight="1" x14ac:dyDescent="0.2">
      <c r="A244" s="2172"/>
      <c r="B244" s="2086">
        <f t="shared" si="5"/>
        <v>7</v>
      </c>
      <c r="C244" s="4584"/>
      <c r="D244" s="4624"/>
      <c r="E244" s="4625"/>
      <c r="F244" s="4625"/>
      <c r="G244" s="4625"/>
      <c r="H244" s="4625"/>
      <c r="I244" s="4625"/>
      <c r="J244" s="4625"/>
      <c r="K244" s="4625"/>
      <c r="L244" s="4625"/>
      <c r="M244" s="4625"/>
      <c r="N244" s="4625"/>
      <c r="O244" s="4625"/>
      <c r="P244" s="4625"/>
      <c r="Q244" s="4625"/>
      <c r="R244" s="4625"/>
      <c r="S244" s="4625"/>
      <c r="T244" s="4625"/>
      <c r="U244" s="4625"/>
      <c r="V244" s="4625"/>
      <c r="W244" s="4625"/>
      <c r="X244" s="4625"/>
      <c r="Y244" s="4625"/>
      <c r="Z244" s="4625"/>
      <c r="AA244" s="4625"/>
      <c r="AB244" s="4625"/>
      <c r="AC244" s="4625"/>
      <c r="AD244" s="4625"/>
      <c r="AE244" s="4625"/>
      <c r="AF244" s="4625"/>
      <c r="AG244" s="4626"/>
      <c r="AH244" s="2180"/>
      <c r="AI244" s="4604"/>
      <c r="AJ244" s="3128" t="s">
        <v>9320</v>
      </c>
      <c r="AK244" s="3128"/>
      <c r="AL244" s="3128"/>
      <c r="AM244" s="3128" t="b">
        <f>OR(-V228&gt;TRUNC(SUM(V221:V225)/2),-X228&gt;TRUNC(SUM(X221:X225)/2),-Z228&gt;TRUNC(SUM(Z221:Z225)/2),-AB228&gt;TRUNC(SUM(AB221:AB225)/2),-AD228&gt;TRUNC(SUM(AD221:AD225)/2),-AF228&gt;TRUNC(SUM(AF221:AF225)/2))</f>
        <v>0</v>
      </c>
      <c r="AN244" s="3128"/>
      <c r="AO244" s="3128"/>
      <c r="AP244" s="3128"/>
      <c r="AQ244" s="3129"/>
      <c r="AR244" s="3128"/>
      <c r="AS244" s="3128"/>
      <c r="AT244" s="3128"/>
      <c r="AU244" s="3132"/>
      <c r="AV244" s="3132"/>
      <c r="AW244" s="3132"/>
      <c r="AX244" s="3132"/>
      <c r="AY244" s="3128"/>
    </row>
    <row r="245" spans="1:51" ht="12.2" customHeight="1" x14ac:dyDescent="0.2">
      <c r="A245" s="2172"/>
      <c r="B245" s="2086">
        <f t="shared" si="5"/>
        <v>7</v>
      </c>
      <c r="C245" s="4584"/>
      <c r="D245" s="4624"/>
      <c r="E245" s="4625"/>
      <c r="F245" s="4625"/>
      <c r="G245" s="4625"/>
      <c r="H245" s="4625"/>
      <c r="I245" s="4625"/>
      <c r="J245" s="4625"/>
      <c r="K245" s="4625"/>
      <c r="L245" s="4625"/>
      <c r="M245" s="4625"/>
      <c r="N245" s="4625"/>
      <c r="O245" s="4625"/>
      <c r="P245" s="4625"/>
      <c r="Q245" s="4625"/>
      <c r="R245" s="4625"/>
      <c r="S245" s="4625"/>
      <c r="T245" s="4625"/>
      <c r="U245" s="4625"/>
      <c r="V245" s="4625"/>
      <c r="W245" s="4625"/>
      <c r="X245" s="4625"/>
      <c r="Y245" s="4625"/>
      <c r="Z245" s="4625"/>
      <c r="AA245" s="4625"/>
      <c r="AB245" s="4625"/>
      <c r="AC245" s="4625"/>
      <c r="AD245" s="4625"/>
      <c r="AE245" s="4625"/>
      <c r="AF245" s="4625"/>
      <c r="AG245" s="4626"/>
      <c r="AH245" s="2180"/>
      <c r="AI245" s="4604"/>
      <c r="AJ245" s="3128" t="s">
        <v>9321</v>
      </c>
      <c r="AK245" s="3128"/>
      <c r="AL245" s="3128"/>
      <c r="AM245" s="3128" t="b">
        <f>COUNTIF(D221:E225,"Primario")&gt;1</f>
        <v>0</v>
      </c>
      <c r="AN245" s="3128"/>
      <c r="AO245" s="3128"/>
      <c r="AP245" s="3128"/>
      <c r="AQ245" s="3129"/>
      <c r="AR245" s="3129"/>
      <c r="AS245" s="3129"/>
      <c r="AT245" s="3129"/>
      <c r="AU245" s="3132"/>
      <c r="AV245" s="3132"/>
      <c r="AW245" s="3132"/>
      <c r="AX245" s="3128"/>
      <c r="AY245" s="3128"/>
    </row>
    <row r="246" spans="1:51" ht="12.2" customHeight="1" x14ac:dyDescent="0.2">
      <c r="A246" s="2172"/>
      <c r="B246" s="2086">
        <f t="shared" si="5"/>
        <v>7</v>
      </c>
      <c r="C246" s="4584"/>
      <c r="D246" s="4624"/>
      <c r="E246" s="4625"/>
      <c r="F246" s="4625"/>
      <c r="G246" s="4625"/>
      <c r="H246" s="4625"/>
      <c r="I246" s="4625"/>
      <c r="J246" s="4625"/>
      <c r="K246" s="4625"/>
      <c r="L246" s="4625"/>
      <c r="M246" s="4625"/>
      <c r="N246" s="4625"/>
      <c r="O246" s="4625"/>
      <c r="P246" s="4625"/>
      <c r="Q246" s="4625"/>
      <c r="R246" s="4625"/>
      <c r="S246" s="4625"/>
      <c r="T246" s="4625"/>
      <c r="U246" s="4625"/>
      <c r="V246" s="4625"/>
      <c r="W246" s="4625"/>
      <c r="X246" s="4625"/>
      <c r="Y246" s="4625"/>
      <c r="Z246" s="4625"/>
      <c r="AA246" s="4625"/>
      <c r="AB246" s="4625"/>
      <c r="AC246" s="4625"/>
      <c r="AD246" s="4625"/>
      <c r="AE246" s="4625"/>
      <c r="AF246" s="4625"/>
      <c r="AG246" s="4626"/>
      <c r="AH246" s="2180"/>
      <c r="AI246" s="4604"/>
      <c r="AJ246" s="3128" t="s">
        <v>9304</v>
      </c>
      <c r="AK246" s="3128"/>
      <c r="AL246" s="3128"/>
      <c r="AM246" s="3128" t="b">
        <f>SUM(V228:AG228)&lt;&gt;Y226+ABS(AC226)*2/5+IF(S217="Sí",3*P217,0)</f>
        <v>0</v>
      </c>
      <c r="AN246" s="3128"/>
      <c r="AO246" s="3128"/>
      <c r="AP246" s="3128"/>
      <c r="AQ246" s="3129"/>
      <c r="AR246" s="3129"/>
      <c r="AS246" s="3129"/>
      <c r="AT246" s="3129"/>
      <c r="AU246" s="3132"/>
      <c r="AV246" s="3132"/>
      <c r="AW246" s="3132"/>
      <c r="AX246" s="3128"/>
      <c r="AY246" s="3128"/>
    </row>
    <row r="247" spans="1:51" ht="12.2" customHeight="1" x14ac:dyDescent="0.2">
      <c r="A247" s="2172"/>
      <c r="B247" s="2086">
        <f t="shared" si="5"/>
        <v>7</v>
      </c>
      <c r="C247" s="4584"/>
      <c r="D247" s="4624"/>
      <c r="E247" s="4625"/>
      <c r="F247" s="4625"/>
      <c r="G247" s="4625"/>
      <c r="H247" s="4625"/>
      <c r="I247" s="4625"/>
      <c r="J247" s="4625"/>
      <c r="K247" s="4625"/>
      <c r="L247" s="4625"/>
      <c r="M247" s="4625"/>
      <c r="N247" s="4625"/>
      <c r="O247" s="4625"/>
      <c r="P247" s="4625"/>
      <c r="Q247" s="4625"/>
      <c r="R247" s="4625"/>
      <c r="S247" s="4625"/>
      <c r="T247" s="4625"/>
      <c r="U247" s="4625"/>
      <c r="V247" s="4625"/>
      <c r="W247" s="4625"/>
      <c r="X247" s="4625"/>
      <c r="Y247" s="4625"/>
      <c r="Z247" s="4625"/>
      <c r="AA247" s="4625"/>
      <c r="AB247" s="4625"/>
      <c r="AC247" s="4625"/>
      <c r="AD247" s="4625"/>
      <c r="AE247" s="4625"/>
      <c r="AF247" s="4625"/>
      <c r="AG247" s="4626"/>
      <c r="AH247" s="2180"/>
      <c r="AI247" s="4604"/>
      <c r="AJ247" s="3128" t="s">
        <v>9303</v>
      </c>
      <c r="AK247" s="3128"/>
      <c r="AL247" s="3128"/>
      <c r="AM247" s="3128" t="b">
        <f>AL234-AL235+AM234-AM235&lt;&gt;0</f>
        <v>0</v>
      </c>
      <c r="AN247" s="3132"/>
      <c r="AO247" s="3132"/>
      <c r="AP247" s="3132"/>
      <c r="AQ247" s="3132"/>
      <c r="AR247" s="3129"/>
      <c r="AS247" s="3129"/>
      <c r="AT247" s="3129"/>
      <c r="AU247" s="3132"/>
      <c r="AV247" s="3132"/>
      <c r="AW247" s="3132"/>
      <c r="AX247" s="3128"/>
      <c r="AY247" s="3128"/>
    </row>
    <row r="248" spans="1:51" ht="12.2" customHeight="1" thickBot="1" x14ac:dyDescent="0.25">
      <c r="A248" s="2172"/>
      <c r="B248" s="2086"/>
      <c r="C248" s="4585"/>
      <c r="D248" s="4586"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87"/>
      <c r="F248" s="4587"/>
      <c r="G248" s="4587"/>
      <c r="H248" s="4587"/>
      <c r="I248" s="4587"/>
      <c r="J248" s="4587"/>
      <c r="K248" s="4587"/>
      <c r="L248" s="4587"/>
      <c r="M248" s="4587"/>
      <c r="N248" s="4587"/>
      <c r="O248" s="4587"/>
      <c r="P248" s="4587"/>
      <c r="Q248" s="4587"/>
      <c r="R248" s="4587"/>
      <c r="S248" s="4587"/>
      <c r="T248" s="4587"/>
      <c r="U248" s="4587"/>
      <c r="V248" s="4587"/>
      <c r="W248" s="4587"/>
      <c r="X248" s="4587"/>
      <c r="Y248" s="4587"/>
      <c r="Z248" s="4587"/>
      <c r="AA248" s="4587"/>
      <c r="AB248" s="4587"/>
      <c r="AC248" s="4587"/>
      <c r="AD248" s="4587"/>
      <c r="AE248" s="4587"/>
      <c r="AF248" s="4587"/>
      <c r="AG248" s="4588"/>
      <c r="AH248" s="2180"/>
      <c r="AI248" s="4604"/>
      <c r="AJ248" s="3128" t="s">
        <v>9340</v>
      </c>
      <c r="AK248" s="3132"/>
      <c r="AL248" s="3132"/>
      <c r="AM248" s="3132" t="b">
        <f>ABS(SUM(N226:N228))&gt;(SUM(N221:N225)-10*Y226+AC226+IF(S217="Sí",10*P217,0)+IF(COUNTIF(K221:M225,"Mantenido")&gt;0,P217*10)+MAX(IF(COUNTIF(K221:M225,"Sostenimiento Menor")&gt;0,P217*20)+IF(COUNTIF(K221:M225,"Sostenimiento Mayor")&gt;0,P217*30)))/2</f>
        <v>0</v>
      </c>
      <c r="AN248" s="3128"/>
      <c r="AO248" s="3128"/>
      <c r="AP248" s="3128"/>
      <c r="AQ248" s="3128"/>
      <c r="AR248" s="3129"/>
      <c r="AS248" s="3129"/>
      <c r="AT248" s="3129"/>
      <c r="AU248" s="3132"/>
      <c r="AV248" s="3132"/>
      <c r="AW248" s="3132"/>
      <c r="AX248" s="3128"/>
      <c r="AY248" s="3128"/>
    </row>
    <row r="249" spans="1:51" ht="12.2" customHeight="1" x14ac:dyDescent="0.2">
      <c r="A249" s="2172"/>
      <c r="B249" s="2086"/>
      <c r="C249" s="4580"/>
      <c r="D249" s="4580" t="str">
        <f>IFERROR(VLOOKUP(D230,'Tablas Técnicas'!$O$9:$T$88,2,FALSE),"")</f>
        <v/>
      </c>
      <c r="E249" s="4580"/>
      <c r="F249" s="4580"/>
      <c r="G249" s="4580"/>
      <c r="H249" s="4580"/>
      <c r="I249" s="4580"/>
      <c r="J249" s="4580" t="str">
        <f>IFERROR(VLOOKUP(J230,'Tablas Técnicas'!$O$9:$T$88,2,FALSE),"")</f>
        <v/>
      </c>
      <c r="K249" s="4580"/>
      <c r="L249" s="4580"/>
      <c r="M249" s="4580"/>
      <c r="N249" s="4580"/>
      <c r="O249" s="4580"/>
      <c r="P249" s="4580" t="str">
        <f>IFERROR(VLOOKUP(P230,'Tablas Técnicas'!$O$9:$T$88,2,FALSE),"")</f>
        <v/>
      </c>
      <c r="Q249" s="4580"/>
      <c r="R249" s="4580"/>
      <c r="S249" s="4580"/>
      <c r="T249" s="4580"/>
      <c r="U249" s="4580"/>
      <c r="V249" s="4580" t="str">
        <f>IFERROR(VLOOKUP(V230,'Tablas Técnicas'!$O$9:$T$88,2,FALSE),"")</f>
        <v/>
      </c>
      <c r="W249" s="4580"/>
      <c r="X249" s="4580"/>
      <c r="Y249" s="4580"/>
      <c r="Z249" s="4580"/>
      <c r="AA249" s="4580"/>
      <c r="AB249" s="4580" t="str">
        <f>IFERROR(VLOOKUP(AB230,'Tablas Técnicas'!$O$9:$T$88,2,FALSE),"")</f>
        <v/>
      </c>
      <c r="AC249" s="4580"/>
      <c r="AD249" s="4580"/>
      <c r="AE249" s="4580"/>
      <c r="AF249" s="4580"/>
      <c r="AG249" s="4580"/>
      <c r="AH249" s="2180"/>
      <c r="AI249" s="1908"/>
      <c r="AJ249" s="3128"/>
      <c r="AK249" s="3128"/>
      <c r="AL249" s="3128"/>
      <c r="AM249" s="3128"/>
      <c r="AN249" s="3128"/>
      <c r="AO249" s="3128"/>
      <c r="AP249" s="3128"/>
      <c r="AQ249" s="3128"/>
      <c r="AR249" s="3129"/>
      <c r="AS249" s="3129"/>
      <c r="AT249" s="3129"/>
      <c r="AU249" s="3132"/>
      <c r="AV249" s="3132"/>
      <c r="AW249" s="3132"/>
      <c r="AX249" s="3132"/>
      <c r="AY249" s="3128"/>
    </row>
    <row r="250" spans="1:51" ht="12.2" customHeight="1" thickBot="1" x14ac:dyDescent="0.25">
      <c r="A250" s="2172"/>
      <c r="B250" s="2086"/>
      <c r="C250" s="4580"/>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6"/>
      <c r="AK250" s="3136"/>
      <c r="AL250" s="3136"/>
      <c r="AM250" s="3136"/>
      <c r="AN250" s="3136"/>
      <c r="AO250" s="3136"/>
      <c r="AP250" s="3128"/>
      <c r="AQ250" s="3129"/>
      <c r="AR250" s="3132"/>
      <c r="AS250" s="3132"/>
      <c r="AT250" s="3132"/>
      <c r="AU250" s="3132"/>
      <c r="AV250" s="3132"/>
      <c r="AW250" s="3132"/>
      <c r="AX250" s="3132"/>
      <c r="AY250" s="3137"/>
    </row>
    <row r="251" spans="1:51" ht="12.2" customHeight="1" x14ac:dyDescent="0.2">
      <c r="A251" s="2172"/>
      <c r="B251" s="2086">
        <f t="shared" ref="B251:B281" si="6">1+B217</f>
        <v>8</v>
      </c>
      <c r="C251" s="4583" t="str">
        <f>"Técnica "&amp;B251</f>
        <v>Técnica 8</v>
      </c>
      <c r="D251" s="4682" t="s">
        <v>8711</v>
      </c>
      <c r="E251" s="4683"/>
      <c r="F251" s="4683"/>
      <c r="G251" s="4683"/>
      <c r="H251" s="4683"/>
      <c r="I251" s="4683"/>
      <c r="J251" s="4683"/>
      <c r="K251" s="4683"/>
      <c r="L251" s="4683"/>
      <c r="M251" s="4683"/>
      <c r="N251" s="4684"/>
      <c r="O251" s="4688" t="s">
        <v>1325</v>
      </c>
      <c r="P251" s="4690">
        <v>1</v>
      </c>
      <c r="Q251" s="4692" t="s">
        <v>8795</v>
      </c>
      <c r="R251" s="4693"/>
      <c r="S251" s="4696" t="s">
        <v>1381</v>
      </c>
      <c r="T251" s="4697" t="s">
        <v>1505</v>
      </c>
      <c r="U251" s="4699">
        <f>MAX(IF(P251=3,60,IF(P251=2,40,20)),MIN(SUM(N255:N262)-10*Y260+AC260+IF(S251="Sí",10*P251,0)+IF(COUNTIF(K255:M259,"Mantenido")&gt;0,P251*10)+MAX(IF(COUNTIF(K255:M259,"Sostenimiento Menor")&gt;0,P251*20)+IF(COUNTIF(K255:M259,"Sostenimiento Mayor")&gt;0,P251*30))))</f>
        <v>20</v>
      </c>
      <c r="V251" s="4692" t="s">
        <v>8796</v>
      </c>
      <c r="W251" s="4697"/>
      <c r="X251" s="4612" t="str">
        <f>IFERROR(LEFT(AK267&amp;AL267&amp;AM267&amp;AN267&amp;AO267&amp;AP267,LEN(AK267&amp;AL267&amp;AM267&amp;AN267&amp;AO267&amp;AP267)-2),"")</f>
        <v/>
      </c>
      <c r="Y251" s="4612"/>
      <c r="Z251" s="4612"/>
      <c r="AA251" s="4612"/>
      <c r="AB251" s="4612"/>
      <c r="AC251" s="4612"/>
      <c r="AD251" s="4612"/>
      <c r="AE251" s="4612"/>
      <c r="AF251" s="4612"/>
      <c r="AG251" s="4613"/>
      <c r="AH251" s="2180"/>
      <c r="AI251" s="4604"/>
      <c r="AJ251" s="3133" t="s">
        <v>9337</v>
      </c>
      <c r="AK251" s="3133"/>
      <c r="AL251" s="3133"/>
      <c r="AM251" s="3133"/>
      <c r="AN251" s="3133"/>
      <c r="AO251" s="3133"/>
      <c r="AP251" s="3133"/>
      <c r="AQ251" s="3133"/>
      <c r="AR251" s="3133"/>
      <c r="AS251" s="3128"/>
      <c r="AT251" s="3128"/>
      <c r="AU251" s="3128"/>
      <c r="AV251" s="3128"/>
      <c r="AW251" s="3132"/>
      <c r="AX251" s="3132"/>
      <c r="AY251" s="3128"/>
    </row>
    <row r="252" spans="1:51" ht="12.2" customHeight="1" x14ac:dyDescent="0.2">
      <c r="A252" s="2172"/>
      <c r="B252" s="2086">
        <f t="shared" si="6"/>
        <v>8</v>
      </c>
      <c r="C252" s="4584"/>
      <c r="D252" s="4685"/>
      <c r="E252" s="4686"/>
      <c r="F252" s="4686"/>
      <c r="G252" s="4686"/>
      <c r="H252" s="4686"/>
      <c r="I252" s="4686"/>
      <c r="J252" s="4686"/>
      <c r="K252" s="4686"/>
      <c r="L252" s="4686"/>
      <c r="M252" s="4686"/>
      <c r="N252" s="4687"/>
      <c r="O252" s="4689"/>
      <c r="P252" s="4691"/>
      <c r="Q252" s="4694"/>
      <c r="R252" s="4695"/>
      <c r="S252" s="4691"/>
      <c r="T252" s="4698"/>
      <c r="U252" s="4700"/>
      <c r="V252" s="4694"/>
      <c r="W252" s="4698"/>
      <c r="X252" s="4614"/>
      <c r="Y252" s="4614"/>
      <c r="Z252" s="4614"/>
      <c r="AA252" s="4614"/>
      <c r="AB252" s="4614"/>
      <c r="AC252" s="4614"/>
      <c r="AD252" s="4614"/>
      <c r="AE252" s="4614"/>
      <c r="AF252" s="4614"/>
      <c r="AG252" s="4615"/>
      <c r="AH252" s="2180"/>
      <c r="AI252" s="4604"/>
      <c r="AJ252" s="3133"/>
      <c r="AK252" s="3133" t="s">
        <v>9338</v>
      </c>
      <c r="AL252" s="3133" t="s">
        <v>10493</v>
      </c>
      <c r="AM252" s="3134"/>
      <c r="AN252" s="3134"/>
      <c r="AO252" s="3134"/>
      <c r="AP252" s="3134"/>
      <c r="AQ252" s="3134"/>
      <c r="AR252" s="3133"/>
      <c r="AS252" s="3128"/>
      <c r="AT252" s="3128"/>
      <c r="AU252" s="3128"/>
      <c r="AV252" s="3128"/>
      <c r="AW252" s="3132"/>
      <c r="AX252" s="4582" t="s">
        <v>9307</v>
      </c>
      <c r="AY252" s="4582"/>
    </row>
    <row r="253" spans="1:51" ht="12.2" customHeight="1" x14ac:dyDescent="0.2">
      <c r="A253" s="2172"/>
      <c r="B253" s="2086">
        <f t="shared" si="6"/>
        <v>8</v>
      </c>
      <c r="C253" s="4584"/>
      <c r="D253" s="4595" t="s">
        <v>2823</v>
      </c>
      <c r="E253" s="4596"/>
      <c r="F253" s="4596"/>
      <c r="G253" s="4596"/>
      <c r="H253" s="4596"/>
      <c r="I253" s="4596"/>
      <c r="J253" s="4596"/>
      <c r="K253" s="4679" t="s">
        <v>9630</v>
      </c>
      <c r="L253" s="4679"/>
      <c r="M253" s="4679"/>
      <c r="N253" s="4596" t="s">
        <v>1499</v>
      </c>
      <c r="O253" s="4679" t="s">
        <v>2821</v>
      </c>
      <c r="P253" s="4679" t="s">
        <v>8797</v>
      </c>
      <c r="Q253" s="4596" t="s">
        <v>1364</v>
      </c>
      <c r="R253" s="4596"/>
      <c r="S253" s="4596"/>
      <c r="T253" s="4596"/>
      <c r="U253" s="4596"/>
      <c r="V253" s="4659" t="s">
        <v>1373</v>
      </c>
      <c r="W253" s="4654"/>
      <c r="X253" s="4659" t="s">
        <v>1497</v>
      </c>
      <c r="Y253" s="4660"/>
      <c r="Z253" s="4654" t="s">
        <v>1378</v>
      </c>
      <c r="AA253" s="4654"/>
      <c r="AB253" s="4659" t="s">
        <v>1383</v>
      </c>
      <c r="AC253" s="4660"/>
      <c r="AD253" s="4654" t="s">
        <v>1390</v>
      </c>
      <c r="AE253" s="4654"/>
      <c r="AF253" s="4659" t="s">
        <v>1391</v>
      </c>
      <c r="AG253" s="4655"/>
      <c r="AH253" s="2180"/>
      <c r="AI253" s="4604"/>
      <c r="AJ253" s="3128"/>
      <c r="AK253" s="3128"/>
      <c r="AL253" s="3128" t="s">
        <v>9609</v>
      </c>
      <c r="AM253" s="3128"/>
      <c r="AN253" s="3128"/>
      <c r="AO253" s="3128"/>
      <c r="AP253" s="3128"/>
      <c r="AQ253" s="3128"/>
      <c r="AR253" s="3132"/>
      <c r="AS253" s="3132" t="s">
        <v>9327</v>
      </c>
      <c r="AT253" s="3132" t="s">
        <v>9328</v>
      </c>
      <c r="AU253" s="3128" t="s">
        <v>9316</v>
      </c>
      <c r="AV253" s="3128" t="s">
        <v>9317</v>
      </c>
      <c r="AW253" s="3132" t="s">
        <v>1499</v>
      </c>
      <c r="AX253" s="3132" t="s">
        <v>8799</v>
      </c>
      <c r="AY253" s="3128" t="s">
        <v>8800</v>
      </c>
    </row>
    <row r="254" spans="1:51" ht="12.2" customHeight="1" x14ac:dyDescent="0.2">
      <c r="A254" s="2172"/>
      <c r="B254" s="2086">
        <f t="shared" si="6"/>
        <v>8</v>
      </c>
      <c r="C254" s="4584"/>
      <c r="D254" s="4627"/>
      <c r="E254" s="4628"/>
      <c r="F254" s="4628"/>
      <c r="G254" s="4628"/>
      <c r="H254" s="4628"/>
      <c r="I254" s="4628"/>
      <c r="J254" s="4628"/>
      <c r="K254" s="4680"/>
      <c r="L254" s="4680"/>
      <c r="M254" s="4680"/>
      <c r="N254" s="4597"/>
      <c r="O254" s="4680"/>
      <c r="P254" s="4681"/>
      <c r="Q254" s="4597"/>
      <c r="R254" s="4597"/>
      <c r="S254" s="4597"/>
      <c r="T254" s="4597"/>
      <c r="U254" s="4597"/>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604"/>
      <c r="AJ254" s="3128"/>
      <c r="AK254" s="3128" t="s">
        <v>9308</v>
      </c>
      <c r="AL254" s="3128">
        <v>1</v>
      </c>
      <c r="AM254" s="3128">
        <v>2</v>
      </c>
      <c r="AN254" s="3128">
        <v>3</v>
      </c>
      <c r="AO254" s="3128">
        <v>4</v>
      </c>
      <c r="AP254" s="3128">
        <v>5</v>
      </c>
      <c r="AQ254" s="3128">
        <v>6</v>
      </c>
      <c r="AR254" s="3128">
        <v>7</v>
      </c>
      <c r="AS254" s="3132"/>
      <c r="AT254" s="3128" t="s">
        <v>9339</v>
      </c>
      <c r="AU254" s="3132"/>
      <c r="AV254" s="3132"/>
      <c r="AW254" s="3132" t="s">
        <v>9339</v>
      </c>
      <c r="AX254" s="3132"/>
      <c r="AY254" s="3128"/>
    </row>
    <row r="255" spans="1:51" ht="12.2" customHeight="1" x14ac:dyDescent="0.2">
      <c r="A255" s="2172"/>
      <c r="B255" s="2086">
        <f t="shared" si="6"/>
        <v>8</v>
      </c>
      <c r="C255" s="4584"/>
      <c r="D255" s="4670" t="s">
        <v>8801</v>
      </c>
      <c r="E255" s="4671"/>
      <c r="F255" s="4672"/>
      <c r="G255" s="4673"/>
      <c r="H255" s="4673"/>
      <c r="I255" s="4673"/>
      <c r="J255" s="4674"/>
      <c r="K255" s="4641" t="s">
        <v>1455</v>
      </c>
      <c r="L255" s="4642"/>
      <c r="M255" s="4643"/>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678" t="str">
        <f>IFERROR(VLOOKUP(F255,'Tablas Técnicas'!$O$9:$T$88,5,FALSE),"")</f>
        <v/>
      </c>
      <c r="R255" s="4678"/>
      <c r="S255" s="4678"/>
      <c r="T255" s="4678"/>
      <c r="U255" s="4678"/>
      <c r="V255" s="2042"/>
      <c r="W255" s="2043"/>
      <c r="X255" s="2042"/>
      <c r="Y255" s="2044"/>
      <c r="Z255" s="2045"/>
      <c r="AA255" s="2043"/>
      <c r="AB255" s="2042"/>
      <c r="AC255" s="2044"/>
      <c r="AD255" s="2045"/>
      <c r="AE255" s="2043"/>
      <c r="AF255" s="2042"/>
      <c r="AG255" s="2046"/>
      <c r="AH255" s="2180"/>
      <c r="AI255" s="4604"/>
      <c r="AJ255" s="3128">
        <v>1</v>
      </c>
      <c r="AK255" s="3128">
        <f>P251</f>
        <v>1</v>
      </c>
      <c r="AL255" s="3128" t="str">
        <f>IF(AND(ISNUMBER(MATCH($F255,'Tablas Técnicas'!$L$10:$L$643,0)),INDEX($D268:$D274,Tablas!A$1)="",COUNTIF(AM255:$AS255,$F255)=0),$F255,IF(INDEX($D268:$D274,Tablas!A$1)="","",$F255&amp;INDEX($D268:$D274,Tablas!A$1)))</f>
        <v/>
      </c>
      <c r="AM255" s="3128" t="str">
        <f>IF(AND(ISNUMBER(MATCH($F255,'Tablas Técnicas'!$L$10:$L$643,0)),INDEX($D268:$D274,Tablas!B$1)="",COUNTIF(AN255:$AS255,$F255)=0),$F255,IF(INDEX($D268:$D274,Tablas!B$1)="","",$F255&amp;INDEX($D268:$D274,Tablas!B$1)))</f>
        <v/>
      </c>
      <c r="AN255" s="3128" t="str">
        <f>IF(AND(ISNUMBER(MATCH($F255,'Tablas Técnicas'!$L$10:$L$643,0)),INDEX($D268:$D274,Tablas!C$1)="",COUNTIF(AO255:$AS255,$F255)=0),$F255,IF(INDEX($D268:$D274,Tablas!C$1)="","",$F255&amp;INDEX($D268:$D274,Tablas!C$1)))</f>
        <v/>
      </c>
      <c r="AO255" s="3128" t="str">
        <f>IF(AND(ISNUMBER(MATCH($F255,'Tablas Técnicas'!$L$10:$L$643,0)),INDEX($D268:$D274,Tablas!D$1)="",COUNTIF(AP255:$AS255,$F255)=0),$F255,IF(INDEX($D268:$D274,Tablas!D$1)="","",$F255&amp;INDEX($D268:$D274,Tablas!D$1)))</f>
        <v/>
      </c>
      <c r="AP255" s="3128" t="str">
        <f>IF(AND(ISNUMBER(MATCH($F255,'Tablas Técnicas'!$L$10:$L$643,0)),INDEX($D268:$D274,Tablas!E$1)="",COUNTIF(AQ255:$AS255,$F255)=0),$F255,IF(INDEX($D268:$D274,Tablas!E$1)="","",$F255&amp;INDEX($D268:$D274,Tablas!E$1)))</f>
        <v/>
      </c>
      <c r="AQ255" s="3128" t="str">
        <f>IF(AND(ISNUMBER(MATCH($F255,'Tablas Técnicas'!$L$10:$L$643,0)),INDEX($D268:$D274,Tablas!F$1)="",COUNTIF(AR255:$AS255,$F255)=0),$F255,IF(INDEX($D268:$D274,Tablas!F$1)="","",$F255&amp;INDEX($D268:$D274,Tablas!F$1)))</f>
        <v/>
      </c>
      <c r="AR255" s="3128" t="str">
        <f>IF(AND(ISNUMBER(MATCH($F255,'Tablas Técnicas'!$L$10:$L$643,0)),INDEX($D268:$D274,Tablas!G$1)="",COUNTIF(AS255:$AS255,$F255)=0),$F255,IF(INDEX($D268:$D274,Tablas!G$1)="","",$F255&amp;INDEX($D268:$D274,Tablas!G$1)))</f>
        <v/>
      </c>
      <c r="AS255" s="3132">
        <f>V255+X255+Z255+AB255+AD255+AF255</f>
        <v>0</v>
      </c>
      <c r="AT255" s="3132">
        <f t="array" ref="AT255">SUM(IF($AL255:$AR255='Tablas Técnicas'!$L$10:$L$643,IF(D255="Primario",'Tablas Técnicas'!$E$10:$E$643,'Tablas Técnicas'!$F$10:$F$643)+IF(K255="Sostenimiento menor",'Tablas Técnicas'!$I$10:$I$643,IF(K255="sostenimiento mayor",'Tablas Técnicas'!$J$10:$J$643,0)),0),0)+VALUE(RIGHT(P255,2))+AU255+AV255</f>
        <v>0</v>
      </c>
      <c r="AU255" s="313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32">
        <f>(COUNTIF(AL255:AR255,"*Estado añadido:*")-1)*COUNTIF(AL255:AR255,"*Estado añadido:*")</f>
        <v>0</v>
      </c>
      <c r="AW255" s="3132">
        <f t="array" ref="AW255">SUM(IF($AL255:$AR255='Tablas Técnicas'!$L$10:$L$643,'Tablas Técnicas'!$G$10:$G$643,0))</f>
        <v>0</v>
      </c>
      <c r="AX255" s="312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8" t="str">
        <f>IFERROR(LEFT(AX255,LEN(AX255)-2)&amp;"), ","")</f>
        <v/>
      </c>
    </row>
    <row r="256" spans="1:51" ht="12.2" customHeight="1" x14ac:dyDescent="0.2">
      <c r="A256" s="2172"/>
      <c r="B256" s="2086">
        <f t="shared" si="6"/>
        <v>8</v>
      </c>
      <c r="C256" s="4584"/>
      <c r="D256" s="4629" t="s">
        <v>524</v>
      </c>
      <c r="E256" s="4630"/>
      <c r="F256" s="4661"/>
      <c r="G256" s="4662"/>
      <c r="H256" s="4662"/>
      <c r="I256" s="4662"/>
      <c r="J256" s="4663"/>
      <c r="K256" s="4664" t="s">
        <v>1455</v>
      </c>
      <c r="L256" s="4665"/>
      <c r="M256" s="4666"/>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1" t="str">
        <f>IFERROR(VLOOKUP(F256,'Tablas Técnicas'!$O$9:$T$88,5,FALSE),"")</f>
        <v/>
      </c>
      <c r="R256" s="4631"/>
      <c r="S256" s="4631"/>
      <c r="T256" s="4631"/>
      <c r="U256" s="4631"/>
      <c r="V256" s="2047"/>
      <c r="W256" s="2048"/>
      <c r="X256" s="2047"/>
      <c r="Y256" s="2049"/>
      <c r="Z256" s="2050"/>
      <c r="AA256" s="2048"/>
      <c r="AB256" s="2047"/>
      <c r="AC256" s="2049"/>
      <c r="AD256" s="2050"/>
      <c r="AE256" s="2048"/>
      <c r="AF256" s="2047"/>
      <c r="AG256" s="2051"/>
      <c r="AH256" s="2180"/>
      <c r="AI256" s="4604"/>
      <c r="AJ256" s="3128">
        <v>2</v>
      </c>
      <c r="AK256" s="3128">
        <f>P251</f>
        <v>1</v>
      </c>
      <c r="AL256" s="3128" t="str">
        <f>IF(AND(ISNUMBER(MATCH($F256,'Tablas Técnicas'!$L$10:$L$643,0)),INDEX($J268:$J274,Tablas!A$1)="",COUNTIF(AM256:$AS256,$F256)=0),$F256,IF(INDEX($J268:$J274,Tablas!A$1)="","",$F256&amp;INDEX($J268:$J274,Tablas!A$1)))</f>
        <v/>
      </c>
      <c r="AM256" s="3128" t="str">
        <f>IF(AND(ISNUMBER(MATCH($F256,'Tablas Técnicas'!$L$10:$L$643,0)),INDEX($J268:$J274,Tablas!B$1)="",COUNTIF(AN256:$AS256,$F256)=0),$F256,IF(INDEX($J268:$J274,Tablas!B$1)="","",$F256&amp;INDEX($J268:$J274,Tablas!B$1)))</f>
        <v/>
      </c>
      <c r="AN256" s="3128" t="str">
        <f>IF(AND(ISNUMBER(MATCH($F256,'Tablas Técnicas'!$L$10:$L$643,0)),INDEX($J268:$J274,Tablas!C$1)="",COUNTIF(AO256:$AS256,$F256)=0),$F256,IF(INDEX($J268:$J274,Tablas!C$1)="","",$F256&amp;INDEX($J268:$J274,Tablas!C$1)))</f>
        <v/>
      </c>
      <c r="AO256" s="3128" t="str">
        <f>IF(AND(ISNUMBER(MATCH($F256,'Tablas Técnicas'!$L$10:$L$643,0)),INDEX($J268:$J274,Tablas!D$1)="",COUNTIF(AP256:$AS256,$F256)=0),$F256,IF(INDEX($J268:$J274,Tablas!D$1)="","",$F256&amp;INDEX($J268:$J274,Tablas!D$1)))</f>
        <v/>
      </c>
      <c r="AP256" s="3128" t="str">
        <f>IF(AND(ISNUMBER(MATCH($F256,'Tablas Técnicas'!$L$10:$L$643,0)),INDEX($J268:$J274,Tablas!E$1)="",COUNTIF(AQ256:$AS256,$F256)=0),$F256,IF(INDEX($J268:$J274,Tablas!E$1)="","",$F256&amp;INDEX($J268:$J274,Tablas!E$1)))</f>
        <v/>
      </c>
      <c r="AQ256" s="3128" t="str">
        <f>IF(AND(ISNUMBER(MATCH($F256,'Tablas Técnicas'!$L$10:$L$643,0)),INDEX($J268:$J274,Tablas!F$1)="",COUNTIF(AR256:$AS256,$F256)=0),$F256,IF(INDEX($J268:$J274,Tablas!F$1)="","",$F256&amp;INDEX($J268:$J274,Tablas!F$1)))</f>
        <v/>
      </c>
      <c r="AR256" s="3128" t="str">
        <f>IF(AND(ISNUMBER(MATCH($F256,'Tablas Técnicas'!$L$10:$L$643,0)),INDEX($J268:$J274,Tablas!G$1)="",COUNTIF(AS256:$AS256,$F256)=0),$F256,IF(INDEX($J268:$J274,Tablas!G$1)="","",$F256&amp;INDEX($J268:$J274,Tablas!G$1)))</f>
        <v/>
      </c>
      <c r="AS256" s="3132">
        <f>V256+X256+Z256+AB256+AD256+AF256</f>
        <v>0</v>
      </c>
      <c r="AT256" s="3132">
        <f t="array" ref="AT256">SUM(IF($AL256:$AR256='Tablas Técnicas'!$L$10:$L$643,IF(D256="Primario",'Tablas Técnicas'!$E$10:$E$643,'Tablas Técnicas'!$F$10:$F$643)+IF(K256="Sostenimiento menor",'Tablas Técnicas'!$I$10:$I$643,IF(K256="sostenimiento mayor",'Tablas Técnicas'!$J$10:$J$643,0)),0),0)+VALUE(RIGHT(P256,2))+AU256+AV256</f>
        <v>0</v>
      </c>
      <c r="AU256" s="313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32">
        <f>(COUNTIF(AL256:AR256,"*Estado añadido:*")-1)*COUNTIF(AL256:AR256,"*Estado añadido:*")</f>
        <v>0</v>
      </c>
      <c r="AW256" s="3132">
        <f t="array" ref="AW256">SUM(IF($AL256:$AR256='Tablas Técnicas'!$L$10:$L$643,'Tablas Técnicas'!$G$10:$G$643,0))</f>
        <v>0</v>
      </c>
      <c r="AX256" s="312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8" t="str">
        <f>IFERROR(LEFT(AX256,LEN(AX256)-2)&amp;"), ","")</f>
        <v/>
      </c>
    </row>
    <row r="257" spans="1:51" ht="12.2" customHeight="1" x14ac:dyDescent="0.2">
      <c r="A257" s="2172"/>
      <c r="B257" s="2086">
        <f t="shared" si="6"/>
        <v>8</v>
      </c>
      <c r="C257" s="4584"/>
      <c r="D257" s="4675" t="s">
        <v>524</v>
      </c>
      <c r="E257" s="4676"/>
      <c r="F257" s="4605"/>
      <c r="G257" s="4606"/>
      <c r="H257" s="4606"/>
      <c r="I257" s="4606"/>
      <c r="J257" s="4607"/>
      <c r="K257" s="4667" t="s">
        <v>1455</v>
      </c>
      <c r="L257" s="4668"/>
      <c r="M257" s="4669"/>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677" t="str">
        <f>IFERROR(VLOOKUP(F257,'Tablas Técnicas'!$O$9:$T$88,5,FALSE),"")</f>
        <v/>
      </c>
      <c r="R257" s="4677"/>
      <c r="S257" s="4677"/>
      <c r="T257" s="4677"/>
      <c r="U257" s="4677"/>
      <c r="V257" s="2052"/>
      <c r="W257" s="2053"/>
      <c r="X257" s="2052"/>
      <c r="Y257" s="2054"/>
      <c r="Z257" s="2055"/>
      <c r="AA257" s="2053"/>
      <c r="AB257" s="2052"/>
      <c r="AC257" s="2054"/>
      <c r="AD257" s="2055"/>
      <c r="AE257" s="2053"/>
      <c r="AF257" s="2052"/>
      <c r="AG257" s="2056"/>
      <c r="AH257" s="2180"/>
      <c r="AI257" s="4604"/>
      <c r="AJ257" s="3128">
        <v>3</v>
      </c>
      <c r="AK257" s="3128">
        <f>P251</f>
        <v>1</v>
      </c>
      <c r="AL257" s="3128" t="str">
        <f>IF(AND(ISNUMBER(MATCH($F257,'Tablas Técnicas'!$L$10:$L$643,0)),INDEX($P268:$P274,Tablas!A$1)="",COUNTIF(AM257:$AS257,$F257)=0),$F257,IF(INDEX($P268:$P274,Tablas!A$1)="","",$F257&amp;INDEX($P268:$P274,Tablas!A$1)))</f>
        <v/>
      </c>
      <c r="AM257" s="3128" t="str">
        <f>IF(AND(ISNUMBER(MATCH($F257,'Tablas Técnicas'!$L$10:$L$643,0)),INDEX($P268:$P274,Tablas!B$1)="",COUNTIF(AN257:$AS257,$F257)=0),$F257,IF(INDEX($P268:$P274,Tablas!B$1)="","",$F257&amp;INDEX($P268:$P274,Tablas!B$1)))</f>
        <v/>
      </c>
      <c r="AN257" s="3128" t="str">
        <f>IF(AND(ISNUMBER(MATCH($F257,'Tablas Técnicas'!$L$10:$L$643,0)),INDEX($P268:$P274,Tablas!C$1)="",COUNTIF(AO257:$AS257,$F257)=0),$F257,IF(INDEX($P268:$P274,Tablas!C$1)="","",$F257&amp;INDEX($P268:$P274,Tablas!C$1)))</f>
        <v/>
      </c>
      <c r="AO257" s="3128" t="str">
        <f>IF(AND(ISNUMBER(MATCH($F257,'Tablas Técnicas'!$L$10:$L$643,0)),INDEX($P268:$P274,Tablas!D$1)="",COUNTIF(AP257:$AS257,$F257)=0),$F257,IF(INDEX($P268:$P274,Tablas!D$1)="","",$F257&amp;INDEX($P268:$P274,Tablas!D$1)))</f>
        <v/>
      </c>
      <c r="AP257" s="3128" t="str">
        <f>IF(AND(ISNUMBER(MATCH($F257,'Tablas Técnicas'!$L$10:$L$643,0)),INDEX($P268:$P274,Tablas!E$1)="",COUNTIF(AQ257:$AS257,$F257)=0),$F257,IF(INDEX($P268:$P274,Tablas!E$1)="","",$F257&amp;INDEX($P268:$P274,Tablas!E$1)))</f>
        <v/>
      </c>
      <c r="AQ257" s="3128" t="str">
        <f>IF(AND(ISNUMBER(MATCH($F257,'Tablas Técnicas'!$L$10:$L$643,0)),INDEX($P268:$P274,Tablas!F$1)="",COUNTIF(AR257:$AS257,$F257)=0),$F257,IF(INDEX($P268:$P274,Tablas!F$1)="","",$F257&amp;INDEX($P268:$P274,Tablas!F$1)))</f>
        <v/>
      </c>
      <c r="AR257" s="3128" t="str">
        <f>IF(AND(ISNUMBER(MATCH($F257,'Tablas Técnicas'!$L$10:$L$643,0)),INDEX($P268:$P274,Tablas!G$1)="",COUNTIF(AS257:$AS257,$F257)=0),$F257,IF(INDEX($P268:$P274,Tablas!G$1)="","",$F257&amp;INDEX($P268:$P274,Tablas!G$1)))</f>
        <v/>
      </c>
      <c r="AS257" s="3132">
        <f>V257+X257+Z257+AB257+AD257+AF257</f>
        <v>0</v>
      </c>
      <c r="AT257" s="3132">
        <f t="array" ref="AT257">SUM(IF($AL257:$AR257='Tablas Técnicas'!$L$10:$L$643,IF(D257="Primario",'Tablas Técnicas'!$E$10:$E$643,'Tablas Técnicas'!$F$10:$F$643)+IF(K257="Sostenimiento menor",'Tablas Técnicas'!$I$10:$I$643,IF(K257="sostenimiento mayor",'Tablas Técnicas'!$J$10:$J$643,0)),0),0)+VALUE(RIGHT(P257,2))+AU257+AV257</f>
        <v>0</v>
      </c>
      <c r="AU257" s="313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32">
        <f>(COUNTIF(AL257:AR257,"*Estado añadido:*")-1)*COUNTIF(AL257:AR257,"*Estado añadido:*")</f>
        <v>0</v>
      </c>
      <c r="AW257" s="3132">
        <f t="array" ref="AW257">SUM(IF($AL257:$AR257='Tablas Técnicas'!$L$10:$L$643,'Tablas Técnicas'!$G$10:$G$643,0))</f>
        <v>0</v>
      </c>
      <c r="AX257" s="312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8" t="str">
        <f>IFERROR(LEFT(AX257,LEN(AX257)-2)&amp;"), ","")</f>
        <v/>
      </c>
    </row>
    <row r="258" spans="1:51" ht="12.2" customHeight="1" x14ac:dyDescent="0.2">
      <c r="A258" s="2172"/>
      <c r="B258" s="2086">
        <f t="shared" si="6"/>
        <v>8</v>
      </c>
      <c r="C258" s="4584"/>
      <c r="D258" s="4629" t="s">
        <v>524</v>
      </c>
      <c r="E258" s="4630"/>
      <c r="F258" s="4661"/>
      <c r="G258" s="4662"/>
      <c r="H258" s="4662"/>
      <c r="I258" s="4662"/>
      <c r="J258" s="4663"/>
      <c r="K258" s="4664" t="s">
        <v>1455</v>
      </c>
      <c r="L258" s="4665"/>
      <c r="M258" s="4666"/>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1" t="str">
        <f>IFERROR(VLOOKUP(F258,'Tablas Técnicas'!$O$9:$T$88,5,FALSE),"")</f>
        <v/>
      </c>
      <c r="R258" s="4631"/>
      <c r="S258" s="4631"/>
      <c r="T258" s="4631"/>
      <c r="U258" s="4631"/>
      <c r="V258" s="2047"/>
      <c r="W258" s="2048"/>
      <c r="X258" s="2047"/>
      <c r="Y258" s="2049"/>
      <c r="Z258" s="2050"/>
      <c r="AA258" s="2048"/>
      <c r="AB258" s="2047"/>
      <c r="AC258" s="2049"/>
      <c r="AD258" s="2050"/>
      <c r="AE258" s="2048"/>
      <c r="AF258" s="2047"/>
      <c r="AG258" s="2051"/>
      <c r="AH258" s="2180"/>
      <c r="AI258" s="4604"/>
      <c r="AJ258" s="3128">
        <v>4</v>
      </c>
      <c r="AK258" s="3128">
        <f>P251</f>
        <v>1</v>
      </c>
      <c r="AL258" s="3128" t="str">
        <f>IF(AND(ISNUMBER(MATCH($F258,'Tablas Técnicas'!$L$10:$L$643,0)),INDEX($V268:$V274,Tablas!A$1)="",COUNTIF(AM258:$AS258,$F258)=0),$F258,IF(INDEX($V268:$V274,Tablas!A$1)="","",$F258&amp;INDEX($V268:$V274,Tablas!A$1)))</f>
        <v/>
      </c>
      <c r="AM258" s="3128" t="str">
        <f>IF(AND(ISNUMBER(MATCH($F258,'Tablas Técnicas'!$L$10:$L$643,0)),INDEX($V268:$V274,Tablas!B$1)="",COUNTIF(AN258:$AS258,$F258)=0),$F258,IF(INDEX($V268:$V274,Tablas!B$1)="","",$F258&amp;INDEX($V268:$V274,Tablas!B$1)))</f>
        <v/>
      </c>
      <c r="AN258" s="3128" t="str">
        <f>IF(AND(ISNUMBER(MATCH($F258,'Tablas Técnicas'!$L$10:$L$643,0)),INDEX($V268:$V274,Tablas!C$1)="",COUNTIF(AO258:$AS258,$F258)=0),$F258,IF(INDEX($V268:$V274,Tablas!C$1)="","",$F258&amp;INDEX($V268:$V274,Tablas!C$1)))</f>
        <v/>
      </c>
      <c r="AO258" s="3128" t="str">
        <f>IF(AND(ISNUMBER(MATCH($F258,'Tablas Técnicas'!$L$10:$L$643,0)),INDEX($V268:$V274,Tablas!D$1)="",COUNTIF(AP258:$AS258,$F258)=0),$F258,IF(INDEX($V268:$V274,Tablas!D$1)="","",$F258&amp;INDEX($V268:$V274,Tablas!D$1)))</f>
        <v/>
      </c>
      <c r="AP258" s="3128" t="str">
        <f>IF(AND(ISNUMBER(MATCH($F258,'Tablas Técnicas'!$L$10:$L$643,0)),INDEX($V268:$V274,Tablas!E$1)="",COUNTIF(AQ258:$AS258,$F258)=0),$F258,IF(INDEX($V268:$V274,Tablas!E$1)="","",$F258&amp;INDEX($V268:$V274,Tablas!E$1)))</f>
        <v/>
      </c>
      <c r="AQ258" s="3128" t="str">
        <f>IF(AND(ISNUMBER(MATCH($F258,'Tablas Técnicas'!$L$10:$L$643,0)),INDEX($V268:$V274,Tablas!F$1)="",COUNTIF(AR258:$AS258,$F258)=0),$F258,IF(INDEX($V268:$V274,Tablas!F$1)="","",$F258&amp;INDEX($V268:$V274,Tablas!F$1)))</f>
        <v/>
      </c>
      <c r="AR258" s="3128" t="str">
        <f>IF(AND(ISNUMBER(MATCH($F258,'Tablas Técnicas'!$L$10:$L$643,0)),INDEX($V268:$V274,Tablas!G$1)="",COUNTIF(AS258:$AS258,$F258)=0),$F258,IF(INDEX($V268:$V274,Tablas!G$1)="","",$F258&amp;INDEX($V268:$V274,Tablas!G$1)))</f>
        <v/>
      </c>
      <c r="AS258" s="3132">
        <f>V258+X258+Z258+AB258+AD258+AF258</f>
        <v>0</v>
      </c>
      <c r="AT258" s="3132">
        <f t="array" ref="AT258">SUM(IF($AL258:$AR258='Tablas Técnicas'!$L$10:$L$643,IF(D258="Primario",'Tablas Técnicas'!$E$10:$E$643,'Tablas Técnicas'!$F$10:$F$643)+IF(K258="Sostenimiento menor",'Tablas Técnicas'!$I$10:$I$643,IF(K258="sostenimiento mayor",'Tablas Técnicas'!$J$10:$J$643,0)),0),0)+VALUE(RIGHT(P258,2))+AU258+AV258</f>
        <v>0</v>
      </c>
      <c r="AU258" s="313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32">
        <f>(COUNTIF(AL258:AR258,"*Estado añadido:*")-1)*COUNTIF(AL258:AR258,"*Estado añadido:*")</f>
        <v>0</v>
      </c>
      <c r="AW258" s="3132">
        <f t="array" ref="AW258">SUM(IF($AL258:$AR258='Tablas Técnicas'!$L$10:$L$643,'Tablas Técnicas'!$G$10:$G$643,0))</f>
        <v>0</v>
      </c>
      <c r="AX258" s="312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8" t="str">
        <f>IFERROR(LEFT(AX258,LEN(AX258)-2)&amp;"), ","")</f>
        <v/>
      </c>
    </row>
    <row r="259" spans="1:51" ht="12.2" customHeight="1" thickBot="1" x14ac:dyDescent="0.25">
      <c r="A259" s="2172"/>
      <c r="B259" s="2086">
        <f t="shared" si="6"/>
        <v>8</v>
      </c>
      <c r="C259" s="4584"/>
      <c r="D259" s="4632" t="s">
        <v>524</v>
      </c>
      <c r="E259" s="4633"/>
      <c r="F259" s="4589"/>
      <c r="G259" s="4590"/>
      <c r="H259" s="4590"/>
      <c r="I259" s="4590"/>
      <c r="J259" s="4591"/>
      <c r="K259" s="4592" t="s">
        <v>1455</v>
      </c>
      <c r="L259" s="4593"/>
      <c r="M259" s="4594"/>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34" t="str">
        <f>IFERROR(VLOOKUP(F259,'Tablas Técnicas'!$O$9:$T$88,5,FALSE),"")</f>
        <v/>
      </c>
      <c r="R259" s="4634"/>
      <c r="S259" s="4634"/>
      <c r="T259" s="4634"/>
      <c r="U259" s="4634"/>
      <c r="V259" s="2057"/>
      <c r="W259" s="2058"/>
      <c r="X259" s="2057"/>
      <c r="Y259" s="2059"/>
      <c r="Z259" s="2060"/>
      <c r="AA259" s="2058"/>
      <c r="AB259" s="2057"/>
      <c r="AC259" s="2059"/>
      <c r="AD259" s="2060"/>
      <c r="AE259" s="2058"/>
      <c r="AF259" s="2057"/>
      <c r="AG259" s="2061"/>
      <c r="AH259" s="2180"/>
      <c r="AI259" s="4604"/>
      <c r="AJ259" s="3128">
        <v>5</v>
      </c>
      <c r="AK259" s="3128">
        <f>P251</f>
        <v>1</v>
      </c>
      <c r="AL259" s="3128" t="str">
        <f>IF(AND(ISNUMBER(MATCH($F259,'Tablas Técnicas'!$L$10:$L$643,0)),INDEX($AB268:$AB274,Tablas!A$1)="",COUNTIF(AM259:$AS259,$F259)=0),$F259,IF(INDEX($AB268:$AB274,Tablas!A$1)="","",$F259&amp;INDEX($AB268:$AB274,Tablas!A$1)))</f>
        <v/>
      </c>
      <c r="AM259" s="3128" t="str">
        <f>IF(AND(ISNUMBER(MATCH($F259,'Tablas Técnicas'!$L$10:$L$643,0)),INDEX($AB268:$AB274,Tablas!B$1)="",COUNTIF(AN259:$AS259,$F259)=0),$F259,IF(INDEX($AB268:$AB274,Tablas!B$1)="","",$F259&amp;INDEX($AB268:$AB274,Tablas!B$1)))</f>
        <v/>
      </c>
      <c r="AN259" s="3128" t="str">
        <f>IF(AND(ISNUMBER(MATCH($F259,'Tablas Técnicas'!$L$10:$L$643,0)),INDEX($AB268:$AB274,Tablas!C$1)="",COUNTIF(AO259:$AS259,$F259)=0),$F259,IF(INDEX($AB268:$AB274,Tablas!C$1)="","",$F259&amp;INDEX($AB268:$AB274,Tablas!C$1)))</f>
        <v/>
      </c>
      <c r="AO259" s="3128" t="str">
        <f>IF(AND(ISNUMBER(MATCH($F259,'Tablas Técnicas'!$L$10:$L$643,0)),INDEX($AB268:$AB274,Tablas!D$1)="",COUNTIF(AP259:$AS259,$F259)=0),$F259,IF(INDEX($AB268:$AB274,Tablas!D$1)="","",$F259&amp;INDEX($AB268:$AB274,Tablas!D$1)))</f>
        <v/>
      </c>
      <c r="AP259" s="3128" t="str">
        <f>IF(AND(ISNUMBER(MATCH($F259,'Tablas Técnicas'!$L$10:$L$643,0)),INDEX($AB268:$AB274,Tablas!E$1)="",COUNTIF(AQ259:$AS259,$F259)=0),$F259,IF(INDEX($AB268:$AB274,Tablas!E$1)="","",$F259&amp;INDEX($AB268:$AB274,Tablas!E$1)))</f>
        <v/>
      </c>
      <c r="AQ259" s="3128" t="str">
        <f>IF(AND(ISNUMBER(MATCH($F259,'Tablas Técnicas'!$L$10:$L$643,0)),INDEX($AB268:$AB274,Tablas!F$1)="",COUNTIF(AR259:$AS259,$F259)=0),$F259,IF(INDEX($AB268:$AB274,Tablas!F$1)="","",$F259&amp;INDEX($AB268:$AB274,Tablas!F$1)))</f>
        <v/>
      </c>
      <c r="AR259" s="3128" t="str">
        <f>IF(AND(ISNUMBER(MATCH($F259,'Tablas Técnicas'!$L$10:$L$643,0)),INDEX($AB268:$AB274,Tablas!G$1)="",COUNTIF(AS259:$AS259,$F259)=0),$F259,IF(INDEX($AB268:$AB274,Tablas!G$1)="","",$F259&amp;INDEX($AB268:$AB274,Tablas!G$1)))</f>
        <v/>
      </c>
      <c r="AS259" s="3132">
        <f>V259+X259+Z259+AB259+AD259+AF259</f>
        <v>0</v>
      </c>
      <c r="AT259" s="3132">
        <f t="array" ref="AT259">SUM(IF($AL259:$AR259='Tablas Técnicas'!$L$10:$L$643,IF(D259="Primario",'Tablas Técnicas'!$E$10:$E$643,'Tablas Técnicas'!$F$10:$F$643)+IF(K259="Sostenimiento menor",'Tablas Técnicas'!$I$10:$I$643,IF(K259="sostenimiento mayor",'Tablas Técnicas'!$J$10:$J$643,0)),0),0)+VALUE(RIGHT(P259,2))+AU259+AV259</f>
        <v>0</v>
      </c>
      <c r="AU259" s="313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32">
        <f>(COUNTIF(AL259:AR259,"*Estado añadido:*")-1)*COUNTIF(AL259:AR259,"*Estado añadido:*")</f>
        <v>0</v>
      </c>
      <c r="AW259" s="3132">
        <f t="array" ref="AW259">SUM(IF($AL259:$AR259='Tablas Técnicas'!$L$10:$L$643,'Tablas Técnicas'!$G$10:$G$643,0))</f>
        <v>0</v>
      </c>
      <c r="AX259" s="312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8" t="str">
        <f>IFERROR(LEFT(AX259,LEN(AX259)-2)&amp;"), ","")</f>
        <v/>
      </c>
    </row>
    <row r="260" spans="1:51" ht="12.2" customHeight="1" x14ac:dyDescent="0.2">
      <c r="A260" s="2172"/>
      <c r="B260" s="2086">
        <f t="shared" si="6"/>
        <v>8</v>
      </c>
      <c r="C260" s="4584"/>
      <c r="D260" s="4635" t="s">
        <v>2818</v>
      </c>
      <c r="E260" s="4636"/>
      <c r="F260" s="4656"/>
      <c r="G260" s="4657"/>
      <c r="H260" s="4657"/>
      <c r="I260" s="4657"/>
      <c r="J260" s="4658"/>
      <c r="K260" s="4674"/>
      <c r="L260" s="4703"/>
      <c r="M260" s="4704"/>
      <c r="N260" s="1916" t="str">
        <f>IFERROR(INDEX('Tablas Técnicas'!$Q$200:$Q$301,MATCH(F260&amp;K260,'Tablas Técnicas'!$S$200:$S$301,0)),"")</f>
        <v/>
      </c>
      <c r="O260" s="4705"/>
      <c r="P260" s="4706"/>
      <c r="Q260" s="4707"/>
      <c r="R260" s="4706"/>
      <c r="S260" s="2745" t="str">
        <f>IFERROR("Nivel: "&amp;MAX(1,INDEX('Tablas Técnicas'!$R$200:$R$301,MATCH(F260&amp;K260,'Tablas Técnicas'!$S$200:$S$301,0))),"")</f>
        <v/>
      </c>
      <c r="T260" s="1917"/>
      <c r="U260" s="1918" t="str">
        <f>IFERROR("("&amp;VLOOKUP(F260,'Tablas Técnicas'!$O$165:$Q$192,3,FALSE)&amp;")","")</f>
        <v/>
      </c>
      <c r="V260" s="4644" t="s">
        <v>9619</v>
      </c>
      <c r="W260" s="4645"/>
      <c r="X260" s="4646"/>
      <c r="Y260" s="2297">
        <v>0</v>
      </c>
      <c r="Z260" s="4647" t="s">
        <v>8806</v>
      </c>
      <c r="AA260" s="4648"/>
      <c r="AB260" s="4649"/>
      <c r="AC260" s="2297">
        <v>0</v>
      </c>
      <c r="AD260" s="4650" t="str">
        <f>"Ki sin repartir: "&amp;AL268-AL269&amp;IF(AM268=0,""," ("&amp;AM268-AM269&amp;")")</f>
        <v>Ki sin repartir: 0</v>
      </c>
      <c r="AE260" s="4651"/>
      <c r="AF260" s="4651"/>
      <c r="AG260" s="4652"/>
      <c r="AH260" s="2180"/>
      <c r="AI260" s="4604"/>
      <c r="AJ260" s="3128">
        <v>1</v>
      </c>
      <c r="AK260" s="3128">
        <f>P251</f>
        <v>1</v>
      </c>
      <c r="AL260" s="3128" t="e">
        <f>VLOOKUP(F260,'Tablas Técnicas'!$O$165:$Q$188,2,FALSE)</f>
        <v>#N/A</v>
      </c>
      <c r="AM260" s="3128"/>
      <c r="AN260" s="3129"/>
      <c r="AO260" s="3128"/>
      <c r="AP260" s="3128"/>
      <c r="AQ260" s="3129"/>
      <c r="AR260" s="3128"/>
      <c r="AS260" s="3128"/>
      <c r="AT260" s="3128"/>
      <c r="AU260" s="3128"/>
      <c r="AV260" s="3128"/>
      <c r="AW260" s="3132"/>
      <c r="AX260" s="3132"/>
      <c r="AY260" s="3128" t="str">
        <f>IF(F260="","",F260&amp;IF(K260="",""," ("&amp;IF(F260="Atadura Elemental",O260&amp;IF(Q260="","",", "&amp;Q260),K260)&amp;")")&amp;", ")</f>
        <v/>
      </c>
    </row>
    <row r="261" spans="1:51" ht="12.2" customHeight="1" x14ac:dyDescent="0.2">
      <c r="A261" s="2172"/>
      <c r="B261" s="2086">
        <f t="shared" si="6"/>
        <v>8</v>
      </c>
      <c r="C261" s="4584"/>
      <c r="D261" s="4637"/>
      <c r="E261" s="4638"/>
      <c r="F261" s="4708"/>
      <c r="G261" s="4709"/>
      <c r="H261" s="4709"/>
      <c r="I261" s="4709"/>
      <c r="J261" s="4710"/>
      <c r="K261" s="4663"/>
      <c r="L261" s="4723"/>
      <c r="M261" s="4724"/>
      <c r="N261" s="1919" t="str">
        <f>IFERROR(INDEX('Tablas Técnicas'!$Q$200:$Q$301,MATCH(F261&amp;K261,'Tablas Técnicas'!$S$200:$S$301,0)),"")</f>
        <v/>
      </c>
      <c r="O261" s="4711"/>
      <c r="P261" s="4712"/>
      <c r="Q261" s="4713"/>
      <c r="R261" s="4712"/>
      <c r="S261" s="2747" t="str">
        <f>IFERROR("Nivel: "&amp;MAX(1,INDEX('Tablas Técnicas'!$R$200:$R$301,MATCH(F261&amp;K261,'Tablas Técnicas'!$S$200:$S$301,0))),"")</f>
        <v/>
      </c>
      <c r="T261" s="2528"/>
      <c r="U261" s="2529" t="str">
        <f>IFERROR("("&amp;VLOOKUP(F261,'Tablas Técnicas'!$O$165:$Q$192,3,FALSE)&amp;")","")</f>
        <v/>
      </c>
      <c r="V261" s="4653" t="str">
        <f>"Mod. "&amp;V253</f>
        <v>Mod. AGI</v>
      </c>
      <c r="W261" s="4654"/>
      <c r="X261" s="4653" t="str">
        <f>"Mod. "&amp;X253</f>
        <v>Mod. CON</v>
      </c>
      <c r="Y261" s="4654"/>
      <c r="Z261" s="4653" t="str">
        <f>"Mod. "&amp;Z253</f>
        <v>Mod. DES</v>
      </c>
      <c r="AA261" s="4654"/>
      <c r="AB261" s="4653" t="str">
        <f>"Mod. "&amp;AB253</f>
        <v>Mod. FUE</v>
      </c>
      <c r="AC261" s="4654"/>
      <c r="AD261" s="4653" t="str">
        <f>"Mod. "&amp;AD253</f>
        <v>Mod. POD</v>
      </c>
      <c r="AE261" s="4654"/>
      <c r="AF261" s="4653" t="str">
        <f>"Mod. "&amp;AF253</f>
        <v>Mod. VOL</v>
      </c>
      <c r="AG261" s="4655"/>
      <c r="AH261" s="2180"/>
      <c r="AI261" s="4604"/>
      <c r="AJ261" s="3128">
        <v>2</v>
      </c>
      <c r="AK261" s="3128">
        <f>P251</f>
        <v>1</v>
      </c>
      <c r="AL261" s="3128" t="e">
        <f>VLOOKUP(F261,'Tablas Técnicas'!$O$165:$Q$188,2,FALSE)</f>
        <v>#N/A</v>
      </c>
      <c r="AM261" s="3128"/>
      <c r="AN261" s="3129"/>
      <c r="AO261" s="3128"/>
      <c r="AP261" s="3128"/>
      <c r="AQ261" s="3129"/>
      <c r="AR261" s="3128"/>
      <c r="AS261" s="3128"/>
      <c r="AT261" s="3128"/>
      <c r="AU261" s="3128"/>
      <c r="AV261" s="3128"/>
      <c r="AW261" s="3132"/>
      <c r="AX261" s="3132"/>
      <c r="AY261" s="3128" t="str">
        <f>IF(F261="","",F261&amp;IF(K261="",""," ("&amp;IF(F261="Atadura Elemental",O261&amp;IF(Q261="","",", "&amp;Q261),K261)&amp;")")&amp;", ")</f>
        <v/>
      </c>
    </row>
    <row r="262" spans="1:51" ht="12.2" customHeight="1" thickBot="1" x14ac:dyDescent="0.25">
      <c r="A262" s="2172"/>
      <c r="B262" s="2086">
        <f t="shared" si="6"/>
        <v>8</v>
      </c>
      <c r="C262" s="4584"/>
      <c r="D262" s="4639"/>
      <c r="E262" s="4640"/>
      <c r="F262" s="4714"/>
      <c r="G262" s="4715"/>
      <c r="H262" s="4715"/>
      <c r="I262" s="4715"/>
      <c r="J262" s="4716"/>
      <c r="K262" s="4718"/>
      <c r="L262" s="4719"/>
      <c r="M262" s="4720"/>
      <c r="N262" s="1920" t="str">
        <f>IFERROR(INDEX('Tablas Técnicas'!$Q$200:$Q$301,MATCH(F262&amp;K262,'Tablas Técnicas'!$S$200:$S$301,0)),"")</f>
        <v/>
      </c>
      <c r="O262" s="4701"/>
      <c r="P262" s="4702"/>
      <c r="Q262" s="4717"/>
      <c r="R262" s="4702"/>
      <c r="S262" s="2746" t="str">
        <f>IFERROR("Nivel: "&amp;MAX(1,INDEX('Tablas Técnicas'!$R$200:$R$301,MATCH(F262&amp;K262,'Tablas Técnicas'!$S$200:$S$301,0))),"")</f>
        <v/>
      </c>
      <c r="T262" s="2530"/>
      <c r="U262" s="2531" t="str">
        <f>IFERROR("("&amp;VLOOKUP(F262,'Tablas Técnicas'!$O$165:$Q$192,3,FALSE)&amp;")","")</f>
        <v/>
      </c>
      <c r="V262" s="4610"/>
      <c r="W262" s="4608"/>
      <c r="X262" s="4608"/>
      <c r="Y262" s="4608"/>
      <c r="Z262" s="4608"/>
      <c r="AA262" s="4608"/>
      <c r="AB262" s="4608"/>
      <c r="AC262" s="4608"/>
      <c r="AD262" s="4608"/>
      <c r="AE262" s="4608"/>
      <c r="AF262" s="4608"/>
      <c r="AG262" s="4620"/>
      <c r="AH262" s="2180"/>
      <c r="AI262" s="4604"/>
      <c r="AJ262" s="3128">
        <v>3</v>
      </c>
      <c r="AK262" s="3128">
        <f>P251</f>
        <v>1</v>
      </c>
      <c r="AL262" s="3128" t="e">
        <f>VLOOKUP(F262,'Tablas Técnicas'!$O$165:$Q$188,2,FALSE)</f>
        <v>#N/A</v>
      </c>
      <c r="AM262" s="3128"/>
      <c r="AN262" s="3129"/>
      <c r="AO262" s="3128"/>
      <c r="AP262" s="3128"/>
      <c r="AQ262" s="3129"/>
      <c r="AR262" s="3132"/>
      <c r="AS262" s="3132"/>
      <c r="AT262" s="3132"/>
      <c r="AU262" s="3132"/>
      <c r="AV262" s="3132"/>
      <c r="AW262" s="3132"/>
      <c r="AX262" s="3132"/>
      <c r="AY262" s="3128" t="str">
        <f>IF(F262="","",F262&amp;IF(K262="",""," ("&amp;IF(F262="Atadura Elemental",O262&amp;IF(Q262="","",", "&amp;Q262),K262)&amp;")")&amp;", ")</f>
        <v/>
      </c>
    </row>
    <row r="263" spans="1:51" ht="12.2" customHeight="1" x14ac:dyDescent="0.2">
      <c r="A263" s="2172"/>
      <c r="B263" s="2086">
        <f t="shared" si="6"/>
        <v>8</v>
      </c>
      <c r="C263" s="4584"/>
      <c r="D263" s="4595" t="s">
        <v>9301</v>
      </c>
      <c r="E263" s="4596"/>
      <c r="F263" s="4596"/>
      <c r="G263" s="4596"/>
      <c r="H263" s="4596"/>
      <c r="I263" s="4596"/>
      <c r="J263" s="4596"/>
      <c r="K263" s="4596"/>
      <c r="L263" s="4596"/>
      <c r="M263" s="4596"/>
      <c r="N263" s="4596"/>
      <c r="O263" s="4596"/>
      <c r="P263" s="4596"/>
      <c r="Q263" s="4596"/>
      <c r="R263" s="4596"/>
      <c r="S263" s="4596"/>
      <c r="T263" s="4596"/>
      <c r="U263" s="4596"/>
      <c r="V263" s="4597"/>
      <c r="W263" s="4597"/>
      <c r="X263" s="4597"/>
      <c r="Y263" s="4597"/>
      <c r="Z263" s="4597"/>
      <c r="AA263" s="4597"/>
      <c r="AB263" s="4597"/>
      <c r="AC263" s="4597"/>
      <c r="AD263" s="4597"/>
      <c r="AE263" s="4597"/>
      <c r="AF263" s="4597"/>
      <c r="AG263" s="4598"/>
      <c r="AH263" s="2180"/>
      <c r="AI263" s="4604"/>
      <c r="AJ263" s="3128"/>
      <c r="AK263" s="3128"/>
      <c r="AL263" s="3128"/>
      <c r="AM263" s="3128"/>
      <c r="AN263" s="3129" t="s">
        <v>8807</v>
      </c>
      <c r="AO263" s="3128" t="e">
        <f>LEFT(AY255&amp;AY256&amp;AY257&amp;AY258&amp;AY259,LEN(AY255&amp;AY256&amp;AY257&amp;AY258&amp;AY259)-2)</f>
        <v>#VALUE!</v>
      </c>
      <c r="AP263" s="3128"/>
      <c r="AQ263" s="3129"/>
      <c r="AR263" s="3132"/>
      <c r="AS263" s="3132"/>
      <c r="AT263" s="3132"/>
      <c r="AU263" s="3129"/>
      <c r="AV263" s="3129"/>
      <c r="AW263" s="3132"/>
      <c r="AX263" s="3132"/>
      <c r="AY263" s="3128"/>
    </row>
    <row r="264" spans="1:51" ht="12.2" customHeight="1" x14ac:dyDescent="0.2">
      <c r="A264" s="2172"/>
      <c r="B264" s="2086">
        <f t="shared" si="6"/>
        <v>8</v>
      </c>
      <c r="C264" s="4584"/>
      <c r="D264" s="4599" t="str">
        <f>IF(F255="","",F255)</f>
        <v/>
      </c>
      <c r="E264" s="4600"/>
      <c r="F264" s="4600"/>
      <c r="G264" s="4600"/>
      <c r="H264" s="4600"/>
      <c r="I264" s="4601"/>
      <c r="J264" s="4599" t="str">
        <f>IF(F256="","",F256)</f>
        <v/>
      </c>
      <c r="K264" s="4600"/>
      <c r="L264" s="4600"/>
      <c r="M264" s="4600"/>
      <c r="N264" s="4600"/>
      <c r="O264" s="4601"/>
      <c r="P264" s="4600" t="str">
        <f>IF(F257="","",F257)</f>
        <v/>
      </c>
      <c r="Q264" s="4600"/>
      <c r="R264" s="4600"/>
      <c r="S264" s="4600"/>
      <c r="T264" s="4600"/>
      <c r="U264" s="4601"/>
      <c r="V264" s="4599" t="str">
        <f>IF(F258="","",F258)</f>
        <v/>
      </c>
      <c r="W264" s="4600"/>
      <c r="X264" s="4600"/>
      <c r="Y264" s="4600"/>
      <c r="Z264" s="4600"/>
      <c r="AA264" s="4601"/>
      <c r="AB264" s="4600" t="str">
        <f>IF(F259="","",F259)</f>
        <v/>
      </c>
      <c r="AC264" s="4600"/>
      <c r="AD264" s="4600"/>
      <c r="AE264" s="4600"/>
      <c r="AF264" s="4600"/>
      <c r="AG264" s="4623"/>
      <c r="AH264" s="2180"/>
      <c r="AI264" s="4604"/>
      <c r="AJ264" s="3128"/>
      <c r="AK264" s="3128"/>
      <c r="AL264" s="3128"/>
      <c r="AM264" s="3128"/>
      <c r="AN264" s="3129" t="s">
        <v>8808</v>
      </c>
      <c r="AO264" s="3128" t="e">
        <f>LEFT(AY260&amp;AY261&amp;AY262,LEN(AY260&amp;AY261&amp;AY262)-2)</f>
        <v>#VALUE!</v>
      </c>
      <c r="AP264" s="3128"/>
      <c r="AQ264" s="3129"/>
      <c r="AR264" s="3132"/>
      <c r="AS264" s="3132"/>
      <c r="AT264" s="3132"/>
      <c r="AU264" s="3129"/>
      <c r="AV264" s="3129"/>
      <c r="AW264" s="3132"/>
      <c r="AX264" s="3132"/>
      <c r="AY264" s="3128"/>
    </row>
    <row r="265" spans="1:51" ht="12.2" customHeight="1" x14ac:dyDescent="0.2">
      <c r="A265" s="2172"/>
      <c r="B265" s="2086">
        <f t="shared" si="6"/>
        <v>8</v>
      </c>
      <c r="C265" s="4584"/>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604"/>
      <c r="AJ265" s="3128"/>
      <c r="AK265" s="3128"/>
      <c r="AL265" s="3128"/>
      <c r="AM265" s="3128"/>
      <c r="AN265" s="3129"/>
      <c r="AO265" s="3128"/>
      <c r="AP265" s="3128"/>
      <c r="AQ265" s="3129"/>
      <c r="AR265" s="3132"/>
      <c r="AS265" s="3132"/>
      <c r="AT265" s="3132"/>
      <c r="AU265" s="3132"/>
      <c r="AV265" s="3132"/>
      <c r="AW265" s="3132"/>
      <c r="AX265" s="3132"/>
      <c r="AY265" s="3128"/>
    </row>
    <row r="266" spans="1:51" ht="12.2" customHeight="1" x14ac:dyDescent="0.2">
      <c r="A266" s="2172"/>
      <c r="B266" s="2086">
        <f t="shared" si="6"/>
        <v>8</v>
      </c>
      <c r="C266" s="4584"/>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604"/>
      <c r="AJ266" s="3128"/>
      <c r="AK266" s="3132" t="s">
        <v>1373</v>
      </c>
      <c r="AL266" s="3132" t="s">
        <v>1497</v>
      </c>
      <c r="AM266" s="3132" t="s">
        <v>1378</v>
      </c>
      <c r="AN266" s="3132" t="s">
        <v>1383</v>
      </c>
      <c r="AO266" s="3132" t="s">
        <v>1390</v>
      </c>
      <c r="AP266" s="3132" t="s">
        <v>1391</v>
      </c>
      <c r="AQ266" s="3129"/>
      <c r="AR266" s="3132"/>
      <c r="AS266" s="3132"/>
      <c r="AT266" s="3132"/>
      <c r="AU266" s="3132"/>
      <c r="AV266" s="3132"/>
      <c r="AW266" s="3132"/>
      <c r="AX266" s="3132"/>
      <c r="AY266" s="3128"/>
    </row>
    <row r="267" spans="1:51" ht="12.2" customHeight="1" x14ac:dyDescent="0.2">
      <c r="A267" s="2172"/>
      <c r="B267" s="2086">
        <f t="shared" si="6"/>
        <v>8</v>
      </c>
      <c r="C267" s="4584"/>
      <c r="D267" s="4599" t="s">
        <v>2826</v>
      </c>
      <c r="E267" s="4600"/>
      <c r="F267" s="4600"/>
      <c r="G267" s="4600"/>
      <c r="H267" s="4601"/>
      <c r="I267" s="1925" t="s">
        <v>1402</v>
      </c>
      <c r="J267" s="4599" t="s">
        <v>2826</v>
      </c>
      <c r="K267" s="4600"/>
      <c r="L267" s="4600"/>
      <c r="M267" s="4600"/>
      <c r="N267" s="4601"/>
      <c r="O267" s="1926" t="s">
        <v>1402</v>
      </c>
      <c r="P267" s="4599" t="s">
        <v>2826</v>
      </c>
      <c r="Q267" s="4600"/>
      <c r="R267" s="4600"/>
      <c r="S267" s="4600"/>
      <c r="T267" s="4601"/>
      <c r="U267" s="1926" t="s">
        <v>1402</v>
      </c>
      <c r="V267" s="4599"/>
      <c r="W267" s="4600"/>
      <c r="X267" s="4600"/>
      <c r="Y267" s="4600"/>
      <c r="Z267" s="4601"/>
      <c r="AA267" s="1926" t="s">
        <v>1402</v>
      </c>
      <c r="AB267" s="4599" t="s">
        <v>2826</v>
      </c>
      <c r="AC267" s="4600"/>
      <c r="AD267" s="4600"/>
      <c r="AE267" s="4600"/>
      <c r="AF267" s="4601"/>
      <c r="AG267" s="1927" t="s">
        <v>1402</v>
      </c>
      <c r="AH267" s="2180"/>
      <c r="AI267" s="4604"/>
      <c r="AJ267" s="3133" t="s">
        <v>9338</v>
      </c>
      <c r="AK267" s="3128" t="str">
        <f>IF(V253="","",IF(SUM(V255:V259)=0,"",V253&amp;" "&amp;SUM(V255:V259)+V262&amp;IF(SUM(W255:W259)=0,""," ("&amp;SUM(W255:W259)&amp;")")&amp;", "))</f>
        <v/>
      </c>
      <c r="AL267" s="3128" t="str">
        <f>IF(X253="","",IF(SUM(X255:X259)=0,"",X253&amp;" "&amp;SUM(X255:X259)+X262&amp;IF(SUM(Y255:Y259)=0,""," ("&amp;SUM(Y255:Y259)&amp;")")&amp;", "))</f>
        <v/>
      </c>
      <c r="AM267" s="3128" t="str">
        <f>IF(Z253="","",IF(SUM(Z255:Z259)=0,"",Z253&amp;" "&amp;SUM(Z255:Z259)+Z262&amp;IF(SUM(AA255:AA259)=0,""," ("&amp;SUM(AA255:AA259)&amp;")")&amp;", "))</f>
        <v/>
      </c>
      <c r="AN267" s="3128" t="str">
        <f>IF(AB253="","",IF(SUM(AB255:AB259)=0,"",AB253&amp;" "&amp;SUM(AB255:AB259)+AB262&amp;IF(SUM(AC255:AC259)=0,""," ("&amp;SUM(AC255:AC259)&amp;")")&amp;", "))</f>
        <v/>
      </c>
      <c r="AO267" s="3128" t="str">
        <f>IF(AD253="","",IF(SUM(AD255:AD259)=0,"",AD253&amp;" "&amp;SUM(AD255:AD259)+AD262&amp;IF(SUM(AE255:AE259)=0,""," ("&amp;SUM(AE255:AE259)&amp;")")&amp;", "))</f>
        <v/>
      </c>
      <c r="AP267" s="3128" t="str">
        <f>IF(AF253="","",IF(SUM(AF255:AF259)=0,"",AF253&amp;" "&amp;SUM(AF255:AF259)+AF262&amp;IF(SUM(AG255:AG259)=0,""," ("&amp;SUM(AG255:AG259)&amp;")")&amp;", "))</f>
        <v/>
      </c>
      <c r="AQ267" s="3128"/>
      <c r="AR267" s="3128"/>
      <c r="AS267" s="3128"/>
      <c r="AT267" s="3128"/>
      <c r="AU267" s="3128"/>
      <c r="AV267" s="3128"/>
      <c r="AW267" s="3128"/>
      <c r="AX267" s="3128"/>
      <c r="AY267" s="3128"/>
    </row>
    <row r="268" spans="1:51" ht="12.2" customHeight="1" x14ac:dyDescent="0.2">
      <c r="A268" s="2172"/>
      <c r="B268" s="2086">
        <f t="shared" si="6"/>
        <v>8</v>
      </c>
      <c r="C268" s="4584"/>
      <c r="D268" s="4621"/>
      <c r="E268" s="4619"/>
      <c r="F268" s="4619"/>
      <c r="G268" s="4619"/>
      <c r="H268" s="4619"/>
      <c r="I268" s="1928" t="str">
        <f>IF(OR(D264="",D268=""),"",MAX(1,SUMPRODUCT(--(INDEX('Tablas Técnicas'!$C$10:$L$643,,1)=D264),--(INDEX('Tablas Técnicas'!$C$10:$L$643,,2)=D268),INDEX('Tablas Técnicas'!$C$10:$L$643,,9))))</f>
        <v/>
      </c>
      <c r="J268" s="4618"/>
      <c r="K268" s="4619"/>
      <c r="L268" s="4619"/>
      <c r="M268" s="4619"/>
      <c r="N268" s="4619"/>
      <c r="O268" s="1928" t="str">
        <f>IF(OR(J264="",J268=""),"",MAX(1,SUMPRODUCT(--(INDEX('Tablas Técnicas'!$C$10:$L$643,,1)=J264),--(INDEX('Tablas Técnicas'!$C$10:$L$643,,2)=J268),INDEX('Tablas Técnicas'!$C$10:$L$643,,9))))</f>
        <v/>
      </c>
      <c r="P268" s="4618"/>
      <c r="Q268" s="4619"/>
      <c r="R268" s="4619"/>
      <c r="S268" s="4619"/>
      <c r="T268" s="4619"/>
      <c r="U268" s="1928" t="str">
        <f>IF(OR(P264="",P268=""),"",MAX(1,SUMPRODUCT(--(INDEX('Tablas Técnicas'!$C$10:$L$643,,1)=P264),--(INDEX('Tablas Técnicas'!$C$10:$L$643,,2)=P268),INDEX('Tablas Técnicas'!$C$10:$L$643,,9))))</f>
        <v/>
      </c>
      <c r="V268" s="4618"/>
      <c r="W268" s="4619"/>
      <c r="X268" s="4619"/>
      <c r="Y268" s="4619"/>
      <c r="Z268" s="4619"/>
      <c r="AA268" s="1928" t="str">
        <f>IF(OR(V264="",V268=""),"",MAX(1,SUMPRODUCT(--(INDEX('Tablas Técnicas'!$C$10:$L$643,,1)=V264),--(INDEX('Tablas Técnicas'!$C$10:$L$643,,2)=V268),INDEX('Tablas Técnicas'!$C$10:$L$643,,9))))</f>
        <v/>
      </c>
      <c r="AB268" s="4618"/>
      <c r="AC268" s="4619"/>
      <c r="AD268" s="4619"/>
      <c r="AE268" s="4619"/>
      <c r="AF268" s="4619"/>
      <c r="AG268" s="1929" t="str">
        <f>IF(OR(AB264="",AB268=""),"",MAX(1,SUMPRODUCT(--(INDEX('Tablas Técnicas'!$C$10:$L$643,,1)=AB264),--(INDEX('Tablas Técnicas'!$C$10:$L$643,,2)=AB268),INDEX('Tablas Técnicas'!$C$10:$L$643,,9))))</f>
        <v/>
      </c>
      <c r="AH268" s="2180">
        <f>P251</f>
        <v>1</v>
      </c>
      <c r="AI268" s="4604"/>
      <c r="AJ268" s="3128" t="s">
        <v>9302</v>
      </c>
      <c r="AK268" s="3128"/>
      <c r="AL268" s="3128">
        <f>MAX(0,SUM(AT255:AT259)+ABS($AC260*2/5))+IF(AM277,0,Y260)+IF(S251="Sí",3*P251,0)</f>
        <v>0</v>
      </c>
      <c r="AM268" s="3128">
        <f t="array" ref="AM268">IF(ISNUMBER(SEARCH("Mantenido",K255&amp;K256&amp;K257&amp;K258&amp;K259)),MAX(0,SUM(VALUE(RIGHT($P255:$P259,2)))),0)</f>
        <v>0</v>
      </c>
      <c r="AN268" s="3132"/>
      <c r="AO268" s="3132"/>
      <c r="AP268" s="3135"/>
      <c r="AQ268" s="3135"/>
      <c r="AR268" s="3135"/>
      <c r="AS268" s="3135"/>
      <c r="AT268" s="3135"/>
      <c r="AU268" s="3135"/>
      <c r="AV268" s="3135"/>
      <c r="AW268" s="3135"/>
      <c r="AX268" s="3135"/>
      <c r="AY268" s="3128"/>
    </row>
    <row r="269" spans="1:51" ht="12.2" customHeight="1" x14ac:dyDescent="0.2">
      <c r="A269" s="2172"/>
      <c r="B269" s="2086">
        <f t="shared" si="6"/>
        <v>8</v>
      </c>
      <c r="C269" s="4584"/>
      <c r="D269" s="4602"/>
      <c r="E269" s="4603"/>
      <c r="F269" s="4603"/>
      <c r="G269" s="4603"/>
      <c r="H269" s="4603"/>
      <c r="I269" s="1930" t="str">
        <f>IF(OR(D264="",D269=""),"",MAX(1,SUMPRODUCT(--(INDEX('Tablas Técnicas'!$C$10:$L$643,,1)=D264),--(INDEX('Tablas Técnicas'!$C$10:$L$643,,2)=D269),INDEX('Tablas Técnicas'!$C$10:$L$643,,9))))</f>
        <v/>
      </c>
      <c r="J269" s="4602"/>
      <c r="K269" s="4603"/>
      <c r="L269" s="4603"/>
      <c r="M269" s="4603"/>
      <c r="N269" s="4603"/>
      <c r="O269" s="1930" t="str">
        <f>IF(OR(J264="",J269=""),"",MAX(1,SUMPRODUCT(--(INDEX('Tablas Técnicas'!$C$10:$L$643,,1)=J264),--(INDEX('Tablas Técnicas'!$C$10:$L$643,,2)=J269),INDEX('Tablas Técnicas'!$C$10:$L$643,,9))))</f>
        <v/>
      </c>
      <c r="P269" s="4602"/>
      <c r="Q269" s="4603"/>
      <c r="R269" s="4603"/>
      <c r="S269" s="4603"/>
      <c r="T269" s="4603"/>
      <c r="U269" s="1930" t="str">
        <f>IF(OR(P264="",P269=""),"",MAX(1,SUMPRODUCT(--(INDEX('Tablas Técnicas'!$C$10:$L$643,,1)=P264),--(INDEX('Tablas Técnicas'!$C$10:$L$643,,2)=P269),INDEX('Tablas Técnicas'!$C$10:$L$643,,9))))</f>
        <v/>
      </c>
      <c r="V269" s="4602"/>
      <c r="W269" s="4603"/>
      <c r="X269" s="4603"/>
      <c r="Y269" s="4603"/>
      <c r="Z269" s="4603"/>
      <c r="AA269" s="1930" t="str">
        <f>IF(OR(V264="",V269=""),"",MAX(1,SUMPRODUCT(--(INDEX('Tablas Técnicas'!$C$10:$L$643,,1)=V264),--(INDEX('Tablas Técnicas'!$C$10:$L$643,,2)=V269),INDEX('Tablas Técnicas'!$C$10:$L$643,,9))))</f>
        <v/>
      </c>
      <c r="AB269" s="4602"/>
      <c r="AC269" s="4603"/>
      <c r="AD269" s="4603"/>
      <c r="AE269" s="4603"/>
      <c r="AF269" s="4603"/>
      <c r="AG269" s="1931" t="str">
        <f>IF(OR(AB264="",AB269=""),"",MAX(1,SUMPRODUCT(--(INDEX('Tablas Técnicas'!$C$10:$L$643,,1)=AB264),--(INDEX('Tablas Técnicas'!$C$10:$L$643,,2)=AB269),INDEX('Tablas Técnicas'!$C$10:$L$643,,9))))</f>
        <v/>
      </c>
      <c r="AH269" s="2180">
        <f>P251</f>
        <v>1</v>
      </c>
      <c r="AI269" s="4604"/>
      <c r="AJ269" s="3128" t="s">
        <v>8811</v>
      </c>
      <c r="AK269" s="3128"/>
      <c r="AL269" s="3128">
        <f>SUM(V255:V259,X255:X259,Z255:Z259,AB255:AB259,AD255:AD259,AF255:AF259)+SUM(V262:AG262)</f>
        <v>0</v>
      </c>
      <c r="AM269" s="3128">
        <f>SUM(W255:W259,Y255:Y259,AA255:AA259,AC255:AC259,AE255:AE259,AG255:AG259)</f>
        <v>0</v>
      </c>
      <c r="AN269" s="3128"/>
      <c r="AO269" s="3128"/>
      <c r="AP269" s="3128"/>
      <c r="AQ269" s="3128"/>
      <c r="AR269" s="3128"/>
      <c r="AS269" s="3128"/>
      <c r="AT269" s="3128"/>
      <c r="AU269" s="3128"/>
      <c r="AV269" s="3128"/>
      <c r="AW269" s="3132"/>
      <c r="AX269" s="3128"/>
      <c r="AY269" s="3128"/>
    </row>
    <row r="270" spans="1:51" ht="12.2" customHeight="1" x14ac:dyDescent="0.2">
      <c r="A270" s="2172"/>
      <c r="B270" s="2086">
        <f t="shared" si="6"/>
        <v>8</v>
      </c>
      <c r="C270" s="4584"/>
      <c r="D270" s="4602"/>
      <c r="E270" s="4603"/>
      <c r="F270" s="4603"/>
      <c r="G270" s="4603"/>
      <c r="H270" s="4603"/>
      <c r="I270" s="1930" t="str">
        <f>IF(OR(D264="",D270=""),"",MAX(1,SUMPRODUCT(--(INDEX('Tablas Técnicas'!$C$10:$L$643,,1)=D264),--(INDEX('Tablas Técnicas'!$C$10:$L$643,,2)=D270),INDEX('Tablas Técnicas'!$C$10:$L$643,,9))))</f>
        <v/>
      </c>
      <c r="J270" s="4602"/>
      <c r="K270" s="4603"/>
      <c r="L270" s="4603"/>
      <c r="M270" s="4603"/>
      <c r="N270" s="4603"/>
      <c r="O270" s="1930" t="str">
        <f>IF(OR(J264="",J270=""),"",MAX(1,SUMPRODUCT(--(INDEX('Tablas Técnicas'!$C$10:$L$643,,1)=J264),--(INDEX('Tablas Técnicas'!$C$10:$L$643,,2)=J270),INDEX('Tablas Técnicas'!$C$10:$L$643,,9))))</f>
        <v/>
      </c>
      <c r="P270" s="4602"/>
      <c r="Q270" s="4603"/>
      <c r="R270" s="4603"/>
      <c r="S270" s="4603"/>
      <c r="T270" s="4603"/>
      <c r="U270" s="1930" t="str">
        <f>IF(OR(P264="",P270=""),"",MAX(1,SUMPRODUCT(--(INDEX('Tablas Técnicas'!$C$10:$L$643,,1)=P264),--(INDEX('Tablas Técnicas'!$C$10:$L$643,,2)=P270),INDEX('Tablas Técnicas'!$C$10:$L$643,,9))))</f>
        <v/>
      </c>
      <c r="V270" s="4602"/>
      <c r="W270" s="4603"/>
      <c r="X270" s="4603"/>
      <c r="Y270" s="4603"/>
      <c r="Z270" s="4603"/>
      <c r="AA270" s="1930" t="str">
        <f>IF(OR(V264="",V270=""),"",MAX(1,SUMPRODUCT(--(INDEX('Tablas Técnicas'!$C$10:$L$643,,1)=V264),--(INDEX('Tablas Técnicas'!$C$10:$L$643,,2)=V270),INDEX('Tablas Técnicas'!$C$10:$L$643,,9))))</f>
        <v/>
      </c>
      <c r="AB270" s="4602"/>
      <c r="AC270" s="4603"/>
      <c r="AD270" s="4603"/>
      <c r="AE270" s="4603"/>
      <c r="AF270" s="4603"/>
      <c r="AG270" s="1931" t="str">
        <f>IF(OR(AB264="",AB270=""),"",MAX(1,SUMPRODUCT(--(INDEX('Tablas Técnicas'!$C$10:$L$643,,1)=AB264),--(INDEX('Tablas Técnicas'!$C$10:$L$643,,2)=AB270),INDEX('Tablas Técnicas'!$C$10:$L$643,,9))))</f>
        <v/>
      </c>
      <c r="AH270" s="2180">
        <f>P251</f>
        <v>1</v>
      </c>
      <c r="AI270" s="4604"/>
      <c r="AJ270" s="3128"/>
      <c r="AK270" s="3128"/>
      <c r="AL270" s="3128"/>
      <c r="AM270" s="3128"/>
      <c r="AN270" s="3128"/>
      <c r="AO270" s="3128"/>
      <c r="AP270" s="3128"/>
      <c r="AQ270" s="3128"/>
      <c r="AR270" s="3128"/>
      <c r="AS270" s="3128"/>
      <c r="AT270" s="3128"/>
      <c r="AU270" s="3128"/>
      <c r="AV270" s="3128"/>
      <c r="AW270" s="3132"/>
      <c r="AX270" s="3132"/>
      <c r="AY270" s="3128"/>
    </row>
    <row r="271" spans="1:51" ht="12.2" customHeight="1" x14ac:dyDescent="0.2">
      <c r="A271" s="2172"/>
      <c r="B271" s="2086">
        <f t="shared" si="6"/>
        <v>8</v>
      </c>
      <c r="C271" s="4584"/>
      <c r="D271" s="4602"/>
      <c r="E271" s="4603"/>
      <c r="F271" s="4603"/>
      <c r="G271" s="4603"/>
      <c r="H271" s="4603"/>
      <c r="I271" s="1930" t="str">
        <f>IF(OR(D264="",D271=""),"",MAX(1,SUMPRODUCT(--(INDEX('Tablas Técnicas'!$C$10:$L$643,,1)=D264),--(INDEX('Tablas Técnicas'!$C$10:$L$643,,2)=D271),INDEX('Tablas Técnicas'!$C$10:$L$643,,9))))</f>
        <v/>
      </c>
      <c r="J271" s="4602"/>
      <c r="K271" s="4603"/>
      <c r="L271" s="4603"/>
      <c r="M271" s="4603"/>
      <c r="N271" s="4603"/>
      <c r="O271" s="1930" t="str">
        <f>IF(OR(J264="",J271=""),"",MAX(1,SUMPRODUCT(--(INDEX('Tablas Técnicas'!$C$10:$L$643,,1)=J264),--(INDEX('Tablas Técnicas'!$C$10:$L$643,,2)=J271),INDEX('Tablas Técnicas'!$C$10:$L$643,,9))))</f>
        <v/>
      </c>
      <c r="P271" s="4602"/>
      <c r="Q271" s="4603"/>
      <c r="R271" s="4603"/>
      <c r="S271" s="4603"/>
      <c r="T271" s="4603"/>
      <c r="U271" s="1930" t="str">
        <f>IF(OR(P264="",P271=""),"",MAX(1,SUMPRODUCT(--(INDEX('Tablas Técnicas'!$C$10:$L$643,,1)=P264),--(INDEX('Tablas Técnicas'!$C$10:$L$643,,2)=P271),INDEX('Tablas Técnicas'!$C$10:$L$643,,9))))</f>
        <v/>
      </c>
      <c r="V271" s="4602"/>
      <c r="W271" s="4603"/>
      <c r="X271" s="4603"/>
      <c r="Y271" s="4603"/>
      <c r="Z271" s="4603"/>
      <c r="AA271" s="1930" t="str">
        <f>IF(OR(V264="",V271=""),"",MAX(1,SUMPRODUCT(--(INDEX('Tablas Técnicas'!$C$10:$L$643,,1)=V264),--(INDEX('Tablas Técnicas'!$C$10:$L$643,,2)=V271),INDEX('Tablas Técnicas'!$C$10:$L$643,,9))))</f>
        <v/>
      </c>
      <c r="AB271" s="4602"/>
      <c r="AC271" s="4603"/>
      <c r="AD271" s="4603"/>
      <c r="AE271" s="4603"/>
      <c r="AF271" s="4603"/>
      <c r="AG271" s="1931" t="str">
        <f>IF(OR(AB264="",AB271=""),"",MAX(1,SUMPRODUCT(--(INDEX('Tablas Técnicas'!$C$10:$L$643,,1)=AB264),--(INDEX('Tablas Técnicas'!$C$10:$L$643,,2)=AB271),INDEX('Tablas Técnicas'!$C$10:$L$643,,9))))</f>
        <v/>
      </c>
      <c r="AH271" s="2180">
        <f>P251</f>
        <v>1</v>
      </c>
      <c r="AI271" s="4604"/>
      <c r="AJ271" s="3128" t="s">
        <v>8812</v>
      </c>
      <c r="AK271" s="3128"/>
      <c r="AL271" s="3128"/>
      <c r="AM271" s="3128"/>
      <c r="AN271" s="3128"/>
      <c r="AO271" s="3128"/>
      <c r="AP271" s="3128"/>
      <c r="AQ271" s="3129"/>
      <c r="AR271" s="3132"/>
      <c r="AS271" s="3132"/>
      <c r="AT271" s="3132"/>
      <c r="AU271" s="3132"/>
      <c r="AV271" s="3132"/>
      <c r="AW271" s="3132"/>
      <c r="AX271" s="3132"/>
      <c r="AY271" s="3128"/>
    </row>
    <row r="272" spans="1:51" ht="12.2" customHeight="1" x14ac:dyDescent="0.2">
      <c r="A272" s="2172"/>
      <c r="B272" s="2086">
        <f t="shared" si="6"/>
        <v>8</v>
      </c>
      <c r="C272" s="4584"/>
      <c r="D272" s="4602"/>
      <c r="E272" s="4603"/>
      <c r="F272" s="4603"/>
      <c r="G272" s="4603"/>
      <c r="H272" s="4603"/>
      <c r="I272" s="1930" t="str">
        <f>IF(OR(D264="",D272=""),"",MAX(1,SUMPRODUCT(--(INDEX('Tablas Técnicas'!$C$10:$L$643,,1)=D264),--(INDEX('Tablas Técnicas'!$C$10:$L$643,,2)=D272),INDEX('Tablas Técnicas'!$C$10:$L$643,,9))))</f>
        <v/>
      </c>
      <c r="J272" s="4602"/>
      <c r="K272" s="4603"/>
      <c r="L272" s="4603"/>
      <c r="M272" s="4603"/>
      <c r="N272" s="4603"/>
      <c r="O272" s="1930" t="str">
        <f>IF(OR(J264="",J272=""),"",MAX(1,SUMPRODUCT(--(INDEX('Tablas Técnicas'!$C$10:$L$643,,1)=J264),--(INDEX('Tablas Técnicas'!$C$10:$L$643,,2)=J272),INDEX('Tablas Técnicas'!$C$10:$L$643,,9))))</f>
        <v/>
      </c>
      <c r="P272" s="4602"/>
      <c r="Q272" s="4603"/>
      <c r="R272" s="4603"/>
      <c r="S272" s="4603"/>
      <c r="T272" s="4603"/>
      <c r="U272" s="1930" t="str">
        <f>IF(OR(P264="",P272=""),"",MAX(1,SUMPRODUCT(--(INDEX('Tablas Técnicas'!$C$10:$L$643,,1)=P264),--(INDEX('Tablas Técnicas'!$C$10:$L$643,,2)=P272),INDEX('Tablas Técnicas'!$C$10:$L$643,,9))))</f>
        <v/>
      </c>
      <c r="V272" s="4602"/>
      <c r="W272" s="4603"/>
      <c r="X272" s="4603"/>
      <c r="Y272" s="4603"/>
      <c r="Z272" s="4603"/>
      <c r="AA272" s="1930" t="str">
        <f>IF(OR(V264="",V272=""),"",MAX(1,SUMPRODUCT(--(INDEX('Tablas Técnicas'!$C$10:$L$643,,1)=V264),--(INDEX('Tablas Técnicas'!$C$10:$L$643,,2)=V272),INDEX('Tablas Técnicas'!$C$10:$L$643,,9))))</f>
        <v/>
      </c>
      <c r="AB272" s="4602"/>
      <c r="AC272" s="4603"/>
      <c r="AD272" s="4603"/>
      <c r="AE272" s="4603"/>
      <c r="AF272" s="4603"/>
      <c r="AG272" s="1931" t="str">
        <f>IF(OR(AB264="",AB272=""),"",MAX(1,SUMPRODUCT(--(INDEX('Tablas Técnicas'!$C$10:$L$643,,1)=AB264),--(INDEX('Tablas Técnicas'!$C$10:$L$643,,2)=AB272),INDEX('Tablas Técnicas'!$C$10:$L$643,,9))))</f>
        <v/>
      </c>
      <c r="AH272" s="2180">
        <f>P251</f>
        <v>1</v>
      </c>
      <c r="AI272" s="4604"/>
      <c r="AJ272" s="3128" t="s">
        <v>9965</v>
      </c>
      <c r="AK272" s="3128"/>
      <c r="AL272" s="3128"/>
      <c r="AM272" s="3128" t="b">
        <f>U251&gt;IF(P251=3,200,IF(P251=2,100,50))</f>
        <v>0</v>
      </c>
      <c r="AN272" s="3128"/>
      <c r="AO272" s="3128"/>
      <c r="AP272" s="3128"/>
      <c r="AQ272" s="3128"/>
      <c r="AR272" s="3132"/>
      <c r="AS272" s="3132"/>
      <c r="AT272" s="3132"/>
      <c r="AU272" s="3132"/>
      <c r="AV272" s="3132"/>
      <c r="AW272" s="3132"/>
      <c r="AX272" s="3132"/>
      <c r="AY272" s="3128"/>
    </row>
    <row r="273" spans="1:51" ht="12.2" customHeight="1" x14ac:dyDescent="0.2">
      <c r="A273" s="2172"/>
      <c r="B273" s="2086">
        <f t="shared" si="6"/>
        <v>8</v>
      </c>
      <c r="C273" s="4584"/>
      <c r="D273" s="4602"/>
      <c r="E273" s="4603"/>
      <c r="F273" s="4603"/>
      <c r="G273" s="4603"/>
      <c r="H273" s="4603"/>
      <c r="I273" s="1930" t="str">
        <f>IF(OR(D264="",D273=""),"",MAX(1,SUMPRODUCT(--(INDEX('Tablas Técnicas'!$C$10:$L$643,,1)=D264),--(INDEX('Tablas Técnicas'!$C$10:$L$643,,2)=D273),INDEX('Tablas Técnicas'!$C$10:$L$643,,9))))</f>
        <v/>
      </c>
      <c r="J273" s="4602"/>
      <c r="K273" s="4603"/>
      <c r="L273" s="4603"/>
      <c r="M273" s="4603"/>
      <c r="N273" s="4603"/>
      <c r="O273" s="1930" t="str">
        <f>IF(OR(J264="",J273=""),"",MAX(1,SUMPRODUCT(--(INDEX('Tablas Técnicas'!$C$10:$L$643,,1)=J264),--(INDEX('Tablas Técnicas'!$C$10:$L$643,,2)=J273),INDEX('Tablas Técnicas'!$C$10:$L$643,,9))))</f>
        <v/>
      </c>
      <c r="P273" s="4602"/>
      <c r="Q273" s="4603"/>
      <c r="R273" s="4603"/>
      <c r="S273" s="4603"/>
      <c r="T273" s="4603"/>
      <c r="U273" s="1930" t="str">
        <f>IF(OR(P264="",P273=""),"",MAX(1,SUMPRODUCT(--(INDEX('Tablas Técnicas'!$C$10:$L$643,,1)=P264),--(INDEX('Tablas Técnicas'!$C$10:$L$643,,2)=P273),INDEX('Tablas Técnicas'!$C$10:$L$643,,9))))</f>
        <v/>
      </c>
      <c r="V273" s="4602"/>
      <c r="W273" s="4603"/>
      <c r="X273" s="4603"/>
      <c r="Y273" s="4603"/>
      <c r="Z273" s="4603"/>
      <c r="AA273" s="1930" t="str">
        <f>IF(OR(V264="",V273=""),"",MAX(1,SUMPRODUCT(--(INDEX('Tablas Técnicas'!$C$10:$L$643,,1)=V264),--(INDEX('Tablas Técnicas'!$C$10:$L$643,,2)=V273),INDEX('Tablas Técnicas'!$C$10:$L$643,,9))))</f>
        <v/>
      </c>
      <c r="AB273" s="4602"/>
      <c r="AC273" s="4603"/>
      <c r="AD273" s="4603"/>
      <c r="AE273" s="4603"/>
      <c r="AF273" s="4603"/>
      <c r="AG273" s="1931" t="str">
        <f>IF(OR(AB264="",AB273=""),"",MAX(1,SUMPRODUCT(--(INDEX('Tablas Técnicas'!$C$10:$L$643,,1)=AB264),--(INDEX('Tablas Técnicas'!$C$10:$L$643,,2)=AB273),INDEX('Tablas Técnicas'!$C$10:$L$643,,9))))</f>
        <v/>
      </c>
      <c r="AH273" s="2180">
        <f>P251</f>
        <v>1</v>
      </c>
      <c r="AI273" s="4604"/>
      <c r="AJ273" s="3128" t="s">
        <v>8813</v>
      </c>
      <c r="AK273" s="3128"/>
      <c r="AL273" s="3128"/>
      <c r="AM273" s="3128" t="b">
        <f t="array" ref="AM273">MAX(I268:I274,O268:O274,U268:U274,AA268:AA274,AG268:AG274,RIGHT(S260:S262,1))&gt;P251</f>
        <v>0</v>
      </c>
      <c r="AN273" s="3128"/>
      <c r="AO273" s="3128"/>
      <c r="AP273" s="3128"/>
      <c r="AQ273" s="3129"/>
      <c r="AR273" s="3132"/>
      <c r="AS273" s="3132"/>
      <c r="AT273" s="3132"/>
      <c r="AU273" s="3132"/>
      <c r="AV273" s="3132"/>
      <c r="AW273" s="3132"/>
      <c r="AX273" s="3132"/>
      <c r="AY273" s="3128"/>
    </row>
    <row r="274" spans="1:51" ht="12.2" customHeight="1" x14ac:dyDescent="0.2">
      <c r="A274" s="2172"/>
      <c r="B274" s="2086">
        <f t="shared" si="6"/>
        <v>8</v>
      </c>
      <c r="C274" s="4584"/>
      <c r="D274" s="4616"/>
      <c r="E274" s="4617"/>
      <c r="F274" s="4617"/>
      <c r="G274" s="4617"/>
      <c r="H274" s="4617"/>
      <c r="I274" s="1932" t="str">
        <f>IF(OR(D264="",D274=""),"",MAX(1,SUMPRODUCT(--(INDEX('Tablas Técnicas'!$C$10:$L$643,,1)=D264),--(INDEX('Tablas Técnicas'!$C$10:$L$643,,2)=D274),INDEX('Tablas Técnicas'!$C$10:$L$643,,9))))</f>
        <v/>
      </c>
      <c r="J274" s="4616"/>
      <c r="K274" s="4617"/>
      <c r="L274" s="4617"/>
      <c r="M274" s="4617"/>
      <c r="N274" s="4617"/>
      <c r="O274" s="1932" t="str">
        <f>IF(OR(J264="",J274=""),"",MAX(1,SUMPRODUCT(--(INDEX('Tablas Técnicas'!$C$10:$L$643,,1)=J264),--(INDEX('Tablas Técnicas'!$C$10:$L$643,,2)=J274),INDEX('Tablas Técnicas'!$C$10:$L$643,,9))))</f>
        <v/>
      </c>
      <c r="P274" s="4616"/>
      <c r="Q274" s="4617"/>
      <c r="R274" s="4617"/>
      <c r="S274" s="4617"/>
      <c r="T274" s="4617"/>
      <c r="U274" s="1932" t="str">
        <f>IF(OR(P264="",P274=""),"",MAX(1,SUMPRODUCT(--(INDEX('Tablas Técnicas'!$C$10:$L$643,,1)=P264),--(INDEX('Tablas Técnicas'!$C$10:$L$643,,2)=P274),INDEX('Tablas Técnicas'!$C$10:$L$643,,9))))</f>
        <v/>
      </c>
      <c r="V274" s="4616"/>
      <c r="W274" s="4617"/>
      <c r="X274" s="4617"/>
      <c r="Y274" s="4617"/>
      <c r="Z274" s="4617"/>
      <c r="AA274" s="1932" t="str">
        <f>IF(OR(V264="",V274=""),"",MAX(1,SUMPRODUCT(--(INDEX('Tablas Técnicas'!$C$10:$L$643,,1)=V264),--(INDEX('Tablas Técnicas'!$C$10:$L$643,,2)=V274),INDEX('Tablas Técnicas'!$C$10:$L$643,,9))))</f>
        <v/>
      </c>
      <c r="AB274" s="4616"/>
      <c r="AC274" s="4617"/>
      <c r="AD274" s="4617"/>
      <c r="AE274" s="4617"/>
      <c r="AF274" s="4617"/>
      <c r="AG274" s="1933" t="str">
        <f>IF(OR(AB264="",AB274=""),"",MAX(1,SUMPRODUCT(--(INDEX('Tablas Técnicas'!$C$10:$L$643,,1)=AB264),--(INDEX('Tablas Técnicas'!$C$10:$L$643,,2)=AB274),INDEX('Tablas Técnicas'!$C$10:$L$643,,9))))</f>
        <v/>
      </c>
      <c r="AH274" s="2180">
        <f>P251</f>
        <v>1</v>
      </c>
      <c r="AI274" s="4604"/>
      <c r="AJ274" s="3128" t="s">
        <v>9319</v>
      </c>
      <c r="AK274" s="3128"/>
      <c r="AL274" s="3128"/>
      <c r="AM274" s="3128" t="b">
        <f>AND(COUNTIF(K255:M259,"Mantenido"),OR(COUNTIF(K255:M259,"Sostenimiento Menor"),COUNTIF(K255:M259,"Sostenimiento Mayor")))</f>
        <v>0</v>
      </c>
      <c r="AN274" s="3129"/>
      <c r="AO274" s="3128"/>
      <c r="AP274" s="3128"/>
      <c r="AQ274" s="3128"/>
      <c r="AR274" s="3128"/>
      <c r="AS274" s="3128"/>
      <c r="AT274" s="3128"/>
      <c r="AU274" s="3132"/>
      <c r="AV274" s="3132"/>
      <c r="AW274" s="3132"/>
      <c r="AX274" s="3132"/>
      <c r="AY274" s="3128"/>
    </row>
    <row r="275" spans="1:51" ht="12.2" customHeight="1" x14ac:dyDescent="0.2">
      <c r="A275" s="2172"/>
      <c r="B275" s="2086">
        <f t="shared" si="6"/>
        <v>8</v>
      </c>
      <c r="C275" s="4584"/>
      <c r="D275" s="4595" t="s">
        <v>1548</v>
      </c>
      <c r="E275" s="4596"/>
      <c r="F275" s="4596"/>
      <c r="G275" s="4596"/>
      <c r="H275" s="4596"/>
      <c r="I275" s="4596"/>
      <c r="J275" s="4596"/>
      <c r="K275" s="4596"/>
      <c r="L275" s="4596"/>
      <c r="M275" s="4596"/>
      <c r="N275" s="4596"/>
      <c r="O275" s="4596"/>
      <c r="P275" s="4596"/>
      <c r="Q275" s="4596"/>
      <c r="R275" s="4596"/>
      <c r="S275" s="4596"/>
      <c r="T275" s="4596"/>
      <c r="U275" s="4596"/>
      <c r="V275" s="4596"/>
      <c r="W275" s="4596"/>
      <c r="X275" s="4596"/>
      <c r="Y275" s="4596"/>
      <c r="Z275" s="4596"/>
      <c r="AA275" s="4596"/>
      <c r="AB275" s="4596"/>
      <c r="AC275" s="4596"/>
      <c r="AD275" s="4596"/>
      <c r="AE275" s="4596"/>
      <c r="AF275" s="4596"/>
      <c r="AG275" s="4622"/>
      <c r="AH275" s="2180"/>
      <c r="AI275" s="4604"/>
      <c r="AJ275" s="3128" t="s">
        <v>9318</v>
      </c>
      <c r="AK275" s="3128"/>
      <c r="AL275" s="3128"/>
      <c r="AM275" s="312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8"/>
      <c r="AO275" s="3128"/>
      <c r="AP275" s="3128"/>
      <c r="AQ275" s="3129"/>
      <c r="AR275" s="3128"/>
      <c r="AS275" s="3128"/>
      <c r="AT275" s="3128"/>
      <c r="AU275" s="3132"/>
      <c r="AV275" s="3132"/>
      <c r="AW275" s="3132"/>
      <c r="AX275" s="3132"/>
      <c r="AY275" s="3128"/>
    </row>
    <row r="276" spans="1:51" ht="12.2" customHeight="1" x14ac:dyDescent="0.2">
      <c r="A276" s="2172"/>
      <c r="B276" s="2086">
        <f t="shared" si="6"/>
        <v>8</v>
      </c>
      <c r="C276" s="4584"/>
      <c r="D276" s="4624"/>
      <c r="E276" s="4625"/>
      <c r="F276" s="4625"/>
      <c r="G276" s="4625"/>
      <c r="H276" s="4625"/>
      <c r="I276" s="4625"/>
      <c r="J276" s="4625"/>
      <c r="K276" s="4625"/>
      <c r="L276" s="4625"/>
      <c r="M276" s="4625"/>
      <c r="N276" s="4625"/>
      <c r="O276" s="4625"/>
      <c r="P276" s="4625"/>
      <c r="Q276" s="4625"/>
      <c r="R276" s="4625"/>
      <c r="S276" s="4625"/>
      <c r="T276" s="4625"/>
      <c r="U276" s="4625"/>
      <c r="V276" s="4625"/>
      <c r="W276" s="4625"/>
      <c r="X276" s="4625"/>
      <c r="Y276" s="4625"/>
      <c r="Z276" s="4625"/>
      <c r="AA276" s="4625"/>
      <c r="AB276" s="4625"/>
      <c r="AC276" s="4625"/>
      <c r="AD276" s="4625"/>
      <c r="AE276" s="4625"/>
      <c r="AF276" s="4625"/>
      <c r="AG276" s="4626"/>
      <c r="AH276" s="2180"/>
      <c r="AI276" s="4604"/>
      <c r="AJ276" s="3128" t="s">
        <v>9326</v>
      </c>
      <c r="AK276" s="3128"/>
      <c r="AL276" s="3128"/>
      <c r="AM276" s="312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8"/>
      <c r="AO276" s="3128"/>
      <c r="AP276" s="3128"/>
      <c r="AQ276" s="3129"/>
      <c r="AR276" s="3128"/>
      <c r="AS276" s="3128"/>
      <c r="AT276" s="3128"/>
      <c r="AU276" s="3132"/>
      <c r="AV276" s="3132"/>
      <c r="AW276" s="3132"/>
      <c r="AX276" s="3132"/>
      <c r="AY276" s="3128"/>
    </row>
    <row r="277" spans="1:51" ht="12.2" customHeight="1" x14ac:dyDescent="0.2">
      <c r="A277" s="2172"/>
      <c r="B277" s="2086">
        <f t="shared" si="6"/>
        <v>8</v>
      </c>
      <c r="C277" s="4584"/>
      <c r="D277" s="4624"/>
      <c r="E277" s="4625"/>
      <c r="F277" s="4625"/>
      <c r="G277" s="4625"/>
      <c r="H277" s="4625"/>
      <c r="I277" s="4625"/>
      <c r="J277" s="4625"/>
      <c r="K277" s="4625"/>
      <c r="L277" s="4625"/>
      <c r="M277" s="4625"/>
      <c r="N277" s="4625"/>
      <c r="O277" s="4625"/>
      <c r="P277" s="4625"/>
      <c r="Q277" s="4625"/>
      <c r="R277" s="4625"/>
      <c r="S277" s="4625"/>
      <c r="T277" s="4625"/>
      <c r="U277" s="4625"/>
      <c r="V277" s="4625"/>
      <c r="W277" s="4625"/>
      <c r="X277" s="4625"/>
      <c r="Y277" s="4625"/>
      <c r="Z277" s="4625"/>
      <c r="AA277" s="4625"/>
      <c r="AB277" s="4625"/>
      <c r="AC277" s="4625"/>
      <c r="AD277" s="4625"/>
      <c r="AE277" s="4625"/>
      <c r="AF277" s="4625"/>
      <c r="AG277" s="4626"/>
      <c r="AH277" s="2180"/>
      <c r="AI277" s="4604"/>
      <c r="AJ277" s="3128" t="s">
        <v>9305</v>
      </c>
      <c r="AK277" s="3128"/>
      <c r="AL277" s="3128"/>
      <c r="AM277" s="3128" t="b">
        <f>AND((IF(SUM(V255:V259)&gt;0,1,0)+IF(SUM(X255:X259)&gt;0,1,0)+IF(SUM(Z255:Z259)&gt;0,1,0)+IF(SUM(AB255:AB259)&gt;0,1,0)+IF(SUM(AD255:AD259,)&gt;0,1,0)+IF(SUM(AF255:AF259)&gt;0,1,0))&lt;3,OR(V262&lt;0,X262&lt;0,Z262&lt;0,AB262&lt;0,AD262&lt;0,AF262&lt;0,Y260&lt;0))</f>
        <v>0</v>
      </c>
      <c r="AN277" s="3128"/>
      <c r="AO277" s="3128"/>
      <c r="AP277" s="3128"/>
      <c r="AQ277" s="3129"/>
      <c r="AR277" s="3128"/>
      <c r="AS277" s="3128"/>
      <c r="AT277" s="3128"/>
      <c r="AU277" s="3132"/>
      <c r="AV277" s="3132"/>
      <c r="AW277" s="3132"/>
      <c r="AX277" s="3132"/>
      <c r="AY277" s="3128"/>
    </row>
    <row r="278" spans="1:51" ht="12.2" customHeight="1" x14ac:dyDescent="0.2">
      <c r="A278" s="2172"/>
      <c r="B278" s="2086">
        <f t="shared" si="6"/>
        <v>8</v>
      </c>
      <c r="C278" s="4584"/>
      <c r="D278" s="4624"/>
      <c r="E278" s="4625"/>
      <c r="F278" s="4625"/>
      <c r="G278" s="4625"/>
      <c r="H278" s="4625"/>
      <c r="I278" s="4625"/>
      <c r="J278" s="4625"/>
      <c r="K278" s="4625"/>
      <c r="L278" s="4625"/>
      <c r="M278" s="4625"/>
      <c r="N278" s="4625"/>
      <c r="O278" s="4625"/>
      <c r="P278" s="4625"/>
      <c r="Q278" s="4625"/>
      <c r="R278" s="4625"/>
      <c r="S278" s="4625"/>
      <c r="T278" s="4625"/>
      <c r="U278" s="4625"/>
      <c r="V278" s="4625"/>
      <c r="W278" s="4625"/>
      <c r="X278" s="4625"/>
      <c r="Y278" s="4625"/>
      <c r="Z278" s="4625"/>
      <c r="AA278" s="4625"/>
      <c r="AB278" s="4625"/>
      <c r="AC278" s="4625"/>
      <c r="AD278" s="4625"/>
      <c r="AE278" s="4625"/>
      <c r="AF278" s="4625"/>
      <c r="AG278" s="4626"/>
      <c r="AH278" s="2180"/>
      <c r="AI278" s="4604"/>
      <c r="AJ278" s="3128" t="s">
        <v>9320</v>
      </c>
      <c r="AK278" s="3128"/>
      <c r="AL278" s="3128"/>
      <c r="AM278" s="3128" t="b">
        <f>OR(-V262&gt;TRUNC(SUM(V255:V259)/2),-X262&gt;TRUNC(SUM(X255:X259)/2),-Z262&gt;TRUNC(SUM(Z255:Z259)/2),-AB262&gt;TRUNC(SUM(AB255:AB259)/2),-AD262&gt;TRUNC(SUM(AD255:AD259)/2),-AF262&gt;TRUNC(SUM(AF255:AF259)/2))</f>
        <v>0</v>
      </c>
      <c r="AN278" s="3128"/>
      <c r="AO278" s="3128"/>
      <c r="AP278" s="3128"/>
      <c r="AQ278" s="3129"/>
      <c r="AR278" s="3128"/>
      <c r="AS278" s="3128"/>
      <c r="AT278" s="3128"/>
      <c r="AU278" s="3132"/>
      <c r="AV278" s="3132"/>
      <c r="AW278" s="3132"/>
      <c r="AX278" s="3132"/>
      <c r="AY278" s="3128"/>
    </row>
    <row r="279" spans="1:51" ht="12.2" customHeight="1" x14ac:dyDescent="0.2">
      <c r="A279" s="2172"/>
      <c r="B279" s="2086">
        <f t="shared" si="6"/>
        <v>8</v>
      </c>
      <c r="C279" s="4584"/>
      <c r="D279" s="4624"/>
      <c r="E279" s="4625"/>
      <c r="F279" s="4625"/>
      <c r="G279" s="4625"/>
      <c r="H279" s="4625"/>
      <c r="I279" s="4625"/>
      <c r="J279" s="4625"/>
      <c r="K279" s="4625"/>
      <c r="L279" s="4625"/>
      <c r="M279" s="4625"/>
      <c r="N279" s="4625"/>
      <c r="O279" s="4625"/>
      <c r="P279" s="4625"/>
      <c r="Q279" s="4625"/>
      <c r="R279" s="4625"/>
      <c r="S279" s="4625"/>
      <c r="T279" s="4625"/>
      <c r="U279" s="4625"/>
      <c r="V279" s="4625"/>
      <c r="W279" s="4625"/>
      <c r="X279" s="4625"/>
      <c r="Y279" s="4625"/>
      <c r="Z279" s="4625"/>
      <c r="AA279" s="4625"/>
      <c r="AB279" s="4625"/>
      <c r="AC279" s="4625"/>
      <c r="AD279" s="4625"/>
      <c r="AE279" s="4625"/>
      <c r="AF279" s="4625"/>
      <c r="AG279" s="4626"/>
      <c r="AH279" s="2180"/>
      <c r="AI279" s="4604"/>
      <c r="AJ279" s="3128" t="s">
        <v>9321</v>
      </c>
      <c r="AK279" s="3128"/>
      <c r="AL279" s="3128"/>
      <c r="AM279" s="3128" t="b">
        <f>COUNTIF(D255:E259,"Primario")&gt;1</f>
        <v>0</v>
      </c>
      <c r="AN279" s="3128"/>
      <c r="AO279" s="3128"/>
      <c r="AP279" s="3128"/>
      <c r="AQ279" s="3129"/>
      <c r="AR279" s="3129"/>
      <c r="AS279" s="3129"/>
      <c r="AT279" s="3129"/>
      <c r="AU279" s="3132"/>
      <c r="AV279" s="3132"/>
      <c r="AW279" s="3132"/>
      <c r="AX279" s="3128"/>
      <c r="AY279" s="3128"/>
    </row>
    <row r="280" spans="1:51" ht="12.2" customHeight="1" x14ac:dyDescent="0.2">
      <c r="A280" s="2172"/>
      <c r="B280" s="2086">
        <f t="shared" si="6"/>
        <v>8</v>
      </c>
      <c r="C280" s="4584"/>
      <c r="D280" s="4624"/>
      <c r="E280" s="4625"/>
      <c r="F280" s="4625"/>
      <c r="G280" s="4625"/>
      <c r="H280" s="4625"/>
      <c r="I280" s="4625"/>
      <c r="J280" s="4625"/>
      <c r="K280" s="4625"/>
      <c r="L280" s="4625"/>
      <c r="M280" s="4625"/>
      <c r="N280" s="4625"/>
      <c r="O280" s="4625"/>
      <c r="P280" s="4625"/>
      <c r="Q280" s="4625"/>
      <c r="R280" s="4625"/>
      <c r="S280" s="4625"/>
      <c r="T280" s="4625"/>
      <c r="U280" s="4625"/>
      <c r="V280" s="4625"/>
      <c r="W280" s="4625"/>
      <c r="X280" s="4625"/>
      <c r="Y280" s="4625"/>
      <c r="Z280" s="4625"/>
      <c r="AA280" s="4625"/>
      <c r="AB280" s="4625"/>
      <c r="AC280" s="4625"/>
      <c r="AD280" s="4625"/>
      <c r="AE280" s="4625"/>
      <c r="AF280" s="4625"/>
      <c r="AG280" s="4626"/>
      <c r="AH280" s="2180"/>
      <c r="AI280" s="4604"/>
      <c r="AJ280" s="3128" t="s">
        <v>9304</v>
      </c>
      <c r="AK280" s="3128"/>
      <c r="AL280" s="3128"/>
      <c r="AM280" s="3128" t="b">
        <f>SUM(V262:AG262)&lt;&gt;Y260+ABS(AC260)*2/5+IF(S251="Sí",3*P251,0)</f>
        <v>0</v>
      </c>
      <c r="AN280" s="3128"/>
      <c r="AO280" s="3128"/>
      <c r="AP280" s="3128"/>
      <c r="AQ280" s="3129"/>
      <c r="AR280" s="3129"/>
      <c r="AS280" s="3129"/>
      <c r="AT280" s="3129"/>
      <c r="AU280" s="3132"/>
      <c r="AV280" s="3132"/>
      <c r="AW280" s="3132"/>
      <c r="AX280" s="3128"/>
      <c r="AY280" s="3128"/>
    </row>
    <row r="281" spans="1:51" ht="12.2" customHeight="1" x14ac:dyDescent="0.2">
      <c r="A281" s="2172"/>
      <c r="B281" s="2086">
        <f t="shared" si="6"/>
        <v>8</v>
      </c>
      <c r="C281" s="4584"/>
      <c r="D281" s="4624"/>
      <c r="E281" s="4625"/>
      <c r="F281" s="4625"/>
      <c r="G281" s="4625"/>
      <c r="H281" s="4625"/>
      <c r="I281" s="4625"/>
      <c r="J281" s="4625"/>
      <c r="K281" s="4625"/>
      <c r="L281" s="4625"/>
      <c r="M281" s="4625"/>
      <c r="N281" s="4625"/>
      <c r="O281" s="4625"/>
      <c r="P281" s="4625"/>
      <c r="Q281" s="4625"/>
      <c r="R281" s="4625"/>
      <c r="S281" s="4625"/>
      <c r="T281" s="4625"/>
      <c r="U281" s="4625"/>
      <c r="V281" s="4625"/>
      <c r="W281" s="4625"/>
      <c r="X281" s="4625"/>
      <c r="Y281" s="4625"/>
      <c r="Z281" s="4625"/>
      <c r="AA281" s="4625"/>
      <c r="AB281" s="4625"/>
      <c r="AC281" s="4625"/>
      <c r="AD281" s="4625"/>
      <c r="AE281" s="4625"/>
      <c r="AF281" s="4625"/>
      <c r="AG281" s="4626"/>
      <c r="AH281" s="2180"/>
      <c r="AI281" s="4604"/>
      <c r="AJ281" s="3128" t="s">
        <v>9303</v>
      </c>
      <c r="AK281" s="3128"/>
      <c r="AL281" s="3128"/>
      <c r="AM281" s="3128" t="b">
        <f>AL268-AL269+AM268-AM269&lt;&gt;0</f>
        <v>0</v>
      </c>
      <c r="AN281" s="3132"/>
      <c r="AO281" s="3132"/>
      <c r="AP281" s="3132"/>
      <c r="AQ281" s="3132"/>
      <c r="AR281" s="3129"/>
      <c r="AS281" s="3129"/>
      <c r="AT281" s="3129"/>
      <c r="AU281" s="3132"/>
      <c r="AV281" s="3132"/>
      <c r="AW281" s="3132"/>
      <c r="AX281" s="3128"/>
      <c r="AY281" s="3128"/>
    </row>
    <row r="282" spans="1:51" ht="12.2" customHeight="1" thickBot="1" x14ac:dyDescent="0.25">
      <c r="A282" s="2172"/>
      <c r="B282" s="2086"/>
      <c r="C282" s="4585"/>
      <c r="D282" s="4586"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87"/>
      <c r="F282" s="4587"/>
      <c r="G282" s="4587"/>
      <c r="H282" s="4587"/>
      <c r="I282" s="4587"/>
      <c r="J282" s="4587"/>
      <c r="K282" s="4587"/>
      <c r="L282" s="4587"/>
      <c r="M282" s="4587"/>
      <c r="N282" s="4587"/>
      <c r="O282" s="4587"/>
      <c r="P282" s="4587"/>
      <c r="Q282" s="4587"/>
      <c r="R282" s="4587"/>
      <c r="S282" s="4587"/>
      <c r="T282" s="4587"/>
      <c r="U282" s="4587"/>
      <c r="V282" s="4587"/>
      <c r="W282" s="4587"/>
      <c r="X282" s="4587"/>
      <c r="Y282" s="4587"/>
      <c r="Z282" s="4587"/>
      <c r="AA282" s="4587"/>
      <c r="AB282" s="4587"/>
      <c r="AC282" s="4587"/>
      <c r="AD282" s="4587"/>
      <c r="AE282" s="4587"/>
      <c r="AF282" s="4587"/>
      <c r="AG282" s="4588"/>
      <c r="AH282" s="2180"/>
      <c r="AI282" s="4604"/>
      <c r="AJ282" s="3128" t="s">
        <v>9340</v>
      </c>
      <c r="AK282" s="3132"/>
      <c r="AL282" s="3132"/>
      <c r="AM282" s="3132" t="b">
        <f>ABS(SUM(N260:N262))&gt;(SUM(N255:N259)-10*Y260+AC260+IF(S251="Sí",10*P251,0)+IF(COUNTIF(K255:M259,"Mantenido")&gt;0,P251*10)+MAX(IF(COUNTIF(K255:M259,"Sostenimiento Menor")&gt;0,P251*20)+IF(COUNTIF(K255:M259,"Sostenimiento Mayor")&gt;0,P251*30)))/2</f>
        <v>0</v>
      </c>
      <c r="AN282" s="3128"/>
      <c r="AO282" s="3128"/>
      <c r="AP282" s="3128"/>
      <c r="AQ282" s="3128"/>
      <c r="AR282" s="3129"/>
      <c r="AS282" s="3129"/>
      <c r="AT282" s="3129"/>
      <c r="AU282" s="3132"/>
      <c r="AV282" s="3132"/>
      <c r="AW282" s="3132"/>
      <c r="AX282" s="3128"/>
      <c r="AY282" s="3128"/>
    </row>
    <row r="283" spans="1:51" ht="12.2" customHeight="1" x14ac:dyDescent="0.2">
      <c r="A283" s="2172"/>
      <c r="B283" s="2086"/>
      <c r="C283" s="4580"/>
      <c r="D283" s="4580" t="str">
        <f>IFERROR(VLOOKUP(D264,'Tablas Técnicas'!$O$9:$T$88,2,FALSE),"")</f>
        <v/>
      </c>
      <c r="E283" s="4580"/>
      <c r="F283" s="4580"/>
      <c r="G283" s="4580"/>
      <c r="H283" s="4580"/>
      <c r="I283" s="4580"/>
      <c r="J283" s="4580" t="str">
        <f>IFERROR(VLOOKUP(J264,'Tablas Técnicas'!$O$9:$T$88,2,FALSE),"")</f>
        <v/>
      </c>
      <c r="K283" s="4580"/>
      <c r="L283" s="4580"/>
      <c r="M283" s="4580"/>
      <c r="N283" s="4580"/>
      <c r="O283" s="4580"/>
      <c r="P283" s="4580" t="str">
        <f>IFERROR(VLOOKUP(P264,'Tablas Técnicas'!$O$9:$T$88,2,FALSE),"")</f>
        <v/>
      </c>
      <c r="Q283" s="4580"/>
      <c r="R283" s="4580"/>
      <c r="S283" s="4580"/>
      <c r="T283" s="4580"/>
      <c r="U283" s="4580"/>
      <c r="V283" s="4580" t="str">
        <f>IFERROR(VLOOKUP(V264,'Tablas Técnicas'!$O$9:$T$88,2,FALSE),"")</f>
        <v/>
      </c>
      <c r="W283" s="4580"/>
      <c r="X283" s="4580"/>
      <c r="Y283" s="4580"/>
      <c r="Z283" s="4580"/>
      <c r="AA283" s="4580"/>
      <c r="AB283" s="4580" t="str">
        <f>IFERROR(VLOOKUP(AB264,'Tablas Técnicas'!$O$9:$T$88,2,FALSE),"")</f>
        <v/>
      </c>
      <c r="AC283" s="4580"/>
      <c r="AD283" s="4580"/>
      <c r="AE283" s="4580"/>
      <c r="AF283" s="4580"/>
      <c r="AG283" s="4580"/>
      <c r="AH283" s="2180"/>
      <c r="AI283" s="1908"/>
      <c r="AJ283" s="3128"/>
      <c r="AK283" s="3128"/>
      <c r="AL283" s="3128"/>
      <c r="AM283" s="3128"/>
      <c r="AN283" s="3128"/>
      <c r="AO283" s="3128"/>
      <c r="AP283" s="3128"/>
      <c r="AQ283" s="3128"/>
      <c r="AR283" s="3129"/>
      <c r="AS283" s="3129"/>
      <c r="AT283" s="3129"/>
      <c r="AU283" s="3132"/>
      <c r="AV283" s="3132"/>
      <c r="AW283" s="3132"/>
      <c r="AX283" s="3132"/>
      <c r="AY283" s="3128"/>
    </row>
    <row r="284" spans="1:51" ht="12.2" customHeight="1" thickBot="1" x14ac:dyDescent="0.25">
      <c r="A284" s="2172"/>
      <c r="B284" s="2086"/>
      <c r="C284" s="4580"/>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6"/>
      <c r="AK284" s="3136"/>
      <c r="AL284" s="3136"/>
      <c r="AM284" s="3136"/>
      <c r="AN284" s="3136"/>
      <c r="AO284" s="3136"/>
      <c r="AP284" s="3128"/>
      <c r="AQ284" s="3129"/>
      <c r="AR284" s="3132"/>
      <c r="AS284" s="3132"/>
      <c r="AT284" s="3132"/>
      <c r="AU284" s="3132"/>
      <c r="AV284" s="3132"/>
      <c r="AW284" s="3132"/>
      <c r="AX284" s="3132"/>
      <c r="AY284" s="3137"/>
    </row>
    <row r="285" spans="1:51" ht="12.2" customHeight="1" x14ac:dyDescent="0.2">
      <c r="A285" s="2172"/>
      <c r="B285" s="2086">
        <f t="shared" ref="B285:B315" si="7">1+B251</f>
        <v>9</v>
      </c>
      <c r="C285" s="4583" t="str">
        <f>"Técnica "&amp;B285</f>
        <v>Técnica 9</v>
      </c>
      <c r="D285" s="4682" t="s">
        <v>8711</v>
      </c>
      <c r="E285" s="4683"/>
      <c r="F285" s="4683"/>
      <c r="G285" s="4683"/>
      <c r="H285" s="4683"/>
      <c r="I285" s="4683"/>
      <c r="J285" s="4683"/>
      <c r="K285" s="4683"/>
      <c r="L285" s="4683"/>
      <c r="M285" s="4683"/>
      <c r="N285" s="4684"/>
      <c r="O285" s="4688" t="s">
        <v>1325</v>
      </c>
      <c r="P285" s="4690">
        <v>1</v>
      </c>
      <c r="Q285" s="4692" t="s">
        <v>8795</v>
      </c>
      <c r="R285" s="4693"/>
      <c r="S285" s="4696" t="s">
        <v>1381</v>
      </c>
      <c r="T285" s="4697" t="s">
        <v>1505</v>
      </c>
      <c r="U285" s="4699">
        <f>MAX(IF(P285=3,60,IF(P285=2,40,20)),MIN(SUM(N289:N296)-10*Y294+AC294+IF(S285="Sí",10*P285,0)+IF(COUNTIF(K289:M293,"Mantenido")&gt;0,P285*10)+MAX(IF(COUNTIF(K289:M293,"Sostenimiento Menor")&gt;0,P285*20)+IF(COUNTIF(K289:M293,"Sostenimiento Mayor")&gt;0,P285*30))))</f>
        <v>20</v>
      </c>
      <c r="V285" s="4692" t="s">
        <v>8796</v>
      </c>
      <c r="W285" s="4697"/>
      <c r="X285" s="4612" t="str">
        <f>IFERROR(LEFT(AK301&amp;AL301&amp;AM301&amp;AN301&amp;AO301&amp;AP301,LEN(AK301&amp;AL301&amp;AM301&amp;AN301&amp;AO301&amp;AP301)-2),"")</f>
        <v/>
      </c>
      <c r="Y285" s="4612"/>
      <c r="Z285" s="4612"/>
      <c r="AA285" s="4612"/>
      <c r="AB285" s="4612"/>
      <c r="AC285" s="4612"/>
      <c r="AD285" s="4612"/>
      <c r="AE285" s="4612"/>
      <c r="AF285" s="4612"/>
      <c r="AG285" s="4613"/>
      <c r="AH285" s="2180"/>
      <c r="AI285" s="4604"/>
      <c r="AJ285" s="3133" t="s">
        <v>9337</v>
      </c>
      <c r="AK285" s="3133"/>
      <c r="AL285" s="3133"/>
      <c r="AM285" s="3133"/>
      <c r="AN285" s="3133"/>
      <c r="AO285" s="3133"/>
      <c r="AP285" s="3133"/>
      <c r="AQ285" s="3133"/>
      <c r="AR285" s="3133"/>
      <c r="AS285" s="3128"/>
      <c r="AT285" s="3128"/>
      <c r="AU285" s="3128"/>
      <c r="AV285" s="3128"/>
      <c r="AW285" s="3132"/>
      <c r="AX285" s="3132"/>
      <c r="AY285" s="3128"/>
    </row>
    <row r="286" spans="1:51" ht="12.2" customHeight="1" x14ac:dyDescent="0.2">
      <c r="A286" s="2172"/>
      <c r="B286" s="2086">
        <f t="shared" si="7"/>
        <v>9</v>
      </c>
      <c r="C286" s="4584"/>
      <c r="D286" s="4685"/>
      <c r="E286" s="4686"/>
      <c r="F286" s="4686"/>
      <c r="G286" s="4686"/>
      <c r="H286" s="4686"/>
      <c r="I286" s="4686"/>
      <c r="J286" s="4686"/>
      <c r="K286" s="4686"/>
      <c r="L286" s="4686"/>
      <c r="M286" s="4686"/>
      <c r="N286" s="4687"/>
      <c r="O286" s="4689"/>
      <c r="P286" s="4691"/>
      <c r="Q286" s="4694"/>
      <c r="R286" s="4695"/>
      <c r="S286" s="4691"/>
      <c r="T286" s="4698"/>
      <c r="U286" s="4700"/>
      <c r="V286" s="4694"/>
      <c r="W286" s="4698"/>
      <c r="X286" s="4614"/>
      <c r="Y286" s="4614"/>
      <c r="Z286" s="4614"/>
      <c r="AA286" s="4614"/>
      <c r="AB286" s="4614"/>
      <c r="AC286" s="4614"/>
      <c r="AD286" s="4614"/>
      <c r="AE286" s="4614"/>
      <c r="AF286" s="4614"/>
      <c r="AG286" s="4615"/>
      <c r="AH286" s="2180"/>
      <c r="AI286" s="4604"/>
      <c r="AJ286" s="3133"/>
      <c r="AK286" s="3133" t="s">
        <v>9338</v>
      </c>
      <c r="AL286" s="3133" t="s">
        <v>10493</v>
      </c>
      <c r="AM286" s="3134"/>
      <c r="AN286" s="3134"/>
      <c r="AO286" s="3134"/>
      <c r="AP286" s="3134"/>
      <c r="AQ286" s="3134"/>
      <c r="AR286" s="3133"/>
      <c r="AS286" s="3128"/>
      <c r="AT286" s="3128"/>
      <c r="AU286" s="3128"/>
      <c r="AV286" s="3128"/>
      <c r="AW286" s="3132"/>
      <c r="AX286" s="4582" t="s">
        <v>9307</v>
      </c>
      <c r="AY286" s="4582"/>
    </row>
    <row r="287" spans="1:51" ht="12.2" customHeight="1" x14ac:dyDescent="0.2">
      <c r="A287" s="2172"/>
      <c r="B287" s="2086">
        <f t="shared" si="7"/>
        <v>9</v>
      </c>
      <c r="C287" s="4584"/>
      <c r="D287" s="4595" t="s">
        <v>2823</v>
      </c>
      <c r="E287" s="4596"/>
      <c r="F287" s="4596"/>
      <c r="G287" s="4596"/>
      <c r="H287" s="4596"/>
      <c r="I287" s="4596"/>
      <c r="J287" s="4596"/>
      <c r="K287" s="4679" t="s">
        <v>9630</v>
      </c>
      <c r="L287" s="4679"/>
      <c r="M287" s="4679"/>
      <c r="N287" s="4596" t="s">
        <v>1499</v>
      </c>
      <c r="O287" s="4679" t="s">
        <v>2821</v>
      </c>
      <c r="P287" s="4679" t="s">
        <v>8797</v>
      </c>
      <c r="Q287" s="4596" t="s">
        <v>1364</v>
      </c>
      <c r="R287" s="4596"/>
      <c r="S287" s="4596"/>
      <c r="T287" s="4596"/>
      <c r="U287" s="4596"/>
      <c r="V287" s="4659" t="s">
        <v>1373</v>
      </c>
      <c r="W287" s="4654"/>
      <c r="X287" s="4659" t="s">
        <v>1497</v>
      </c>
      <c r="Y287" s="4660"/>
      <c r="Z287" s="4654" t="s">
        <v>1378</v>
      </c>
      <c r="AA287" s="4654"/>
      <c r="AB287" s="4659" t="s">
        <v>1383</v>
      </c>
      <c r="AC287" s="4660"/>
      <c r="AD287" s="4654" t="s">
        <v>1390</v>
      </c>
      <c r="AE287" s="4654"/>
      <c r="AF287" s="4659" t="s">
        <v>1391</v>
      </c>
      <c r="AG287" s="4655"/>
      <c r="AH287" s="2180"/>
      <c r="AI287" s="4604"/>
      <c r="AJ287" s="3128"/>
      <c r="AK287" s="3128"/>
      <c r="AL287" s="3128" t="s">
        <v>9609</v>
      </c>
      <c r="AM287" s="3128"/>
      <c r="AN287" s="3128"/>
      <c r="AO287" s="3128"/>
      <c r="AP287" s="3128"/>
      <c r="AQ287" s="3128"/>
      <c r="AR287" s="3132"/>
      <c r="AS287" s="3132" t="s">
        <v>9327</v>
      </c>
      <c r="AT287" s="3132" t="s">
        <v>9328</v>
      </c>
      <c r="AU287" s="3128" t="s">
        <v>9316</v>
      </c>
      <c r="AV287" s="3128" t="s">
        <v>9317</v>
      </c>
      <c r="AW287" s="3132" t="s">
        <v>1499</v>
      </c>
      <c r="AX287" s="3132" t="s">
        <v>8799</v>
      </c>
      <c r="AY287" s="3128" t="s">
        <v>8800</v>
      </c>
    </row>
    <row r="288" spans="1:51" ht="12.2" customHeight="1" x14ac:dyDescent="0.2">
      <c r="A288" s="2172"/>
      <c r="B288" s="2086">
        <f t="shared" si="7"/>
        <v>9</v>
      </c>
      <c r="C288" s="4584"/>
      <c r="D288" s="4627"/>
      <c r="E288" s="4628"/>
      <c r="F288" s="4628"/>
      <c r="G288" s="4628"/>
      <c r="H288" s="4628"/>
      <c r="I288" s="4628"/>
      <c r="J288" s="4628"/>
      <c r="K288" s="4680"/>
      <c r="L288" s="4680"/>
      <c r="M288" s="4680"/>
      <c r="N288" s="4597"/>
      <c r="O288" s="4680"/>
      <c r="P288" s="4681"/>
      <c r="Q288" s="4597"/>
      <c r="R288" s="4597"/>
      <c r="S288" s="4597"/>
      <c r="T288" s="4597"/>
      <c r="U288" s="4597"/>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604"/>
      <c r="AJ288" s="3128"/>
      <c r="AK288" s="3128" t="s">
        <v>9308</v>
      </c>
      <c r="AL288" s="3128">
        <v>1</v>
      </c>
      <c r="AM288" s="3128">
        <v>2</v>
      </c>
      <c r="AN288" s="3128">
        <v>3</v>
      </c>
      <c r="AO288" s="3128">
        <v>4</v>
      </c>
      <c r="AP288" s="3128">
        <v>5</v>
      </c>
      <c r="AQ288" s="3128">
        <v>6</v>
      </c>
      <c r="AR288" s="3128">
        <v>7</v>
      </c>
      <c r="AS288" s="3132"/>
      <c r="AT288" s="3128" t="s">
        <v>9339</v>
      </c>
      <c r="AU288" s="3132"/>
      <c r="AV288" s="3132"/>
      <c r="AW288" s="3132" t="s">
        <v>9339</v>
      </c>
      <c r="AX288" s="3132"/>
      <c r="AY288" s="3128"/>
    </row>
    <row r="289" spans="1:51" ht="12.2" customHeight="1" x14ac:dyDescent="0.2">
      <c r="A289" s="2172"/>
      <c r="B289" s="2086">
        <f t="shared" si="7"/>
        <v>9</v>
      </c>
      <c r="C289" s="4584"/>
      <c r="D289" s="4670" t="s">
        <v>8801</v>
      </c>
      <c r="E289" s="4671"/>
      <c r="F289" s="4672"/>
      <c r="G289" s="4673"/>
      <c r="H289" s="4673"/>
      <c r="I289" s="4673"/>
      <c r="J289" s="4674"/>
      <c r="K289" s="4641" t="s">
        <v>1455</v>
      </c>
      <c r="L289" s="4642"/>
      <c r="M289" s="4643"/>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678" t="str">
        <f>IFERROR(VLOOKUP(F289,'Tablas Técnicas'!$O$9:$T$88,5,FALSE),"")</f>
        <v/>
      </c>
      <c r="R289" s="4678"/>
      <c r="S289" s="4678"/>
      <c r="T289" s="4678"/>
      <c r="U289" s="4678"/>
      <c r="V289" s="2042"/>
      <c r="W289" s="2043"/>
      <c r="X289" s="2042"/>
      <c r="Y289" s="2044"/>
      <c r="Z289" s="2045"/>
      <c r="AA289" s="2043"/>
      <c r="AB289" s="2042"/>
      <c r="AC289" s="2044"/>
      <c r="AD289" s="2045"/>
      <c r="AE289" s="2043"/>
      <c r="AF289" s="2042"/>
      <c r="AG289" s="2046"/>
      <c r="AH289" s="2180"/>
      <c r="AI289" s="4604"/>
      <c r="AJ289" s="3128">
        <v>1</v>
      </c>
      <c r="AK289" s="3128">
        <f>P285</f>
        <v>1</v>
      </c>
      <c r="AL289" s="3128" t="str">
        <f>IF(AND(ISNUMBER(MATCH($F289,'Tablas Técnicas'!$L$10:$L$643,0)),INDEX($D302:$D308,Tablas!A$1)="",COUNTIF(AM289:$AS289,$F289)=0),$F289,IF(INDEX($D302:$D308,Tablas!A$1)="","",$F289&amp;INDEX($D302:$D308,Tablas!A$1)))</f>
        <v/>
      </c>
      <c r="AM289" s="3128" t="str">
        <f>IF(AND(ISNUMBER(MATCH($F289,'Tablas Técnicas'!$L$10:$L$643,0)),INDEX($D302:$D308,Tablas!B$1)="",COUNTIF(AN289:$AS289,$F289)=0),$F289,IF(INDEX($D302:$D308,Tablas!B$1)="","",$F289&amp;INDEX($D302:$D308,Tablas!B$1)))</f>
        <v/>
      </c>
      <c r="AN289" s="3128" t="str">
        <f>IF(AND(ISNUMBER(MATCH($F289,'Tablas Técnicas'!$L$10:$L$643,0)),INDEX($D302:$D308,Tablas!C$1)="",COUNTIF(AO289:$AS289,$F289)=0),$F289,IF(INDEX($D302:$D308,Tablas!C$1)="","",$F289&amp;INDEX($D302:$D308,Tablas!C$1)))</f>
        <v/>
      </c>
      <c r="AO289" s="3128" t="str">
        <f>IF(AND(ISNUMBER(MATCH($F289,'Tablas Técnicas'!$L$10:$L$643,0)),INDEX($D302:$D308,Tablas!D$1)="",COUNTIF(AP289:$AS289,$F289)=0),$F289,IF(INDEX($D302:$D308,Tablas!D$1)="","",$F289&amp;INDEX($D302:$D308,Tablas!D$1)))</f>
        <v/>
      </c>
      <c r="AP289" s="3128" t="str">
        <f>IF(AND(ISNUMBER(MATCH($F289,'Tablas Técnicas'!$L$10:$L$643,0)),INDEX($D302:$D308,Tablas!E$1)="",COUNTIF(AQ289:$AS289,$F289)=0),$F289,IF(INDEX($D302:$D308,Tablas!E$1)="","",$F289&amp;INDEX($D302:$D308,Tablas!E$1)))</f>
        <v/>
      </c>
      <c r="AQ289" s="3128" t="str">
        <f>IF(AND(ISNUMBER(MATCH($F289,'Tablas Técnicas'!$L$10:$L$643,0)),INDEX($D302:$D308,Tablas!F$1)="",COUNTIF(AR289:$AS289,$F289)=0),$F289,IF(INDEX($D302:$D308,Tablas!F$1)="","",$F289&amp;INDEX($D302:$D308,Tablas!F$1)))</f>
        <v/>
      </c>
      <c r="AR289" s="3128" t="str">
        <f>IF(AND(ISNUMBER(MATCH($F289,'Tablas Técnicas'!$L$10:$L$643,0)),INDEX($D302:$D308,Tablas!G$1)="",COUNTIF(AS289:$AS289,$F289)=0),$F289,IF(INDEX($D302:$D308,Tablas!G$1)="","",$F289&amp;INDEX($D302:$D308,Tablas!G$1)))</f>
        <v/>
      </c>
      <c r="AS289" s="3132">
        <f>V289+X289+Z289+AB289+AD289+AF289</f>
        <v>0</v>
      </c>
      <c r="AT289" s="3132">
        <f t="array" ref="AT289">SUM(IF($AL289:$AR289='Tablas Técnicas'!$L$10:$L$643,IF(D289="Primario",'Tablas Técnicas'!$E$10:$E$643,'Tablas Técnicas'!$F$10:$F$643)+IF(K289="Sostenimiento menor",'Tablas Técnicas'!$I$10:$I$643,IF(K289="sostenimiento mayor",'Tablas Técnicas'!$J$10:$J$643,0)),0),0)+VALUE(RIGHT(P289,2))+AU289+AV289</f>
        <v>0</v>
      </c>
      <c r="AU289" s="313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32">
        <f>(COUNTIF(AL289:AR289,"*Estado añadido:*")-1)*COUNTIF(AL289:AR289,"*Estado añadido:*")</f>
        <v>0</v>
      </c>
      <c r="AW289" s="3132">
        <f t="array" ref="AW289">SUM(IF($AL289:$AR289='Tablas Técnicas'!$L$10:$L$643,'Tablas Técnicas'!$G$10:$G$643,0))</f>
        <v>0</v>
      </c>
      <c r="AX289" s="312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8" t="str">
        <f>IFERROR(LEFT(AX289,LEN(AX289)-2)&amp;"), ","")</f>
        <v/>
      </c>
    </row>
    <row r="290" spans="1:51" ht="12.2" customHeight="1" x14ac:dyDescent="0.2">
      <c r="A290" s="2172"/>
      <c r="B290" s="2086">
        <f t="shared" si="7"/>
        <v>9</v>
      </c>
      <c r="C290" s="4584"/>
      <c r="D290" s="4629" t="s">
        <v>524</v>
      </c>
      <c r="E290" s="4630"/>
      <c r="F290" s="4661"/>
      <c r="G290" s="4662"/>
      <c r="H290" s="4662"/>
      <c r="I290" s="4662"/>
      <c r="J290" s="4663"/>
      <c r="K290" s="4664" t="s">
        <v>1455</v>
      </c>
      <c r="L290" s="4665"/>
      <c r="M290" s="4666"/>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1" t="str">
        <f>IFERROR(VLOOKUP(F290,'Tablas Técnicas'!$O$9:$T$88,5,FALSE),"")</f>
        <v/>
      </c>
      <c r="R290" s="4631"/>
      <c r="S290" s="4631"/>
      <c r="T290" s="4631"/>
      <c r="U290" s="4631"/>
      <c r="V290" s="2047"/>
      <c r="W290" s="2048"/>
      <c r="X290" s="2047"/>
      <c r="Y290" s="2049"/>
      <c r="Z290" s="2050"/>
      <c r="AA290" s="2048"/>
      <c r="AB290" s="2047"/>
      <c r="AC290" s="2049"/>
      <c r="AD290" s="2050"/>
      <c r="AE290" s="2048"/>
      <c r="AF290" s="2047"/>
      <c r="AG290" s="2051"/>
      <c r="AH290" s="2180"/>
      <c r="AI290" s="4604"/>
      <c r="AJ290" s="3128">
        <v>2</v>
      </c>
      <c r="AK290" s="3128">
        <f>P285</f>
        <v>1</v>
      </c>
      <c r="AL290" s="3128" t="str">
        <f>IF(AND(ISNUMBER(MATCH($F290,'Tablas Técnicas'!$L$10:$L$643,0)),INDEX($J302:$J308,Tablas!A$1)="",COUNTIF(AM290:$AS290,$F290)=0),$F290,IF(INDEX($J302:$J308,Tablas!A$1)="","",$F290&amp;INDEX($J302:$J308,Tablas!A$1)))</f>
        <v/>
      </c>
      <c r="AM290" s="3128" t="str">
        <f>IF(AND(ISNUMBER(MATCH($F290,'Tablas Técnicas'!$L$10:$L$643,0)),INDEX($J302:$J308,Tablas!B$1)="",COUNTIF(AN290:$AS290,$F290)=0),$F290,IF(INDEX($J302:$J308,Tablas!B$1)="","",$F290&amp;INDEX($J302:$J308,Tablas!B$1)))</f>
        <v/>
      </c>
      <c r="AN290" s="3128" t="str">
        <f>IF(AND(ISNUMBER(MATCH($F290,'Tablas Técnicas'!$L$10:$L$643,0)),INDEX($J302:$J308,Tablas!C$1)="",COUNTIF(AO290:$AS290,$F290)=0),$F290,IF(INDEX($J302:$J308,Tablas!C$1)="","",$F290&amp;INDEX($J302:$J308,Tablas!C$1)))</f>
        <v/>
      </c>
      <c r="AO290" s="3128" t="str">
        <f>IF(AND(ISNUMBER(MATCH($F290,'Tablas Técnicas'!$L$10:$L$643,0)),INDEX($J302:$J308,Tablas!D$1)="",COUNTIF(AP290:$AS290,$F290)=0),$F290,IF(INDEX($J302:$J308,Tablas!D$1)="","",$F290&amp;INDEX($J302:$J308,Tablas!D$1)))</f>
        <v/>
      </c>
      <c r="AP290" s="3128" t="str">
        <f>IF(AND(ISNUMBER(MATCH($F290,'Tablas Técnicas'!$L$10:$L$643,0)),INDEX($J302:$J308,Tablas!E$1)="",COUNTIF(AQ290:$AS290,$F290)=0),$F290,IF(INDEX($J302:$J308,Tablas!E$1)="","",$F290&amp;INDEX($J302:$J308,Tablas!E$1)))</f>
        <v/>
      </c>
      <c r="AQ290" s="3128" t="str">
        <f>IF(AND(ISNUMBER(MATCH($F290,'Tablas Técnicas'!$L$10:$L$643,0)),INDEX($J302:$J308,Tablas!F$1)="",COUNTIF(AR290:$AS290,$F290)=0),$F290,IF(INDEX($J302:$J308,Tablas!F$1)="","",$F290&amp;INDEX($J302:$J308,Tablas!F$1)))</f>
        <v/>
      </c>
      <c r="AR290" s="3128" t="str">
        <f>IF(AND(ISNUMBER(MATCH($F290,'Tablas Técnicas'!$L$10:$L$643,0)),INDEX($J302:$J308,Tablas!G$1)="",COUNTIF(AS290:$AS290,$F290)=0),$F290,IF(INDEX($J302:$J308,Tablas!G$1)="","",$F290&amp;INDEX($J302:$J308,Tablas!G$1)))</f>
        <v/>
      </c>
      <c r="AS290" s="3132">
        <f>V290+X290+Z290+AB290+AD290+AF290</f>
        <v>0</v>
      </c>
      <c r="AT290" s="3132">
        <f t="array" ref="AT290">SUM(IF($AL290:$AR290='Tablas Técnicas'!$L$10:$L$643,IF(D290="Primario",'Tablas Técnicas'!$E$10:$E$643,'Tablas Técnicas'!$F$10:$F$643)+IF(K290="Sostenimiento menor",'Tablas Técnicas'!$I$10:$I$643,IF(K290="sostenimiento mayor",'Tablas Técnicas'!$J$10:$J$643,0)),0),0)+VALUE(RIGHT(P290,2))+AU290+AV290</f>
        <v>0</v>
      </c>
      <c r="AU290" s="313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32">
        <f>(COUNTIF(AL290:AR290,"*Estado añadido:*")-1)*COUNTIF(AL290:AR290,"*Estado añadido:*")</f>
        <v>0</v>
      </c>
      <c r="AW290" s="3132">
        <f t="array" ref="AW290">SUM(IF($AL290:$AR290='Tablas Técnicas'!$L$10:$L$643,'Tablas Técnicas'!$G$10:$G$643,0))</f>
        <v>0</v>
      </c>
      <c r="AX290" s="312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8" t="str">
        <f>IFERROR(LEFT(AX290,LEN(AX290)-2)&amp;"), ","")</f>
        <v/>
      </c>
    </row>
    <row r="291" spans="1:51" ht="12.2" customHeight="1" x14ac:dyDescent="0.2">
      <c r="A291" s="2172"/>
      <c r="B291" s="2086">
        <f t="shared" si="7"/>
        <v>9</v>
      </c>
      <c r="C291" s="4584"/>
      <c r="D291" s="4675" t="s">
        <v>524</v>
      </c>
      <c r="E291" s="4676"/>
      <c r="F291" s="4605"/>
      <c r="G291" s="4606"/>
      <c r="H291" s="4606"/>
      <c r="I291" s="4606"/>
      <c r="J291" s="4607"/>
      <c r="K291" s="4667" t="s">
        <v>1455</v>
      </c>
      <c r="L291" s="4668"/>
      <c r="M291" s="4669"/>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677" t="str">
        <f>IFERROR(VLOOKUP(F291,'Tablas Técnicas'!$O$9:$T$88,5,FALSE),"")</f>
        <v/>
      </c>
      <c r="R291" s="4677"/>
      <c r="S291" s="4677"/>
      <c r="T291" s="4677"/>
      <c r="U291" s="4677"/>
      <c r="V291" s="2052"/>
      <c r="W291" s="2053"/>
      <c r="X291" s="2052"/>
      <c r="Y291" s="2054"/>
      <c r="Z291" s="2055"/>
      <c r="AA291" s="2053"/>
      <c r="AB291" s="2052"/>
      <c r="AC291" s="2054"/>
      <c r="AD291" s="2055"/>
      <c r="AE291" s="2053"/>
      <c r="AF291" s="2052"/>
      <c r="AG291" s="2056"/>
      <c r="AH291" s="2180"/>
      <c r="AI291" s="4604"/>
      <c r="AJ291" s="3128">
        <v>3</v>
      </c>
      <c r="AK291" s="3128">
        <f>P285</f>
        <v>1</v>
      </c>
      <c r="AL291" s="3128" t="str">
        <f>IF(AND(ISNUMBER(MATCH($F291,'Tablas Técnicas'!$L$10:$L$643,0)),INDEX($P302:$P308,Tablas!A$1)="",COUNTIF(AM291:$AS291,$F291)=0),$F291,IF(INDEX($P302:$P308,Tablas!A$1)="","",$F291&amp;INDEX($P302:$P308,Tablas!A$1)))</f>
        <v/>
      </c>
      <c r="AM291" s="3128" t="str">
        <f>IF(AND(ISNUMBER(MATCH($F291,'Tablas Técnicas'!$L$10:$L$643,0)),INDEX($P302:$P308,Tablas!B$1)="",COUNTIF(AN291:$AS291,$F291)=0),$F291,IF(INDEX($P302:$P308,Tablas!B$1)="","",$F291&amp;INDEX($P302:$P308,Tablas!B$1)))</f>
        <v/>
      </c>
      <c r="AN291" s="3128" t="str">
        <f>IF(AND(ISNUMBER(MATCH($F291,'Tablas Técnicas'!$L$10:$L$643,0)),INDEX($P302:$P308,Tablas!C$1)="",COUNTIF(AO291:$AS291,$F291)=0),$F291,IF(INDEX($P302:$P308,Tablas!C$1)="","",$F291&amp;INDEX($P302:$P308,Tablas!C$1)))</f>
        <v/>
      </c>
      <c r="AO291" s="3128" t="str">
        <f>IF(AND(ISNUMBER(MATCH($F291,'Tablas Técnicas'!$L$10:$L$643,0)),INDEX($P302:$P308,Tablas!D$1)="",COUNTIF(AP291:$AS291,$F291)=0),$F291,IF(INDEX($P302:$P308,Tablas!D$1)="","",$F291&amp;INDEX($P302:$P308,Tablas!D$1)))</f>
        <v/>
      </c>
      <c r="AP291" s="3128" t="str">
        <f>IF(AND(ISNUMBER(MATCH($F291,'Tablas Técnicas'!$L$10:$L$643,0)),INDEX($P302:$P308,Tablas!E$1)="",COUNTIF(AQ291:$AS291,$F291)=0),$F291,IF(INDEX($P302:$P308,Tablas!E$1)="","",$F291&amp;INDEX($P302:$P308,Tablas!E$1)))</f>
        <v/>
      </c>
      <c r="AQ291" s="3128" t="str">
        <f>IF(AND(ISNUMBER(MATCH($F291,'Tablas Técnicas'!$L$10:$L$643,0)),INDEX($P302:$P308,Tablas!F$1)="",COUNTIF(AR291:$AS291,$F291)=0),$F291,IF(INDEX($P302:$P308,Tablas!F$1)="","",$F291&amp;INDEX($P302:$P308,Tablas!F$1)))</f>
        <v/>
      </c>
      <c r="AR291" s="3128" t="str">
        <f>IF(AND(ISNUMBER(MATCH($F291,'Tablas Técnicas'!$L$10:$L$643,0)),INDEX($P302:$P308,Tablas!G$1)="",COUNTIF(AS291:$AS291,$F291)=0),$F291,IF(INDEX($P302:$P308,Tablas!G$1)="","",$F291&amp;INDEX($P302:$P308,Tablas!G$1)))</f>
        <v/>
      </c>
      <c r="AS291" s="3132">
        <f>V291+X291+Z291+AB291+AD291+AF291</f>
        <v>0</v>
      </c>
      <c r="AT291" s="3132">
        <f t="array" ref="AT291">SUM(IF($AL291:$AR291='Tablas Técnicas'!$L$10:$L$643,IF(D291="Primario",'Tablas Técnicas'!$E$10:$E$643,'Tablas Técnicas'!$F$10:$F$643)+IF(K291="Sostenimiento menor",'Tablas Técnicas'!$I$10:$I$643,IF(K291="sostenimiento mayor",'Tablas Técnicas'!$J$10:$J$643,0)),0),0)+VALUE(RIGHT(P291,2))+AU291+AV291</f>
        <v>0</v>
      </c>
      <c r="AU291" s="313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32">
        <f>(COUNTIF(AL291:AR291,"*Estado añadido:*")-1)*COUNTIF(AL291:AR291,"*Estado añadido:*")</f>
        <v>0</v>
      </c>
      <c r="AW291" s="3132">
        <f t="array" ref="AW291">SUM(IF($AL291:$AR291='Tablas Técnicas'!$L$10:$L$643,'Tablas Técnicas'!$G$10:$G$643,0))</f>
        <v>0</v>
      </c>
      <c r="AX291" s="312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8" t="str">
        <f>IFERROR(LEFT(AX291,LEN(AX291)-2)&amp;"), ","")</f>
        <v/>
      </c>
    </row>
    <row r="292" spans="1:51" ht="12.2" customHeight="1" x14ac:dyDescent="0.2">
      <c r="A292" s="2172"/>
      <c r="B292" s="2086">
        <f t="shared" si="7"/>
        <v>9</v>
      </c>
      <c r="C292" s="4584"/>
      <c r="D292" s="4629" t="s">
        <v>524</v>
      </c>
      <c r="E292" s="4630"/>
      <c r="F292" s="4661"/>
      <c r="G292" s="4662"/>
      <c r="H292" s="4662"/>
      <c r="I292" s="4662"/>
      <c r="J292" s="4663"/>
      <c r="K292" s="4664" t="s">
        <v>1455</v>
      </c>
      <c r="L292" s="4665"/>
      <c r="M292" s="4666"/>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1" t="str">
        <f>IFERROR(VLOOKUP(F292,'Tablas Técnicas'!$O$9:$T$88,5,FALSE),"")</f>
        <v/>
      </c>
      <c r="R292" s="4631"/>
      <c r="S292" s="4631"/>
      <c r="T292" s="4631"/>
      <c r="U292" s="4631"/>
      <c r="V292" s="2047"/>
      <c r="W292" s="2048"/>
      <c r="X292" s="2047"/>
      <c r="Y292" s="2049"/>
      <c r="Z292" s="2050"/>
      <c r="AA292" s="2048"/>
      <c r="AB292" s="2047"/>
      <c r="AC292" s="2049"/>
      <c r="AD292" s="2050"/>
      <c r="AE292" s="2048"/>
      <c r="AF292" s="2047"/>
      <c r="AG292" s="2051"/>
      <c r="AH292" s="2180"/>
      <c r="AI292" s="4604"/>
      <c r="AJ292" s="3128">
        <v>4</v>
      </c>
      <c r="AK292" s="3128">
        <f>P285</f>
        <v>1</v>
      </c>
      <c r="AL292" s="3128" t="str">
        <f>IF(AND(ISNUMBER(MATCH($F292,'Tablas Técnicas'!$L$10:$L$643,0)),INDEX($V302:$V308,Tablas!A$1)="",COUNTIF(AM292:$AS292,$F292)=0),$F292,IF(INDEX($V302:$V308,Tablas!A$1)="","",$F292&amp;INDEX($V302:$V308,Tablas!A$1)))</f>
        <v/>
      </c>
      <c r="AM292" s="3128" t="str">
        <f>IF(AND(ISNUMBER(MATCH($F292,'Tablas Técnicas'!$L$10:$L$643,0)),INDEX($V302:$V308,Tablas!B$1)="",COUNTIF(AN292:$AS292,$F292)=0),$F292,IF(INDEX($V302:$V308,Tablas!B$1)="","",$F292&amp;INDEX($V302:$V308,Tablas!B$1)))</f>
        <v/>
      </c>
      <c r="AN292" s="3128" t="str">
        <f>IF(AND(ISNUMBER(MATCH($F292,'Tablas Técnicas'!$L$10:$L$643,0)),INDEX($V302:$V308,Tablas!C$1)="",COUNTIF(AO292:$AS292,$F292)=0),$F292,IF(INDEX($V302:$V308,Tablas!C$1)="","",$F292&amp;INDEX($V302:$V308,Tablas!C$1)))</f>
        <v/>
      </c>
      <c r="AO292" s="3128" t="str">
        <f>IF(AND(ISNUMBER(MATCH($F292,'Tablas Técnicas'!$L$10:$L$643,0)),INDEX($V302:$V308,Tablas!D$1)="",COUNTIF(AP292:$AS292,$F292)=0),$F292,IF(INDEX($V302:$V308,Tablas!D$1)="","",$F292&amp;INDEX($V302:$V308,Tablas!D$1)))</f>
        <v/>
      </c>
      <c r="AP292" s="3128" t="str">
        <f>IF(AND(ISNUMBER(MATCH($F292,'Tablas Técnicas'!$L$10:$L$643,0)),INDEX($V302:$V308,Tablas!E$1)="",COUNTIF(AQ292:$AS292,$F292)=0),$F292,IF(INDEX($V302:$V308,Tablas!E$1)="","",$F292&amp;INDEX($V302:$V308,Tablas!E$1)))</f>
        <v/>
      </c>
      <c r="AQ292" s="3128" t="str">
        <f>IF(AND(ISNUMBER(MATCH($F292,'Tablas Técnicas'!$L$10:$L$643,0)),INDEX($V302:$V308,Tablas!F$1)="",COUNTIF(AR292:$AS292,$F292)=0),$F292,IF(INDEX($V302:$V308,Tablas!F$1)="","",$F292&amp;INDEX($V302:$V308,Tablas!F$1)))</f>
        <v/>
      </c>
      <c r="AR292" s="3128" t="str">
        <f>IF(AND(ISNUMBER(MATCH($F292,'Tablas Técnicas'!$L$10:$L$643,0)),INDEX($V302:$V308,Tablas!G$1)="",COUNTIF(AS292:$AS292,$F292)=0),$F292,IF(INDEX($V302:$V308,Tablas!G$1)="","",$F292&amp;INDEX($V302:$V308,Tablas!G$1)))</f>
        <v/>
      </c>
      <c r="AS292" s="3132">
        <f>V292+X292+Z292+AB292+AD292+AF292</f>
        <v>0</v>
      </c>
      <c r="AT292" s="3132">
        <f t="array" ref="AT292">SUM(IF($AL292:$AR292='Tablas Técnicas'!$L$10:$L$643,IF(D292="Primario",'Tablas Técnicas'!$E$10:$E$643,'Tablas Técnicas'!$F$10:$F$643)+IF(K292="Sostenimiento menor",'Tablas Técnicas'!$I$10:$I$643,IF(K292="sostenimiento mayor",'Tablas Técnicas'!$J$10:$J$643,0)),0),0)+VALUE(RIGHT(P292,2))+AU292+AV292</f>
        <v>0</v>
      </c>
      <c r="AU292" s="313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32">
        <f>(COUNTIF(AL292:AR292,"*Estado añadido:*")-1)*COUNTIF(AL292:AR292,"*Estado añadido:*")</f>
        <v>0</v>
      </c>
      <c r="AW292" s="3132">
        <f t="array" ref="AW292">SUM(IF($AL292:$AR292='Tablas Técnicas'!$L$10:$L$643,'Tablas Técnicas'!$G$10:$G$643,0))</f>
        <v>0</v>
      </c>
      <c r="AX292" s="312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8" t="str">
        <f>IFERROR(LEFT(AX292,LEN(AX292)-2)&amp;"), ","")</f>
        <v/>
      </c>
    </row>
    <row r="293" spans="1:51" ht="12.2" customHeight="1" thickBot="1" x14ac:dyDescent="0.25">
      <c r="A293" s="2172"/>
      <c r="B293" s="2086">
        <f t="shared" si="7"/>
        <v>9</v>
      </c>
      <c r="C293" s="4584"/>
      <c r="D293" s="4632" t="s">
        <v>524</v>
      </c>
      <c r="E293" s="4633"/>
      <c r="F293" s="4589"/>
      <c r="G293" s="4590"/>
      <c r="H293" s="4590"/>
      <c r="I293" s="4590"/>
      <c r="J293" s="4591"/>
      <c r="K293" s="4592" t="s">
        <v>1455</v>
      </c>
      <c r="L293" s="4593"/>
      <c r="M293" s="4594"/>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34" t="str">
        <f>IFERROR(VLOOKUP(F293,'Tablas Técnicas'!$O$9:$T$88,5,FALSE),"")</f>
        <v/>
      </c>
      <c r="R293" s="4634"/>
      <c r="S293" s="4634"/>
      <c r="T293" s="4634"/>
      <c r="U293" s="4634"/>
      <c r="V293" s="2057"/>
      <c r="W293" s="2058"/>
      <c r="X293" s="2057"/>
      <c r="Y293" s="2059"/>
      <c r="Z293" s="2060"/>
      <c r="AA293" s="2058"/>
      <c r="AB293" s="2057"/>
      <c r="AC293" s="2059"/>
      <c r="AD293" s="2060"/>
      <c r="AE293" s="2058"/>
      <c r="AF293" s="2057"/>
      <c r="AG293" s="2061"/>
      <c r="AH293" s="2180"/>
      <c r="AI293" s="4604"/>
      <c r="AJ293" s="3128">
        <v>5</v>
      </c>
      <c r="AK293" s="3128">
        <f>P285</f>
        <v>1</v>
      </c>
      <c r="AL293" s="3128" t="str">
        <f>IF(AND(ISNUMBER(MATCH($F293,'Tablas Técnicas'!$L$10:$L$643,0)),INDEX($AB302:$AB308,Tablas!A$1)="",COUNTIF(AM293:$AS293,$F293)=0),$F293,IF(INDEX($AB302:$AB308,Tablas!A$1)="","",$F293&amp;INDEX($AB302:$AB308,Tablas!A$1)))</f>
        <v/>
      </c>
      <c r="AM293" s="3128" t="str">
        <f>IF(AND(ISNUMBER(MATCH($F293,'Tablas Técnicas'!$L$10:$L$643,0)),INDEX($AB302:$AB308,Tablas!B$1)="",COUNTIF(AN293:$AS293,$F293)=0),$F293,IF(INDEX($AB302:$AB308,Tablas!B$1)="","",$F293&amp;INDEX($AB302:$AB308,Tablas!B$1)))</f>
        <v/>
      </c>
      <c r="AN293" s="3128" t="str">
        <f>IF(AND(ISNUMBER(MATCH($F293,'Tablas Técnicas'!$L$10:$L$643,0)),INDEX($AB302:$AB308,Tablas!C$1)="",COUNTIF(AO293:$AS293,$F293)=0),$F293,IF(INDEX($AB302:$AB308,Tablas!C$1)="","",$F293&amp;INDEX($AB302:$AB308,Tablas!C$1)))</f>
        <v/>
      </c>
      <c r="AO293" s="3128" t="str">
        <f>IF(AND(ISNUMBER(MATCH($F293,'Tablas Técnicas'!$L$10:$L$643,0)),INDEX($AB302:$AB308,Tablas!D$1)="",COUNTIF(AP293:$AS293,$F293)=0),$F293,IF(INDEX($AB302:$AB308,Tablas!D$1)="","",$F293&amp;INDEX($AB302:$AB308,Tablas!D$1)))</f>
        <v/>
      </c>
      <c r="AP293" s="3128" t="str">
        <f>IF(AND(ISNUMBER(MATCH($F293,'Tablas Técnicas'!$L$10:$L$643,0)),INDEX($AB302:$AB308,Tablas!E$1)="",COUNTIF(AQ293:$AS293,$F293)=0),$F293,IF(INDEX($AB302:$AB308,Tablas!E$1)="","",$F293&amp;INDEX($AB302:$AB308,Tablas!E$1)))</f>
        <v/>
      </c>
      <c r="AQ293" s="3128" t="str">
        <f>IF(AND(ISNUMBER(MATCH($F293,'Tablas Técnicas'!$L$10:$L$643,0)),INDEX($AB302:$AB308,Tablas!F$1)="",COUNTIF(AR293:$AS293,$F293)=0),$F293,IF(INDEX($AB302:$AB308,Tablas!F$1)="","",$F293&amp;INDEX($AB302:$AB308,Tablas!F$1)))</f>
        <v/>
      </c>
      <c r="AR293" s="3128" t="str">
        <f>IF(AND(ISNUMBER(MATCH($F293,'Tablas Técnicas'!$L$10:$L$643,0)),INDEX($AB302:$AB308,Tablas!G$1)="",COUNTIF(AS293:$AS293,$F293)=0),$F293,IF(INDEX($AB302:$AB308,Tablas!G$1)="","",$F293&amp;INDEX($AB302:$AB308,Tablas!G$1)))</f>
        <v/>
      </c>
      <c r="AS293" s="3132">
        <f>V293+X293+Z293+AB293+AD293+AF293</f>
        <v>0</v>
      </c>
      <c r="AT293" s="3132">
        <f t="array" ref="AT293">SUM(IF($AL293:$AR293='Tablas Técnicas'!$L$10:$L$643,IF(D293="Primario",'Tablas Técnicas'!$E$10:$E$643,'Tablas Técnicas'!$F$10:$F$643)+IF(K293="Sostenimiento menor",'Tablas Técnicas'!$I$10:$I$643,IF(K293="sostenimiento mayor",'Tablas Técnicas'!$J$10:$J$643,0)),0),0)+VALUE(RIGHT(P293,2))+AU293+AV293</f>
        <v>0</v>
      </c>
      <c r="AU293" s="313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32">
        <f>(COUNTIF(AL293:AR293,"*Estado añadido:*")-1)*COUNTIF(AL293:AR293,"*Estado añadido:*")</f>
        <v>0</v>
      </c>
      <c r="AW293" s="3132">
        <f t="array" ref="AW293">SUM(IF($AL293:$AR293='Tablas Técnicas'!$L$10:$L$643,'Tablas Técnicas'!$G$10:$G$643,0))</f>
        <v>0</v>
      </c>
      <c r="AX293" s="312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8" t="str">
        <f>IFERROR(LEFT(AX293,LEN(AX293)-2)&amp;"), ","")</f>
        <v/>
      </c>
    </row>
    <row r="294" spans="1:51" ht="12.2" customHeight="1" x14ac:dyDescent="0.2">
      <c r="A294" s="2172"/>
      <c r="B294" s="2086">
        <f t="shared" si="7"/>
        <v>9</v>
      </c>
      <c r="C294" s="4584"/>
      <c r="D294" s="4635" t="s">
        <v>2818</v>
      </c>
      <c r="E294" s="4636"/>
      <c r="F294" s="4656"/>
      <c r="G294" s="4657"/>
      <c r="H294" s="4657"/>
      <c r="I294" s="4657"/>
      <c r="J294" s="4658"/>
      <c r="K294" s="4674"/>
      <c r="L294" s="4703"/>
      <c r="M294" s="4704"/>
      <c r="N294" s="1916" t="str">
        <f>IFERROR(INDEX('Tablas Técnicas'!$Q$200:$Q$301,MATCH(F294&amp;K294,'Tablas Técnicas'!$S$200:$S$301,0)),"")</f>
        <v/>
      </c>
      <c r="O294" s="4705"/>
      <c r="P294" s="4706"/>
      <c r="Q294" s="4707"/>
      <c r="R294" s="4706"/>
      <c r="S294" s="2745" t="str">
        <f>IFERROR("Nivel: "&amp;MAX(1,INDEX('Tablas Técnicas'!$R$200:$R$301,MATCH(F294&amp;K294,'Tablas Técnicas'!$S$200:$S$301,0))),"")</f>
        <v/>
      </c>
      <c r="T294" s="1917"/>
      <c r="U294" s="1918" t="str">
        <f>IFERROR("("&amp;VLOOKUP(F294,'Tablas Técnicas'!$O$165:$Q$192,3,FALSE)&amp;")","")</f>
        <v/>
      </c>
      <c r="V294" s="4644" t="s">
        <v>9619</v>
      </c>
      <c r="W294" s="4645"/>
      <c r="X294" s="4646"/>
      <c r="Y294" s="2297">
        <v>0</v>
      </c>
      <c r="Z294" s="4647" t="s">
        <v>8806</v>
      </c>
      <c r="AA294" s="4648"/>
      <c r="AB294" s="4649"/>
      <c r="AC294" s="2297">
        <v>0</v>
      </c>
      <c r="AD294" s="4650" t="str">
        <f>"Ki sin repartir: "&amp;AL302-AL303&amp;IF(AM302=0,""," ("&amp;AM302-AM303&amp;")")</f>
        <v>Ki sin repartir: 0</v>
      </c>
      <c r="AE294" s="4651"/>
      <c r="AF294" s="4651"/>
      <c r="AG294" s="4652"/>
      <c r="AH294" s="2180"/>
      <c r="AI294" s="4604"/>
      <c r="AJ294" s="3128">
        <v>1</v>
      </c>
      <c r="AK294" s="3128">
        <f>P285</f>
        <v>1</v>
      </c>
      <c r="AL294" s="3128" t="e">
        <f>VLOOKUP(F294,'Tablas Técnicas'!$O$165:$Q$188,2,FALSE)</f>
        <v>#N/A</v>
      </c>
      <c r="AM294" s="3128"/>
      <c r="AN294" s="3129"/>
      <c r="AO294" s="3128"/>
      <c r="AP294" s="3128"/>
      <c r="AQ294" s="3129"/>
      <c r="AR294" s="3128"/>
      <c r="AS294" s="3128"/>
      <c r="AT294" s="3128"/>
      <c r="AU294" s="3128"/>
      <c r="AV294" s="3128"/>
      <c r="AW294" s="3132"/>
      <c r="AX294" s="3132"/>
      <c r="AY294" s="3128" t="str">
        <f>IF(F294="","",F294&amp;IF(K294="",""," ("&amp;IF(F294="Atadura Elemental",O294&amp;IF(Q294="","",", "&amp;Q294),K294)&amp;")")&amp;", ")</f>
        <v/>
      </c>
    </row>
    <row r="295" spans="1:51" ht="12.2" customHeight="1" x14ac:dyDescent="0.2">
      <c r="A295" s="2172"/>
      <c r="B295" s="2086">
        <f t="shared" si="7"/>
        <v>9</v>
      </c>
      <c r="C295" s="4584"/>
      <c r="D295" s="4637"/>
      <c r="E295" s="4638"/>
      <c r="F295" s="4708"/>
      <c r="G295" s="4709"/>
      <c r="H295" s="4709"/>
      <c r="I295" s="4709"/>
      <c r="J295" s="4710"/>
      <c r="K295" s="4663"/>
      <c r="L295" s="4723"/>
      <c r="M295" s="4724"/>
      <c r="N295" s="1919" t="str">
        <f>IFERROR(INDEX('Tablas Técnicas'!$Q$200:$Q$301,MATCH(F295&amp;K295,'Tablas Técnicas'!$S$200:$S$301,0)),"")</f>
        <v/>
      </c>
      <c r="O295" s="4711"/>
      <c r="P295" s="4712"/>
      <c r="Q295" s="4713"/>
      <c r="R295" s="4712"/>
      <c r="S295" s="2747" t="str">
        <f>IFERROR("Nivel: "&amp;MAX(1,INDEX('Tablas Técnicas'!$R$200:$R$301,MATCH(F295&amp;K295,'Tablas Técnicas'!$S$200:$S$301,0))),"")</f>
        <v/>
      </c>
      <c r="T295" s="2528"/>
      <c r="U295" s="2529" t="str">
        <f>IFERROR("("&amp;VLOOKUP(F295,'Tablas Técnicas'!$O$165:$Q$192,3,FALSE)&amp;")","")</f>
        <v/>
      </c>
      <c r="V295" s="4653" t="str">
        <f>"Mod. "&amp;V287</f>
        <v>Mod. AGI</v>
      </c>
      <c r="W295" s="4654"/>
      <c r="X295" s="4653" t="str">
        <f>"Mod. "&amp;X287</f>
        <v>Mod. CON</v>
      </c>
      <c r="Y295" s="4654"/>
      <c r="Z295" s="4653" t="str">
        <f>"Mod. "&amp;Z287</f>
        <v>Mod. DES</v>
      </c>
      <c r="AA295" s="4654"/>
      <c r="AB295" s="4653" t="str">
        <f>"Mod. "&amp;AB287</f>
        <v>Mod. FUE</v>
      </c>
      <c r="AC295" s="4654"/>
      <c r="AD295" s="4653" t="str">
        <f>"Mod. "&amp;AD287</f>
        <v>Mod. POD</v>
      </c>
      <c r="AE295" s="4654"/>
      <c r="AF295" s="4653" t="str">
        <f>"Mod. "&amp;AF287</f>
        <v>Mod. VOL</v>
      </c>
      <c r="AG295" s="4655"/>
      <c r="AH295" s="2180"/>
      <c r="AI295" s="4604"/>
      <c r="AJ295" s="3128">
        <v>2</v>
      </c>
      <c r="AK295" s="3128">
        <f>P285</f>
        <v>1</v>
      </c>
      <c r="AL295" s="3128" t="e">
        <f>VLOOKUP(F295,'Tablas Técnicas'!$O$165:$Q$188,2,FALSE)</f>
        <v>#N/A</v>
      </c>
      <c r="AM295" s="3128"/>
      <c r="AN295" s="3129"/>
      <c r="AO295" s="3128"/>
      <c r="AP295" s="3128"/>
      <c r="AQ295" s="3129"/>
      <c r="AR295" s="3128"/>
      <c r="AS295" s="3128"/>
      <c r="AT295" s="3128"/>
      <c r="AU295" s="3128"/>
      <c r="AV295" s="3128"/>
      <c r="AW295" s="3132"/>
      <c r="AX295" s="3132"/>
      <c r="AY295" s="3128" t="str">
        <f>IF(F295="","",F295&amp;IF(K295="",""," ("&amp;IF(F295="Atadura Elemental",O295&amp;IF(Q295="","",", "&amp;Q295),K295)&amp;")")&amp;", ")</f>
        <v/>
      </c>
    </row>
    <row r="296" spans="1:51" ht="12.2" customHeight="1" thickBot="1" x14ac:dyDescent="0.25">
      <c r="A296" s="2172"/>
      <c r="B296" s="2086">
        <f t="shared" si="7"/>
        <v>9</v>
      </c>
      <c r="C296" s="4584"/>
      <c r="D296" s="4639"/>
      <c r="E296" s="4640"/>
      <c r="F296" s="4714"/>
      <c r="G296" s="4715"/>
      <c r="H296" s="4715"/>
      <c r="I296" s="4715"/>
      <c r="J296" s="4716"/>
      <c r="K296" s="4718"/>
      <c r="L296" s="4719"/>
      <c r="M296" s="4720"/>
      <c r="N296" s="1920" t="str">
        <f>IFERROR(INDEX('Tablas Técnicas'!$Q$200:$Q$301,MATCH(F296&amp;K296,'Tablas Técnicas'!$S$200:$S$301,0)),"")</f>
        <v/>
      </c>
      <c r="O296" s="4701"/>
      <c r="P296" s="4702"/>
      <c r="Q296" s="4717"/>
      <c r="R296" s="4702"/>
      <c r="S296" s="2746" t="str">
        <f>IFERROR("Nivel: "&amp;MAX(1,INDEX('Tablas Técnicas'!$R$200:$R$301,MATCH(F296&amp;K296,'Tablas Técnicas'!$S$200:$S$301,0))),"")</f>
        <v/>
      </c>
      <c r="T296" s="2530"/>
      <c r="U296" s="2531" t="str">
        <f>IFERROR("("&amp;VLOOKUP(F296,'Tablas Técnicas'!$O$165:$Q$192,3,FALSE)&amp;")","")</f>
        <v/>
      </c>
      <c r="V296" s="4610"/>
      <c r="W296" s="4608"/>
      <c r="X296" s="4608"/>
      <c r="Y296" s="4608"/>
      <c r="Z296" s="4608"/>
      <c r="AA296" s="4608"/>
      <c r="AB296" s="4608"/>
      <c r="AC296" s="4608"/>
      <c r="AD296" s="4608"/>
      <c r="AE296" s="4608"/>
      <c r="AF296" s="4608"/>
      <c r="AG296" s="4620"/>
      <c r="AH296" s="2180"/>
      <c r="AI296" s="4604"/>
      <c r="AJ296" s="3128">
        <v>3</v>
      </c>
      <c r="AK296" s="3128">
        <f>P285</f>
        <v>1</v>
      </c>
      <c r="AL296" s="3128" t="e">
        <f>VLOOKUP(F296,'Tablas Técnicas'!$O$165:$Q$188,2,FALSE)</f>
        <v>#N/A</v>
      </c>
      <c r="AM296" s="3128"/>
      <c r="AN296" s="3129"/>
      <c r="AO296" s="3128"/>
      <c r="AP296" s="3128"/>
      <c r="AQ296" s="3129"/>
      <c r="AR296" s="3132"/>
      <c r="AS296" s="3132"/>
      <c r="AT296" s="3132"/>
      <c r="AU296" s="3132"/>
      <c r="AV296" s="3132"/>
      <c r="AW296" s="3132"/>
      <c r="AX296" s="3132"/>
      <c r="AY296" s="3128" t="str">
        <f>IF(F296="","",F296&amp;IF(K296="",""," ("&amp;IF(F296="Atadura Elemental",O296&amp;IF(Q296="","",", "&amp;Q296),K296)&amp;")")&amp;", ")</f>
        <v/>
      </c>
    </row>
    <row r="297" spans="1:51" ht="12.2" customHeight="1" x14ac:dyDescent="0.2">
      <c r="A297" s="2172"/>
      <c r="B297" s="2086">
        <f t="shared" si="7"/>
        <v>9</v>
      </c>
      <c r="C297" s="4584"/>
      <c r="D297" s="4595" t="s">
        <v>9301</v>
      </c>
      <c r="E297" s="4596"/>
      <c r="F297" s="4596"/>
      <c r="G297" s="4596"/>
      <c r="H297" s="4596"/>
      <c r="I297" s="4596"/>
      <c r="J297" s="4596"/>
      <c r="K297" s="4596"/>
      <c r="L297" s="4596"/>
      <c r="M297" s="4596"/>
      <c r="N297" s="4596"/>
      <c r="O297" s="4596"/>
      <c r="P297" s="4596"/>
      <c r="Q297" s="4596"/>
      <c r="R297" s="4596"/>
      <c r="S297" s="4596"/>
      <c r="T297" s="4596"/>
      <c r="U297" s="4596"/>
      <c r="V297" s="4597"/>
      <c r="W297" s="4597"/>
      <c r="X297" s="4597"/>
      <c r="Y297" s="4597"/>
      <c r="Z297" s="4597"/>
      <c r="AA297" s="4597"/>
      <c r="AB297" s="4597"/>
      <c r="AC297" s="4597"/>
      <c r="AD297" s="4597"/>
      <c r="AE297" s="4597"/>
      <c r="AF297" s="4597"/>
      <c r="AG297" s="4598"/>
      <c r="AH297" s="2180"/>
      <c r="AI297" s="4604"/>
      <c r="AJ297" s="3128"/>
      <c r="AK297" s="3128"/>
      <c r="AL297" s="3128"/>
      <c r="AM297" s="3128"/>
      <c r="AN297" s="3129" t="s">
        <v>8807</v>
      </c>
      <c r="AO297" s="3128" t="e">
        <f>LEFT(AY289&amp;AY290&amp;AY291&amp;AY292&amp;AY293,LEN(AY289&amp;AY290&amp;AY291&amp;AY292&amp;AY293)-2)</f>
        <v>#VALUE!</v>
      </c>
      <c r="AP297" s="3128"/>
      <c r="AQ297" s="3129"/>
      <c r="AR297" s="3132"/>
      <c r="AS297" s="3132"/>
      <c r="AT297" s="3132"/>
      <c r="AU297" s="3129"/>
      <c r="AV297" s="3129"/>
      <c r="AW297" s="3132"/>
      <c r="AX297" s="3132"/>
      <c r="AY297" s="3128"/>
    </row>
    <row r="298" spans="1:51" ht="12.2" customHeight="1" x14ac:dyDescent="0.2">
      <c r="A298" s="2172"/>
      <c r="B298" s="2086">
        <f t="shared" si="7"/>
        <v>9</v>
      </c>
      <c r="C298" s="4584"/>
      <c r="D298" s="4599" t="str">
        <f>IF(F289="","",F289)</f>
        <v/>
      </c>
      <c r="E298" s="4600"/>
      <c r="F298" s="4600"/>
      <c r="G298" s="4600"/>
      <c r="H298" s="4600"/>
      <c r="I298" s="4601"/>
      <c r="J298" s="4599" t="str">
        <f>IF(F290="","",F290)</f>
        <v/>
      </c>
      <c r="K298" s="4600"/>
      <c r="L298" s="4600"/>
      <c r="M298" s="4600"/>
      <c r="N298" s="4600"/>
      <c r="O298" s="4601"/>
      <c r="P298" s="4600" t="str">
        <f>IF(F291="","",F291)</f>
        <v/>
      </c>
      <c r="Q298" s="4600"/>
      <c r="R298" s="4600"/>
      <c r="S298" s="4600"/>
      <c r="T298" s="4600"/>
      <c r="U298" s="4601"/>
      <c r="V298" s="4599" t="str">
        <f>IF(F292="","",F292)</f>
        <v/>
      </c>
      <c r="W298" s="4600"/>
      <c r="X298" s="4600"/>
      <c r="Y298" s="4600"/>
      <c r="Z298" s="4600"/>
      <c r="AA298" s="4601"/>
      <c r="AB298" s="4600" t="str">
        <f>IF(F293="","",F293)</f>
        <v/>
      </c>
      <c r="AC298" s="4600"/>
      <c r="AD298" s="4600"/>
      <c r="AE298" s="4600"/>
      <c r="AF298" s="4600"/>
      <c r="AG298" s="4623"/>
      <c r="AH298" s="2180"/>
      <c r="AI298" s="4604"/>
      <c r="AJ298" s="3128"/>
      <c r="AK298" s="3128"/>
      <c r="AL298" s="3128"/>
      <c r="AM298" s="3128"/>
      <c r="AN298" s="3129" t="s">
        <v>8808</v>
      </c>
      <c r="AO298" s="3128" t="e">
        <f>LEFT(AY294&amp;AY295&amp;AY296,LEN(AY294&amp;AY295&amp;AY296)-2)</f>
        <v>#VALUE!</v>
      </c>
      <c r="AP298" s="3128"/>
      <c r="AQ298" s="3129"/>
      <c r="AR298" s="3132"/>
      <c r="AS298" s="3132"/>
      <c r="AT298" s="3132"/>
      <c r="AU298" s="3129"/>
      <c r="AV298" s="3129"/>
      <c r="AW298" s="3132"/>
      <c r="AX298" s="3132"/>
      <c r="AY298" s="3128"/>
    </row>
    <row r="299" spans="1:51" ht="12.2" customHeight="1" x14ac:dyDescent="0.2">
      <c r="A299" s="2172"/>
      <c r="B299" s="2086">
        <f t="shared" si="7"/>
        <v>9</v>
      </c>
      <c r="C299" s="4584"/>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604"/>
      <c r="AJ299" s="3128"/>
      <c r="AK299" s="3128"/>
      <c r="AL299" s="3128"/>
      <c r="AM299" s="3128"/>
      <c r="AN299" s="3129"/>
      <c r="AO299" s="3128"/>
      <c r="AP299" s="3128"/>
      <c r="AQ299" s="3129"/>
      <c r="AR299" s="3132"/>
      <c r="AS299" s="3132"/>
      <c r="AT299" s="3132"/>
      <c r="AU299" s="3132"/>
      <c r="AV299" s="3132"/>
      <c r="AW299" s="3132"/>
      <c r="AX299" s="3132"/>
      <c r="AY299" s="3128"/>
    </row>
    <row r="300" spans="1:51" ht="12.2" customHeight="1" x14ac:dyDescent="0.2">
      <c r="A300" s="2172"/>
      <c r="B300" s="2086">
        <f t="shared" si="7"/>
        <v>9</v>
      </c>
      <c r="C300" s="4584"/>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604"/>
      <c r="AJ300" s="3128"/>
      <c r="AK300" s="3132" t="s">
        <v>1373</v>
      </c>
      <c r="AL300" s="3132" t="s">
        <v>1497</v>
      </c>
      <c r="AM300" s="3132" t="s">
        <v>1378</v>
      </c>
      <c r="AN300" s="3132" t="s">
        <v>1383</v>
      </c>
      <c r="AO300" s="3132" t="s">
        <v>1390</v>
      </c>
      <c r="AP300" s="3132" t="s">
        <v>1391</v>
      </c>
      <c r="AQ300" s="3129"/>
      <c r="AR300" s="3132"/>
      <c r="AS300" s="3132"/>
      <c r="AT300" s="3132"/>
      <c r="AU300" s="3132"/>
      <c r="AV300" s="3132"/>
      <c r="AW300" s="3132"/>
      <c r="AX300" s="3132"/>
      <c r="AY300" s="3128"/>
    </row>
    <row r="301" spans="1:51" ht="12.2" customHeight="1" x14ac:dyDescent="0.2">
      <c r="A301" s="2172"/>
      <c r="B301" s="2086">
        <f t="shared" si="7"/>
        <v>9</v>
      </c>
      <c r="C301" s="4584"/>
      <c r="D301" s="4599" t="s">
        <v>2826</v>
      </c>
      <c r="E301" s="4600"/>
      <c r="F301" s="4600"/>
      <c r="G301" s="4600"/>
      <c r="H301" s="4601"/>
      <c r="I301" s="1925" t="s">
        <v>1402</v>
      </c>
      <c r="J301" s="4599" t="s">
        <v>2826</v>
      </c>
      <c r="K301" s="4600"/>
      <c r="L301" s="4600"/>
      <c r="M301" s="4600"/>
      <c r="N301" s="4601"/>
      <c r="O301" s="1926" t="s">
        <v>1402</v>
      </c>
      <c r="P301" s="4599" t="s">
        <v>2826</v>
      </c>
      <c r="Q301" s="4600"/>
      <c r="R301" s="4600"/>
      <c r="S301" s="4600"/>
      <c r="T301" s="4601"/>
      <c r="U301" s="1926" t="s">
        <v>1402</v>
      </c>
      <c r="V301" s="4599"/>
      <c r="W301" s="4600"/>
      <c r="X301" s="4600"/>
      <c r="Y301" s="4600"/>
      <c r="Z301" s="4601"/>
      <c r="AA301" s="1926" t="s">
        <v>1402</v>
      </c>
      <c r="AB301" s="4599" t="s">
        <v>2826</v>
      </c>
      <c r="AC301" s="4600"/>
      <c r="AD301" s="4600"/>
      <c r="AE301" s="4600"/>
      <c r="AF301" s="4601"/>
      <c r="AG301" s="1927" t="s">
        <v>1402</v>
      </c>
      <c r="AH301" s="2180"/>
      <c r="AI301" s="4604"/>
      <c r="AJ301" s="3133" t="s">
        <v>9338</v>
      </c>
      <c r="AK301" s="3128" t="str">
        <f>IF(V287="","",IF(SUM(V289:V293)=0,"",V287&amp;" "&amp;SUM(V289:V293)+V296&amp;IF(SUM(W289:W293)=0,""," ("&amp;SUM(W289:W293)&amp;")")&amp;", "))</f>
        <v/>
      </c>
      <c r="AL301" s="3128" t="str">
        <f>IF(X287="","",IF(SUM(X289:X293)=0,"",X287&amp;" "&amp;SUM(X289:X293)+X296&amp;IF(SUM(Y289:Y293)=0,""," ("&amp;SUM(Y289:Y293)&amp;")")&amp;", "))</f>
        <v/>
      </c>
      <c r="AM301" s="3128" t="str">
        <f>IF(Z287="","",IF(SUM(Z289:Z293)=0,"",Z287&amp;" "&amp;SUM(Z289:Z293)+Z296&amp;IF(SUM(AA289:AA293)=0,""," ("&amp;SUM(AA289:AA293)&amp;")")&amp;", "))</f>
        <v/>
      </c>
      <c r="AN301" s="3128" t="str">
        <f>IF(AB287="","",IF(SUM(AB289:AB293)=0,"",AB287&amp;" "&amp;SUM(AB289:AB293)+AB296&amp;IF(SUM(AC289:AC293)=0,""," ("&amp;SUM(AC289:AC293)&amp;")")&amp;", "))</f>
        <v/>
      </c>
      <c r="AO301" s="3128" t="str">
        <f>IF(AD287="","",IF(SUM(AD289:AD293)=0,"",AD287&amp;" "&amp;SUM(AD289:AD293)+AD296&amp;IF(SUM(AE289:AE293)=0,""," ("&amp;SUM(AE289:AE293)&amp;")")&amp;", "))</f>
        <v/>
      </c>
      <c r="AP301" s="3128" t="str">
        <f>IF(AF287="","",IF(SUM(AF289:AF293)=0,"",AF287&amp;" "&amp;SUM(AF289:AF293)+AF296&amp;IF(SUM(AG289:AG293)=0,""," ("&amp;SUM(AG289:AG293)&amp;")")&amp;", "))</f>
        <v/>
      </c>
      <c r="AQ301" s="3128"/>
      <c r="AR301" s="3128"/>
      <c r="AS301" s="3128"/>
      <c r="AT301" s="3128"/>
      <c r="AU301" s="3128"/>
      <c r="AV301" s="3128"/>
      <c r="AW301" s="3128"/>
      <c r="AX301" s="3128"/>
      <c r="AY301" s="3128"/>
    </row>
    <row r="302" spans="1:51" ht="12.2" customHeight="1" x14ac:dyDescent="0.2">
      <c r="A302" s="2172"/>
      <c r="B302" s="2086">
        <f t="shared" si="7"/>
        <v>9</v>
      </c>
      <c r="C302" s="4584"/>
      <c r="D302" s="4621"/>
      <c r="E302" s="4619"/>
      <c r="F302" s="4619"/>
      <c r="G302" s="4619"/>
      <c r="H302" s="4619"/>
      <c r="I302" s="1928" t="str">
        <f>IF(OR(D298="",D302=""),"",MAX(1,SUMPRODUCT(--(INDEX('Tablas Técnicas'!$C$10:$L$643,,1)=D298),--(INDEX('Tablas Técnicas'!$C$10:$L$643,,2)=D302),INDEX('Tablas Técnicas'!$C$10:$L$643,,9))))</f>
        <v/>
      </c>
      <c r="J302" s="4618"/>
      <c r="K302" s="4619"/>
      <c r="L302" s="4619"/>
      <c r="M302" s="4619"/>
      <c r="N302" s="4619"/>
      <c r="O302" s="1928" t="str">
        <f>IF(OR(J298="",J302=""),"",MAX(1,SUMPRODUCT(--(INDEX('Tablas Técnicas'!$C$10:$L$643,,1)=J298),--(INDEX('Tablas Técnicas'!$C$10:$L$643,,2)=J302),INDEX('Tablas Técnicas'!$C$10:$L$643,,9))))</f>
        <v/>
      </c>
      <c r="P302" s="4618"/>
      <c r="Q302" s="4619"/>
      <c r="R302" s="4619"/>
      <c r="S302" s="4619"/>
      <c r="T302" s="4619"/>
      <c r="U302" s="1928" t="str">
        <f>IF(OR(P298="",P302=""),"",MAX(1,SUMPRODUCT(--(INDEX('Tablas Técnicas'!$C$10:$L$643,,1)=P298),--(INDEX('Tablas Técnicas'!$C$10:$L$643,,2)=P302),INDEX('Tablas Técnicas'!$C$10:$L$643,,9))))</f>
        <v/>
      </c>
      <c r="V302" s="4618"/>
      <c r="W302" s="4619"/>
      <c r="X302" s="4619"/>
      <c r="Y302" s="4619"/>
      <c r="Z302" s="4619"/>
      <c r="AA302" s="1928" t="str">
        <f>IF(OR(V298="",V302=""),"",MAX(1,SUMPRODUCT(--(INDEX('Tablas Técnicas'!$C$10:$L$643,,1)=V298),--(INDEX('Tablas Técnicas'!$C$10:$L$643,,2)=V302),INDEX('Tablas Técnicas'!$C$10:$L$643,,9))))</f>
        <v/>
      </c>
      <c r="AB302" s="4618"/>
      <c r="AC302" s="4619"/>
      <c r="AD302" s="4619"/>
      <c r="AE302" s="4619"/>
      <c r="AF302" s="4619"/>
      <c r="AG302" s="1929" t="str">
        <f>IF(OR(AB298="",AB302=""),"",MAX(1,SUMPRODUCT(--(INDEX('Tablas Técnicas'!$C$10:$L$643,,1)=AB298),--(INDEX('Tablas Técnicas'!$C$10:$L$643,,2)=AB302),INDEX('Tablas Técnicas'!$C$10:$L$643,,9))))</f>
        <v/>
      </c>
      <c r="AH302" s="2180">
        <f>P285</f>
        <v>1</v>
      </c>
      <c r="AI302" s="4604"/>
      <c r="AJ302" s="3128" t="s">
        <v>9302</v>
      </c>
      <c r="AK302" s="3128"/>
      <c r="AL302" s="3128">
        <f>MAX(0,SUM(AT289:AT293)+ABS($AC294*2/5))+IF(AM311,0,Y294)+IF(S285="Sí",3*P285,0)</f>
        <v>0</v>
      </c>
      <c r="AM302" s="3128">
        <f t="array" ref="AM302">IF(ISNUMBER(SEARCH("Mantenido",K289&amp;K290&amp;K291&amp;K292&amp;K293)),MAX(0,SUM(VALUE(RIGHT($P289:$P293,2)))),0)</f>
        <v>0</v>
      </c>
      <c r="AN302" s="3132"/>
      <c r="AO302" s="3132"/>
      <c r="AP302" s="3135"/>
      <c r="AQ302" s="3135"/>
      <c r="AR302" s="3135"/>
      <c r="AS302" s="3135"/>
      <c r="AT302" s="3135"/>
      <c r="AU302" s="3135"/>
      <c r="AV302" s="3135"/>
      <c r="AW302" s="3135"/>
      <c r="AX302" s="3135"/>
      <c r="AY302" s="3128"/>
    </row>
    <row r="303" spans="1:51" ht="12.2" customHeight="1" x14ac:dyDescent="0.2">
      <c r="A303" s="2172"/>
      <c r="B303" s="2086">
        <f t="shared" si="7"/>
        <v>9</v>
      </c>
      <c r="C303" s="4584"/>
      <c r="D303" s="4602"/>
      <c r="E303" s="4603"/>
      <c r="F303" s="4603"/>
      <c r="G303" s="4603"/>
      <c r="H303" s="4603"/>
      <c r="I303" s="1930" t="str">
        <f>IF(OR(D298="",D303=""),"",MAX(1,SUMPRODUCT(--(INDEX('Tablas Técnicas'!$C$10:$L$643,,1)=D298),--(INDEX('Tablas Técnicas'!$C$10:$L$643,,2)=D303),INDEX('Tablas Técnicas'!$C$10:$L$643,,9))))</f>
        <v/>
      </c>
      <c r="J303" s="4602"/>
      <c r="K303" s="4603"/>
      <c r="L303" s="4603"/>
      <c r="M303" s="4603"/>
      <c r="N303" s="4603"/>
      <c r="O303" s="1930" t="str">
        <f>IF(OR(J298="",J303=""),"",MAX(1,SUMPRODUCT(--(INDEX('Tablas Técnicas'!$C$10:$L$643,,1)=J298),--(INDEX('Tablas Técnicas'!$C$10:$L$643,,2)=J303),INDEX('Tablas Técnicas'!$C$10:$L$643,,9))))</f>
        <v/>
      </c>
      <c r="P303" s="4602"/>
      <c r="Q303" s="4603"/>
      <c r="R303" s="4603"/>
      <c r="S303" s="4603"/>
      <c r="T303" s="4603"/>
      <c r="U303" s="1930" t="str">
        <f>IF(OR(P298="",P303=""),"",MAX(1,SUMPRODUCT(--(INDEX('Tablas Técnicas'!$C$10:$L$643,,1)=P298),--(INDEX('Tablas Técnicas'!$C$10:$L$643,,2)=P303),INDEX('Tablas Técnicas'!$C$10:$L$643,,9))))</f>
        <v/>
      </c>
      <c r="V303" s="4602"/>
      <c r="W303" s="4603"/>
      <c r="X303" s="4603"/>
      <c r="Y303" s="4603"/>
      <c r="Z303" s="4603"/>
      <c r="AA303" s="1930" t="str">
        <f>IF(OR(V298="",V303=""),"",MAX(1,SUMPRODUCT(--(INDEX('Tablas Técnicas'!$C$10:$L$643,,1)=V298),--(INDEX('Tablas Técnicas'!$C$10:$L$643,,2)=V303),INDEX('Tablas Técnicas'!$C$10:$L$643,,9))))</f>
        <v/>
      </c>
      <c r="AB303" s="4602"/>
      <c r="AC303" s="4603"/>
      <c r="AD303" s="4603"/>
      <c r="AE303" s="4603"/>
      <c r="AF303" s="4603"/>
      <c r="AG303" s="1931" t="str">
        <f>IF(OR(AB298="",AB303=""),"",MAX(1,SUMPRODUCT(--(INDEX('Tablas Técnicas'!$C$10:$L$643,,1)=AB298),--(INDEX('Tablas Técnicas'!$C$10:$L$643,,2)=AB303),INDEX('Tablas Técnicas'!$C$10:$L$643,,9))))</f>
        <v/>
      </c>
      <c r="AH303" s="2180">
        <f>P285</f>
        <v>1</v>
      </c>
      <c r="AI303" s="4604"/>
      <c r="AJ303" s="3128" t="s">
        <v>8811</v>
      </c>
      <c r="AK303" s="3128"/>
      <c r="AL303" s="3128">
        <f>SUM(V289:V293,X289:X293,Z289:Z293,AB289:AB293,AD289:AD293,AF289:AF293)+SUM(V296:AG296)</f>
        <v>0</v>
      </c>
      <c r="AM303" s="3128">
        <f>SUM(W289:W293,Y289:Y293,AA289:AA293,AC289:AC293,AE289:AE293,AG289:AG293)</f>
        <v>0</v>
      </c>
      <c r="AN303" s="3128"/>
      <c r="AO303" s="3128"/>
      <c r="AP303" s="3128"/>
      <c r="AQ303" s="3128"/>
      <c r="AR303" s="3128"/>
      <c r="AS303" s="3128"/>
      <c r="AT303" s="3128"/>
      <c r="AU303" s="3128"/>
      <c r="AV303" s="3128"/>
      <c r="AW303" s="3132"/>
      <c r="AX303" s="3128"/>
      <c r="AY303" s="3128"/>
    </row>
    <row r="304" spans="1:51" ht="12.2" customHeight="1" x14ac:dyDescent="0.2">
      <c r="A304" s="2172"/>
      <c r="B304" s="2086">
        <f t="shared" si="7"/>
        <v>9</v>
      </c>
      <c r="C304" s="4584"/>
      <c r="D304" s="4602"/>
      <c r="E304" s="4603"/>
      <c r="F304" s="4603"/>
      <c r="G304" s="4603"/>
      <c r="H304" s="4603"/>
      <c r="I304" s="1930" t="str">
        <f>IF(OR(D298="",D304=""),"",MAX(1,SUMPRODUCT(--(INDEX('Tablas Técnicas'!$C$10:$L$643,,1)=D298),--(INDEX('Tablas Técnicas'!$C$10:$L$643,,2)=D304),INDEX('Tablas Técnicas'!$C$10:$L$643,,9))))</f>
        <v/>
      </c>
      <c r="J304" s="4602"/>
      <c r="K304" s="4603"/>
      <c r="L304" s="4603"/>
      <c r="M304" s="4603"/>
      <c r="N304" s="4603"/>
      <c r="O304" s="1930" t="str">
        <f>IF(OR(J298="",J304=""),"",MAX(1,SUMPRODUCT(--(INDEX('Tablas Técnicas'!$C$10:$L$643,,1)=J298),--(INDEX('Tablas Técnicas'!$C$10:$L$643,,2)=J304),INDEX('Tablas Técnicas'!$C$10:$L$643,,9))))</f>
        <v/>
      </c>
      <c r="P304" s="4602"/>
      <c r="Q304" s="4603"/>
      <c r="R304" s="4603"/>
      <c r="S304" s="4603"/>
      <c r="T304" s="4603"/>
      <c r="U304" s="1930" t="str">
        <f>IF(OR(P298="",P304=""),"",MAX(1,SUMPRODUCT(--(INDEX('Tablas Técnicas'!$C$10:$L$643,,1)=P298),--(INDEX('Tablas Técnicas'!$C$10:$L$643,,2)=P304),INDEX('Tablas Técnicas'!$C$10:$L$643,,9))))</f>
        <v/>
      </c>
      <c r="V304" s="4602"/>
      <c r="W304" s="4603"/>
      <c r="X304" s="4603"/>
      <c r="Y304" s="4603"/>
      <c r="Z304" s="4603"/>
      <c r="AA304" s="1930" t="str">
        <f>IF(OR(V298="",V304=""),"",MAX(1,SUMPRODUCT(--(INDEX('Tablas Técnicas'!$C$10:$L$643,,1)=V298),--(INDEX('Tablas Técnicas'!$C$10:$L$643,,2)=V304),INDEX('Tablas Técnicas'!$C$10:$L$643,,9))))</f>
        <v/>
      </c>
      <c r="AB304" s="4602"/>
      <c r="AC304" s="4603"/>
      <c r="AD304" s="4603"/>
      <c r="AE304" s="4603"/>
      <c r="AF304" s="4603"/>
      <c r="AG304" s="1931" t="str">
        <f>IF(OR(AB298="",AB304=""),"",MAX(1,SUMPRODUCT(--(INDEX('Tablas Técnicas'!$C$10:$L$643,,1)=AB298),--(INDEX('Tablas Técnicas'!$C$10:$L$643,,2)=AB304),INDEX('Tablas Técnicas'!$C$10:$L$643,,9))))</f>
        <v/>
      </c>
      <c r="AH304" s="2180">
        <f>P285</f>
        <v>1</v>
      </c>
      <c r="AI304" s="4604"/>
      <c r="AJ304" s="3128"/>
      <c r="AK304" s="3128"/>
      <c r="AL304" s="3128"/>
      <c r="AM304" s="3128"/>
      <c r="AN304" s="3128"/>
      <c r="AO304" s="3128"/>
      <c r="AP304" s="3128"/>
      <c r="AQ304" s="3128"/>
      <c r="AR304" s="3128"/>
      <c r="AS304" s="3128"/>
      <c r="AT304" s="3128"/>
      <c r="AU304" s="3128"/>
      <c r="AV304" s="3128"/>
      <c r="AW304" s="3132"/>
      <c r="AX304" s="3132"/>
      <c r="AY304" s="3128"/>
    </row>
    <row r="305" spans="1:51" ht="12.2" customHeight="1" x14ac:dyDescent="0.2">
      <c r="A305" s="2172"/>
      <c r="B305" s="2086">
        <f t="shared" si="7"/>
        <v>9</v>
      </c>
      <c r="C305" s="4584"/>
      <c r="D305" s="4602"/>
      <c r="E305" s="4603"/>
      <c r="F305" s="4603"/>
      <c r="G305" s="4603"/>
      <c r="H305" s="4603"/>
      <c r="I305" s="1930" t="str">
        <f>IF(OR(D298="",D305=""),"",MAX(1,SUMPRODUCT(--(INDEX('Tablas Técnicas'!$C$10:$L$643,,1)=D298),--(INDEX('Tablas Técnicas'!$C$10:$L$643,,2)=D305),INDEX('Tablas Técnicas'!$C$10:$L$643,,9))))</f>
        <v/>
      </c>
      <c r="J305" s="4602"/>
      <c r="K305" s="4603"/>
      <c r="L305" s="4603"/>
      <c r="M305" s="4603"/>
      <c r="N305" s="4603"/>
      <c r="O305" s="1930" t="str">
        <f>IF(OR(J298="",J305=""),"",MAX(1,SUMPRODUCT(--(INDEX('Tablas Técnicas'!$C$10:$L$643,,1)=J298),--(INDEX('Tablas Técnicas'!$C$10:$L$643,,2)=J305),INDEX('Tablas Técnicas'!$C$10:$L$643,,9))))</f>
        <v/>
      </c>
      <c r="P305" s="4602"/>
      <c r="Q305" s="4603"/>
      <c r="R305" s="4603"/>
      <c r="S305" s="4603"/>
      <c r="T305" s="4603"/>
      <c r="U305" s="1930" t="str">
        <f>IF(OR(P298="",P305=""),"",MAX(1,SUMPRODUCT(--(INDEX('Tablas Técnicas'!$C$10:$L$643,,1)=P298),--(INDEX('Tablas Técnicas'!$C$10:$L$643,,2)=P305),INDEX('Tablas Técnicas'!$C$10:$L$643,,9))))</f>
        <v/>
      </c>
      <c r="V305" s="4602"/>
      <c r="W305" s="4603"/>
      <c r="X305" s="4603"/>
      <c r="Y305" s="4603"/>
      <c r="Z305" s="4603"/>
      <c r="AA305" s="1930" t="str">
        <f>IF(OR(V298="",V305=""),"",MAX(1,SUMPRODUCT(--(INDEX('Tablas Técnicas'!$C$10:$L$643,,1)=V298),--(INDEX('Tablas Técnicas'!$C$10:$L$643,,2)=V305),INDEX('Tablas Técnicas'!$C$10:$L$643,,9))))</f>
        <v/>
      </c>
      <c r="AB305" s="4602"/>
      <c r="AC305" s="4603"/>
      <c r="AD305" s="4603"/>
      <c r="AE305" s="4603"/>
      <c r="AF305" s="4603"/>
      <c r="AG305" s="1931" t="str">
        <f>IF(OR(AB298="",AB305=""),"",MAX(1,SUMPRODUCT(--(INDEX('Tablas Técnicas'!$C$10:$L$643,,1)=AB298),--(INDEX('Tablas Técnicas'!$C$10:$L$643,,2)=AB305),INDEX('Tablas Técnicas'!$C$10:$L$643,,9))))</f>
        <v/>
      </c>
      <c r="AH305" s="2180">
        <f>P285</f>
        <v>1</v>
      </c>
      <c r="AI305" s="4604"/>
      <c r="AJ305" s="3128" t="s">
        <v>8812</v>
      </c>
      <c r="AK305" s="3128"/>
      <c r="AL305" s="3128"/>
      <c r="AM305" s="3128"/>
      <c r="AN305" s="3128"/>
      <c r="AO305" s="3128"/>
      <c r="AP305" s="3128"/>
      <c r="AQ305" s="3129"/>
      <c r="AR305" s="3132"/>
      <c r="AS305" s="3132"/>
      <c r="AT305" s="3132"/>
      <c r="AU305" s="3132"/>
      <c r="AV305" s="3132"/>
      <c r="AW305" s="3132"/>
      <c r="AX305" s="3132"/>
      <c r="AY305" s="3128"/>
    </row>
    <row r="306" spans="1:51" ht="12.2" customHeight="1" x14ac:dyDescent="0.2">
      <c r="A306" s="2172"/>
      <c r="B306" s="2086">
        <f t="shared" si="7"/>
        <v>9</v>
      </c>
      <c r="C306" s="4584"/>
      <c r="D306" s="4602"/>
      <c r="E306" s="4603"/>
      <c r="F306" s="4603"/>
      <c r="G306" s="4603"/>
      <c r="H306" s="4603"/>
      <c r="I306" s="1930" t="str">
        <f>IF(OR(D298="",D306=""),"",MAX(1,SUMPRODUCT(--(INDEX('Tablas Técnicas'!$C$10:$L$643,,1)=D298),--(INDEX('Tablas Técnicas'!$C$10:$L$643,,2)=D306),INDEX('Tablas Técnicas'!$C$10:$L$643,,9))))</f>
        <v/>
      </c>
      <c r="J306" s="4602"/>
      <c r="K306" s="4603"/>
      <c r="L306" s="4603"/>
      <c r="M306" s="4603"/>
      <c r="N306" s="4603"/>
      <c r="O306" s="1930" t="str">
        <f>IF(OR(J298="",J306=""),"",MAX(1,SUMPRODUCT(--(INDEX('Tablas Técnicas'!$C$10:$L$643,,1)=J298),--(INDEX('Tablas Técnicas'!$C$10:$L$643,,2)=J306),INDEX('Tablas Técnicas'!$C$10:$L$643,,9))))</f>
        <v/>
      </c>
      <c r="P306" s="4602"/>
      <c r="Q306" s="4603"/>
      <c r="R306" s="4603"/>
      <c r="S306" s="4603"/>
      <c r="T306" s="4603"/>
      <c r="U306" s="1930" t="str">
        <f>IF(OR(P298="",P306=""),"",MAX(1,SUMPRODUCT(--(INDEX('Tablas Técnicas'!$C$10:$L$643,,1)=P298),--(INDEX('Tablas Técnicas'!$C$10:$L$643,,2)=P306),INDEX('Tablas Técnicas'!$C$10:$L$643,,9))))</f>
        <v/>
      </c>
      <c r="V306" s="4602"/>
      <c r="W306" s="4603"/>
      <c r="X306" s="4603"/>
      <c r="Y306" s="4603"/>
      <c r="Z306" s="4603"/>
      <c r="AA306" s="1930" t="str">
        <f>IF(OR(V298="",V306=""),"",MAX(1,SUMPRODUCT(--(INDEX('Tablas Técnicas'!$C$10:$L$643,,1)=V298),--(INDEX('Tablas Técnicas'!$C$10:$L$643,,2)=V306),INDEX('Tablas Técnicas'!$C$10:$L$643,,9))))</f>
        <v/>
      </c>
      <c r="AB306" s="4602"/>
      <c r="AC306" s="4603"/>
      <c r="AD306" s="4603"/>
      <c r="AE306" s="4603"/>
      <c r="AF306" s="4603"/>
      <c r="AG306" s="1931" t="str">
        <f>IF(OR(AB298="",AB306=""),"",MAX(1,SUMPRODUCT(--(INDEX('Tablas Técnicas'!$C$10:$L$643,,1)=AB298),--(INDEX('Tablas Técnicas'!$C$10:$L$643,,2)=AB306),INDEX('Tablas Técnicas'!$C$10:$L$643,,9))))</f>
        <v/>
      </c>
      <c r="AH306" s="2180">
        <f>P285</f>
        <v>1</v>
      </c>
      <c r="AI306" s="4604"/>
      <c r="AJ306" s="3128" t="s">
        <v>9965</v>
      </c>
      <c r="AK306" s="3128"/>
      <c r="AL306" s="3128"/>
      <c r="AM306" s="3128" t="b">
        <f>U285&gt;IF(P285=3,200,IF(P285=2,100,50))</f>
        <v>0</v>
      </c>
      <c r="AN306" s="3128"/>
      <c r="AO306" s="3128"/>
      <c r="AP306" s="3128"/>
      <c r="AQ306" s="3128"/>
      <c r="AR306" s="3132"/>
      <c r="AS306" s="3132"/>
      <c r="AT306" s="3132"/>
      <c r="AU306" s="3132"/>
      <c r="AV306" s="3132"/>
      <c r="AW306" s="3132"/>
      <c r="AX306" s="3132"/>
      <c r="AY306" s="3128"/>
    </row>
    <row r="307" spans="1:51" ht="12.2" customHeight="1" x14ac:dyDescent="0.2">
      <c r="A307" s="2172"/>
      <c r="B307" s="2086">
        <f t="shared" si="7"/>
        <v>9</v>
      </c>
      <c r="C307" s="4584"/>
      <c r="D307" s="4602"/>
      <c r="E307" s="4603"/>
      <c r="F307" s="4603"/>
      <c r="G307" s="4603"/>
      <c r="H307" s="4603"/>
      <c r="I307" s="1930" t="str">
        <f>IF(OR(D298="",D307=""),"",MAX(1,SUMPRODUCT(--(INDEX('Tablas Técnicas'!$C$10:$L$643,,1)=D298),--(INDEX('Tablas Técnicas'!$C$10:$L$643,,2)=D307),INDEX('Tablas Técnicas'!$C$10:$L$643,,9))))</f>
        <v/>
      </c>
      <c r="J307" s="4602"/>
      <c r="K307" s="4603"/>
      <c r="L307" s="4603"/>
      <c r="M307" s="4603"/>
      <c r="N307" s="4603"/>
      <c r="O307" s="1930" t="str">
        <f>IF(OR(J298="",J307=""),"",MAX(1,SUMPRODUCT(--(INDEX('Tablas Técnicas'!$C$10:$L$643,,1)=J298),--(INDEX('Tablas Técnicas'!$C$10:$L$643,,2)=J307),INDEX('Tablas Técnicas'!$C$10:$L$643,,9))))</f>
        <v/>
      </c>
      <c r="P307" s="4602"/>
      <c r="Q307" s="4603"/>
      <c r="R307" s="4603"/>
      <c r="S307" s="4603"/>
      <c r="T307" s="4603"/>
      <c r="U307" s="1930" t="str">
        <f>IF(OR(P298="",P307=""),"",MAX(1,SUMPRODUCT(--(INDEX('Tablas Técnicas'!$C$10:$L$643,,1)=P298),--(INDEX('Tablas Técnicas'!$C$10:$L$643,,2)=P307),INDEX('Tablas Técnicas'!$C$10:$L$643,,9))))</f>
        <v/>
      </c>
      <c r="V307" s="4602"/>
      <c r="W307" s="4603"/>
      <c r="X307" s="4603"/>
      <c r="Y307" s="4603"/>
      <c r="Z307" s="4603"/>
      <c r="AA307" s="1930" t="str">
        <f>IF(OR(V298="",V307=""),"",MAX(1,SUMPRODUCT(--(INDEX('Tablas Técnicas'!$C$10:$L$643,,1)=V298),--(INDEX('Tablas Técnicas'!$C$10:$L$643,,2)=V307),INDEX('Tablas Técnicas'!$C$10:$L$643,,9))))</f>
        <v/>
      </c>
      <c r="AB307" s="4602"/>
      <c r="AC307" s="4603"/>
      <c r="AD307" s="4603"/>
      <c r="AE307" s="4603"/>
      <c r="AF307" s="4603"/>
      <c r="AG307" s="1931" t="str">
        <f>IF(OR(AB298="",AB307=""),"",MAX(1,SUMPRODUCT(--(INDEX('Tablas Técnicas'!$C$10:$L$643,,1)=AB298),--(INDEX('Tablas Técnicas'!$C$10:$L$643,,2)=AB307),INDEX('Tablas Técnicas'!$C$10:$L$643,,9))))</f>
        <v/>
      </c>
      <c r="AH307" s="2180">
        <f>P285</f>
        <v>1</v>
      </c>
      <c r="AI307" s="4604"/>
      <c r="AJ307" s="3128" t="s">
        <v>8813</v>
      </c>
      <c r="AK307" s="3128"/>
      <c r="AL307" s="3128"/>
      <c r="AM307" s="3128" t="b">
        <f t="array" ref="AM307">MAX(I302:I308,O302:O308,U302:U308,AA302:AA308,AG302:AG308,RIGHT(S294:S296,1))&gt;P285</f>
        <v>0</v>
      </c>
      <c r="AN307" s="3128"/>
      <c r="AO307" s="3128"/>
      <c r="AP307" s="3128"/>
      <c r="AQ307" s="3129"/>
      <c r="AR307" s="3132"/>
      <c r="AS307" s="3132"/>
      <c r="AT307" s="3132"/>
      <c r="AU307" s="3132"/>
      <c r="AV307" s="3132"/>
      <c r="AW307" s="3132"/>
      <c r="AX307" s="3132"/>
      <c r="AY307" s="3128"/>
    </row>
    <row r="308" spans="1:51" ht="12.2" customHeight="1" x14ac:dyDescent="0.2">
      <c r="A308" s="2172"/>
      <c r="B308" s="2086">
        <f t="shared" si="7"/>
        <v>9</v>
      </c>
      <c r="C308" s="4584"/>
      <c r="D308" s="4616"/>
      <c r="E308" s="4617"/>
      <c r="F308" s="4617"/>
      <c r="G308" s="4617"/>
      <c r="H308" s="4617"/>
      <c r="I308" s="1932" t="str">
        <f>IF(OR(D298="",D308=""),"",MAX(1,SUMPRODUCT(--(INDEX('Tablas Técnicas'!$C$10:$L$643,,1)=D298),--(INDEX('Tablas Técnicas'!$C$10:$L$643,,2)=D308),INDEX('Tablas Técnicas'!$C$10:$L$643,,9))))</f>
        <v/>
      </c>
      <c r="J308" s="4616"/>
      <c r="K308" s="4617"/>
      <c r="L308" s="4617"/>
      <c r="M308" s="4617"/>
      <c r="N308" s="4617"/>
      <c r="O308" s="1932" t="str">
        <f>IF(OR(J298="",J308=""),"",MAX(1,SUMPRODUCT(--(INDEX('Tablas Técnicas'!$C$10:$L$643,,1)=J298),--(INDEX('Tablas Técnicas'!$C$10:$L$643,,2)=J308),INDEX('Tablas Técnicas'!$C$10:$L$643,,9))))</f>
        <v/>
      </c>
      <c r="P308" s="4616"/>
      <c r="Q308" s="4617"/>
      <c r="R308" s="4617"/>
      <c r="S308" s="4617"/>
      <c r="T308" s="4617"/>
      <c r="U308" s="1932" t="str">
        <f>IF(OR(P298="",P308=""),"",MAX(1,SUMPRODUCT(--(INDEX('Tablas Técnicas'!$C$10:$L$643,,1)=P298),--(INDEX('Tablas Técnicas'!$C$10:$L$643,,2)=P308),INDEX('Tablas Técnicas'!$C$10:$L$643,,9))))</f>
        <v/>
      </c>
      <c r="V308" s="4616"/>
      <c r="W308" s="4617"/>
      <c r="X308" s="4617"/>
      <c r="Y308" s="4617"/>
      <c r="Z308" s="4617"/>
      <c r="AA308" s="1932" t="str">
        <f>IF(OR(V298="",V308=""),"",MAX(1,SUMPRODUCT(--(INDEX('Tablas Técnicas'!$C$10:$L$643,,1)=V298),--(INDEX('Tablas Técnicas'!$C$10:$L$643,,2)=V308),INDEX('Tablas Técnicas'!$C$10:$L$643,,9))))</f>
        <v/>
      </c>
      <c r="AB308" s="4616"/>
      <c r="AC308" s="4617"/>
      <c r="AD308" s="4617"/>
      <c r="AE308" s="4617"/>
      <c r="AF308" s="4617"/>
      <c r="AG308" s="1933" t="str">
        <f>IF(OR(AB298="",AB308=""),"",MAX(1,SUMPRODUCT(--(INDEX('Tablas Técnicas'!$C$10:$L$643,,1)=AB298),--(INDEX('Tablas Técnicas'!$C$10:$L$643,,2)=AB308),INDEX('Tablas Técnicas'!$C$10:$L$643,,9))))</f>
        <v/>
      </c>
      <c r="AH308" s="2180">
        <f>P285</f>
        <v>1</v>
      </c>
      <c r="AI308" s="4604"/>
      <c r="AJ308" s="3128" t="s">
        <v>9319</v>
      </c>
      <c r="AK308" s="3128"/>
      <c r="AL308" s="3128"/>
      <c r="AM308" s="3128" t="b">
        <f>AND(COUNTIF(K289:M293,"Mantenido"),OR(COUNTIF(K289:M293,"Sostenimiento Menor"),COUNTIF(K289:M293,"Sostenimiento Mayor")))</f>
        <v>0</v>
      </c>
      <c r="AN308" s="3129"/>
      <c r="AO308" s="3128"/>
      <c r="AP308" s="3128"/>
      <c r="AQ308" s="3128"/>
      <c r="AR308" s="3128"/>
      <c r="AS308" s="3128"/>
      <c r="AT308" s="3128"/>
      <c r="AU308" s="3132"/>
      <c r="AV308" s="3132"/>
      <c r="AW308" s="3132"/>
      <c r="AX308" s="3132"/>
      <c r="AY308" s="3128"/>
    </row>
    <row r="309" spans="1:51" ht="12.2" customHeight="1" x14ac:dyDescent="0.2">
      <c r="A309" s="2172"/>
      <c r="B309" s="2086">
        <f t="shared" si="7"/>
        <v>9</v>
      </c>
      <c r="C309" s="4584"/>
      <c r="D309" s="4595" t="s">
        <v>1548</v>
      </c>
      <c r="E309" s="4596"/>
      <c r="F309" s="4596"/>
      <c r="G309" s="4596"/>
      <c r="H309" s="4596"/>
      <c r="I309" s="4596"/>
      <c r="J309" s="4596"/>
      <c r="K309" s="4596"/>
      <c r="L309" s="4596"/>
      <c r="M309" s="4596"/>
      <c r="N309" s="4596"/>
      <c r="O309" s="4596"/>
      <c r="P309" s="4596"/>
      <c r="Q309" s="4596"/>
      <c r="R309" s="4596"/>
      <c r="S309" s="4596"/>
      <c r="T309" s="4596"/>
      <c r="U309" s="4596"/>
      <c r="V309" s="4596"/>
      <c r="W309" s="4596"/>
      <c r="X309" s="4596"/>
      <c r="Y309" s="4596"/>
      <c r="Z309" s="4596"/>
      <c r="AA309" s="4596"/>
      <c r="AB309" s="4596"/>
      <c r="AC309" s="4596"/>
      <c r="AD309" s="4596"/>
      <c r="AE309" s="4596"/>
      <c r="AF309" s="4596"/>
      <c r="AG309" s="4622"/>
      <c r="AH309" s="2180"/>
      <c r="AI309" s="4604"/>
      <c r="AJ309" s="3128" t="s">
        <v>9318</v>
      </c>
      <c r="AK309" s="3128"/>
      <c r="AL309" s="3128"/>
      <c r="AM309" s="312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8"/>
      <c r="AO309" s="3128"/>
      <c r="AP309" s="3128"/>
      <c r="AQ309" s="3129"/>
      <c r="AR309" s="3128"/>
      <c r="AS309" s="3128"/>
      <c r="AT309" s="3128"/>
      <c r="AU309" s="3132"/>
      <c r="AV309" s="3132"/>
      <c r="AW309" s="3132"/>
      <c r="AX309" s="3132"/>
      <c r="AY309" s="3128"/>
    </row>
    <row r="310" spans="1:51" ht="12.2" customHeight="1" x14ac:dyDescent="0.2">
      <c r="A310" s="2172"/>
      <c r="B310" s="2086">
        <f t="shared" si="7"/>
        <v>9</v>
      </c>
      <c r="C310" s="4584"/>
      <c r="D310" s="4624"/>
      <c r="E310" s="4625"/>
      <c r="F310" s="4625"/>
      <c r="G310" s="4625"/>
      <c r="H310" s="4625"/>
      <c r="I310" s="4625"/>
      <c r="J310" s="4625"/>
      <c r="K310" s="4625"/>
      <c r="L310" s="4625"/>
      <c r="M310" s="4625"/>
      <c r="N310" s="4625"/>
      <c r="O310" s="4625"/>
      <c r="P310" s="4625"/>
      <c r="Q310" s="4625"/>
      <c r="R310" s="4625"/>
      <c r="S310" s="4625"/>
      <c r="T310" s="4625"/>
      <c r="U310" s="4625"/>
      <c r="V310" s="4625"/>
      <c r="W310" s="4625"/>
      <c r="X310" s="4625"/>
      <c r="Y310" s="4625"/>
      <c r="Z310" s="4625"/>
      <c r="AA310" s="4625"/>
      <c r="AB310" s="4625"/>
      <c r="AC310" s="4625"/>
      <c r="AD310" s="4625"/>
      <c r="AE310" s="4625"/>
      <c r="AF310" s="4625"/>
      <c r="AG310" s="4626"/>
      <c r="AH310" s="2180"/>
      <c r="AI310" s="4604"/>
      <c r="AJ310" s="3128" t="s">
        <v>9326</v>
      </c>
      <c r="AK310" s="3128"/>
      <c r="AL310" s="3128"/>
      <c r="AM310" s="312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8"/>
      <c r="AO310" s="3128"/>
      <c r="AP310" s="3128"/>
      <c r="AQ310" s="3129"/>
      <c r="AR310" s="3128"/>
      <c r="AS310" s="3128"/>
      <c r="AT310" s="3128"/>
      <c r="AU310" s="3132"/>
      <c r="AV310" s="3132"/>
      <c r="AW310" s="3132"/>
      <c r="AX310" s="3132"/>
      <c r="AY310" s="3128"/>
    </row>
    <row r="311" spans="1:51" ht="12.2" customHeight="1" x14ac:dyDescent="0.2">
      <c r="A311" s="2172"/>
      <c r="B311" s="2086">
        <f t="shared" si="7"/>
        <v>9</v>
      </c>
      <c r="C311" s="4584"/>
      <c r="D311" s="4624"/>
      <c r="E311" s="4625"/>
      <c r="F311" s="4625"/>
      <c r="G311" s="4625"/>
      <c r="H311" s="4625"/>
      <c r="I311" s="4625"/>
      <c r="J311" s="4625"/>
      <c r="K311" s="4625"/>
      <c r="L311" s="4625"/>
      <c r="M311" s="4625"/>
      <c r="N311" s="4625"/>
      <c r="O311" s="4625"/>
      <c r="P311" s="4625"/>
      <c r="Q311" s="4625"/>
      <c r="R311" s="4625"/>
      <c r="S311" s="4625"/>
      <c r="T311" s="4625"/>
      <c r="U311" s="4625"/>
      <c r="V311" s="4625"/>
      <c r="W311" s="4625"/>
      <c r="X311" s="4625"/>
      <c r="Y311" s="4625"/>
      <c r="Z311" s="4625"/>
      <c r="AA311" s="4625"/>
      <c r="AB311" s="4625"/>
      <c r="AC311" s="4625"/>
      <c r="AD311" s="4625"/>
      <c r="AE311" s="4625"/>
      <c r="AF311" s="4625"/>
      <c r="AG311" s="4626"/>
      <c r="AH311" s="2180"/>
      <c r="AI311" s="4604"/>
      <c r="AJ311" s="3128" t="s">
        <v>9305</v>
      </c>
      <c r="AK311" s="3128"/>
      <c r="AL311" s="3128"/>
      <c r="AM311" s="3128" t="b">
        <f>AND((IF(SUM(V289:V293)&gt;0,1,0)+IF(SUM(X289:X293)&gt;0,1,0)+IF(SUM(Z289:Z293)&gt;0,1,0)+IF(SUM(AB289:AB293)&gt;0,1,0)+IF(SUM(AD289:AD293,)&gt;0,1,0)+IF(SUM(AF289:AF293)&gt;0,1,0))&lt;3,OR(V296&lt;0,X296&lt;0,Z296&lt;0,AB296&lt;0,AD296&lt;0,AF296&lt;0,Y294&lt;0))</f>
        <v>0</v>
      </c>
      <c r="AN311" s="3128"/>
      <c r="AO311" s="3128"/>
      <c r="AP311" s="3128"/>
      <c r="AQ311" s="3129"/>
      <c r="AR311" s="3128"/>
      <c r="AS311" s="3128"/>
      <c r="AT311" s="3128"/>
      <c r="AU311" s="3132"/>
      <c r="AV311" s="3132"/>
      <c r="AW311" s="3132"/>
      <c r="AX311" s="3132"/>
      <c r="AY311" s="3128"/>
    </row>
    <row r="312" spans="1:51" ht="12.2" customHeight="1" x14ac:dyDescent="0.2">
      <c r="A312" s="2172"/>
      <c r="B312" s="2086">
        <f t="shared" si="7"/>
        <v>9</v>
      </c>
      <c r="C312" s="4584"/>
      <c r="D312" s="4624"/>
      <c r="E312" s="4625"/>
      <c r="F312" s="4625"/>
      <c r="G312" s="4625"/>
      <c r="H312" s="4625"/>
      <c r="I312" s="4625"/>
      <c r="J312" s="4625"/>
      <c r="K312" s="4625"/>
      <c r="L312" s="4625"/>
      <c r="M312" s="4625"/>
      <c r="N312" s="4625"/>
      <c r="O312" s="4625"/>
      <c r="P312" s="4625"/>
      <c r="Q312" s="4625"/>
      <c r="R312" s="4625"/>
      <c r="S312" s="4625"/>
      <c r="T312" s="4625"/>
      <c r="U312" s="4625"/>
      <c r="V312" s="4625"/>
      <c r="W312" s="4625"/>
      <c r="X312" s="4625"/>
      <c r="Y312" s="4625"/>
      <c r="Z312" s="4625"/>
      <c r="AA312" s="4625"/>
      <c r="AB312" s="4625"/>
      <c r="AC312" s="4625"/>
      <c r="AD312" s="4625"/>
      <c r="AE312" s="4625"/>
      <c r="AF312" s="4625"/>
      <c r="AG312" s="4626"/>
      <c r="AH312" s="2180"/>
      <c r="AI312" s="4604"/>
      <c r="AJ312" s="3128" t="s">
        <v>9320</v>
      </c>
      <c r="AK312" s="3128"/>
      <c r="AL312" s="3128"/>
      <c r="AM312" s="3128" t="b">
        <f>OR(-V296&gt;TRUNC(SUM(V289:V293)/2),-X296&gt;TRUNC(SUM(X289:X293)/2),-Z296&gt;TRUNC(SUM(Z289:Z293)/2),-AB296&gt;TRUNC(SUM(AB289:AB293)/2),-AD296&gt;TRUNC(SUM(AD289:AD293)/2),-AF296&gt;TRUNC(SUM(AF289:AF293)/2))</f>
        <v>0</v>
      </c>
      <c r="AN312" s="3128"/>
      <c r="AO312" s="3128"/>
      <c r="AP312" s="3128"/>
      <c r="AQ312" s="3129"/>
      <c r="AR312" s="3128"/>
      <c r="AS312" s="3128"/>
      <c r="AT312" s="3128"/>
      <c r="AU312" s="3132"/>
      <c r="AV312" s="3132"/>
      <c r="AW312" s="3132"/>
      <c r="AX312" s="3132"/>
      <c r="AY312" s="3128"/>
    </row>
    <row r="313" spans="1:51" ht="12.2" customHeight="1" x14ac:dyDescent="0.2">
      <c r="A313" s="2172"/>
      <c r="B313" s="2086">
        <f t="shared" si="7"/>
        <v>9</v>
      </c>
      <c r="C313" s="4584"/>
      <c r="D313" s="4624"/>
      <c r="E313" s="4625"/>
      <c r="F313" s="4625"/>
      <c r="G313" s="4625"/>
      <c r="H313" s="4625"/>
      <c r="I313" s="4625"/>
      <c r="J313" s="4625"/>
      <c r="K313" s="4625"/>
      <c r="L313" s="4625"/>
      <c r="M313" s="4625"/>
      <c r="N313" s="4625"/>
      <c r="O313" s="4625"/>
      <c r="P313" s="4625"/>
      <c r="Q313" s="4625"/>
      <c r="R313" s="4625"/>
      <c r="S313" s="4625"/>
      <c r="T313" s="4625"/>
      <c r="U313" s="4625"/>
      <c r="V313" s="4625"/>
      <c r="W313" s="4625"/>
      <c r="X313" s="4625"/>
      <c r="Y313" s="4625"/>
      <c r="Z313" s="4625"/>
      <c r="AA313" s="4625"/>
      <c r="AB313" s="4625"/>
      <c r="AC313" s="4625"/>
      <c r="AD313" s="4625"/>
      <c r="AE313" s="4625"/>
      <c r="AF313" s="4625"/>
      <c r="AG313" s="4626"/>
      <c r="AH313" s="2180"/>
      <c r="AI313" s="4604"/>
      <c r="AJ313" s="3128" t="s">
        <v>9321</v>
      </c>
      <c r="AK313" s="3128"/>
      <c r="AL313" s="3128"/>
      <c r="AM313" s="3128" t="b">
        <f>COUNTIF(D289:E293,"Primario")&gt;1</f>
        <v>0</v>
      </c>
      <c r="AN313" s="3128"/>
      <c r="AO313" s="3128"/>
      <c r="AP313" s="3128"/>
      <c r="AQ313" s="3129"/>
      <c r="AR313" s="3129"/>
      <c r="AS313" s="3129"/>
      <c r="AT313" s="3129"/>
      <c r="AU313" s="3132"/>
      <c r="AV313" s="3132"/>
      <c r="AW313" s="3132"/>
      <c r="AX313" s="3128"/>
      <c r="AY313" s="3128"/>
    </row>
    <row r="314" spans="1:51" ht="12.2" customHeight="1" x14ac:dyDescent="0.2">
      <c r="A314" s="2172"/>
      <c r="B314" s="2086">
        <f t="shared" si="7"/>
        <v>9</v>
      </c>
      <c r="C314" s="4584"/>
      <c r="D314" s="4624"/>
      <c r="E314" s="4625"/>
      <c r="F314" s="4625"/>
      <c r="G314" s="4625"/>
      <c r="H314" s="4625"/>
      <c r="I314" s="4625"/>
      <c r="J314" s="4625"/>
      <c r="K314" s="4625"/>
      <c r="L314" s="4625"/>
      <c r="M314" s="4625"/>
      <c r="N314" s="4625"/>
      <c r="O314" s="4625"/>
      <c r="P314" s="4625"/>
      <c r="Q314" s="4625"/>
      <c r="R314" s="4625"/>
      <c r="S314" s="4625"/>
      <c r="T314" s="4625"/>
      <c r="U314" s="4625"/>
      <c r="V314" s="4625"/>
      <c r="W314" s="4625"/>
      <c r="X314" s="4625"/>
      <c r="Y314" s="4625"/>
      <c r="Z314" s="4625"/>
      <c r="AA314" s="4625"/>
      <c r="AB314" s="4625"/>
      <c r="AC314" s="4625"/>
      <c r="AD314" s="4625"/>
      <c r="AE314" s="4625"/>
      <c r="AF314" s="4625"/>
      <c r="AG314" s="4626"/>
      <c r="AH314" s="2180"/>
      <c r="AI314" s="4604"/>
      <c r="AJ314" s="3128" t="s">
        <v>9304</v>
      </c>
      <c r="AK314" s="3128"/>
      <c r="AL314" s="3128"/>
      <c r="AM314" s="3128" t="b">
        <f>SUM(V296:AG296)&lt;&gt;Y294+ABS(AC294)*2/5+IF(S285="Sí",3*P285,0)</f>
        <v>0</v>
      </c>
      <c r="AN314" s="3128"/>
      <c r="AO314" s="3128"/>
      <c r="AP314" s="3128"/>
      <c r="AQ314" s="3129"/>
      <c r="AR314" s="3129"/>
      <c r="AS314" s="3129"/>
      <c r="AT314" s="3129"/>
      <c r="AU314" s="3132"/>
      <c r="AV314" s="3132"/>
      <c r="AW314" s="3132"/>
      <c r="AX314" s="3128"/>
      <c r="AY314" s="3128"/>
    </row>
    <row r="315" spans="1:51" ht="12.2" customHeight="1" x14ac:dyDescent="0.2">
      <c r="A315" s="2172"/>
      <c r="B315" s="2086">
        <f t="shared" si="7"/>
        <v>9</v>
      </c>
      <c r="C315" s="4584"/>
      <c r="D315" s="4624"/>
      <c r="E315" s="4625"/>
      <c r="F315" s="4625"/>
      <c r="G315" s="4625"/>
      <c r="H315" s="4625"/>
      <c r="I315" s="4625"/>
      <c r="J315" s="4625"/>
      <c r="K315" s="4625"/>
      <c r="L315" s="4625"/>
      <c r="M315" s="4625"/>
      <c r="N315" s="4625"/>
      <c r="O315" s="4625"/>
      <c r="P315" s="4625"/>
      <c r="Q315" s="4625"/>
      <c r="R315" s="4625"/>
      <c r="S315" s="4625"/>
      <c r="T315" s="4625"/>
      <c r="U315" s="4625"/>
      <c r="V315" s="4625"/>
      <c r="W315" s="4625"/>
      <c r="X315" s="4625"/>
      <c r="Y315" s="4625"/>
      <c r="Z315" s="4625"/>
      <c r="AA315" s="4625"/>
      <c r="AB315" s="4625"/>
      <c r="AC315" s="4625"/>
      <c r="AD315" s="4625"/>
      <c r="AE315" s="4625"/>
      <c r="AF315" s="4625"/>
      <c r="AG315" s="4626"/>
      <c r="AH315" s="2180"/>
      <c r="AI315" s="4604"/>
      <c r="AJ315" s="3128" t="s">
        <v>9303</v>
      </c>
      <c r="AK315" s="3128"/>
      <c r="AL315" s="3128"/>
      <c r="AM315" s="3128" t="b">
        <f>AL302-AL303+AM302-AM303&lt;&gt;0</f>
        <v>0</v>
      </c>
      <c r="AN315" s="3132"/>
      <c r="AO315" s="3132"/>
      <c r="AP315" s="3132"/>
      <c r="AQ315" s="3132"/>
      <c r="AR315" s="3129"/>
      <c r="AS315" s="3129"/>
      <c r="AT315" s="3129"/>
      <c r="AU315" s="3132"/>
      <c r="AV315" s="3132"/>
      <c r="AW315" s="3132"/>
      <c r="AX315" s="3128"/>
      <c r="AY315" s="3128"/>
    </row>
    <row r="316" spans="1:51" ht="12.2" customHeight="1" thickBot="1" x14ac:dyDescent="0.25">
      <c r="A316" s="2172"/>
      <c r="B316" s="2086"/>
      <c r="C316" s="4585"/>
      <c r="D316" s="4586"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87"/>
      <c r="F316" s="4587"/>
      <c r="G316" s="4587"/>
      <c r="H316" s="4587"/>
      <c r="I316" s="4587"/>
      <c r="J316" s="4587"/>
      <c r="K316" s="4587"/>
      <c r="L316" s="4587"/>
      <c r="M316" s="4587"/>
      <c r="N316" s="4587"/>
      <c r="O316" s="4587"/>
      <c r="P316" s="4587"/>
      <c r="Q316" s="4587"/>
      <c r="R316" s="4587"/>
      <c r="S316" s="4587"/>
      <c r="T316" s="4587"/>
      <c r="U316" s="4587"/>
      <c r="V316" s="4587"/>
      <c r="W316" s="4587"/>
      <c r="X316" s="4587"/>
      <c r="Y316" s="4587"/>
      <c r="Z316" s="4587"/>
      <c r="AA316" s="4587"/>
      <c r="AB316" s="4587"/>
      <c r="AC316" s="4587"/>
      <c r="AD316" s="4587"/>
      <c r="AE316" s="4587"/>
      <c r="AF316" s="4587"/>
      <c r="AG316" s="4588"/>
      <c r="AH316" s="2180"/>
      <c r="AI316" s="4604"/>
      <c r="AJ316" s="3128" t="s">
        <v>9340</v>
      </c>
      <c r="AK316" s="3132"/>
      <c r="AL316" s="3132"/>
      <c r="AM316" s="3132" t="b">
        <f>ABS(SUM(N294:N296))&gt;(SUM(N289:N293)-10*Y294+AC294+IF(S285="Sí",10*P285,0)+IF(COUNTIF(K289:M293,"Mantenido")&gt;0,P285*10)+MAX(IF(COUNTIF(K289:M293,"Sostenimiento Menor")&gt;0,P285*20)+IF(COUNTIF(K289:M293,"Sostenimiento Mayor")&gt;0,P285*30)))/2</f>
        <v>0</v>
      </c>
      <c r="AN316" s="3128"/>
      <c r="AO316" s="3128"/>
      <c r="AP316" s="3128"/>
      <c r="AQ316" s="3128"/>
      <c r="AR316" s="3129"/>
      <c r="AS316" s="3129"/>
      <c r="AT316" s="3129"/>
      <c r="AU316" s="3132"/>
      <c r="AV316" s="3132"/>
      <c r="AW316" s="3132"/>
      <c r="AX316" s="3128"/>
      <c r="AY316" s="3128"/>
    </row>
    <row r="317" spans="1:51" ht="12.2" customHeight="1" x14ac:dyDescent="0.2">
      <c r="A317" s="2172"/>
      <c r="B317" s="2086"/>
      <c r="C317" s="4580"/>
      <c r="D317" s="4580" t="str">
        <f>IFERROR(VLOOKUP(D298,'Tablas Técnicas'!$O$9:$T$88,2,FALSE),"")</f>
        <v/>
      </c>
      <c r="E317" s="4580"/>
      <c r="F317" s="4580"/>
      <c r="G317" s="4580"/>
      <c r="H317" s="4580"/>
      <c r="I317" s="4580"/>
      <c r="J317" s="4580" t="str">
        <f>IFERROR(VLOOKUP(J298,'Tablas Técnicas'!$O$9:$T$88,2,FALSE),"")</f>
        <v/>
      </c>
      <c r="K317" s="4580"/>
      <c r="L317" s="4580"/>
      <c r="M317" s="4580"/>
      <c r="N317" s="4580"/>
      <c r="O317" s="4580"/>
      <c r="P317" s="4580" t="str">
        <f>IFERROR(VLOOKUP(P298,'Tablas Técnicas'!$O$9:$T$88,2,FALSE),"")</f>
        <v/>
      </c>
      <c r="Q317" s="4580"/>
      <c r="R317" s="4580"/>
      <c r="S317" s="4580"/>
      <c r="T317" s="4580"/>
      <c r="U317" s="4580"/>
      <c r="V317" s="4580" t="str">
        <f>IFERROR(VLOOKUP(V298,'Tablas Técnicas'!$O$9:$T$88,2,FALSE),"")</f>
        <v/>
      </c>
      <c r="W317" s="4580"/>
      <c r="X317" s="4580"/>
      <c r="Y317" s="4580"/>
      <c r="Z317" s="4580"/>
      <c r="AA317" s="4580"/>
      <c r="AB317" s="4580" t="str">
        <f>IFERROR(VLOOKUP(AB298,'Tablas Técnicas'!$O$9:$T$88,2,FALSE),"")</f>
        <v/>
      </c>
      <c r="AC317" s="4580"/>
      <c r="AD317" s="4580"/>
      <c r="AE317" s="4580"/>
      <c r="AF317" s="4580"/>
      <c r="AG317" s="4580"/>
      <c r="AH317" s="2180"/>
      <c r="AI317" s="1908"/>
      <c r="AJ317" s="3128"/>
      <c r="AK317" s="3128"/>
      <c r="AL317" s="3128"/>
      <c r="AM317" s="3128"/>
      <c r="AN317" s="3128"/>
      <c r="AO317" s="3128"/>
      <c r="AP317" s="3128"/>
      <c r="AQ317" s="3128"/>
      <c r="AR317" s="3129"/>
      <c r="AS317" s="3129"/>
      <c r="AT317" s="3129"/>
      <c r="AU317" s="3132"/>
      <c r="AV317" s="3132"/>
      <c r="AW317" s="3132"/>
      <c r="AX317" s="3132"/>
      <c r="AY317" s="3128"/>
    </row>
    <row r="318" spans="1:51" ht="12.2" customHeight="1" thickBot="1" x14ac:dyDescent="0.25">
      <c r="A318" s="2172"/>
      <c r="B318" s="2086"/>
      <c r="C318" s="4580"/>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6"/>
      <c r="AK318" s="3136"/>
      <c r="AL318" s="3136"/>
      <c r="AM318" s="3136"/>
      <c r="AN318" s="3136"/>
      <c r="AO318" s="3136"/>
      <c r="AP318" s="3128"/>
      <c r="AQ318" s="3129"/>
      <c r="AR318" s="3132"/>
      <c r="AS318" s="3132"/>
      <c r="AT318" s="3132"/>
      <c r="AU318" s="3132"/>
      <c r="AV318" s="3132"/>
      <c r="AW318" s="3132"/>
      <c r="AX318" s="3132"/>
      <c r="AY318" s="3137"/>
    </row>
    <row r="319" spans="1:51" ht="12.2" customHeight="1" x14ac:dyDescent="0.2">
      <c r="A319" s="2172"/>
      <c r="B319" s="2086">
        <f t="shared" ref="B319:B349" si="8">1+B285</f>
        <v>10</v>
      </c>
      <c r="C319" s="4583" t="str">
        <f>"Técnica "&amp;B319</f>
        <v>Técnica 10</v>
      </c>
      <c r="D319" s="4682" t="s">
        <v>8711</v>
      </c>
      <c r="E319" s="4683"/>
      <c r="F319" s="4683"/>
      <c r="G319" s="4683"/>
      <c r="H319" s="4683"/>
      <c r="I319" s="4683"/>
      <c r="J319" s="4683"/>
      <c r="K319" s="4683"/>
      <c r="L319" s="4683"/>
      <c r="M319" s="4683"/>
      <c r="N319" s="4684"/>
      <c r="O319" s="4688" t="s">
        <v>1325</v>
      </c>
      <c r="P319" s="4690">
        <v>1</v>
      </c>
      <c r="Q319" s="4692" t="s">
        <v>8795</v>
      </c>
      <c r="R319" s="4693"/>
      <c r="S319" s="4696" t="s">
        <v>1381</v>
      </c>
      <c r="T319" s="4697" t="s">
        <v>1505</v>
      </c>
      <c r="U319" s="4699">
        <f>MAX(IF(P319=3,60,IF(P319=2,40,20)),MIN(SUM(N323:N330)-10*Y328+AC328+IF(S319="Sí",10*P319,0)+IF(COUNTIF(K323:M327,"Mantenido")&gt;0,P319*10)+MAX(IF(COUNTIF(K323:M327,"Sostenimiento Menor")&gt;0,P319*20)+IF(COUNTIF(K323:M327,"Sostenimiento Mayor")&gt;0,P319*30))))</f>
        <v>20</v>
      </c>
      <c r="V319" s="4692" t="s">
        <v>8796</v>
      </c>
      <c r="W319" s="4697"/>
      <c r="X319" s="4612" t="str">
        <f>IFERROR(LEFT(AK335&amp;AL335&amp;AM335&amp;AN335&amp;AO335&amp;AP335,LEN(AK335&amp;AL335&amp;AM335&amp;AN335&amp;AO335&amp;AP335)-2),"")</f>
        <v/>
      </c>
      <c r="Y319" s="4612"/>
      <c r="Z319" s="4612"/>
      <c r="AA319" s="4612"/>
      <c r="AB319" s="4612"/>
      <c r="AC319" s="4612"/>
      <c r="AD319" s="4612"/>
      <c r="AE319" s="4612"/>
      <c r="AF319" s="4612"/>
      <c r="AG319" s="4613"/>
      <c r="AH319" s="2180"/>
      <c r="AI319" s="4604"/>
      <c r="AJ319" s="3133" t="s">
        <v>9337</v>
      </c>
      <c r="AK319" s="3133"/>
      <c r="AL319" s="3133"/>
      <c r="AM319" s="3133"/>
      <c r="AN319" s="3133"/>
      <c r="AO319" s="3133"/>
      <c r="AP319" s="3133"/>
      <c r="AQ319" s="3133"/>
      <c r="AR319" s="3133"/>
      <c r="AS319" s="3128"/>
      <c r="AT319" s="3128"/>
      <c r="AU319" s="3128"/>
      <c r="AV319" s="3128"/>
      <c r="AW319" s="3132"/>
      <c r="AX319" s="3132"/>
      <c r="AY319" s="3128"/>
    </row>
    <row r="320" spans="1:51" ht="12.2" customHeight="1" x14ac:dyDescent="0.2">
      <c r="A320" s="2172"/>
      <c r="B320" s="2086">
        <f t="shared" si="8"/>
        <v>10</v>
      </c>
      <c r="C320" s="4584"/>
      <c r="D320" s="4685"/>
      <c r="E320" s="4686"/>
      <c r="F320" s="4686"/>
      <c r="G320" s="4686"/>
      <c r="H320" s="4686"/>
      <c r="I320" s="4686"/>
      <c r="J320" s="4686"/>
      <c r="K320" s="4686"/>
      <c r="L320" s="4686"/>
      <c r="M320" s="4686"/>
      <c r="N320" s="4687"/>
      <c r="O320" s="4689"/>
      <c r="P320" s="4691"/>
      <c r="Q320" s="4694"/>
      <c r="R320" s="4695"/>
      <c r="S320" s="4691"/>
      <c r="T320" s="4698"/>
      <c r="U320" s="4700"/>
      <c r="V320" s="4694"/>
      <c r="W320" s="4698"/>
      <c r="X320" s="4614"/>
      <c r="Y320" s="4614"/>
      <c r="Z320" s="4614"/>
      <c r="AA320" s="4614"/>
      <c r="AB320" s="4614"/>
      <c r="AC320" s="4614"/>
      <c r="AD320" s="4614"/>
      <c r="AE320" s="4614"/>
      <c r="AF320" s="4614"/>
      <c r="AG320" s="4615"/>
      <c r="AH320" s="2180"/>
      <c r="AI320" s="4604"/>
      <c r="AJ320" s="3133"/>
      <c r="AK320" s="3133" t="s">
        <v>9338</v>
      </c>
      <c r="AL320" s="3133" t="s">
        <v>10493</v>
      </c>
      <c r="AM320" s="3134"/>
      <c r="AN320" s="3134"/>
      <c r="AO320" s="3134"/>
      <c r="AP320" s="3134"/>
      <c r="AQ320" s="3134"/>
      <c r="AR320" s="3133"/>
      <c r="AS320" s="3128"/>
      <c r="AT320" s="3128"/>
      <c r="AU320" s="3128"/>
      <c r="AV320" s="3128"/>
      <c r="AW320" s="3132"/>
      <c r="AX320" s="4582" t="s">
        <v>9307</v>
      </c>
      <c r="AY320" s="4582"/>
    </row>
    <row r="321" spans="1:51" ht="12.2" customHeight="1" x14ac:dyDescent="0.2">
      <c r="A321" s="2172"/>
      <c r="B321" s="2086">
        <f t="shared" si="8"/>
        <v>10</v>
      </c>
      <c r="C321" s="4584"/>
      <c r="D321" s="4595" t="s">
        <v>2823</v>
      </c>
      <c r="E321" s="4596"/>
      <c r="F321" s="4596"/>
      <c r="G321" s="4596"/>
      <c r="H321" s="4596"/>
      <c r="I321" s="4596"/>
      <c r="J321" s="4596"/>
      <c r="K321" s="4679" t="s">
        <v>9630</v>
      </c>
      <c r="L321" s="4679"/>
      <c r="M321" s="4679"/>
      <c r="N321" s="4596" t="s">
        <v>1499</v>
      </c>
      <c r="O321" s="4679" t="s">
        <v>2821</v>
      </c>
      <c r="P321" s="4679" t="s">
        <v>8797</v>
      </c>
      <c r="Q321" s="4596" t="s">
        <v>1364</v>
      </c>
      <c r="R321" s="4596"/>
      <c r="S321" s="4596"/>
      <c r="T321" s="4596"/>
      <c r="U321" s="4596"/>
      <c r="V321" s="4659" t="s">
        <v>1373</v>
      </c>
      <c r="W321" s="4654"/>
      <c r="X321" s="4659" t="s">
        <v>1497</v>
      </c>
      <c r="Y321" s="4660"/>
      <c r="Z321" s="4654" t="s">
        <v>1378</v>
      </c>
      <c r="AA321" s="4654"/>
      <c r="AB321" s="4659" t="s">
        <v>1383</v>
      </c>
      <c r="AC321" s="4660"/>
      <c r="AD321" s="4654" t="s">
        <v>1390</v>
      </c>
      <c r="AE321" s="4654"/>
      <c r="AF321" s="4659" t="s">
        <v>1391</v>
      </c>
      <c r="AG321" s="4655"/>
      <c r="AH321" s="2180"/>
      <c r="AI321" s="4604"/>
      <c r="AJ321" s="3128"/>
      <c r="AK321" s="3128"/>
      <c r="AL321" s="3128" t="s">
        <v>9609</v>
      </c>
      <c r="AM321" s="3128"/>
      <c r="AN321" s="3128"/>
      <c r="AO321" s="3128"/>
      <c r="AP321" s="3128"/>
      <c r="AQ321" s="3128"/>
      <c r="AR321" s="3132"/>
      <c r="AS321" s="3132" t="s">
        <v>9327</v>
      </c>
      <c r="AT321" s="3132" t="s">
        <v>9328</v>
      </c>
      <c r="AU321" s="3128" t="s">
        <v>9316</v>
      </c>
      <c r="AV321" s="3128" t="s">
        <v>9317</v>
      </c>
      <c r="AW321" s="3132" t="s">
        <v>1499</v>
      </c>
      <c r="AX321" s="3132" t="s">
        <v>8799</v>
      </c>
      <c r="AY321" s="3128" t="s">
        <v>8800</v>
      </c>
    </row>
    <row r="322" spans="1:51" ht="12.2" customHeight="1" x14ac:dyDescent="0.2">
      <c r="A322" s="2172"/>
      <c r="B322" s="2086">
        <f t="shared" si="8"/>
        <v>10</v>
      </c>
      <c r="C322" s="4584"/>
      <c r="D322" s="4627"/>
      <c r="E322" s="4628"/>
      <c r="F322" s="4628"/>
      <c r="G322" s="4628"/>
      <c r="H322" s="4628"/>
      <c r="I322" s="4628"/>
      <c r="J322" s="4628"/>
      <c r="K322" s="4680"/>
      <c r="L322" s="4680"/>
      <c r="M322" s="4680"/>
      <c r="N322" s="4597"/>
      <c r="O322" s="4680"/>
      <c r="P322" s="4681"/>
      <c r="Q322" s="4597"/>
      <c r="R322" s="4597"/>
      <c r="S322" s="4597"/>
      <c r="T322" s="4597"/>
      <c r="U322" s="4597"/>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604"/>
      <c r="AJ322" s="3128"/>
      <c r="AK322" s="3128" t="s">
        <v>9308</v>
      </c>
      <c r="AL322" s="3128">
        <v>1</v>
      </c>
      <c r="AM322" s="3128">
        <v>2</v>
      </c>
      <c r="AN322" s="3128">
        <v>3</v>
      </c>
      <c r="AO322" s="3128">
        <v>4</v>
      </c>
      <c r="AP322" s="3128">
        <v>5</v>
      </c>
      <c r="AQ322" s="3128">
        <v>6</v>
      </c>
      <c r="AR322" s="3128">
        <v>7</v>
      </c>
      <c r="AS322" s="3132"/>
      <c r="AT322" s="3128" t="s">
        <v>9339</v>
      </c>
      <c r="AU322" s="3132"/>
      <c r="AV322" s="3132"/>
      <c r="AW322" s="3132" t="s">
        <v>9339</v>
      </c>
      <c r="AX322" s="3132"/>
      <c r="AY322" s="3128"/>
    </row>
    <row r="323" spans="1:51" ht="12.2" customHeight="1" x14ac:dyDescent="0.2">
      <c r="A323" s="2172"/>
      <c r="B323" s="2086">
        <f t="shared" si="8"/>
        <v>10</v>
      </c>
      <c r="C323" s="4584"/>
      <c r="D323" s="4670" t="s">
        <v>8801</v>
      </c>
      <c r="E323" s="4671"/>
      <c r="F323" s="4672"/>
      <c r="G323" s="4673"/>
      <c r="H323" s="4673"/>
      <c r="I323" s="4673"/>
      <c r="J323" s="4674"/>
      <c r="K323" s="4641" t="s">
        <v>1455</v>
      </c>
      <c r="L323" s="4642"/>
      <c r="M323" s="4643"/>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678" t="str">
        <f>IFERROR(VLOOKUP(F323,'Tablas Técnicas'!$O$9:$T$88,5,FALSE),"")</f>
        <v/>
      </c>
      <c r="R323" s="4678"/>
      <c r="S323" s="4678"/>
      <c r="T323" s="4678"/>
      <c r="U323" s="4678"/>
      <c r="V323" s="2042"/>
      <c r="W323" s="2043"/>
      <c r="X323" s="2042"/>
      <c r="Y323" s="2044"/>
      <c r="Z323" s="2045"/>
      <c r="AA323" s="2043"/>
      <c r="AB323" s="2042"/>
      <c r="AC323" s="2044"/>
      <c r="AD323" s="2045"/>
      <c r="AE323" s="2043"/>
      <c r="AF323" s="2042"/>
      <c r="AG323" s="2046"/>
      <c r="AH323" s="2180"/>
      <c r="AI323" s="4604"/>
      <c r="AJ323" s="3128">
        <v>1</v>
      </c>
      <c r="AK323" s="3128">
        <f>P319</f>
        <v>1</v>
      </c>
      <c r="AL323" s="3128" t="str">
        <f>IF(AND(ISNUMBER(MATCH($F323,'Tablas Técnicas'!$L$10:$L$643,0)),INDEX($D336:$D342,Tablas!A$1)="",COUNTIF(AM323:$AS323,$F323)=0),$F323,IF(INDEX($D336:$D342,Tablas!A$1)="","",$F323&amp;INDEX($D336:$D342,Tablas!A$1)))</f>
        <v/>
      </c>
      <c r="AM323" s="3128" t="str">
        <f>IF(AND(ISNUMBER(MATCH($F323,'Tablas Técnicas'!$L$10:$L$643,0)),INDEX($D336:$D342,Tablas!B$1)="",COUNTIF(AN323:$AS323,$F323)=0),$F323,IF(INDEX($D336:$D342,Tablas!B$1)="","",$F323&amp;INDEX($D336:$D342,Tablas!B$1)))</f>
        <v/>
      </c>
      <c r="AN323" s="3128" t="str">
        <f>IF(AND(ISNUMBER(MATCH($F323,'Tablas Técnicas'!$L$10:$L$643,0)),INDEX($D336:$D342,Tablas!C$1)="",COUNTIF(AO323:$AS323,$F323)=0),$F323,IF(INDEX($D336:$D342,Tablas!C$1)="","",$F323&amp;INDEX($D336:$D342,Tablas!C$1)))</f>
        <v/>
      </c>
      <c r="AO323" s="3128" t="str">
        <f>IF(AND(ISNUMBER(MATCH($F323,'Tablas Técnicas'!$L$10:$L$643,0)),INDEX($D336:$D342,Tablas!D$1)="",COUNTIF(AP323:$AS323,$F323)=0),$F323,IF(INDEX($D336:$D342,Tablas!D$1)="","",$F323&amp;INDEX($D336:$D342,Tablas!D$1)))</f>
        <v/>
      </c>
      <c r="AP323" s="3128" t="str">
        <f>IF(AND(ISNUMBER(MATCH($F323,'Tablas Técnicas'!$L$10:$L$643,0)),INDEX($D336:$D342,Tablas!E$1)="",COUNTIF(AQ323:$AS323,$F323)=0),$F323,IF(INDEX($D336:$D342,Tablas!E$1)="","",$F323&amp;INDEX($D336:$D342,Tablas!E$1)))</f>
        <v/>
      </c>
      <c r="AQ323" s="3128" t="str">
        <f>IF(AND(ISNUMBER(MATCH($F323,'Tablas Técnicas'!$L$10:$L$643,0)),INDEX($D336:$D342,Tablas!F$1)="",COUNTIF(AR323:$AS323,$F323)=0),$F323,IF(INDEX($D336:$D342,Tablas!F$1)="","",$F323&amp;INDEX($D336:$D342,Tablas!F$1)))</f>
        <v/>
      </c>
      <c r="AR323" s="3128" t="str">
        <f>IF(AND(ISNUMBER(MATCH($F323,'Tablas Técnicas'!$L$10:$L$643,0)),INDEX($D336:$D342,Tablas!G$1)="",COUNTIF(AS323:$AS323,$F323)=0),$F323,IF(INDEX($D336:$D342,Tablas!G$1)="","",$F323&amp;INDEX($D336:$D342,Tablas!G$1)))</f>
        <v/>
      </c>
      <c r="AS323" s="3132">
        <f>V323+X323+Z323+AB323+AD323+AF323</f>
        <v>0</v>
      </c>
      <c r="AT323" s="3132">
        <f t="array" ref="AT323">SUM(IF($AL323:$AR323='Tablas Técnicas'!$L$10:$L$643,IF(D323="Primario",'Tablas Técnicas'!$E$10:$E$643,'Tablas Técnicas'!$F$10:$F$643)+IF(K323="Sostenimiento menor",'Tablas Técnicas'!$I$10:$I$643,IF(K323="sostenimiento mayor",'Tablas Técnicas'!$J$10:$J$643,0)),0),0)+VALUE(RIGHT(P323,2))+AU323+AV323</f>
        <v>0</v>
      </c>
      <c r="AU323" s="313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32">
        <f>(COUNTIF(AL323:AR323,"*Estado añadido:*")-1)*COUNTIF(AL323:AR323,"*Estado añadido:*")</f>
        <v>0</v>
      </c>
      <c r="AW323" s="3132">
        <f t="array" ref="AW323">SUM(IF($AL323:$AR323='Tablas Técnicas'!$L$10:$L$643,'Tablas Técnicas'!$G$10:$G$643,0))</f>
        <v>0</v>
      </c>
      <c r="AX323" s="312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8" t="str">
        <f>IFERROR(LEFT(AX323,LEN(AX323)-2)&amp;"), ","")</f>
        <v/>
      </c>
    </row>
    <row r="324" spans="1:51" ht="12.2" customHeight="1" x14ac:dyDescent="0.2">
      <c r="A324" s="2172"/>
      <c r="B324" s="2086">
        <f t="shared" si="8"/>
        <v>10</v>
      </c>
      <c r="C324" s="4584"/>
      <c r="D324" s="4629" t="s">
        <v>524</v>
      </c>
      <c r="E324" s="4630"/>
      <c r="F324" s="4661"/>
      <c r="G324" s="4662"/>
      <c r="H324" s="4662"/>
      <c r="I324" s="4662"/>
      <c r="J324" s="4663"/>
      <c r="K324" s="4664" t="s">
        <v>1455</v>
      </c>
      <c r="L324" s="4665"/>
      <c r="M324" s="4666"/>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1" t="str">
        <f>IFERROR(VLOOKUP(F324,'Tablas Técnicas'!$O$9:$T$88,5,FALSE),"")</f>
        <v/>
      </c>
      <c r="R324" s="4631"/>
      <c r="S324" s="4631"/>
      <c r="T324" s="4631"/>
      <c r="U324" s="4631"/>
      <c r="V324" s="2047"/>
      <c r="W324" s="2048"/>
      <c r="X324" s="2047"/>
      <c r="Y324" s="2049"/>
      <c r="Z324" s="2050"/>
      <c r="AA324" s="2048"/>
      <c r="AB324" s="2047"/>
      <c r="AC324" s="2049"/>
      <c r="AD324" s="2050"/>
      <c r="AE324" s="2048"/>
      <c r="AF324" s="2047"/>
      <c r="AG324" s="2051"/>
      <c r="AH324" s="2180"/>
      <c r="AI324" s="4604"/>
      <c r="AJ324" s="3128">
        <v>2</v>
      </c>
      <c r="AK324" s="3128">
        <f>P319</f>
        <v>1</v>
      </c>
      <c r="AL324" s="3128" t="str">
        <f>IF(AND(ISNUMBER(MATCH($F324,'Tablas Técnicas'!$L$10:$L$643,0)),INDEX($J336:$J342,Tablas!A$1)="",COUNTIF(AM324:$AS324,$F324)=0),$F324,IF(INDEX($J336:$J342,Tablas!A$1)="","",$F324&amp;INDEX($J336:$J342,Tablas!A$1)))</f>
        <v/>
      </c>
      <c r="AM324" s="3128" t="str">
        <f>IF(AND(ISNUMBER(MATCH($F324,'Tablas Técnicas'!$L$10:$L$643,0)),INDEX($J336:$J342,Tablas!B$1)="",COUNTIF(AN324:$AS324,$F324)=0),$F324,IF(INDEX($J336:$J342,Tablas!B$1)="","",$F324&amp;INDEX($J336:$J342,Tablas!B$1)))</f>
        <v/>
      </c>
      <c r="AN324" s="3128" t="str">
        <f>IF(AND(ISNUMBER(MATCH($F324,'Tablas Técnicas'!$L$10:$L$643,0)),INDEX($J336:$J342,Tablas!C$1)="",COUNTIF(AO324:$AS324,$F324)=0),$F324,IF(INDEX($J336:$J342,Tablas!C$1)="","",$F324&amp;INDEX($J336:$J342,Tablas!C$1)))</f>
        <v/>
      </c>
      <c r="AO324" s="3128" t="str">
        <f>IF(AND(ISNUMBER(MATCH($F324,'Tablas Técnicas'!$L$10:$L$643,0)),INDEX($J336:$J342,Tablas!D$1)="",COUNTIF(AP324:$AS324,$F324)=0),$F324,IF(INDEX($J336:$J342,Tablas!D$1)="","",$F324&amp;INDEX($J336:$J342,Tablas!D$1)))</f>
        <v/>
      </c>
      <c r="AP324" s="3128" t="str">
        <f>IF(AND(ISNUMBER(MATCH($F324,'Tablas Técnicas'!$L$10:$L$643,0)),INDEX($J336:$J342,Tablas!E$1)="",COUNTIF(AQ324:$AS324,$F324)=0),$F324,IF(INDEX($J336:$J342,Tablas!E$1)="","",$F324&amp;INDEX($J336:$J342,Tablas!E$1)))</f>
        <v/>
      </c>
      <c r="AQ324" s="3128" t="str">
        <f>IF(AND(ISNUMBER(MATCH($F324,'Tablas Técnicas'!$L$10:$L$643,0)),INDEX($J336:$J342,Tablas!F$1)="",COUNTIF(AR324:$AS324,$F324)=0),$F324,IF(INDEX($J336:$J342,Tablas!F$1)="","",$F324&amp;INDEX($J336:$J342,Tablas!F$1)))</f>
        <v/>
      </c>
      <c r="AR324" s="3128" t="str">
        <f>IF(AND(ISNUMBER(MATCH($F324,'Tablas Técnicas'!$L$10:$L$643,0)),INDEX($J336:$J342,Tablas!G$1)="",COUNTIF(AS324:$AS324,$F324)=0),$F324,IF(INDEX($J336:$J342,Tablas!G$1)="","",$F324&amp;INDEX($J336:$J342,Tablas!G$1)))</f>
        <v/>
      </c>
      <c r="AS324" s="3132">
        <f>V324+X324+Z324+AB324+AD324+AF324</f>
        <v>0</v>
      </c>
      <c r="AT324" s="3132">
        <f t="array" ref="AT324">SUM(IF($AL324:$AR324='Tablas Técnicas'!$L$10:$L$643,IF(D324="Primario",'Tablas Técnicas'!$E$10:$E$643,'Tablas Técnicas'!$F$10:$F$643)+IF(K324="Sostenimiento menor",'Tablas Técnicas'!$I$10:$I$643,IF(K324="sostenimiento mayor",'Tablas Técnicas'!$J$10:$J$643,0)),0),0)+VALUE(RIGHT(P324,2))+AU324+AV324</f>
        <v>0</v>
      </c>
      <c r="AU324" s="313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32">
        <f>(COUNTIF(AL324:AR324,"*Estado añadido:*")-1)*COUNTIF(AL324:AR324,"*Estado añadido:*")</f>
        <v>0</v>
      </c>
      <c r="AW324" s="3132">
        <f t="array" ref="AW324">SUM(IF($AL324:$AR324='Tablas Técnicas'!$L$10:$L$643,'Tablas Técnicas'!$G$10:$G$643,0))</f>
        <v>0</v>
      </c>
      <c r="AX324" s="312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8" t="str">
        <f>IFERROR(LEFT(AX324,LEN(AX324)-2)&amp;"), ","")</f>
        <v/>
      </c>
    </row>
    <row r="325" spans="1:51" ht="12.2" customHeight="1" x14ac:dyDescent="0.2">
      <c r="A325" s="2172"/>
      <c r="B325" s="2086">
        <f t="shared" si="8"/>
        <v>10</v>
      </c>
      <c r="C325" s="4584"/>
      <c r="D325" s="4675" t="s">
        <v>524</v>
      </c>
      <c r="E325" s="4676"/>
      <c r="F325" s="4605"/>
      <c r="G325" s="4606"/>
      <c r="H325" s="4606"/>
      <c r="I325" s="4606"/>
      <c r="J325" s="4607"/>
      <c r="K325" s="4667" t="s">
        <v>1455</v>
      </c>
      <c r="L325" s="4668"/>
      <c r="M325" s="4669"/>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677" t="str">
        <f>IFERROR(VLOOKUP(F325,'Tablas Técnicas'!$O$9:$T$88,5,FALSE),"")</f>
        <v/>
      </c>
      <c r="R325" s="4677"/>
      <c r="S325" s="4677"/>
      <c r="T325" s="4677"/>
      <c r="U325" s="4677"/>
      <c r="V325" s="2052"/>
      <c r="W325" s="2053"/>
      <c r="X325" s="2052"/>
      <c r="Y325" s="2054"/>
      <c r="Z325" s="2055"/>
      <c r="AA325" s="2053"/>
      <c r="AB325" s="2052"/>
      <c r="AC325" s="2054"/>
      <c r="AD325" s="2055"/>
      <c r="AE325" s="2053"/>
      <c r="AF325" s="2052"/>
      <c r="AG325" s="2056"/>
      <c r="AH325" s="2180"/>
      <c r="AI325" s="4604"/>
      <c r="AJ325" s="3128">
        <v>3</v>
      </c>
      <c r="AK325" s="3128">
        <f>P319</f>
        <v>1</v>
      </c>
      <c r="AL325" s="3128" t="str">
        <f>IF(AND(ISNUMBER(MATCH($F325,'Tablas Técnicas'!$L$10:$L$643,0)),INDEX($P336:$P342,Tablas!A$1)="",COUNTIF(AM325:$AS325,$F325)=0),$F325,IF(INDEX($P336:$P342,Tablas!A$1)="","",$F325&amp;INDEX($P336:$P342,Tablas!A$1)))</f>
        <v/>
      </c>
      <c r="AM325" s="3128" t="str">
        <f>IF(AND(ISNUMBER(MATCH($F325,'Tablas Técnicas'!$L$10:$L$643,0)),INDEX($P336:$P342,Tablas!B$1)="",COUNTIF(AN325:$AS325,$F325)=0),$F325,IF(INDEX($P336:$P342,Tablas!B$1)="","",$F325&amp;INDEX($P336:$P342,Tablas!B$1)))</f>
        <v/>
      </c>
      <c r="AN325" s="3128" t="str">
        <f>IF(AND(ISNUMBER(MATCH($F325,'Tablas Técnicas'!$L$10:$L$643,0)),INDEX($P336:$P342,Tablas!C$1)="",COUNTIF(AO325:$AS325,$F325)=0),$F325,IF(INDEX($P336:$P342,Tablas!C$1)="","",$F325&amp;INDEX($P336:$P342,Tablas!C$1)))</f>
        <v/>
      </c>
      <c r="AO325" s="3128" t="str">
        <f>IF(AND(ISNUMBER(MATCH($F325,'Tablas Técnicas'!$L$10:$L$643,0)),INDEX($P336:$P342,Tablas!D$1)="",COUNTIF(AP325:$AS325,$F325)=0),$F325,IF(INDEX($P336:$P342,Tablas!D$1)="","",$F325&amp;INDEX($P336:$P342,Tablas!D$1)))</f>
        <v/>
      </c>
      <c r="AP325" s="3128" t="str">
        <f>IF(AND(ISNUMBER(MATCH($F325,'Tablas Técnicas'!$L$10:$L$643,0)),INDEX($P336:$P342,Tablas!E$1)="",COUNTIF(AQ325:$AS325,$F325)=0),$F325,IF(INDEX($P336:$P342,Tablas!E$1)="","",$F325&amp;INDEX($P336:$P342,Tablas!E$1)))</f>
        <v/>
      </c>
      <c r="AQ325" s="3128" t="str">
        <f>IF(AND(ISNUMBER(MATCH($F325,'Tablas Técnicas'!$L$10:$L$643,0)),INDEX($P336:$P342,Tablas!F$1)="",COUNTIF(AR325:$AS325,$F325)=0),$F325,IF(INDEX($P336:$P342,Tablas!F$1)="","",$F325&amp;INDEX($P336:$P342,Tablas!F$1)))</f>
        <v/>
      </c>
      <c r="AR325" s="3128" t="str">
        <f>IF(AND(ISNUMBER(MATCH($F325,'Tablas Técnicas'!$L$10:$L$643,0)),INDEX($P336:$P342,Tablas!G$1)="",COUNTIF(AS325:$AS325,$F325)=0),$F325,IF(INDEX($P336:$P342,Tablas!G$1)="","",$F325&amp;INDEX($P336:$P342,Tablas!G$1)))</f>
        <v/>
      </c>
      <c r="AS325" s="3132">
        <f>V325+X325+Z325+AB325+AD325+AF325</f>
        <v>0</v>
      </c>
      <c r="AT325" s="3132">
        <f t="array" ref="AT325">SUM(IF($AL325:$AR325='Tablas Técnicas'!$L$10:$L$643,IF(D325="Primario",'Tablas Técnicas'!$E$10:$E$643,'Tablas Técnicas'!$F$10:$F$643)+IF(K325="Sostenimiento menor",'Tablas Técnicas'!$I$10:$I$643,IF(K325="sostenimiento mayor",'Tablas Técnicas'!$J$10:$J$643,0)),0),0)+VALUE(RIGHT(P325,2))+AU325+AV325</f>
        <v>0</v>
      </c>
      <c r="AU325" s="313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32">
        <f>(COUNTIF(AL325:AR325,"*Estado añadido:*")-1)*COUNTIF(AL325:AR325,"*Estado añadido:*")</f>
        <v>0</v>
      </c>
      <c r="AW325" s="3132">
        <f t="array" ref="AW325">SUM(IF($AL325:$AR325='Tablas Técnicas'!$L$10:$L$643,'Tablas Técnicas'!$G$10:$G$643,0))</f>
        <v>0</v>
      </c>
      <c r="AX325" s="312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8" t="str">
        <f>IFERROR(LEFT(AX325,LEN(AX325)-2)&amp;"), ","")</f>
        <v/>
      </c>
    </row>
    <row r="326" spans="1:51" ht="12.2" customHeight="1" x14ac:dyDescent="0.2">
      <c r="A326" s="2172"/>
      <c r="B326" s="2086">
        <f t="shared" si="8"/>
        <v>10</v>
      </c>
      <c r="C326" s="4584"/>
      <c r="D326" s="4629" t="s">
        <v>524</v>
      </c>
      <c r="E326" s="4630"/>
      <c r="F326" s="4661"/>
      <c r="G326" s="4662"/>
      <c r="H326" s="4662"/>
      <c r="I326" s="4662"/>
      <c r="J326" s="4663"/>
      <c r="K326" s="4664" t="s">
        <v>1455</v>
      </c>
      <c r="L326" s="4665"/>
      <c r="M326" s="4666"/>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1" t="str">
        <f>IFERROR(VLOOKUP(F326,'Tablas Técnicas'!$O$9:$T$88,5,FALSE),"")</f>
        <v/>
      </c>
      <c r="R326" s="4631"/>
      <c r="S326" s="4631"/>
      <c r="T326" s="4631"/>
      <c r="U326" s="4631"/>
      <c r="V326" s="2047"/>
      <c r="W326" s="2048"/>
      <c r="X326" s="2047"/>
      <c r="Y326" s="2049"/>
      <c r="Z326" s="2050"/>
      <c r="AA326" s="2048"/>
      <c r="AB326" s="2047"/>
      <c r="AC326" s="2049"/>
      <c r="AD326" s="2050"/>
      <c r="AE326" s="2048"/>
      <c r="AF326" s="2047"/>
      <c r="AG326" s="2051"/>
      <c r="AH326" s="2180"/>
      <c r="AI326" s="4604"/>
      <c r="AJ326" s="3128">
        <v>4</v>
      </c>
      <c r="AK326" s="3128">
        <f>P319</f>
        <v>1</v>
      </c>
      <c r="AL326" s="3128" t="str">
        <f>IF(AND(ISNUMBER(MATCH($F326,'Tablas Técnicas'!$L$10:$L$643,0)),INDEX($V336:$V342,Tablas!A$1)="",COUNTIF(AM326:$AS326,$F326)=0),$F326,IF(INDEX($V336:$V342,Tablas!A$1)="","",$F326&amp;INDEX($V336:$V342,Tablas!A$1)))</f>
        <v/>
      </c>
      <c r="AM326" s="3128" t="str">
        <f>IF(AND(ISNUMBER(MATCH($F326,'Tablas Técnicas'!$L$10:$L$643,0)),INDEX($V336:$V342,Tablas!B$1)="",COUNTIF(AN326:$AS326,$F326)=0),$F326,IF(INDEX($V336:$V342,Tablas!B$1)="","",$F326&amp;INDEX($V336:$V342,Tablas!B$1)))</f>
        <v/>
      </c>
      <c r="AN326" s="3128" t="str">
        <f>IF(AND(ISNUMBER(MATCH($F326,'Tablas Técnicas'!$L$10:$L$643,0)),INDEX($V336:$V342,Tablas!C$1)="",COUNTIF(AO326:$AS326,$F326)=0),$F326,IF(INDEX($V336:$V342,Tablas!C$1)="","",$F326&amp;INDEX($V336:$V342,Tablas!C$1)))</f>
        <v/>
      </c>
      <c r="AO326" s="3128" t="str">
        <f>IF(AND(ISNUMBER(MATCH($F326,'Tablas Técnicas'!$L$10:$L$643,0)),INDEX($V336:$V342,Tablas!D$1)="",COUNTIF(AP326:$AS326,$F326)=0),$F326,IF(INDEX($V336:$V342,Tablas!D$1)="","",$F326&amp;INDEX($V336:$V342,Tablas!D$1)))</f>
        <v/>
      </c>
      <c r="AP326" s="3128" t="str">
        <f>IF(AND(ISNUMBER(MATCH($F326,'Tablas Técnicas'!$L$10:$L$643,0)),INDEX($V336:$V342,Tablas!E$1)="",COUNTIF(AQ326:$AS326,$F326)=0),$F326,IF(INDEX($V336:$V342,Tablas!E$1)="","",$F326&amp;INDEX($V336:$V342,Tablas!E$1)))</f>
        <v/>
      </c>
      <c r="AQ326" s="3128" t="str">
        <f>IF(AND(ISNUMBER(MATCH($F326,'Tablas Técnicas'!$L$10:$L$643,0)),INDEX($V336:$V342,Tablas!F$1)="",COUNTIF(AR326:$AS326,$F326)=0),$F326,IF(INDEX($V336:$V342,Tablas!F$1)="","",$F326&amp;INDEX($V336:$V342,Tablas!F$1)))</f>
        <v/>
      </c>
      <c r="AR326" s="3128" t="str">
        <f>IF(AND(ISNUMBER(MATCH($F326,'Tablas Técnicas'!$L$10:$L$643,0)),INDEX($V336:$V342,Tablas!G$1)="",COUNTIF(AS326:$AS326,$F326)=0),$F326,IF(INDEX($V336:$V342,Tablas!G$1)="","",$F326&amp;INDEX($V336:$V342,Tablas!G$1)))</f>
        <v/>
      </c>
      <c r="AS326" s="3132">
        <f>V326+X326+Z326+AB326+AD326+AF326</f>
        <v>0</v>
      </c>
      <c r="AT326" s="3132">
        <f t="array" ref="AT326">SUM(IF($AL326:$AR326='Tablas Técnicas'!$L$10:$L$643,IF(D326="Primario",'Tablas Técnicas'!$E$10:$E$643,'Tablas Técnicas'!$F$10:$F$643)+IF(K326="Sostenimiento menor",'Tablas Técnicas'!$I$10:$I$643,IF(K326="sostenimiento mayor",'Tablas Técnicas'!$J$10:$J$643,0)),0),0)+VALUE(RIGHT(P326,2))+AU326+AV326</f>
        <v>0</v>
      </c>
      <c r="AU326" s="313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32">
        <f>(COUNTIF(AL326:AR326,"*Estado añadido:*")-1)*COUNTIF(AL326:AR326,"*Estado añadido:*")</f>
        <v>0</v>
      </c>
      <c r="AW326" s="3132">
        <f t="array" ref="AW326">SUM(IF($AL326:$AR326='Tablas Técnicas'!$L$10:$L$643,'Tablas Técnicas'!$G$10:$G$643,0))</f>
        <v>0</v>
      </c>
      <c r="AX326" s="312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8" t="str">
        <f>IFERROR(LEFT(AX326,LEN(AX326)-2)&amp;"), ","")</f>
        <v/>
      </c>
    </row>
    <row r="327" spans="1:51" ht="12.2" customHeight="1" thickBot="1" x14ac:dyDescent="0.25">
      <c r="A327" s="2172"/>
      <c r="B327" s="2086">
        <f t="shared" si="8"/>
        <v>10</v>
      </c>
      <c r="C327" s="4584"/>
      <c r="D327" s="4632" t="s">
        <v>524</v>
      </c>
      <c r="E327" s="4633"/>
      <c r="F327" s="4589"/>
      <c r="G327" s="4590"/>
      <c r="H327" s="4590"/>
      <c r="I327" s="4590"/>
      <c r="J327" s="4591"/>
      <c r="K327" s="4592" t="s">
        <v>1455</v>
      </c>
      <c r="L327" s="4593"/>
      <c r="M327" s="4594"/>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34" t="str">
        <f>IFERROR(VLOOKUP(F327,'Tablas Técnicas'!$O$9:$T$88,5,FALSE),"")</f>
        <v/>
      </c>
      <c r="R327" s="4634"/>
      <c r="S327" s="4634"/>
      <c r="T327" s="4634"/>
      <c r="U327" s="4634"/>
      <c r="V327" s="2057"/>
      <c r="W327" s="2058"/>
      <c r="X327" s="2057"/>
      <c r="Y327" s="2059"/>
      <c r="Z327" s="2060"/>
      <c r="AA327" s="2058"/>
      <c r="AB327" s="2057"/>
      <c r="AC327" s="2059"/>
      <c r="AD327" s="2060"/>
      <c r="AE327" s="2058"/>
      <c r="AF327" s="2057"/>
      <c r="AG327" s="2061"/>
      <c r="AH327" s="2180"/>
      <c r="AI327" s="4604"/>
      <c r="AJ327" s="3128">
        <v>5</v>
      </c>
      <c r="AK327" s="3128">
        <f>P319</f>
        <v>1</v>
      </c>
      <c r="AL327" s="3128" t="str">
        <f>IF(AND(ISNUMBER(MATCH($F327,'Tablas Técnicas'!$L$10:$L$643,0)),INDEX($AB336:$AB342,Tablas!A$1)="",COUNTIF(AM327:$AS327,$F327)=0),$F327,IF(INDEX($AB336:$AB342,Tablas!A$1)="","",$F327&amp;INDEX($AB336:$AB342,Tablas!A$1)))</f>
        <v/>
      </c>
      <c r="AM327" s="3128" t="str">
        <f>IF(AND(ISNUMBER(MATCH($F327,'Tablas Técnicas'!$L$10:$L$643,0)),INDEX($AB336:$AB342,Tablas!B$1)="",COUNTIF(AN327:$AS327,$F327)=0),$F327,IF(INDEX($AB336:$AB342,Tablas!B$1)="","",$F327&amp;INDEX($AB336:$AB342,Tablas!B$1)))</f>
        <v/>
      </c>
      <c r="AN327" s="3128" t="str">
        <f>IF(AND(ISNUMBER(MATCH($F327,'Tablas Técnicas'!$L$10:$L$643,0)),INDEX($AB336:$AB342,Tablas!C$1)="",COUNTIF(AO327:$AS327,$F327)=0),$F327,IF(INDEX($AB336:$AB342,Tablas!C$1)="","",$F327&amp;INDEX($AB336:$AB342,Tablas!C$1)))</f>
        <v/>
      </c>
      <c r="AO327" s="3128" t="str">
        <f>IF(AND(ISNUMBER(MATCH($F327,'Tablas Técnicas'!$L$10:$L$643,0)),INDEX($AB336:$AB342,Tablas!D$1)="",COUNTIF(AP327:$AS327,$F327)=0),$F327,IF(INDEX($AB336:$AB342,Tablas!D$1)="","",$F327&amp;INDEX($AB336:$AB342,Tablas!D$1)))</f>
        <v/>
      </c>
      <c r="AP327" s="3128" t="str">
        <f>IF(AND(ISNUMBER(MATCH($F327,'Tablas Técnicas'!$L$10:$L$643,0)),INDEX($AB336:$AB342,Tablas!E$1)="",COUNTIF(AQ327:$AS327,$F327)=0),$F327,IF(INDEX($AB336:$AB342,Tablas!E$1)="","",$F327&amp;INDEX($AB336:$AB342,Tablas!E$1)))</f>
        <v/>
      </c>
      <c r="AQ327" s="3128" t="str">
        <f>IF(AND(ISNUMBER(MATCH($F327,'Tablas Técnicas'!$L$10:$L$643,0)),INDEX($AB336:$AB342,Tablas!F$1)="",COUNTIF(AR327:$AS327,$F327)=0),$F327,IF(INDEX($AB336:$AB342,Tablas!F$1)="","",$F327&amp;INDEX($AB336:$AB342,Tablas!F$1)))</f>
        <v/>
      </c>
      <c r="AR327" s="3128" t="str">
        <f>IF(AND(ISNUMBER(MATCH($F327,'Tablas Técnicas'!$L$10:$L$643,0)),INDEX($AB336:$AB342,Tablas!G$1)="",COUNTIF(AS327:$AS327,$F327)=0),$F327,IF(INDEX($AB336:$AB342,Tablas!G$1)="","",$F327&amp;INDEX($AB336:$AB342,Tablas!G$1)))</f>
        <v/>
      </c>
      <c r="AS327" s="3132">
        <f>V327+X327+Z327+AB327+AD327+AF327</f>
        <v>0</v>
      </c>
      <c r="AT327" s="3132">
        <f t="array" ref="AT327">SUM(IF($AL327:$AR327='Tablas Técnicas'!$L$10:$L$643,IF(D327="Primario",'Tablas Técnicas'!$E$10:$E$643,'Tablas Técnicas'!$F$10:$F$643)+IF(K327="Sostenimiento menor",'Tablas Técnicas'!$I$10:$I$643,IF(K327="sostenimiento mayor",'Tablas Técnicas'!$J$10:$J$643,0)),0),0)+VALUE(RIGHT(P327,2))+AU327+AV327</f>
        <v>0</v>
      </c>
      <c r="AU327" s="313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32">
        <f>(COUNTIF(AL327:AR327,"*Estado añadido:*")-1)*COUNTIF(AL327:AR327,"*Estado añadido:*")</f>
        <v>0</v>
      </c>
      <c r="AW327" s="3132">
        <f t="array" ref="AW327">SUM(IF($AL327:$AR327='Tablas Técnicas'!$L$10:$L$643,'Tablas Técnicas'!$G$10:$G$643,0))</f>
        <v>0</v>
      </c>
      <c r="AX327" s="312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8" t="str">
        <f>IFERROR(LEFT(AX327,LEN(AX327)-2)&amp;"), ","")</f>
        <v/>
      </c>
    </row>
    <row r="328" spans="1:51" ht="12.2" customHeight="1" x14ac:dyDescent="0.2">
      <c r="A328" s="2172"/>
      <c r="B328" s="2086">
        <f t="shared" si="8"/>
        <v>10</v>
      </c>
      <c r="C328" s="4584"/>
      <c r="D328" s="4635" t="s">
        <v>2818</v>
      </c>
      <c r="E328" s="4636"/>
      <c r="F328" s="4656"/>
      <c r="G328" s="4657"/>
      <c r="H328" s="4657"/>
      <c r="I328" s="4657"/>
      <c r="J328" s="4658"/>
      <c r="K328" s="4674"/>
      <c r="L328" s="4703"/>
      <c r="M328" s="4704"/>
      <c r="N328" s="1916" t="str">
        <f>IFERROR(INDEX('Tablas Técnicas'!$Q$200:$Q$301,MATCH(F328&amp;K328,'Tablas Técnicas'!$S$200:$S$301,0)),"")</f>
        <v/>
      </c>
      <c r="O328" s="4705"/>
      <c r="P328" s="4706"/>
      <c r="Q328" s="4707"/>
      <c r="R328" s="4706"/>
      <c r="S328" s="2745" t="str">
        <f>IFERROR("Nivel: "&amp;MAX(1,INDEX('Tablas Técnicas'!$R$200:$R$301,MATCH(F328&amp;K328,'Tablas Técnicas'!$S$200:$S$301,0))),"")</f>
        <v/>
      </c>
      <c r="T328" s="1917"/>
      <c r="U328" s="1918" t="str">
        <f>IFERROR("("&amp;VLOOKUP(F328,'Tablas Técnicas'!$O$165:$Q$192,3,FALSE)&amp;")","")</f>
        <v/>
      </c>
      <c r="V328" s="4644" t="s">
        <v>9619</v>
      </c>
      <c r="W328" s="4645"/>
      <c r="X328" s="4646"/>
      <c r="Y328" s="2297">
        <v>0</v>
      </c>
      <c r="Z328" s="4647" t="s">
        <v>8806</v>
      </c>
      <c r="AA328" s="4648"/>
      <c r="AB328" s="4649"/>
      <c r="AC328" s="2297">
        <v>0</v>
      </c>
      <c r="AD328" s="4650" t="str">
        <f>"Ki sin repartir: "&amp;AL336-AL337&amp;IF(AM336=0,""," ("&amp;AM336-AM337&amp;")")</f>
        <v>Ki sin repartir: 0</v>
      </c>
      <c r="AE328" s="4651"/>
      <c r="AF328" s="4651"/>
      <c r="AG328" s="4652"/>
      <c r="AH328" s="2180"/>
      <c r="AI328" s="4604"/>
      <c r="AJ328" s="3128">
        <v>1</v>
      </c>
      <c r="AK328" s="3128">
        <f>P319</f>
        <v>1</v>
      </c>
      <c r="AL328" s="3128" t="e">
        <f>VLOOKUP(F328,'Tablas Técnicas'!$O$165:$Q$188,2,FALSE)</f>
        <v>#N/A</v>
      </c>
      <c r="AM328" s="3128"/>
      <c r="AN328" s="3129"/>
      <c r="AO328" s="3128"/>
      <c r="AP328" s="3128"/>
      <c r="AQ328" s="3129"/>
      <c r="AR328" s="3128"/>
      <c r="AS328" s="3128"/>
      <c r="AT328" s="3128"/>
      <c r="AU328" s="3128"/>
      <c r="AV328" s="3128"/>
      <c r="AW328" s="3132"/>
      <c r="AX328" s="3132"/>
      <c r="AY328" s="3128" t="str">
        <f>IF(F328="","",F328&amp;IF(K328="",""," ("&amp;IF(F328="Atadura Elemental",O328&amp;IF(Q328="","",", "&amp;Q328),K328)&amp;")")&amp;", ")</f>
        <v/>
      </c>
    </row>
    <row r="329" spans="1:51" ht="12.2" customHeight="1" x14ac:dyDescent="0.2">
      <c r="A329" s="2172"/>
      <c r="B329" s="2086">
        <f t="shared" si="8"/>
        <v>10</v>
      </c>
      <c r="C329" s="4584"/>
      <c r="D329" s="4637"/>
      <c r="E329" s="4638"/>
      <c r="F329" s="4708"/>
      <c r="G329" s="4709"/>
      <c r="H329" s="4709"/>
      <c r="I329" s="4709"/>
      <c r="J329" s="4710"/>
      <c r="K329" s="4663"/>
      <c r="L329" s="4723"/>
      <c r="M329" s="4724"/>
      <c r="N329" s="1919" t="str">
        <f>IFERROR(INDEX('Tablas Técnicas'!$Q$200:$Q$301,MATCH(F329&amp;K329,'Tablas Técnicas'!$S$200:$S$301,0)),"")</f>
        <v/>
      </c>
      <c r="O329" s="4711"/>
      <c r="P329" s="4712"/>
      <c r="Q329" s="4713"/>
      <c r="R329" s="4712"/>
      <c r="S329" s="2747" t="str">
        <f>IFERROR("Nivel: "&amp;MAX(1,INDEX('Tablas Técnicas'!$R$200:$R$301,MATCH(F329&amp;K329,'Tablas Técnicas'!$S$200:$S$301,0))),"")</f>
        <v/>
      </c>
      <c r="T329" s="2528"/>
      <c r="U329" s="2529" t="str">
        <f>IFERROR("("&amp;VLOOKUP(F329,'Tablas Técnicas'!$O$165:$Q$192,3,FALSE)&amp;")","")</f>
        <v/>
      </c>
      <c r="V329" s="4653" t="str">
        <f>"Mod. "&amp;V321</f>
        <v>Mod. AGI</v>
      </c>
      <c r="W329" s="4654"/>
      <c r="X329" s="4653" t="str">
        <f>"Mod. "&amp;X321</f>
        <v>Mod. CON</v>
      </c>
      <c r="Y329" s="4654"/>
      <c r="Z329" s="4653" t="str">
        <f>"Mod. "&amp;Z321</f>
        <v>Mod. DES</v>
      </c>
      <c r="AA329" s="4654"/>
      <c r="AB329" s="4653" t="str">
        <f>"Mod. "&amp;AB321</f>
        <v>Mod. FUE</v>
      </c>
      <c r="AC329" s="4654"/>
      <c r="AD329" s="4653" t="str">
        <f>"Mod. "&amp;AD321</f>
        <v>Mod. POD</v>
      </c>
      <c r="AE329" s="4654"/>
      <c r="AF329" s="4653" t="str">
        <f>"Mod. "&amp;AF321</f>
        <v>Mod. VOL</v>
      </c>
      <c r="AG329" s="4655"/>
      <c r="AH329" s="2180"/>
      <c r="AI329" s="4604"/>
      <c r="AJ329" s="3128">
        <v>2</v>
      </c>
      <c r="AK329" s="3128">
        <f>P319</f>
        <v>1</v>
      </c>
      <c r="AL329" s="3128" t="e">
        <f>VLOOKUP(F329,'Tablas Técnicas'!$O$165:$Q$188,2,FALSE)</f>
        <v>#N/A</v>
      </c>
      <c r="AM329" s="3128"/>
      <c r="AN329" s="3129"/>
      <c r="AO329" s="3128"/>
      <c r="AP329" s="3128"/>
      <c r="AQ329" s="3129"/>
      <c r="AR329" s="3128"/>
      <c r="AS329" s="3128"/>
      <c r="AT329" s="3128"/>
      <c r="AU329" s="3128"/>
      <c r="AV329" s="3128"/>
      <c r="AW329" s="3132"/>
      <c r="AX329" s="3132"/>
      <c r="AY329" s="3128" t="str">
        <f>IF(F329="","",F329&amp;IF(K329="",""," ("&amp;IF(F329="Atadura Elemental",O329&amp;IF(Q329="","",", "&amp;Q329),K329)&amp;")")&amp;", ")</f>
        <v/>
      </c>
    </row>
    <row r="330" spans="1:51" ht="12.2" customHeight="1" thickBot="1" x14ac:dyDescent="0.25">
      <c r="A330" s="2172"/>
      <c r="B330" s="2086">
        <f t="shared" si="8"/>
        <v>10</v>
      </c>
      <c r="C330" s="4584"/>
      <c r="D330" s="4639"/>
      <c r="E330" s="4640"/>
      <c r="F330" s="4714"/>
      <c r="G330" s="4715"/>
      <c r="H330" s="4715"/>
      <c r="I330" s="4715"/>
      <c r="J330" s="4716"/>
      <c r="K330" s="4718"/>
      <c r="L330" s="4719"/>
      <c r="M330" s="4720"/>
      <c r="N330" s="1920" t="str">
        <f>IFERROR(INDEX('Tablas Técnicas'!$Q$200:$Q$301,MATCH(F330&amp;K330,'Tablas Técnicas'!$S$200:$S$301,0)),"")</f>
        <v/>
      </c>
      <c r="O330" s="4701"/>
      <c r="P330" s="4702"/>
      <c r="Q330" s="4717"/>
      <c r="R330" s="4702"/>
      <c r="S330" s="2746" t="str">
        <f>IFERROR("Nivel: "&amp;MAX(1,INDEX('Tablas Técnicas'!$R$200:$R$301,MATCH(F330&amp;K330,'Tablas Técnicas'!$S$200:$S$301,0))),"")</f>
        <v/>
      </c>
      <c r="T330" s="2530"/>
      <c r="U330" s="2531" t="str">
        <f>IFERROR("("&amp;VLOOKUP(F330,'Tablas Técnicas'!$O$165:$Q$192,3,FALSE)&amp;")","")</f>
        <v/>
      </c>
      <c r="V330" s="4610"/>
      <c r="W330" s="4608"/>
      <c r="X330" s="4608"/>
      <c r="Y330" s="4608"/>
      <c r="Z330" s="4608"/>
      <c r="AA330" s="4608"/>
      <c r="AB330" s="4608"/>
      <c r="AC330" s="4608"/>
      <c r="AD330" s="4608"/>
      <c r="AE330" s="4608"/>
      <c r="AF330" s="4608"/>
      <c r="AG330" s="4620"/>
      <c r="AH330" s="2180"/>
      <c r="AI330" s="4604"/>
      <c r="AJ330" s="3128">
        <v>3</v>
      </c>
      <c r="AK330" s="3128">
        <f>P319</f>
        <v>1</v>
      </c>
      <c r="AL330" s="3128" t="e">
        <f>VLOOKUP(F330,'Tablas Técnicas'!$O$165:$Q$188,2,FALSE)</f>
        <v>#N/A</v>
      </c>
      <c r="AM330" s="3128"/>
      <c r="AN330" s="3129"/>
      <c r="AO330" s="3128"/>
      <c r="AP330" s="3128"/>
      <c r="AQ330" s="3129"/>
      <c r="AR330" s="3132"/>
      <c r="AS330" s="3132"/>
      <c r="AT330" s="3132"/>
      <c r="AU330" s="3132"/>
      <c r="AV330" s="3132"/>
      <c r="AW330" s="3132"/>
      <c r="AX330" s="3132"/>
      <c r="AY330" s="3128" t="str">
        <f>IF(F330="","",F330&amp;IF(K330="",""," ("&amp;IF(F330="Atadura Elemental",O330&amp;IF(Q330="","",", "&amp;Q330),K330)&amp;")")&amp;", ")</f>
        <v/>
      </c>
    </row>
    <row r="331" spans="1:51" ht="12.2" customHeight="1" x14ac:dyDescent="0.2">
      <c r="A331" s="2172"/>
      <c r="B331" s="2086">
        <f t="shared" si="8"/>
        <v>10</v>
      </c>
      <c r="C331" s="4584"/>
      <c r="D331" s="4595" t="s">
        <v>9301</v>
      </c>
      <c r="E331" s="4596"/>
      <c r="F331" s="4596"/>
      <c r="G331" s="4596"/>
      <c r="H331" s="4596"/>
      <c r="I331" s="4596"/>
      <c r="J331" s="4596"/>
      <c r="K331" s="4596"/>
      <c r="L331" s="4596"/>
      <c r="M331" s="4596"/>
      <c r="N331" s="4596"/>
      <c r="O331" s="4596"/>
      <c r="P331" s="4596"/>
      <c r="Q331" s="4596"/>
      <c r="R331" s="4596"/>
      <c r="S331" s="4596"/>
      <c r="T331" s="4596"/>
      <c r="U331" s="4596"/>
      <c r="V331" s="4597"/>
      <c r="W331" s="4597"/>
      <c r="X331" s="4597"/>
      <c r="Y331" s="4597"/>
      <c r="Z331" s="4597"/>
      <c r="AA331" s="4597"/>
      <c r="AB331" s="4597"/>
      <c r="AC331" s="4597"/>
      <c r="AD331" s="4597"/>
      <c r="AE331" s="4597"/>
      <c r="AF331" s="4597"/>
      <c r="AG331" s="4598"/>
      <c r="AH331" s="2180"/>
      <c r="AI331" s="4604"/>
      <c r="AJ331" s="3128"/>
      <c r="AK331" s="3128"/>
      <c r="AL331" s="3128"/>
      <c r="AM331" s="3128"/>
      <c r="AN331" s="3129" t="s">
        <v>8807</v>
      </c>
      <c r="AO331" s="3128" t="e">
        <f>LEFT(AY323&amp;AY324&amp;AY325&amp;AY326&amp;AY327,LEN(AY323&amp;AY324&amp;AY325&amp;AY326&amp;AY327)-2)</f>
        <v>#VALUE!</v>
      </c>
      <c r="AP331" s="3128"/>
      <c r="AQ331" s="3129"/>
      <c r="AR331" s="3132"/>
      <c r="AS331" s="3132"/>
      <c r="AT331" s="3132"/>
      <c r="AU331" s="3129"/>
      <c r="AV331" s="3129"/>
      <c r="AW331" s="3132"/>
      <c r="AX331" s="3132"/>
      <c r="AY331" s="3128"/>
    </row>
    <row r="332" spans="1:51" ht="12.2" customHeight="1" x14ac:dyDescent="0.2">
      <c r="A332" s="2172"/>
      <c r="B332" s="2086">
        <f t="shared" si="8"/>
        <v>10</v>
      </c>
      <c r="C332" s="4584"/>
      <c r="D332" s="4599" t="str">
        <f>IF(F323="","",F323)</f>
        <v/>
      </c>
      <c r="E332" s="4600"/>
      <c r="F332" s="4600"/>
      <c r="G332" s="4600"/>
      <c r="H332" s="4600"/>
      <c r="I332" s="4601"/>
      <c r="J332" s="4599" t="str">
        <f>IF(F324="","",F324)</f>
        <v/>
      </c>
      <c r="K332" s="4600"/>
      <c r="L332" s="4600"/>
      <c r="M332" s="4600"/>
      <c r="N332" s="4600"/>
      <c r="O332" s="4601"/>
      <c r="P332" s="4600" t="str">
        <f>IF(F325="","",F325)</f>
        <v/>
      </c>
      <c r="Q332" s="4600"/>
      <c r="R332" s="4600"/>
      <c r="S332" s="4600"/>
      <c r="T332" s="4600"/>
      <c r="U332" s="4601"/>
      <c r="V332" s="4599" t="str">
        <f>IF(F326="","",F326)</f>
        <v/>
      </c>
      <c r="W332" s="4600"/>
      <c r="X332" s="4600"/>
      <c r="Y332" s="4600"/>
      <c r="Z332" s="4600"/>
      <c r="AA332" s="4601"/>
      <c r="AB332" s="4600" t="str">
        <f>IF(F327="","",F327)</f>
        <v/>
      </c>
      <c r="AC332" s="4600"/>
      <c r="AD332" s="4600"/>
      <c r="AE332" s="4600"/>
      <c r="AF332" s="4600"/>
      <c r="AG332" s="4623"/>
      <c r="AH332" s="2180"/>
      <c r="AI332" s="4604"/>
      <c r="AJ332" s="3128"/>
      <c r="AK332" s="3128"/>
      <c r="AL332" s="3128"/>
      <c r="AM332" s="3128"/>
      <c r="AN332" s="3129" t="s">
        <v>8808</v>
      </c>
      <c r="AO332" s="3128" t="e">
        <f>LEFT(AY328&amp;AY329&amp;AY330,LEN(AY328&amp;AY329&amp;AY330)-2)</f>
        <v>#VALUE!</v>
      </c>
      <c r="AP332" s="3128"/>
      <c r="AQ332" s="3129"/>
      <c r="AR332" s="3132"/>
      <c r="AS332" s="3132"/>
      <c r="AT332" s="3132"/>
      <c r="AU332" s="3129"/>
      <c r="AV332" s="3129"/>
      <c r="AW332" s="3132"/>
      <c r="AX332" s="3132"/>
      <c r="AY332" s="3128"/>
    </row>
    <row r="333" spans="1:51" ht="12.2" customHeight="1" x14ac:dyDescent="0.2">
      <c r="A333" s="2172"/>
      <c r="B333" s="2086">
        <f t="shared" si="8"/>
        <v>10</v>
      </c>
      <c r="C333" s="4584"/>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604"/>
      <c r="AJ333" s="3128"/>
      <c r="AK333" s="3128"/>
      <c r="AL333" s="3128"/>
      <c r="AM333" s="3128"/>
      <c r="AN333" s="3129"/>
      <c r="AO333" s="3128"/>
      <c r="AP333" s="3128"/>
      <c r="AQ333" s="3129"/>
      <c r="AR333" s="3132"/>
      <c r="AS333" s="3132"/>
      <c r="AT333" s="3132"/>
      <c r="AU333" s="3132"/>
      <c r="AV333" s="3132"/>
      <c r="AW333" s="3132"/>
      <c r="AX333" s="3132"/>
      <c r="AY333" s="3128"/>
    </row>
    <row r="334" spans="1:51" ht="12.2" customHeight="1" x14ac:dyDescent="0.2">
      <c r="A334" s="2172"/>
      <c r="B334" s="2086">
        <f t="shared" si="8"/>
        <v>10</v>
      </c>
      <c r="C334" s="4584"/>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604"/>
      <c r="AJ334" s="3128"/>
      <c r="AK334" s="3132" t="s">
        <v>1373</v>
      </c>
      <c r="AL334" s="3132" t="s">
        <v>1497</v>
      </c>
      <c r="AM334" s="3132" t="s">
        <v>1378</v>
      </c>
      <c r="AN334" s="3132" t="s">
        <v>1383</v>
      </c>
      <c r="AO334" s="3132" t="s">
        <v>1390</v>
      </c>
      <c r="AP334" s="3132" t="s">
        <v>1391</v>
      </c>
      <c r="AQ334" s="3129"/>
      <c r="AR334" s="3132"/>
      <c r="AS334" s="3132"/>
      <c r="AT334" s="3132"/>
      <c r="AU334" s="3132"/>
      <c r="AV334" s="3132"/>
      <c r="AW334" s="3132"/>
      <c r="AX334" s="3132"/>
      <c r="AY334" s="3128"/>
    </row>
    <row r="335" spans="1:51" ht="12.2" customHeight="1" x14ac:dyDescent="0.2">
      <c r="A335" s="2172"/>
      <c r="B335" s="2086">
        <f t="shared" si="8"/>
        <v>10</v>
      </c>
      <c r="C335" s="4584"/>
      <c r="D335" s="4599" t="s">
        <v>2826</v>
      </c>
      <c r="E335" s="4600"/>
      <c r="F335" s="4600"/>
      <c r="G335" s="4600"/>
      <c r="H335" s="4601"/>
      <c r="I335" s="1925" t="s">
        <v>1402</v>
      </c>
      <c r="J335" s="4599" t="s">
        <v>2826</v>
      </c>
      <c r="K335" s="4600"/>
      <c r="L335" s="4600"/>
      <c r="M335" s="4600"/>
      <c r="N335" s="4601"/>
      <c r="O335" s="1926" t="s">
        <v>1402</v>
      </c>
      <c r="P335" s="4599" t="s">
        <v>2826</v>
      </c>
      <c r="Q335" s="4600"/>
      <c r="R335" s="4600"/>
      <c r="S335" s="4600"/>
      <c r="T335" s="4601"/>
      <c r="U335" s="1926" t="s">
        <v>1402</v>
      </c>
      <c r="V335" s="4599"/>
      <c r="W335" s="4600"/>
      <c r="X335" s="4600"/>
      <c r="Y335" s="4600"/>
      <c r="Z335" s="4601"/>
      <c r="AA335" s="1926" t="s">
        <v>1402</v>
      </c>
      <c r="AB335" s="4599" t="s">
        <v>2826</v>
      </c>
      <c r="AC335" s="4600"/>
      <c r="AD335" s="4600"/>
      <c r="AE335" s="4600"/>
      <c r="AF335" s="4601"/>
      <c r="AG335" s="1927" t="s">
        <v>1402</v>
      </c>
      <c r="AH335" s="2180"/>
      <c r="AI335" s="4604"/>
      <c r="AJ335" s="3133" t="s">
        <v>9338</v>
      </c>
      <c r="AK335" s="3128" t="str">
        <f>IF(V321="","",IF(SUM(V323:V327)=0,"",V321&amp;" "&amp;SUM(V323:V327)+V330&amp;IF(SUM(W323:W327)=0,""," ("&amp;SUM(W323:W327)&amp;")")&amp;", "))</f>
        <v/>
      </c>
      <c r="AL335" s="3128" t="str">
        <f>IF(X321="","",IF(SUM(X323:X327)=0,"",X321&amp;" "&amp;SUM(X323:X327)+X330&amp;IF(SUM(Y323:Y327)=0,""," ("&amp;SUM(Y323:Y327)&amp;")")&amp;", "))</f>
        <v/>
      </c>
      <c r="AM335" s="3128" t="str">
        <f>IF(Z321="","",IF(SUM(Z323:Z327)=0,"",Z321&amp;" "&amp;SUM(Z323:Z327)+Z330&amp;IF(SUM(AA323:AA327)=0,""," ("&amp;SUM(AA323:AA327)&amp;")")&amp;", "))</f>
        <v/>
      </c>
      <c r="AN335" s="3128" t="str">
        <f>IF(AB321="","",IF(SUM(AB323:AB327)=0,"",AB321&amp;" "&amp;SUM(AB323:AB327)+AB330&amp;IF(SUM(AC323:AC327)=0,""," ("&amp;SUM(AC323:AC327)&amp;")")&amp;", "))</f>
        <v/>
      </c>
      <c r="AO335" s="3128" t="str">
        <f>IF(AD321="","",IF(SUM(AD323:AD327)=0,"",AD321&amp;" "&amp;SUM(AD323:AD327)+AD330&amp;IF(SUM(AE323:AE327)=0,""," ("&amp;SUM(AE323:AE327)&amp;")")&amp;", "))</f>
        <v/>
      </c>
      <c r="AP335" s="3128" t="str">
        <f>IF(AF321="","",IF(SUM(AF323:AF327)=0,"",AF321&amp;" "&amp;SUM(AF323:AF327)+AF330&amp;IF(SUM(AG323:AG327)=0,""," ("&amp;SUM(AG323:AG327)&amp;")")&amp;", "))</f>
        <v/>
      </c>
      <c r="AQ335" s="3128"/>
      <c r="AR335" s="3128"/>
      <c r="AS335" s="3128"/>
      <c r="AT335" s="3128"/>
      <c r="AU335" s="3128"/>
      <c r="AV335" s="3128"/>
      <c r="AW335" s="3128"/>
      <c r="AX335" s="3128"/>
      <c r="AY335" s="3128"/>
    </row>
    <row r="336" spans="1:51" ht="12.2" customHeight="1" x14ac:dyDescent="0.2">
      <c r="A336" s="2172"/>
      <c r="B336" s="2086">
        <f t="shared" si="8"/>
        <v>10</v>
      </c>
      <c r="C336" s="4584"/>
      <c r="D336" s="4621"/>
      <c r="E336" s="4619"/>
      <c r="F336" s="4619"/>
      <c r="G336" s="4619"/>
      <c r="H336" s="4619"/>
      <c r="I336" s="1928" t="str">
        <f>IF(OR(D332="",D336=""),"",MAX(1,SUMPRODUCT(--(INDEX('Tablas Técnicas'!$C$10:$L$643,,1)=D332),--(INDEX('Tablas Técnicas'!$C$10:$L$643,,2)=D336),INDEX('Tablas Técnicas'!$C$10:$L$643,,9))))</f>
        <v/>
      </c>
      <c r="J336" s="4618"/>
      <c r="K336" s="4619"/>
      <c r="L336" s="4619"/>
      <c r="M336" s="4619"/>
      <c r="N336" s="4619"/>
      <c r="O336" s="1928" t="str">
        <f>IF(OR(J332="",J336=""),"",MAX(1,SUMPRODUCT(--(INDEX('Tablas Técnicas'!$C$10:$L$643,,1)=J332),--(INDEX('Tablas Técnicas'!$C$10:$L$643,,2)=J336),INDEX('Tablas Técnicas'!$C$10:$L$643,,9))))</f>
        <v/>
      </c>
      <c r="P336" s="4618"/>
      <c r="Q336" s="4619"/>
      <c r="R336" s="4619"/>
      <c r="S336" s="4619"/>
      <c r="T336" s="4619"/>
      <c r="U336" s="1928" t="str">
        <f>IF(OR(P332="",P336=""),"",MAX(1,SUMPRODUCT(--(INDEX('Tablas Técnicas'!$C$10:$L$643,,1)=P332),--(INDEX('Tablas Técnicas'!$C$10:$L$643,,2)=P336),INDEX('Tablas Técnicas'!$C$10:$L$643,,9))))</f>
        <v/>
      </c>
      <c r="V336" s="4618"/>
      <c r="W336" s="4619"/>
      <c r="X336" s="4619"/>
      <c r="Y336" s="4619"/>
      <c r="Z336" s="4619"/>
      <c r="AA336" s="1928" t="str">
        <f>IF(OR(V332="",V336=""),"",MAX(1,SUMPRODUCT(--(INDEX('Tablas Técnicas'!$C$10:$L$643,,1)=V332),--(INDEX('Tablas Técnicas'!$C$10:$L$643,,2)=V336),INDEX('Tablas Técnicas'!$C$10:$L$643,,9))))</f>
        <v/>
      </c>
      <c r="AB336" s="4618"/>
      <c r="AC336" s="4619"/>
      <c r="AD336" s="4619"/>
      <c r="AE336" s="4619"/>
      <c r="AF336" s="4619"/>
      <c r="AG336" s="1929" t="str">
        <f>IF(OR(AB332="",AB336=""),"",MAX(1,SUMPRODUCT(--(INDEX('Tablas Técnicas'!$C$10:$L$643,,1)=AB332),--(INDEX('Tablas Técnicas'!$C$10:$L$643,,2)=AB336),INDEX('Tablas Técnicas'!$C$10:$L$643,,9))))</f>
        <v/>
      </c>
      <c r="AH336" s="2180">
        <f>P319</f>
        <v>1</v>
      </c>
      <c r="AI336" s="4604"/>
      <c r="AJ336" s="3128" t="s">
        <v>9302</v>
      </c>
      <c r="AK336" s="3128"/>
      <c r="AL336" s="3128">
        <f>MAX(0,SUM(AT323:AT327)+ABS($AC328*2/5))+IF(AM345,0,Y328)+IF(S319="Sí",3*P319,0)</f>
        <v>0</v>
      </c>
      <c r="AM336" s="3128">
        <f t="array" ref="AM336">IF(ISNUMBER(SEARCH("Mantenido",K323&amp;K324&amp;K325&amp;K326&amp;K327)),MAX(0,SUM(VALUE(RIGHT($P323:$P327,2)))),0)</f>
        <v>0</v>
      </c>
      <c r="AN336" s="3132"/>
      <c r="AO336" s="3132"/>
      <c r="AP336" s="3135"/>
      <c r="AQ336" s="3135"/>
      <c r="AR336" s="3135"/>
      <c r="AS336" s="3135"/>
      <c r="AT336" s="3135"/>
      <c r="AU336" s="3135"/>
      <c r="AV336" s="3135"/>
      <c r="AW336" s="3135"/>
      <c r="AX336" s="3135"/>
      <c r="AY336" s="3128"/>
    </row>
    <row r="337" spans="1:51" ht="12.2" customHeight="1" x14ac:dyDescent="0.2">
      <c r="A337" s="2172"/>
      <c r="B337" s="2086">
        <f t="shared" si="8"/>
        <v>10</v>
      </c>
      <c r="C337" s="4584"/>
      <c r="D337" s="4602"/>
      <c r="E337" s="4603"/>
      <c r="F337" s="4603"/>
      <c r="G337" s="4603"/>
      <c r="H337" s="4603"/>
      <c r="I337" s="1930" t="str">
        <f>IF(OR(D332="",D337=""),"",MAX(1,SUMPRODUCT(--(INDEX('Tablas Técnicas'!$C$10:$L$643,,1)=D332),--(INDEX('Tablas Técnicas'!$C$10:$L$643,,2)=D337),INDEX('Tablas Técnicas'!$C$10:$L$643,,9))))</f>
        <v/>
      </c>
      <c r="J337" s="4602"/>
      <c r="K337" s="4603"/>
      <c r="L337" s="4603"/>
      <c r="M337" s="4603"/>
      <c r="N337" s="4603"/>
      <c r="O337" s="1930" t="str">
        <f>IF(OR(J332="",J337=""),"",MAX(1,SUMPRODUCT(--(INDEX('Tablas Técnicas'!$C$10:$L$643,,1)=J332),--(INDEX('Tablas Técnicas'!$C$10:$L$643,,2)=J337),INDEX('Tablas Técnicas'!$C$10:$L$643,,9))))</f>
        <v/>
      </c>
      <c r="P337" s="4602"/>
      <c r="Q337" s="4603"/>
      <c r="R337" s="4603"/>
      <c r="S337" s="4603"/>
      <c r="T337" s="4603"/>
      <c r="U337" s="1930" t="str">
        <f>IF(OR(P332="",P337=""),"",MAX(1,SUMPRODUCT(--(INDEX('Tablas Técnicas'!$C$10:$L$643,,1)=P332),--(INDEX('Tablas Técnicas'!$C$10:$L$643,,2)=P337),INDEX('Tablas Técnicas'!$C$10:$L$643,,9))))</f>
        <v/>
      </c>
      <c r="V337" s="4602"/>
      <c r="W337" s="4603"/>
      <c r="X337" s="4603"/>
      <c r="Y337" s="4603"/>
      <c r="Z337" s="4603"/>
      <c r="AA337" s="1930" t="str">
        <f>IF(OR(V332="",V337=""),"",MAX(1,SUMPRODUCT(--(INDEX('Tablas Técnicas'!$C$10:$L$643,,1)=V332),--(INDEX('Tablas Técnicas'!$C$10:$L$643,,2)=V337),INDEX('Tablas Técnicas'!$C$10:$L$643,,9))))</f>
        <v/>
      </c>
      <c r="AB337" s="4602"/>
      <c r="AC337" s="4603"/>
      <c r="AD337" s="4603"/>
      <c r="AE337" s="4603"/>
      <c r="AF337" s="4603"/>
      <c r="AG337" s="1931" t="str">
        <f>IF(OR(AB332="",AB337=""),"",MAX(1,SUMPRODUCT(--(INDEX('Tablas Técnicas'!$C$10:$L$643,,1)=AB332),--(INDEX('Tablas Técnicas'!$C$10:$L$643,,2)=AB337),INDEX('Tablas Técnicas'!$C$10:$L$643,,9))))</f>
        <v/>
      </c>
      <c r="AH337" s="2180">
        <f>P319</f>
        <v>1</v>
      </c>
      <c r="AI337" s="4604"/>
      <c r="AJ337" s="3128" t="s">
        <v>8811</v>
      </c>
      <c r="AK337" s="3128"/>
      <c r="AL337" s="3128">
        <f>SUM(V323:V327,X323:X327,Z323:Z327,AB323:AB327,AD323:AD327,AF323:AF327)+SUM(V330:AG330)</f>
        <v>0</v>
      </c>
      <c r="AM337" s="3128">
        <f>SUM(W323:W327,Y323:Y327,AA323:AA327,AC323:AC327,AE323:AE327,AG323:AG327)</f>
        <v>0</v>
      </c>
      <c r="AN337" s="3128"/>
      <c r="AO337" s="3128"/>
      <c r="AP337" s="3128"/>
      <c r="AQ337" s="3128"/>
      <c r="AR337" s="3128"/>
      <c r="AS337" s="3128"/>
      <c r="AT337" s="3128"/>
      <c r="AU337" s="3128"/>
      <c r="AV337" s="3128"/>
      <c r="AW337" s="3132"/>
      <c r="AX337" s="3128"/>
      <c r="AY337" s="3128"/>
    </row>
    <row r="338" spans="1:51" ht="12.2" customHeight="1" x14ac:dyDescent="0.2">
      <c r="A338" s="2172"/>
      <c r="B338" s="2086">
        <f t="shared" si="8"/>
        <v>10</v>
      </c>
      <c r="C338" s="4584"/>
      <c r="D338" s="4602"/>
      <c r="E338" s="4603"/>
      <c r="F338" s="4603"/>
      <c r="G338" s="4603"/>
      <c r="H338" s="4603"/>
      <c r="I338" s="1930" t="str">
        <f>IF(OR(D332="",D338=""),"",MAX(1,SUMPRODUCT(--(INDEX('Tablas Técnicas'!$C$10:$L$643,,1)=D332),--(INDEX('Tablas Técnicas'!$C$10:$L$643,,2)=D338),INDEX('Tablas Técnicas'!$C$10:$L$643,,9))))</f>
        <v/>
      </c>
      <c r="J338" s="4602"/>
      <c r="K338" s="4603"/>
      <c r="L338" s="4603"/>
      <c r="M338" s="4603"/>
      <c r="N338" s="4603"/>
      <c r="O338" s="1930" t="str">
        <f>IF(OR(J332="",J338=""),"",MAX(1,SUMPRODUCT(--(INDEX('Tablas Técnicas'!$C$10:$L$643,,1)=J332),--(INDEX('Tablas Técnicas'!$C$10:$L$643,,2)=J338),INDEX('Tablas Técnicas'!$C$10:$L$643,,9))))</f>
        <v/>
      </c>
      <c r="P338" s="4602"/>
      <c r="Q338" s="4603"/>
      <c r="R338" s="4603"/>
      <c r="S338" s="4603"/>
      <c r="T338" s="4603"/>
      <c r="U338" s="1930" t="str">
        <f>IF(OR(P332="",P338=""),"",MAX(1,SUMPRODUCT(--(INDEX('Tablas Técnicas'!$C$10:$L$643,,1)=P332),--(INDEX('Tablas Técnicas'!$C$10:$L$643,,2)=P338),INDEX('Tablas Técnicas'!$C$10:$L$643,,9))))</f>
        <v/>
      </c>
      <c r="V338" s="4602"/>
      <c r="W338" s="4603"/>
      <c r="X338" s="4603"/>
      <c r="Y338" s="4603"/>
      <c r="Z338" s="4603"/>
      <c r="AA338" s="1930" t="str">
        <f>IF(OR(V332="",V338=""),"",MAX(1,SUMPRODUCT(--(INDEX('Tablas Técnicas'!$C$10:$L$643,,1)=V332),--(INDEX('Tablas Técnicas'!$C$10:$L$643,,2)=V338),INDEX('Tablas Técnicas'!$C$10:$L$643,,9))))</f>
        <v/>
      </c>
      <c r="AB338" s="4602"/>
      <c r="AC338" s="4603"/>
      <c r="AD338" s="4603"/>
      <c r="AE338" s="4603"/>
      <c r="AF338" s="4603"/>
      <c r="AG338" s="1931" t="str">
        <f>IF(OR(AB332="",AB338=""),"",MAX(1,SUMPRODUCT(--(INDEX('Tablas Técnicas'!$C$10:$L$643,,1)=AB332),--(INDEX('Tablas Técnicas'!$C$10:$L$643,,2)=AB338),INDEX('Tablas Técnicas'!$C$10:$L$643,,9))))</f>
        <v/>
      </c>
      <c r="AH338" s="2180">
        <f>P319</f>
        <v>1</v>
      </c>
      <c r="AI338" s="4604"/>
      <c r="AJ338" s="3128"/>
      <c r="AK338" s="3128"/>
      <c r="AL338" s="3128"/>
      <c r="AM338" s="3128"/>
      <c r="AN338" s="3128"/>
      <c r="AO338" s="3128"/>
      <c r="AP338" s="3128"/>
      <c r="AQ338" s="3128"/>
      <c r="AR338" s="3128"/>
      <c r="AS338" s="3128"/>
      <c r="AT338" s="3128"/>
      <c r="AU338" s="3128"/>
      <c r="AV338" s="3128"/>
      <c r="AW338" s="3132"/>
      <c r="AX338" s="3132"/>
      <c r="AY338" s="3128"/>
    </row>
    <row r="339" spans="1:51" ht="12.2" customHeight="1" x14ac:dyDescent="0.2">
      <c r="A339" s="2172"/>
      <c r="B339" s="2086">
        <f t="shared" si="8"/>
        <v>10</v>
      </c>
      <c r="C339" s="4584"/>
      <c r="D339" s="4602"/>
      <c r="E339" s="4603"/>
      <c r="F339" s="4603"/>
      <c r="G339" s="4603"/>
      <c r="H339" s="4603"/>
      <c r="I339" s="1930" t="str">
        <f>IF(OR(D332="",D339=""),"",MAX(1,SUMPRODUCT(--(INDEX('Tablas Técnicas'!$C$10:$L$643,,1)=D332),--(INDEX('Tablas Técnicas'!$C$10:$L$643,,2)=D339),INDEX('Tablas Técnicas'!$C$10:$L$643,,9))))</f>
        <v/>
      </c>
      <c r="J339" s="4602"/>
      <c r="K339" s="4603"/>
      <c r="L339" s="4603"/>
      <c r="M339" s="4603"/>
      <c r="N339" s="4603"/>
      <c r="O339" s="1930" t="str">
        <f>IF(OR(J332="",J339=""),"",MAX(1,SUMPRODUCT(--(INDEX('Tablas Técnicas'!$C$10:$L$643,,1)=J332),--(INDEX('Tablas Técnicas'!$C$10:$L$643,,2)=J339),INDEX('Tablas Técnicas'!$C$10:$L$643,,9))))</f>
        <v/>
      </c>
      <c r="P339" s="4602"/>
      <c r="Q339" s="4603"/>
      <c r="R339" s="4603"/>
      <c r="S339" s="4603"/>
      <c r="T339" s="4603"/>
      <c r="U339" s="1930" t="str">
        <f>IF(OR(P332="",P339=""),"",MAX(1,SUMPRODUCT(--(INDEX('Tablas Técnicas'!$C$10:$L$643,,1)=P332),--(INDEX('Tablas Técnicas'!$C$10:$L$643,,2)=P339),INDEX('Tablas Técnicas'!$C$10:$L$643,,9))))</f>
        <v/>
      </c>
      <c r="V339" s="4602"/>
      <c r="W339" s="4603"/>
      <c r="X339" s="4603"/>
      <c r="Y339" s="4603"/>
      <c r="Z339" s="4603"/>
      <c r="AA339" s="1930" t="str">
        <f>IF(OR(V332="",V339=""),"",MAX(1,SUMPRODUCT(--(INDEX('Tablas Técnicas'!$C$10:$L$643,,1)=V332),--(INDEX('Tablas Técnicas'!$C$10:$L$643,,2)=V339),INDEX('Tablas Técnicas'!$C$10:$L$643,,9))))</f>
        <v/>
      </c>
      <c r="AB339" s="4602"/>
      <c r="AC339" s="4603"/>
      <c r="AD339" s="4603"/>
      <c r="AE339" s="4603"/>
      <c r="AF339" s="4603"/>
      <c r="AG339" s="1931" t="str">
        <f>IF(OR(AB332="",AB339=""),"",MAX(1,SUMPRODUCT(--(INDEX('Tablas Técnicas'!$C$10:$L$643,,1)=AB332),--(INDEX('Tablas Técnicas'!$C$10:$L$643,,2)=AB339),INDEX('Tablas Técnicas'!$C$10:$L$643,,9))))</f>
        <v/>
      </c>
      <c r="AH339" s="2180">
        <f>P319</f>
        <v>1</v>
      </c>
      <c r="AI339" s="4604"/>
      <c r="AJ339" s="3128" t="s">
        <v>8812</v>
      </c>
      <c r="AK339" s="3128"/>
      <c r="AL339" s="3128"/>
      <c r="AM339" s="3128"/>
      <c r="AN339" s="3128"/>
      <c r="AO339" s="3128"/>
      <c r="AP339" s="3128"/>
      <c r="AQ339" s="3129"/>
      <c r="AR339" s="3132"/>
      <c r="AS339" s="3132"/>
      <c r="AT339" s="3132"/>
      <c r="AU339" s="3132"/>
      <c r="AV339" s="3132"/>
      <c r="AW339" s="3132"/>
      <c r="AX339" s="3132"/>
      <c r="AY339" s="3128"/>
    </row>
    <row r="340" spans="1:51" ht="12.2" customHeight="1" x14ac:dyDescent="0.2">
      <c r="A340" s="2172"/>
      <c r="B340" s="2086">
        <f t="shared" si="8"/>
        <v>10</v>
      </c>
      <c r="C340" s="4584"/>
      <c r="D340" s="4602"/>
      <c r="E340" s="4603"/>
      <c r="F340" s="4603"/>
      <c r="G340" s="4603"/>
      <c r="H340" s="4603"/>
      <c r="I340" s="1930" t="str">
        <f>IF(OR(D332="",D340=""),"",MAX(1,SUMPRODUCT(--(INDEX('Tablas Técnicas'!$C$10:$L$643,,1)=D332),--(INDEX('Tablas Técnicas'!$C$10:$L$643,,2)=D340),INDEX('Tablas Técnicas'!$C$10:$L$643,,9))))</f>
        <v/>
      </c>
      <c r="J340" s="4602"/>
      <c r="K340" s="4603"/>
      <c r="L340" s="4603"/>
      <c r="M340" s="4603"/>
      <c r="N340" s="4603"/>
      <c r="O340" s="1930" t="str">
        <f>IF(OR(J332="",J340=""),"",MAX(1,SUMPRODUCT(--(INDEX('Tablas Técnicas'!$C$10:$L$643,,1)=J332),--(INDEX('Tablas Técnicas'!$C$10:$L$643,,2)=J340),INDEX('Tablas Técnicas'!$C$10:$L$643,,9))))</f>
        <v/>
      </c>
      <c r="P340" s="4602"/>
      <c r="Q340" s="4603"/>
      <c r="R340" s="4603"/>
      <c r="S340" s="4603"/>
      <c r="T340" s="4603"/>
      <c r="U340" s="1930" t="str">
        <f>IF(OR(P332="",P340=""),"",MAX(1,SUMPRODUCT(--(INDEX('Tablas Técnicas'!$C$10:$L$643,,1)=P332),--(INDEX('Tablas Técnicas'!$C$10:$L$643,,2)=P340),INDEX('Tablas Técnicas'!$C$10:$L$643,,9))))</f>
        <v/>
      </c>
      <c r="V340" s="4602"/>
      <c r="W340" s="4603"/>
      <c r="X340" s="4603"/>
      <c r="Y340" s="4603"/>
      <c r="Z340" s="4603"/>
      <c r="AA340" s="1930" t="str">
        <f>IF(OR(V332="",V340=""),"",MAX(1,SUMPRODUCT(--(INDEX('Tablas Técnicas'!$C$10:$L$643,,1)=V332),--(INDEX('Tablas Técnicas'!$C$10:$L$643,,2)=V340),INDEX('Tablas Técnicas'!$C$10:$L$643,,9))))</f>
        <v/>
      </c>
      <c r="AB340" s="4602"/>
      <c r="AC340" s="4603"/>
      <c r="AD340" s="4603"/>
      <c r="AE340" s="4603"/>
      <c r="AF340" s="4603"/>
      <c r="AG340" s="1931" t="str">
        <f>IF(OR(AB332="",AB340=""),"",MAX(1,SUMPRODUCT(--(INDEX('Tablas Técnicas'!$C$10:$L$643,,1)=AB332),--(INDEX('Tablas Técnicas'!$C$10:$L$643,,2)=AB340),INDEX('Tablas Técnicas'!$C$10:$L$643,,9))))</f>
        <v/>
      </c>
      <c r="AH340" s="2180">
        <f>P319</f>
        <v>1</v>
      </c>
      <c r="AI340" s="4604"/>
      <c r="AJ340" s="3128" t="s">
        <v>9965</v>
      </c>
      <c r="AK340" s="3128"/>
      <c r="AL340" s="3128"/>
      <c r="AM340" s="3128" t="b">
        <f>U319&gt;IF(P319=3,200,IF(P319=2,100,50))</f>
        <v>0</v>
      </c>
      <c r="AN340" s="3128"/>
      <c r="AO340" s="3128"/>
      <c r="AP340" s="3128"/>
      <c r="AQ340" s="3128"/>
      <c r="AR340" s="3132"/>
      <c r="AS340" s="3132"/>
      <c r="AT340" s="3132"/>
      <c r="AU340" s="3132"/>
      <c r="AV340" s="3132"/>
      <c r="AW340" s="3132"/>
      <c r="AX340" s="3132"/>
      <c r="AY340" s="3128"/>
    </row>
    <row r="341" spans="1:51" ht="12.2" customHeight="1" x14ac:dyDescent="0.2">
      <c r="A341" s="2172"/>
      <c r="B341" s="2086">
        <f t="shared" si="8"/>
        <v>10</v>
      </c>
      <c r="C341" s="4584"/>
      <c r="D341" s="4602"/>
      <c r="E341" s="4603"/>
      <c r="F341" s="4603"/>
      <c r="G341" s="4603"/>
      <c r="H341" s="4603"/>
      <c r="I341" s="1930" t="str">
        <f>IF(OR(D332="",D341=""),"",MAX(1,SUMPRODUCT(--(INDEX('Tablas Técnicas'!$C$10:$L$643,,1)=D332),--(INDEX('Tablas Técnicas'!$C$10:$L$643,,2)=D341),INDEX('Tablas Técnicas'!$C$10:$L$643,,9))))</f>
        <v/>
      </c>
      <c r="J341" s="4602"/>
      <c r="K341" s="4603"/>
      <c r="L341" s="4603"/>
      <c r="M341" s="4603"/>
      <c r="N341" s="4603"/>
      <c r="O341" s="1930" t="str">
        <f>IF(OR(J332="",J341=""),"",MAX(1,SUMPRODUCT(--(INDEX('Tablas Técnicas'!$C$10:$L$643,,1)=J332),--(INDEX('Tablas Técnicas'!$C$10:$L$643,,2)=J341),INDEX('Tablas Técnicas'!$C$10:$L$643,,9))))</f>
        <v/>
      </c>
      <c r="P341" s="4602"/>
      <c r="Q341" s="4603"/>
      <c r="R341" s="4603"/>
      <c r="S341" s="4603"/>
      <c r="T341" s="4603"/>
      <c r="U341" s="1930" t="str">
        <f>IF(OR(P332="",P341=""),"",MAX(1,SUMPRODUCT(--(INDEX('Tablas Técnicas'!$C$10:$L$643,,1)=P332),--(INDEX('Tablas Técnicas'!$C$10:$L$643,,2)=P341),INDEX('Tablas Técnicas'!$C$10:$L$643,,9))))</f>
        <v/>
      </c>
      <c r="V341" s="4602"/>
      <c r="W341" s="4603"/>
      <c r="X341" s="4603"/>
      <c r="Y341" s="4603"/>
      <c r="Z341" s="4603"/>
      <c r="AA341" s="1930" t="str">
        <f>IF(OR(V332="",V341=""),"",MAX(1,SUMPRODUCT(--(INDEX('Tablas Técnicas'!$C$10:$L$643,,1)=V332),--(INDEX('Tablas Técnicas'!$C$10:$L$643,,2)=V341),INDEX('Tablas Técnicas'!$C$10:$L$643,,9))))</f>
        <v/>
      </c>
      <c r="AB341" s="4602"/>
      <c r="AC341" s="4603"/>
      <c r="AD341" s="4603"/>
      <c r="AE341" s="4603"/>
      <c r="AF341" s="4603"/>
      <c r="AG341" s="1931" t="str">
        <f>IF(OR(AB332="",AB341=""),"",MAX(1,SUMPRODUCT(--(INDEX('Tablas Técnicas'!$C$10:$L$643,,1)=AB332),--(INDEX('Tablas Técnicas'!$C$10:$L$643,,2)=AB341),INDEX('Tablas Técnicas'!$C$10:$L$643,,9))))</f>
        <v/>
      </c>
      <c r="AH341" s="2180">
        <f>P319</f>
        <v>1</v>
      </c>
      <c r="AI341" s="4604"/>
      <c r="AJ341" s="3128" t="s">
        <v>8813</v>
      </c>
      <c r="AK341" s="3128"/>
      <c r="AL341" s="3128"/>
      <c r="AM341" s="3128" t="b">
        <f t="array" ref="AM341">MAX(I336:I342,O336:O342,U336:U342,AA336:AA342,AG336:AG342,RIGHT(S328:S330,1))&gt;P319</f>
        <v>0</v>
      </c>
      <c r="AN341" s="3128"/>
      <c r="AO341" s="3128"/>
      <c r="AP341" s="3128"/>
      <c r="AQ341" s="3129"/>
      <c r="AR341" s="3132"/>
      <c r="AS341" s="3132"/>
      <c r="AT341" s="3132"/>
      <c r="AU341" s="3132"/>
      <c r="AV341" s="3132"/>
      <c r="AW341" s="3132"/>
      <c r="AX341" s="3132"/>
      <c r="AY341" s="3128"/>
    </row>
    <row r="342" spans="1:51" ht="12.2" customHeight="1" x14ac:dyDescent="0.2">
      <c r="A342" s="2172"/>
      <c r="B342" s="2086">
        <f t="shared" si="8"/>
        <v>10</v>
      </c>
      <c r="C342" s="4584"/>
      <c r="D342" s="4616"/>
      <c r="E342" s="4617"/>
      <c r="F342" s="4617"/>
      <c r="G342" s="4617"/>
      <c r="H342" s="4617"/>
      <c r="I342" s="1932" t="str">
        <f>IF(OR(D332="",D342=""),"",MAX(1,SUMPRODUCT(--(INDEX('Tablas Técnicas'!$C$10:$L$643,,1)=D332),--(INDEX('Tablas Técnicas'!$C$10:$L$643,,2)=D342),INDEX('Tablas Técnicas'!$C$10:$L$643,,9))))</f>
        <v/>
      </c>
      <c r="J342" s="4616"/>
      <c r="K342" s="4617"/>
      <c r="L342" s="4617"/>
      <c r="M342" s="4617"/>
      <c r="N342" s="4617"/>
      <c r="O342" s="1932" t="str">
        <f>IF(OR(J332="",J342=""),"",MAX(1,SUMPRODUCT(--(INDEX('Tablas Técnicas'!$C$10:$L$643,,1)=J332),--(INDEX('Tablas Técnicas'!$C$10:$L$643,,2)=J342),INDEX('Tablas Técnicas'!$C$10:$L$643,,9))))</f>
        <v/>
      </c>
      <c r="P342" s="4616"/>
      <c r="Q342" s="4617"/>
      <c r="R342" s="4617"/>
      <c r="S342" s="4617"/>
      <c r="T342" s="4617"/>
      <c r="U342" s="1932" t="str">
        <f>IF(OR(P332="",P342=""),"",MAX(1,SUMPRODUCT(--(INDEX('Tablas Técnicas'!$C$10:$L$643,,1)=P332),--(INDEX('Tablas Técnicas'!$C$10:$L$643,,2)=P342),INDEX('Tablas Técnicas'!$C$10:$L$643,,9))))</f>
        <v/>
      </c>
      <c r="V342" s="4616"/>
      <c r="W342" s="4617"/>
      <c r="X342" s="4617"/>
      <c r="Y342" s="4617"/>
      <c r="Z342" s="4617"/>
      <c r="AA342" s="1932" t="str">
        <f>IF(OR(V332="",V342=""),"",MAX(1,SUMPRODUCT(--(INDEX('Tablas Técnicas'!$C$10:$L$643,,1)=V332),--(INDEX('Tablas Técnicas'!$C$10:$L$643,,2)=V342),INDEX('Tablas Técnicas'!$C$10:$L$643,,9))))</f>
        <v/>
      </c>
      <c r="AB342" s="4616"/>
      <c r="AC342" s="4617"/>
      <c r="AD342" s="4617"/>
      <c r="AE342" s="4617"/>
      <c r="AF342" s="4617"/>
      <c r="AG342" s="1933" t="str">
        <f>IF(OR(AB332="",AB342=""),"",MAX(1,SUMPRODUCT(--(INDEX('Tablas Técnicas'!$C$10:$L$643,,1)=AB332),--(INDEX('Tablas Técnicas'!$C$10:$L$643,,2)=AB342),INDEX('Tablas Técnicas'!$C$10:$L$643,,9))))</f>
        <v/>
      </c>
      <c r="AH342" s="2180">
        <f>P319</f>
        <v>1</v>
      </c>
      <c r="AI342" s="4604"/>
      <c r="AJ342" s="3128" t="s">
        <v>9319</v>
      </c>
      <c r="AK342" s="3128"/>
      <c r="AL342" s="3128"/>
      <c r="AM342" s="3128" t="b">
        <f>AND(COUNTIF(K323:M327,"Mantenido"),OR(COUNTIF(K323:M327,"Sostenimiento Menor"),COUNTIF(K323:M327,"Sostenimiento Mayor")))</f>
        <v>0</v>
      </c>
      <c r="AN342" s="3129"/>
      <c r="AO342" s="3128"/>
      <c r="AP342" s="3128"/>
      <c r="AQ342" s="3128"/>
      <c r="AR342" s="3128"/>
      <c r="AS342" s="3128"/>
      <c r="AT342" s="3128"/>
      <c r="AU342" s="3132"/>
      <c r="AV342" s="3132"/>
      <c r="AW342" s="3132"/>
      <c r="AX342" s="3132"/>
      <c r="AY342" s="3128"/>
    </row>
    <row r="343" spans="1:51" ht="12.2" customHeight="1" x14ac:dyDescent="0.2">
      <c r="A343" s="2172"/>
      <c r="B343" s="2086">
        <f t="shared" si="8"/>
        <v>10</v>
      </c>
      <c r="C343" s="4584"/>
      <c r="D343" s="4595" t="s">
        <v>1548</v>
      </c>
      <c r="E343" s="4596"/>
      <c r="F343" s="4596"/>
      <c r="G343" s="4596"/>
      <c r="H343" s="4596"/>
      <c r="I343" s="4596"/>
      <c r="J343" s="4596"/>
      <c r="K343" s="4596"/>
      <c r="L343" s="4596"/>
      <c r="M343" s="4596"/>
      <c r="N343" s="4596"/>
      <c r="O343" s="4596"/>
      <c r="P343" s="4596"/>
      <c r="Q343" s="4596"/>
      <c r="R343" s="4596"/>
      <c r="S343" s="4596"/>
      <c r="T343" s="4596"/>
      <c r="U343" s="4596"/>
      <c r="V343" s="4596"/>
      <c r="W343" s="4596"/>
      <c r="X343" s="4596"/>
      <c r="Y343" s="4596"/>
      <c r="Z343" s="4596"/>
      <c r="AA343" s="4596"/>
      <c r="AB343" s="4596"/>
      <c r="AC343" s="4596"/>
      <c r="AD343" s="4596"/>
      <c r="AE343" s="4596"/>
      <c r="AF343" s="4596"/>
      <c r="AG343" s="4622"/>
      <c r="AH343" s="2180"/>
      <c r="AI343" s="4604"/>
      <c r="AJ343" s="3128" t="s">
        <v>9318</v>
      </c>
      <c r="AK343" s="3128"/>
      <c r="AL343" s="3128"/>
      <c r="AM343" s="312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8"/>
      <c r="AO343" s="3128"/>
      <c r="AP343" s="3128"/>
      <c r="AQ343" s="3129"/>
      <c r="AR343" s="3128"/>
      <c r="AS343" s="3128"/>
      <c r="AT343" s="3128"/>
      <c r="AU343" s="3132"/>
      <c r="AV343" s="3132"/>
      <c r="AW343" s="3132"/>
      <c r="AX343" s="3132"/>
      <c r="AY343" s="3128"/>
    </row>
    <row r="344" spans="1:51" ht="12.2" customHeight="1" x14ac:dyDescent="0.2">
      <c r="A344" s="2172"/>
      <c r="B344" s="2086">
        <f t="shared" si="8"/>
        <v>10</v>
      </c>
      <c r="C344" s="4584"/>
      <c r="D344" s="4624"/>
      <c r="E344" s="4625"/>
      <c r="F344" s="4625"/>
      <c r="G344" s="4625"/>
      <c r="H344" s="4625"/>
      <c r="I344" s="4625"/>
      <c r="J344" s="4625"/>
      <c r="K344" s="4625"/>
      <c r="L344" s="4625"/>
      <c r="M344" s="4625"/>
      <c r="N344" s="4625"/>
      <c r="O344" s="4625"/>
      <c r="P344" s="4625"/>
      <c r="Q344" s="4625"/>
      <c r="R344" s="4625"/>
      <c r="S344" s="4625"/>
      <c r="T344" s="4625"/>
      <c r="U344" s="4625"/>
      <c r="V344" s="4625"/>
      <c r="W344" s="4625"/>
      <c r="X344" s="4625"/>
      <c r="Y344" s="4625"/>
      <c r="Z344" s="4625"/>
      <c r="AA344" s="4625"/>
      <c r="AB344" s="4625"/>
      <c r="AC344" s="4625"/>
      <c r="AD344" s="4625"/>
      <c r="AE344" s="4625"/>
      <c r="AF344" s="4625"/>
      <c r="AG344" s="4626"/>
      <c r="AH344" s="2180"/>
      <c r="AI344" s="4604"/>
      <c r="AJ344" s="3128" t="s">
        <v>9326</v>
      </c>
      <c r="AK344" s="3128"/>
      <c r="AL344" s="3128"/>
      <c r="AM344" s="312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8"/>
      <c r="AO344" s="3128"/>
      <c r="AP344" s="3128"/>
      <c r="AQ344" s="3129"/>
      <c r="AR344" s="3128"/>
      <c r="AS344" s="3128"/>
      <c r="AT344" s="3128"/>
      <c r="AU344" s="3132"/>
      <c r="AV344" s="3132"/>
      <c r="AW344" s="3132"/>
      <c r="AX344" s="3132"/>
      <c r="AY344" s="3128"/>
    </row>
    <row r="345" spans="1:51" ht="12.2" customHeight="1" x14ac:dyDescent="0.2">
      <c r="A345" s="2172"/>
      <c r="B345" s="2086">
        <f t="shared" si="8"/>
        <v>10</v>
      </c>
      <c r="C345" s="4584"/>
      <c r="D345" s="4624"/>
      <c r="E345" s="4625"/>
      <c r="F345" s="4625"/>
      <c r="G345" s="4625"/>
      <c r="H345" s="4625"/>
      <c r="I345" s="4625"/>
      <c r="J345" s="4625"/>
      <c r="K345" s="4625"/>
      <c r="L345" s="4625"/>
      <c r="M345" s="4625"/>
      <c r="N345" s="4625"/>
      <c r="O345" s="4625"/>
      <c r="P345" s="4625"/>
      <c r="Q345" s="4625"/>
      <c r="R345" s="4625"/>
      <c r="S345" s="4625"/>
      <c r="T345" s="4625"/>
      <c r="U345" s="4625"/>
      <c r="V345" s="4625"/>
      <c r="W345" s="4625"/>
      <c r="X345" s="4625"/>
      <c r="Y345" s="4625"/>
      <c r="Z345" s="4625"/>
      <c r="AA345" s="4625"/>
      <c r="AB345" s="4625"/>
      <c r="AC345" s="4625"/>
      <c r="AD345" s="4625"/>
      <c r="AE345" s="4625"/>
      <c r="AF345" s="4625"/>
      <c r="AG345" s="4626"/>
      <c r="AH345" s="2180"/>
      <c r="AI345" s="4604"/>
      <c r="AJ345" s="3128" t="s">
        <v>9305</v>
      </c>
      <c r="AK345" s="3128"/>
      <c r="AL345" s="3128"/>
      <c r="AM345" s="3128" t="b">
        <f>AND((IF(SUM(V323:V327)&gt;0,1,0)+IF(SUM(X323:X327)&gt;0,1,0)+IF(SUM(Z323:Z327)&gt;0,1,0)+IF(SUM(AB323:AB327)&gt;0,1,0)+IF(SUM(AD323:AD327,)&gt;0,1,0)+IF(SUM(AF323:AF327)&gt;0,1,0))&lt;3,OR(V330&lt;0,X330&lt;0,Z330&lt;0,AB330&lt;0,AD330&lt;0,AF330&lt;0,Y328&lt;0))</f>
        <v>0</v>
      </c>
      <c r="AN345" s="3128"/>
      <c r="AO345" s="3128"/>
      <c r="AP345" s="3128"/>
      <c r="AQ345" s="3129"/>
      <c r="AR345" s="3128"/>
      <c r="AS345" s="3128"/>
      <c r="AT345" s="3128"/>
      <c r="AU345" s="3132"/>
      <c r="AV345" s="3132"/>
      <c r="AW345" s="3132"/>
      <c r="AX345" s="3132"/>
      <c r="AY345" s="3128"/>
    </row>
    <row r="346" spans="1:51" ht="12.2" customHeight="1" x14ac:dyDescent="0.2">
      <c r="A346" s="2172"/>
      <c r="B346" s="2086">
        <f t="shared" si="8"/>
        <v>10</v>
      </c>
      <c r="C346" s="4584"/>
      <c r="D346" s="4624"/>
      <c r="E346" s="4625"/>
      <c r="F346" s="4625"/>
      <c r="G346" s="4625"/>
      <c r="H346" s="4625"/>
      <c r="I346" s="4625"/>
      <c r="J346" s="4625"/>
      <c r="K346" s="4625"/>
      <c r="L346" s="4625"/>
      <c r="M346" s="4625"/>
      <c r="N346" s="4625"/>
      <c r="O346" s="4625"/>
      <c r="P346" s="4625"/>
      <c r="Q346" s="4625"/>
      <c r="R346" s="4625"/>
      <c r="S346" s="4625"/>
      <c r="T346" s="4625"/>
      <c r="U346" s="4625"/>
      <c r="V346" s="4625"/>
      <c r="W346" s="4625"/>
      <c r="X346" s="4625"/>
      <c r="Y346" s="4625"/>
      <c r="Z346" s="4625"/>
      <c r="AA346" s="4625"/>
      <c r="AB346" s="4625"/>
      <c r="AC346" s="4625"/>
      <c r="AD346" s="4625"/>
      <c r="AE346" s="4625"/>
      <c r="AF346" s="4625"/>
      <c r="AG346" s="4626"/>
      <c r="AH346" s="2180"/>
      <c r="AI346" s="4604"/>
      <c r="AJ346" s="3128" t="s">
        <v>9320</v>
      </c>
      <c r="AK346" s="3128"/>
      <c r="AL346" s="3128"/>
      <c r="AM346" s="3128" t="b">
        <f>OR(-V330&gt;TRUNC(SUM(V323:V327)/2),-X330&gt;TRUNC(SUM(X323:X327)/2),-Z330&gt;TRUNC(SUM(Z323:Z327)/2),-AB330&gt;TRUNC(SUM(AB323:AB327)/2),-AD330&gt;TRUNC(SUM(AD323:AD327)/2),-AF330&gt;TRUNC(SUM(AF323:AF327)/2))</f>
        <v>0</v>
      </c>
      <c r="AN346" s="3128"/>
      <c r="AO346" s="3128"/>
      <c r="AP346" s="3128"/>
      <c r="AQ346" s="3129"/>
      <c r="AR346" s="3128"/>
      <c r="AS346" s="3128"/>
      <c r="AT346" s="3128"/>
      <c r="AU346" s="3132"/>
      <c r="AV346" s="3132"/>
      <c r="AW346" s="3132"/>
      <c r="AX346" s="3132"/>
      <c r="AY346" s="3128"/>
    </row>
    <row r="347" spans="1:51" ht="12.2" customHeight="1" x14ac:dyDescent="0.2">
      <c r="A347" s="2172"/>
      <c r="B347" s="2086">
        <f t="shared" si="8"/>
        <v>10</v>
      </c>
      <c r="C347" s="4584"/>
      <c r="D347" s="4624"/>
      <c r="E347" s="4625"/>
      <c r="F347" s="4625"/>
      <c r="G347" s="4625"/>
      <c r="H347" s="4625"/>
      <c r="I347" s="4625"/>
      <c r="J347" s="4625"/>
      <c r="K347" s="4625"/>
      <c r="L347" s="4625"/>
      <c r="M347" s="4625"/>
      <c r="N347" s="4625"/>
      <c r="O347" s="4625"/>
      <c r="P347" s="4625"/>
      <c r="Q347" s="4625"/>
      <c r="R347" s="4625"/>
      <c r="S347" s="4625"/>
      <c r="T347" s="4625"/>
      <c r="U347" s="4625"/>
      <c r="V347" s="4625"/>
      <c r="W347" s="4625"/>
      <c r="X347" s="4625"/>
      <c r="Y347" s="4625"/>
      <c r="Z347" s="4625"/>
      <c r="AA347" s="4625"/>
      <c r="AB347" s="4625"/>
      <c r="AC347" s="4625"/>
      <c r="AD347" s="4625"/>
      <c r="AE347" s="4625"/>
      <c r="AF347" s="4625"/>
      <c r="AG347" s="4626"/>
      <c r="AH347" s="2180"/>
      <c r="AI347" s="4604"/>
      <c r="AJ347" s="3128" t="s">
        <v>9321</v>
      </c>
      <c r="AK347" s="3128"/>
      <c r="AL347" s="3128"/>
      <c r="AM347" s="3128" t="b">
        <f>COUNTIF(D323:E327,"Primario")&gt;1</f>
        <v>0</v>
      </c>
      <c r="AN347" s="3128"/>
      <c r="AO347" s="3128"/>
      <c r="AP347" s="3128"/>
      <c r="AQ347" s="3129"/>
      <c r="AR347" s="3129"/>
      <c r="AS347" s="3129"/>
      <c r="AT347" s="3129"/>
      <c r="AU347" s="3132"/>
      <c r="AV347" s="3132"/>
      <c r="AW347" s="3132"/>
      <c r="AX347" s="3128"/>
      <c r="AY347" s="3128"/>
    </row>
    <row r="348" spans="1:51" ht="12.2" customHeight="1" x14ac:dyDescent="0.2">
      <c r="A348" s="2172"/>
      <c r="B348" s="2086">
        <f t="shared" si="8"/>
        <v>10</v>
      </c>
      <c r="C348" s="4584"/>
      <c r="D348" s="4624"/>
      <c r="E348" s="4625"/>
      <c r="F348" s="4625"/>
      <c r="G348" s="4625"/>
      <c r="H348" s="4625"/>
      <c r="I348" s="4625"/>
      <c r="J348" s="4625"/>
      <c r="K348" s="4625"/>
      <c r="L348" s="4625"/>
      <c r="M348" s="4625"/>
      <c r="N348" s="4625"/>
      <c r="O348" s="4625"/>
      <c r="P348" s="4625"/>
      <c r="Q348" s="4625"/>
      <c r="R348" s="4625"/>
      <c r="S348" s="4625"/>
      <c r="T348" s="4625"/>
      <c r="U348" s="4625"/>
      <c r="V348" s="4625"/>
      <c r="W348" s="4625"/>
      <c r="X348" s="4625"/>
      <c r="Y348" s="4625"/>
      <c r="Z348" s="4625"/>
      <c r="AA348" s="4625"/>
      <c r="AB348" s="4625"/>
      <c r="AC348" s="4625"/>
      <c r="AD348" s="4625"/>
      <c r="AE348" s="4625"/>
      <c r="AF348" s="4625"/>
      <c r="AG348" s="4626"/>
      <c r="AH348" s="2180"/>
      <c r="AI348" s="4604"/>
      <c r="AJ348" s="3128" t="s">
        <v>9304</v>
      </c>
      <c r="AK348" s="3128"/>
      <c r="AL348" s="3128"/>
      <c r="AM348" s="3128" t="b">
        <f>SUM(V330:AG330)&lt;&gt;Y328+ABS(AC328)*2/5+IF(S319="Sí",3*P319,0)</f>
        <v>0</v>
      </c>
      <c r="AN348" s="3128"/>
      <c r="AO348" s="3128"/>
      <c r="AP348" s="3128"/>
      <c r="AQ348" s="3129"/>
      <c r="AR348" s="3129"/>
      <c r="AS348" s="3129"/>
      <c r="AT348" s="3129"/>
      <c r="AU348" s="3132"/>
      <c r="AV348" s="3132"/>
      <c r="AW348" s="3132"/>
      <c r="AX348" s="3128"/>
      <c r="AY348" s="3128"/>
    </row>
    <row r="349" spans="1:51" ht="12.2" customHeight="1" x14ac:dyDescent="0.2">
      <c r="A349" s="2172"/>
      <c r="B349" s="2086">
        <f t="shared" si="8"/>
        <v>10</v>
      </c>
      <c r="C349" s="4584"/>
      <c r="D349" s="4624"/>
      <c r="E349" s="4625"/>
      <c r="F349" s="4625"/>
      <c r="G349" s="4625"/>
      <c r="H349" s="4625"/>
      <c r="I349" s="4625"/>
      <c r="J349" s="4625"/>
      <c r="K349" s="4625"/>
      <c r="L349" s="4625"/>
      <c r="M349" s="4625"/>
      <c r="N349" s="4625"/>
      <c r="O349" s="4625"/>
      <c r="P349" s="4625"/>
      <c r="Q349" s="4625"/>
      <c r="R349" s="4625"/>
      <c r="S349" s="4625"/>
      <c r="T349" s="4625"/>
      <c r="U349" s="4625"/>
      <c r="V349" s="4625"/>
      <c r="W349" s="4625"/>
      <c r="X349" s="4625"/>
      <c r="Y349" s="4625"/>
      <c r="Z349" s="4625"/>
      <c r="AA349" s="4625"/>
      <c r="AB349" s="4625"/>
      <c r="AC349" s="4625"/>
      <c r="AD349" s="4625"/>
      <c r="AE349" s="4625"/>
      <c r="AF349" s="4625"/>
      <c r="AG349" s="4626"/>
      <c r="AH349" s="2180"/>
      <c r="AI349" s="4604"/>
      <c r="AJ349" s="3128" t="s">
        <v>9303</v>
      </c>
      <c r="AK349" s="3128"/>
      <c r="AL349" s="3128"/>
      <c r="AM349" s="3128" t="b">
        <f>AL336-AL337+AM336-AM337&lt;&gt;0</f>
        <v>0</v>
      </c>
      <c r="AN349" s="3132"/>
      <c r="AO349" s="3132"/>
      <c r="AP349" s="3132"/>
      <c r="AQ349" s="3132"/>
      <c r="AR349" s="3129"/>
      <c r="AS349" s="3129"/>
      <c r="AT349" s="3129"/>
      <c r="AU349" s="3132"/>
      <c r="AV349" s="3132"/>
      <c r="AW349" s="3132"/>
      <c r="AX349" s="3128"/>
      <c r="AY349" s="3128"/>
    </row>
    <row r="350" spans="1:51" ht="12.2" customHeight="1" thickBot="1" x14ac:dyDescent="0.25">
      <c r="A350" s="2172"/>
      <c r="B350" s="2086"/>
      <c r="C350" s="4585"/>
      <c r="D350" s="4586"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87"/>
      <c r="F350" s="4587"/>
      <c r="G350" s="4587"/>
      <c r="H350" s="4587"/>
      <c r="I350" s="4587"/>
      <c r="J350" s="4587"/>
      <c r="K350" s="4587"/>
      <c r="L350" s="4587"/>
      <c r="M350" s="4587"/>
      <c r="N350" s="4587"/>
      <c r="O350" s="4587"/>
      <c r="P350" s="4587"/>
      <c r="Q350" s="4587"/>
      <c r="R350" s="4587"/>
      <c r="S350" s="4587"/>
      <c r="T350" s="4587"/>
      <c r="U350" s="4587"/>
      <c r="V350" s="4587"/>
      <c r="W350" s="4587"/>
      <c r="X350" s="4587"/>
      <c r="Y350" s="4587"/>
      <c r="Z350" s="4587"/>
      <c r="AA350" s="4587"/>
      <c r="AB350" s="4587"/>
      <c r="AC350" s="4587"/>
      <c r="AD350" s="4587"/>
      <c r="AE350" s="4587"/>
      <c r="AF350" s="4587"/>
      <c r="AG350" s="4588"/>
      <c r="AH350" s="2180"/>
      <c r="AI350" s="4604"/>
      <c r="AJ350" s="3128" t="s">
        <v>9340</v>
      </c>
      <c r="AK350" s="3132"/>
      <c r="AL350" s="3132"/>
      <c r="AM350" s="3132" t="b">
        <f>ABS(SUM(N328:N330))&gt;(SUM(N323:N327)-10*Y328+AC328+IF(S319="Sí",10*P319,0)+IF(COUNTIF(K323:M327,"Mantenido")&gt;0,P319*10)+MAX(IF(COUNTIF(K323:M327,"Sostenimiento Menor")&gt;0,P319*20)+IF(COUNTIF(K323:M327,"Sostenimiento Mayor")&gt;0,P319*30)))/2</f>
        <v>0</v>
      </c>
      <c r="AN350" s="3128"/>
      <c r="AO350" s="3128"/>
      <c r="AP350" s="3128"/>
      <c r="AQ350" s="3128"/>
      <c r="AR350" s="3129"/>
      <c r="AS350" s="3129"/>
      <c r="AT350" s="3129"/>
      <c r="AU350" s="3132"/>
      <c r="AV350" s="3132"/>
      <c r="AW350" s="3132"/>
      <c r="AX350" s="3128"/>
      <c r="AY350" s="3128"/>
    </row>
    <row r="351" spans="1:51" ht="12.2" customHeight="1" x14ac:dyDescent="0.2">
      <c r="A351" s="2172"/>
      <c r="B351" s="2086"/>
      <c r="C351" s="4580"/>
      <c r="D351" s="4580" t="str">
        <f>IFERROR(VLOOKUP(D332,'Tablas Técnicas'!$O$9:$T$88,2,FALSE),"")</f>
        <v/>
      </c>
      <c r="E351" s="4580"/>
      <c r="F351" s="4580"/>
      <c r="G351" s="4580"/>
      <c r="H351" s="4580"/>
      <c r="I351" s="4580"/>
      <c r="J351" s="4580" t="str">
        <f>IFERROR(VLOOKUP(J332,'Tablas Técnicas'!$O$9:$T$88,2,FALSE),"")</f>
        <v/>
      </c>
      <c r="K351" s="4580"/>
      <c r="L351" s="4580"/>
      <c r="M351" s="4580"/>
      <c r="N351" s="4580"/>
      <c r="O351" s="4580"/>
      <c r="P351" s="4580" t="str">
        <f>IFERROR(VLOOKUP(P332,'Tablas Técnicas'!$O$9:$T$88,2,FALSE),"")</f>
        <v/>
      </c>
      <c r="Q351" s="4580"/>
      <c r="R351" s="4580"/>
      <c r="S351" s="4580"/>
      <c r="T351" s="4580"/>
      <c r="U351" s="4580"/>
      <c r="V351" s="4580" t="str">
        <f>IFERROR(VLOOKUP(V332,'Tablas Técnicas'!$O$9:$T$88,2,FALSE),"")</f>
        <v/>
      </c>
      <c r="W351" s="4580"/>
      <c r="X351" s="4580"/>
      <c r="Y351" s="4580"/>
      <c r="Z351" s="4580"/>
      <c r="AA351" s="4580"/>
      <c r="AB351" s="4580" t="str">
        <f>IFERROR(VLOOKUP(AB332,'Tablas Técnicas'!$O$9:$T$88,2,FALSE),"")</f>
        <v/>
      </c>
      <c r="AC351" s="4580"/>
      <c r="AD351" s="4580"/>
      <c r="AE351" s="4580"/>
      <c r="AF351" s="4580"/>
      <c r="AG351" s="4580"/>
      <c r="AH351" s="2180"/>
      <c r="AI351" s="1908"/>
      <c r="AJ351" s="3128"/>
      <c r="AK351" s="3128"/>
      <c r="AL351" s="3128"/>
      <c r="AM351" s="3128"/>
      <c r="AN351" s="3128"/>
      <c r="AO351" s="3128"/>
      <c r="AP351" s="3128"/>
      <c r="AQ351" s="3128"/>
      <c r="AR351" s="3129"/>
      <c r="AS351" s="3129"/>
      <c r="AT351" s="3129"/>
      <c r="AU351" s="3132"/>
      <c r="AV351" s="3132"/>
      <c r="AW351" s="3132"/>
      <c r="AX351" s="3132"/>
      <c r="AY351" s="3128"/>
    </row>
    <row r="352" spans="1:51" ht="12.2" customHeight="1" thickBot="1" x14ac:dyDescent="0.25">
      <c r="A352" s="2172"/>
      <c r="B352" s="2087"/>
      <c r="C352" s="4722"/>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6"/>
      <c r="AK352" s="3136"/>
      <c r="AL352" s="3136"/>
      <c r="AM352" s="3136"/>
      <c r="AN352" s="3136"/>
      <c r="AO352" s="3136"/>
      <c r="AP352" s="3128"/>
      <c r="AQ352" s="3129"/>
      <c r="AR352" s="3132"/>
      <c r="AS352" s="3132"/>
      <c r="AT352" s="3132"/>
      <c r="AU352" s="3132"/>
      <c r="AV352" s="3132"/>
      <c r="AW352" s="3132"/>
      <c r="AX352" s="3132"/>
      <c r="AY352" s="3137"/>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8"/>
      <c r="AK353" s="3128"/>
      <c r="AL353" s="3128"/>
      <c r="AM353" s="3128"/>
      <c r="AN353" s="3128"/>
      <c r="AO353" s="3128"/>
      <c r="AP353" s="3128"/>
      <c r="AQ353" s="3129"/>
      <c r="AR353" s="3132"/>
      <c r="AS353" s="3132"/>
      <c r="AT353" s="3132"/>
      <c r="AU353" s="3132"/>
      <c r="AV353" s="3132"/>
      <c r="AW353" s="3132"/>
      <c r="AX353" s="3132"/>
      <c r="AY353" s="3128"/>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4" t="s">
        <v>8736</v>
      </c>
      <c r="BA1" s="3085"/>
      <c r="BB1" s="3085"/>
      <c r="BC1" s="3085"/>
      <c r="BD1" s="3085"/>
      <c r="BE1" s="3085"/>
      <c r="BF1" s="3085"/>
      <c r="BG1" s="3085"/>
      <c r="BH1" s="3085"/>
      <c r="BI1" s="3085"/>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85"/>
      <c r="BA2" s="3085" t="s">
        <v>8350</v>
      </c>
      <c r="BB2" s="3085"/>
      <c r="BC2" s="3085"/>
      <c r="BD2" s="3085"/>
      <c r="BE2" s="3085"/>
      <c r="BF2" s="3085"/>
      <c r="BG2" s="3085"/>
      <c r="BH2" s="3085"/>
      <c r="BI2" s="3085"/>
    </row>
    <row r="3" spans="1:61" ht="12" customHeight="1" thickBot="1" x14ac:dyDescent="0.25">
      <c r="A3" s="29"/>
      <c r="B3" s="485"/>
      <c r="C3" s="3341" t="s">
        <v>10159</v>
      </c>
      <c r="D3" s="3341"/>
      <c r="E3" s="3341"/>
      <c r="F3" s="3341"/>
      <c r="G3" s="3341"/>
      <c r="H3" s="3341"/>
      <c r="I3" s="6"/>
      <c r="J3" s="6"/>
      <c r="K3" s="6"/>
      <c r="L3" s="6"/>
      <c r="M3" s="6"/>
      <c r="N3" s="6"/>
      <c r="O3" s="6"/>
      <c r="P3" s="6"/>
      <c r="Q3" s="7"/>
      <c r="S3" s="577"/>
      <c r="T3" s="484"/>
      <c r="U3" s="29"/>
      <c r="V3" s="485"/>
      <c r="W3" s="3341" t="s">
        <v>10159</v>
      </c>
      <c r="X3" s="3341"/>
      <c r="Y3" s="3341"/>
      <c r="Z3" s="3341"/>
      <c r="AA3" s="3341"/>
      <c r="AB3" s="3341"/>
      <c r="AC3" s="6"/>
      <c r="AD3" s="6"/>
      <c r="AE3" s="6"/>
      <c r="AF3" s="6"/>
      <c r="AG3" s="6"/>
      <c r="AH3" s="6"/>
      <c r="AI3" s="6"/>
      <c r="AJ3" s="6"/>
      <c r="AK3" s="7"/>
      <c r="AL3" s="1068"/>
      <c r="AM3" s="29"/>
      <c r="AN3" s="29"/>
      <c r="AO3" s="727"/>
      <c r="AP3" s="4960" t="s">
        <v>10159</v>
      </c>
      <c r="AQ3" s="4961"/>
      <c r="AR3" s="4961"/>
      <c r="AS3" s="518"/>
      <c r="AT3" s="518"/>
      <c r="AU3" s="518"/>
      <c r="AV3" s="518"/>
      <c r="AW3" s="520"/>
      <c r="AX3" s="737"/>
      <c r="AY3" s="574"/>
      <c r="AZ3" s="3085"/>
      <c r="BA3" s="3119" t="e">
        <f>IF(VLOOKUP(AE12,ViasMayores,2,FALSE)="Mayor",IF(VLOOKUP(AE12,$C$15:$F$25,3,FALSE)="",NivelesLA_ViaMayorNoSubvía,""),IF(VLOOKUP(AE12,$C$15:$F$25,3,FALSE)="",NivelesLA_ViaMenorNosubvía,NivelesLA_ViaMenorSubvía))</f>
        <v>#N/A</v>
      </c>
      <c r="BB3" s="3085"/>
      <c r="BC3" s="3085"/>
      <c r="BD3" s="3085"/>
      <c r="BE3" s="3085"/>
      <c r="BF3" s="3085"/>
      <c r="BG3" s="3085"/>
      <c r="BH3" s="3085"/>
      <c r="BI3" s="3085"/>
    </row>
    <row r="4" spans="1:61" ht="12" customHeight="1" thickBot="1" x14ac:dyDescent="0.25">
      <c r="A4" s="29"/>
      <c r="B4" s="485"/>
      <c r="C4" s="3341"/>
      <c r="D4" s="3341"/>
      <c r="E4" s="3341"/>
      <c r="F4" s="3341"/>
      <c r="G4" s="3341"/>
      <c r="H4" s="3341"/>
      <c r="I4" s="9"/>
      <c r="J4" s="4295" t="s">
        <v>1323</v>
      </c>
      <c r="K4" s="4295"/>
      <c r="L4" s="4353" t="str">
        <f>IF(OR(General!$F$22="",General!$F$22=0),"",General!$F$22)</f>
        <v/>
      </c>
      <c r="M4" s="4353"/>
      <c r="N4" s="4353"/>
      <c r="O4" s="4353"/>
      <c r="P4" s="4353"/>
      <c r="Q4" s="10"/>
      <c r="S4" s="577"/>
      <c r="T4" s="484"/>
      <c r="U4" s="29"/>
      <c r="V4" s="485"/>
      <c r="W4" s="3341"/>
      <c r="X4" s="3341"/>
      <c r="Y4" s="3341"/>
      <c r="Z4" s="3341"/>
      <c r="AA4" s="3341"/>
      <c r="AB4" s="3341"/>
      <c r="AC4" s="9"/>
      <c r="AD4" s="4295" t="s">
        <v>1323</v>
      </c>
      <c r="AE4" s="4295"/>
      <c r="AF4" s="4353" t="str">
        <f>IF(OR(General!$F$22="",General!$F$22=0),"",General!$F$22)</f>
        <v/>
      </c>
      <c r="AG4" s="4353"/>
      <c r="AH4" s="4353"/>
      <c r="AI4" s="4353"/>
      <c r="AJ4" s="4353"/>
      <c r="AK4" s="10"/>
      <c r="AL4" s="1068"/>
      <c r="AM4" s="29"/>
      <c r="AN4" s="29"/>
      <c r="AO4" s="727"/>
      <c r="AP4" s="4962"/>
      <c r="AQ4" s="3336"/>
      <c r="AR4" s="3336"/>
      <c r="AS4" s="170"/>
      <c r="AT4" s="170"/>
      <c r="AU4" s="170"/>
      <c r="AV4" s="170"/>
      <c r="AW4" s="705"/>
      <c r="AX4" s="737"/>
      <c r="AY4" s="574"/>
      <c r="AZ4" s="3085"/>
      <c r="BA4" s="3085"/>
      <c r="BB4" s="3085"/>
      <c r="BC4" s="3085"/>
      <c r="BD4" s="3085"/>
      <c r="BE4" s="3085"/>
      <c r="BF4" s="3085"/>
      <c r="BG4" s="3085"/>
      <c r="BH4" s="3085"/>
      <c r="BI4" s="3085"/>
    </row>
    <row r="5" spans="1:61" ht="12" customHeight="1" thickBot="1" x14ac:dyDescent="0.25">
      <c r="A5" s="29"/>
      <c r="B5" s="485"/>
      <c r="C5" s="3341"/>
      <c r="D5" s="3341"/>
      <c r="E5" s="3341"/>
      <c r="F5" s="3341"/>
      <c r="G5" s="3341"/>
      <c r="H5" s="3341"/>
      <c r="I5" s="9"/>
      <c r="J5" s="4326" t="s">
        <v>1324</v>
      </c>
      <c r="K5" s="4326"/>
      <c r="L5" s="3184" t="str">
        <f>IF(LEN(PDs!$E$11)&lt;=General!$AO$5,PDs!$E$11,"… /"&amp;RIGHT(PDs!$E$11,General!$AO$5-FIND("/",RIGHT(PDs!$E$11,General!$AO$5))))</f>
        <v/>
      </c>
      <c r="M5" s="3184"/>
      <c r="N5" s="3184"/>
      <c r="O5" s="2245" t="s">
        <v>1325</v>
      </c>
      <c r="P5" s="2237" t="str">
        <f>Principal!$O$6</f>
        <v>0</v>
      </c>
      <c r="Q5" s="11"/>
      <c r="S5" s="577"/>
      <c r="T5" s="484"/>
      <c r="U5" s="29"/>
      <c r="V5" s="485"/>
      <c r="W5" s="3341"/>
      <c r="X5" s="3341"/>
      <c r="Y5" s="3341"/>
      <c r="Z5" s="3341"/>
      <c r="AA5" s="3341"/>
      <c r="AB5" s="3341"/>
      <c r="AC5" s="9"/>
      <c r="AD5" s="4326" t="s">
        <v>1324</v>
      </c>
      <c r="AE5" s="4326"/>
      <c r="AF5" s="3184" t="str">
        <f>IF(LEN(PDs!$E$11)&lt;=General!$AO$5,PDs!$E$11,"… /"&amp;RIGHT(PDs!$E$11,General!$AO$5-FIND("/",RIGHT(PDs!$E$11,General!$AO$5))))</f>
        <v/>
      </c>
      <c r="AG5" s="3184"/>
      <c r="AH5" s="3184"/>
      <c r="AI5" s="2245" t="s">
        <v>1325</v>
      </c>
      <c r="AJ5" s="2237" t="str">
        <f>Principal!$O$6</f>
        <v>0</v>
      </c>
      <c r="AK5" s="11"/>
      <c r="AL5" s="1068"/>
      <c r="AM5" s="29"/>
      <c r="AN5" s="29"/>
      <c r="AO5" s="727"/>
      <c r="AP5" s="4962"/>
      <c r="AQ5" s="3336"/>
      <c r="AR5" s="3336"/>
      <c r="AS5" s="4355" t="s">
        <v>6844</v>
      </c>
      <c r="AT5" s="4355"/>
      <c r="AU5" s="4355"/>
      <c r="AV5" s="4355"/>
      <c r="AW5" s="706"/>
      <c r="AX5" s="737"/>
      <c r="AY5" s="574"/>
      <c r="AZ5" s="3085"/>
      <c r="BA5" s="3085" t="s">
        <v>1686</v>
      </c>
      <c r="BB5" s="3085"/>
      <c r="BC5" s="3085"/>
      <c r="BD5" s="3085"/>
      <c r="BE5" s="3085"/>
      <c r="BF5" s="3085"/>
      <c r="BG5" s="3085"/>
      <c r="BH5" s="3085"/>
      <c r="BI5" s="3085"/>
    </row>
    <row r="6" spans="1:61" ht="12" customHeight="1" thickBot="1" x14ac:dyDescent="0.25">
      <c r="A6" s="29"/>
      <c r="B6" s="485"/>
      <c r="C6" s="3341"/>
      <c r="D6" s="3341"/>
      <c r="E6" s="3341"/>
      <c r="F6" s="3341"/>
      <c r="G6" s="3341"/>
      <c r="H6" s="3341"/>
      <c r="I6" s="9"/>
      <c r="J6" s="4355" t="s">
        <v>1683</v>
      </c>
      <c r="K6" s="4355"/>
      <c r="L6" s="4355"/>
      <c r="M6" s="4355"/>
      <c r="N6" s="4355"/>
      <c r="O6" s="4355"/>
      <c r="P6" s="4355"/>
      <c r="Q6" s="11"/>
      <c r="S6" s="577"/>
      <c r="T6" s="484"/>
      <c r="U6" s="29"/>
      <c r="V6" s="485"/>
      <c r="W6" s="3341"/>
      <c r="X6" s="3341"/>
      <c r="Y6" s="3341"/>
      <c r="Z6" s="3341"/>
      <c r="AA6" s="3341"/>
      <c r="AB6" s="3341"/>
      <c r="AC6" s="9"/>
      <c r="AD6" s="4355" t="s">
        <v>1684</v>
      </c>
      <c r="AE6" s="4355"/>
      <c r="AF6" s="4355"/>
      <c r="AG6" s="4355"/>
      <c r="AH6" s="4355"/>
      <c r="AI6" s="4355"/>
      <c r="AJ6" s="4355"/>
      <c r="AK6" s="11"/>
      <c r="AL6" s="1068"/>
      <c r="AM6" s="29"/>
      <c r="AN6" s="29"/>
      <c r="AO6" s="727"/>
      <c r="AP6" s="4962"/>
      <c r="AQ6" s="3336"/>
      <c r="AR6" s="3336"/>
      <c r="AS6" s="4355"/>
      <c r="AT6" s="4355"/>
      <c r="AU6" s="4355"/>
      <c r="AV6" s="4355"/>
      <c r="AW6" s="706"/>
      <c r="AX6" s="737"/>
      <c r="AY6" s="574"/>
      <c r="AZ6" s="3085"/>
      <c r="BA6" s="3085"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85"/>
      <c r="BC6" s="3085"/>
      <c r="BD6" s="3085"/>
      <c r="BE6" s="3085"/>
      <c r="BF6" s="3085"/>
      <c r="BG6" s="3085"/>
      <c r="BH6" s="3085"/>
      <c r="BI6" s="3085"/>
    </row>
    <row r="7" spans="1:61" ht="12" customHeight="1" thickBot="1" x14ac:dyDescent="0.25">
      <c r="A7" s="29"/>
      <c r="B7" s="485"/>
      <c r="C7" s="3341"/>
      <c r="D7" s="3341"/>
      <c r="E7" s="3341"/>
      <c r="F7" s="3341"/>
      <c r="G7" s="3341"/>
      <c r="H7" s="3341"/>
      <c r="I7" s="9"/>
      <c r="J7" s="4355"/>
      <c r="K7" s="4355"/>
      <c r="L7" s="4355"/>
      <c r="M7" s="4355"/>
      <c r="N7" s="4355"/>
      <c r="O7" s="4355"/>
      <c r="P7" s="4355"/>
      <c r="Q7" s="11"/>
      <c r="S7" s="577"/>
      <c r="T7" s="484"/>
      <c r="U7" s="29"/>
      <c r="V7" s="485"/>
      <c r="W7" s="3341"/>
      <c r="X7" s="3341"/>
      <c r="Y7" s="3341"/>
      <c r="Z7" s="3341"/>
      <c r="AA7" s="3341"/>
      <c r="AB7" s="3341"/>
      <c r="AC7" s="9"/>
      <c r="AD7" s="4355"/>
      <c r="AE7" s="4355"/>
      <c r="AF7" s="4355"/>
      <c r="AG7" s="4355"/>
      <c r="AH7" s="4355"/>
      <c r="AI7" s="4355"/>
      <c r="AJ7" s="4355"/>
      <c r="AK7" s="11"/>
      <c r="AL7" s="1068"/>
      <c r="AM7" s="29"/>
      <c r="AN7" s="29"/>
      <c r="AO7" s="727"/>
      <c r="AP7" s="4962"/>
      <c r="AQ7" s="3336"/>
      <c r="AR7" s="3336"/>
      <c r="AS7" s="701"/>
      <c r="AT7" s="701"/>
      <c r="AU7" s="701"/>
      <c r="AV7" s="701"/>
      <c r="AW7" s="706"/>
      <c r="AX7" s="737"/>
      <c r="AY7" s="574"/>
      <c r="AZ7" s="3085"/>
      <c r="BA7" s="3085"/>
      <c r="BB7" s="3085"/>
      <c r="BC7" s="3085"/>
      <c r="BD7" s="3085"/>
      <c r="BE7" s="3085"/>
      <c r="BF7" s="3085"/>
      <c r="BG7" s="3085"/>
      <c r="BH7" s="3085"/>
      <c r="BI7" s="3085"/>
    </row>
    <row r="8" spans="1:61" ht="12" customHeight="1" thickBot="1" x14ac:dyDescent="0.25">
      <c r="A8" s="29"/>
      <c r="B8" s="485"/>
      <c r="C8" s="3341"/>
      <c r="D8" s="3341"/>
      <c r="E8" s="3341"/>
      <c r="F8" s="3341"/>
      <c r="G8" s="3341"/>
      <c r="H8" s="3341"/>
      <c r="I8" s="12"/>
      <c r="J8" s="12"/>
      <c r="K8" s="12"/>
      <c r="L8" s="12"/>
      <c r="M8" s="12"/>
      <c r="N8" s="12"/>
      <c r="O8" s="12"/>
      <c r="P8" s="12"/>
      <c r="Q8" s="13"/>
      <c r="S8" s="577"/>
      <c r="T8" s="484"/>
      <c r="U8" s="29"/>
      <c r="V8" s="485"/>
      <c r="W8" s="3341"/>
      <c r="X8" s="3341"/>
      <c r="Y8" s="3341"/>
      <c r="Z8" s="3341"/>
      <c r="AA8" s="3341"/>
      <c r="AB8" s="3341"/>
      <c r="AC8" s="12"/>
      <c r="AD8" s="12"/>
      <c r="AE8" s="12"/>
      <c r="AF8" s="12"/>
      <c r="AG8" s="12"/>
      <c r="AH8" s="12"/>
      <c r="AI8" s="12"/>
      <c r="AJ8" s="12"/>
      <c r="AK8" s="13"/>
      <c r="AL8" s="1068"/>
      <c r="AM8" s="29"/>
      <c r="AN8" s="29"/>
      <c r="AO8" s="727"/>
      <c r="AP8" s="4963"/>
      <c r="AQ8" s="4964"/>
      <c r="AR8" s="4964"/>
      <c r="AS8" s="707"/>
      <c r="AT8" s="707"/>
      <c r="AU8" s="707"/>
      <c r="AV8" s="707"/>
      <c r="AW8" s="708"/>
      <c r="AX8" s="737"/>
      <c r="AY8" s="574"/>
      <c r="AZ8" s="3085"/>
      <c r="BA8" s="3085"/>
      <c r="BB8" s="3085"/>
      <c r="BC8" s="3085"/>
      <c r="BD8" s="3085"/>
      <c r="BE8" s="3085"/>
      <c r="BF8" s="3085"/>
      <c r="BG8" s="3085"/>
      <c r="BH8" s="3085"/>
      <c r="BI8" s="3085"/>
    </row>
    <row r="9" spans="1:61" ht="12" customHeight="1" thickBot="1" x14ac:dyDescent="0.25">
      <c r="A9" s="29"/>
      <c r="B9" s="485"/>
      <c r="S9" s="577"/>
      <c r="T9" s="484"/>
      <c r="U9" s="29"/>
      <c r="V9" s="485"/>
      <c r="AL9" s="1068"/>
      <c r="AM9" s="29"/>
      <c r="AN9" s="29"/>
      <c r="AO9" s="727"/>
      <c r="AX9" s="737"/>
      <c r="AY9" s="574"/>
      <c r="AZ9" s="3085"/>
      <c r="BA9" s="3085"/>
      <c r="BB9" s="3085"/>
      <c r="BC9" s="3085"/>
      <c r="BD9" s="3085"/>
      <c r="BE9" s="3085"/>
      <c r="BF9" s="3085"/>
      <c r="BG9" s="3085"/>
      <c r="BH9" s="3085"/>
      <c r="BI9" s="3085"/>
    </row>
    <row r="10" spans="1:61" ht="12" customHeight="1" thickBot="1" x14ac:dyDescent="0.25">
      <c r="A10" s="29"/>
      <c r="B10" s="485"/>
      <c r="C10" s="3350" t="s">
        <v>1512</v>
      </c>
      <c r="D10" s="3351"/>
      <c r="E10" s="3351"/>
      <c r="F10" s="3351"/>
      <c r="G10" s="3351"/>
      <c r="H10" s="3352"/>
      <c r="J10" s="3734" t="s">
        <v>1685</v>
      </c>
      <c r="K10" s="4843"/>
      <c r="L10" s="4843"/>
      <c r="M10" s="4937"/>
      <c r="O10" s="3684" t="s">
        <v>1511</v>
      </c>
      <c r="P10" s="3685"/>
      <c r="Q10" s="3686"/>
      <c r="S10" s="577"/>
      <c r="T10" s="484"/>
      <c r="U10" s="29"/>
      <c r="V10" s="485"/>
      <c r="W10" s="3418" t="s">
        <v>8732</v>
      </c>
      <c r="X10" s="3419"/>
      <c r="Y10" s="3419"/>
      <c r="Z10" s="3419"/>
      <c r="AA10" s="3419"/>
      <c r="AB10" s="3419"/>
      <c r="AC10" s="3420"/>
      <c r="AD10" s="1163"/>
      <c r="AE10" s="4938" t="s">
        <v>1687</v>
      </c>
      <c r="AF10" s="4939"/>
      <c r="AG10" s="4939"/>
      <c r="AH10" s="4939"/>
      <c r="AI10" s="4939"/>
      <c r="AJ10" s="4939"/>
      <c r="AK10" s="1435">
        <f>IF(Tablas!G550&gt;0,0,SUM(I15:I25))-COUNTA(Místicos!AG12:AJ50)</f>
        <v>0</v>
      </c>
      <c r="AL10" s="1068"/>
      <c r="AM10" s="29"/>
      <c r="AN10" s="29"/>
      <c r="AO10" s="727"/>
      <c r="AQ10" s="4790" t="s">
        <v>6849</v>
      </c>
      <c r="AR10" s="4791"/>
      <c r="AS10" s="4792"/>
      <c r="AT10" s="4793" t="s">
        <v>6850</v>
      </c>
      <c r="AU10" s="4794"/>
      <c r="AV10" s="4795"/>
      <c r="AX10" s="737"/>
      <c r="AY10" s="574"/>
      <c r="AZ10" s="3085"/>
      <c r="BA10" s="3116" t="s">
        <v>6923</v>
      </c>
      <c r="BB10" s="3116" t="s">
        <v>6924</v>
      </c>
      <c r="BC10" s="3116" t="s">
        <v>6925</v>
      </c>
      <c r="BD10" s="3085"/>
      <c r="BE10" s="3085"/>
      <c r="BF10" s="3085"/>
      <c r="BG10" s="3085"/>
      <c r="BH10" s="3085"/>
      <c r="BI10" s="3085"/>
    </row>
    <row r="11" spans="1:61" ht="12" customHeight="1" thickBot="1" x14ac:dyDescent="0.25">
      <c r="A11" s="29"/>
      <c r="B11" s="485"/>
      <c r="C11" s="4930" t="s">
        <v>1688</v>
      </c>
      <c r="D11" s="4914"/>
      <c r="E11" s="4913" t="s">
        <v>1689</v>
      </c>
      <c r="F11" s="4914"/>
      <c r="G11" s="4933" t="s">
        <v>1690</v>
      </c>
      <c r="H11" s="4934"/>
      <c r="J11" s="4935" t="s">
        <v>1691</v>
      </c>
      <c r="K11" s="4936"/>
      <c r="L11" s="4941" t="s">
        <v>1509</v>
      </c>
      <c r="M11" s="4942"/>
      <c r="O11" s="2163" t="s">
        <v>1392</v>
      </c>
      <c r="P11" s="89" t="s">
        <v>1563</v>
      </c>
      <c r="Q11" s="2164" t="s">
        <v>1692</v>
      </c>
      <c r="S11" s="577"/>
      <c r="T11" s="484"/>
      <c r="U11" s="29"/>
      <c r="V11" s="485"/>
      <c r="W11" s="4929" t="s">
        <v>1694</v>
      </c>
      <c r="X11" s="3345"/>
      <c r="Y11" s="3345" t="s">
        <v>1693</v>
      </c>
      <c r="Z11" s="3345"/>
      <c r="AA11" s="3345"/>
      <c r="AB11" s="3345"/>
      <c r="AC11" s="1594" t="s">
        <v>1402</v>
      </c>
      <c r="AD11" s="575" t="s">
        <v>7061</v>
      </c>
      <c r="AE11" s="3521" t="s">
        <v>1695</v>
      </c>
      <c r="AF11" s="3522"/>
      <c r="AG11" s="3522" t="s">
        <v>1693</v>
      </c>
      <c r="AH11" s="3522"/>
      <c r="AI11" s="3522"/>
      <c r="AJ11" s="3522"/>
      <c r="AK11" s="1594" t="s">
        <v>1402</v>
      </c>
      <c r="AL11" s="1068"/>
      <c r="AM11" s="29"/>
      <c r="AN11" s="29"/>
      <c r="AO11" s="727"/>
      <c r="AX11" s="737"/>
      <c r="AY11" s="574"/>
      <c r="AZ11" s="3085"/>
      <c r="BA11" s="3138" t="b">
        <f>$AP$44="Onmyodo"</f>
        <v>0</v>
      </c>
      <c r="BB11" s="3138" t="b">
        <f>$AP$44="Vodoun"</f>
        <v>0</v>
      </c>
      <c r="BC11" s="3138" t="b">
        <f>$AP$44="Shamanica"</f>
        <v>0</v>
      </c>
      <c r="BD11" s="3085"/>
      <c r="BE11" s="3085"/>
      <c r="BF11" s="3085"/>
      <c r="BG11" s="3085"/>
      <c r="BH11" s="3085"/>
      <c r="BI11" s="3085"/>
    </row>
    <row r="12" spans="1:61" ht="12" customHeight="1" thickBot="1" x14ac:dyDescent="0.25">
      <c r="A12" s="29"/>
      <c r="B12" s="485"/>
      <c r="C12" s="4915">
        <f>NiveldeMagia_final</f>
        <v>0</v>
      </c>
      <c r="D12" s="4916"/>
      <c r="E12" s="4909">
        <f>SUM(G15:G25)+G12+H26</f>
        <v>0</v>
      </c>
      <c r="F12" s="4910"/>
      <c r="G12" s="4919">
        <f>Metamagia!$T$37</f>
        <v>0</v>
      </c>
      <c r="H12" s="4920"/>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78">
        <f>I12-H61</f>
        <v>0</v>
      </c>
      <c r="K12" s="4979"/>
      <c r="L12" s="4982">
        <f>ACT_final+L21</f>
        <v>0</v>
      </c>
      <c r="M12" s="4983"/>
      <c r="O12" s="4986">
        <f>Turno_Nat_final</f>
        <v>40</v>
      </c>
      <c r="P12" s="4988">
        <f>IF(OR(PDs!E102="Proyección Mágica como ataque",PDs!E103="Proyección Mágica como ataque"),PDs!V25+ProyecciónMágica_final-PDs!V96,ProyecciónMágica_final+Q14)</f>
        <v>0</v>
      </c>
      <c r="Q12" s="4990">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4166"/>
      <c r="X12" s="4761"/>
      <c r="Y12" s="4786"/>
      <c r="Z12" s="4787"/>
      <c r="AA12" s="4787"/>
      <c r="AB12" s="4788"/>
      <c r="AC12" s="542" t="str">
        <f>IF(Místicos!Y12=0,"",VLOOKUP(Místicos!Y12,Tabla_Conjuros,3,FALSE))</f>
        <v/>
      </c>
      <c r="AD12" s="2364" t="str">
        <f>AE12&amp;AK12</f>
        <v/>
      </c>
      <c r="AE12" s="4166"/>
      <c r="AF12" s="4761"/>
      <c r="AG12" s="4786"/>
      <c r="AH12" s="4787"/>
      <c r="AI12" s="4787"/>
      <c r="AJ12" s="4788"/>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8" t="b">
        <f>ISNUMBER(SEARCH(AE12,VLOOKUP(AG12,'Tablas Magia'!$D$6:$AA$680,24,FALSE)))</f>
        <v>0</v>
      </c>
      <c r="AP12" s="4948" t="s">
        <v>6890</v>
      </c>
      <c r="AQ12" s="4949"/>
      <c r="AR12" s="4949"/>
      <c r="AS12" s="4949"/>
      <c r="AT12" s="4949"/>
      <c r="AU12" s="4949"/>
      <c r="AV12" s="4949"/>
      <c r="AW12" s="4950"/>
      <c r="AX12" s="738"/>
      <c r="AY12" s="574"/>
      <c r="AZ12" s="3153"/>
      <c r="BA12" s="4940" t="s">
        <v>6922</v>
      </c>
      <c r="BB12" s="4940"/>
      <c r="BC12" s="4940"/>
      <c r="BD12" s="4940" t="s">
        <v>6934</v>
      </c>
      <c r="BE12" s="4940"/>
      <c r="BF12" s="4940"/>
      <c r="BG12" s="4940" t="s">
        <v>6935</v>
      </c>
      <c r="BH12" s="4940"/>
      <c r="BI12" s="4940"/>
    </row>
    <row r="13" spans="1:61" ht="12" customHeight="1" thickBot="1" x14ac:dyDescent="0.25">
      <c r="A13" s="29"/>
      <c r="B13" s="485"/>
      <c r="C13" s="4917"/>
      <c r="D13" s="4918"/>
      <c r="E13" s="4911"/>
      <c r="F13" s="4912"/>
      <c r="G13" s="4919"/>
      <c r="H13" s="4920"/>
      <c r="J13" s="4980"/>
      <c r="K13" s="4981"/>
      <c r="L13" s="4984"/>
      <c r="M13" s="4985"/>
      <c r="O13" s="4987"/>
      <c r="P13" s="4989"/>
      <c r="Q13" s="4991"/>
      <c r="S13" s="577"/>
      <c r="T13" s="484" t="str">
        <f t="shared" ref="T13:T50" si="0">"Conjuros"&amp;IF(W13="","","_"&amp;SUBSTITUTE(W13," ",""))</f>
        <v>Conjuros</v>
      </c>
      <c r="U13" s="29"/>
      <c r="V13" s="672">
        <f>IF(AC13="",0,VLOOKUP(AC13,Tablas!$M$1076:$N$1085,2))</f>
        <v>0</v>
      </c>
      <c r="W13" s="4169"/>
      <c r="X13" s="4863"/>
      <c r="Y13" s="4771"/>
      <c r="Z13" s="4772"/>
      <c r="AA13" s="4772"/>
      <c r="AB13" s="4773"/>
      <c r="AC13" s="541" t="str">
        <f>IF(Místicos!Y13=0,"",VLOOKUP(Místicos!Y13,Tabla_Conjuros,3,FALSE))</f>
        <v/>
      </c>
      <c r="AD13" s="2364" t="str">
        <f t="shared" ref="AD13:AD50" si="1">AE13&amp;AK13</f>
        <v/>
      </c>
      <c r="AE13" s="4789"/>
      <c r="AF13" s="4764"/>
      <c r="AG13" s="4771"/>
      <c r="AH13" s="4772"/>
      <c r="AI13" s="4772"/>
      <c r="AJ13" s="4773"/>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8" t="b">
        <f>ISNUMBER(SEARCH(AE13,VLOOKUP(AG13,'Tablas Magia'!$D$6:$AA$680,24,FALSE)))</f>
        <v>0</v>
      </c>
      <c r="AX13" s="738"/>
      <c r="AY13" s="574"/>
      <c r="AZ13" s="3153"/>
      <c r="BA13" s="3139" t="s">
        <v>9984</v>
      </c>
      <c r="BB13" s="3139" t="s">
        <v>6921</v>
      </c>
      <c r="BC13" s="3139" t="s">
        <v>6917</v>
      </c>
      <c r="BD13" s="3139" t="s">
        <v>6926</v>
      </c>
      <c r="BE13" s="3139" t="s">
        <v>6949</v>
      </c>
      <c r="BF13" s="3139" t="s">
        <v>6929</v>
      </c>
      <c r="BG13" s="3139">
        <v>-40</v>
      </c>
      <c r="BH13" s="3139" t="s">
        <v>6921</v>
      </c>
      <c r="BI13" s="3139" t="s">
        <v>1455</v>
      </c>
    </row>
    <row r="14" spans="1:61" ht="12" customHeight="1" thickBot="1" x14ac:dyDescent="0.25">
      <c r="A14" s="29"/>
      <c r="B14" s="485"/>
      <c r="C14" s="4925" t="s">
        <v>1694</v>
      </c>
      <c r="D14" s="4926"/>
      <c r="E14" s="4927" t="s">
        <v>1696</v>
      </c>
      <c r="F14" s="4928"/>
      <c r="G14" s="506" t="s">
        <v>1697</v>
      </c>
      <c r="H14" s="664" t="s">
        <v>1402</v>
      </c>
      <c r="I14" s="768"/>
      <c r="J14" s="5001" t="s">
        <v>1700</v>
      </c>
      <c r="K14" s="5002"/>
      <c r="L14" s="5003">
        <f>VLOOKUP($L$12,Tabla_MagiaInnata,2)</f>
        <v>0</v>
      </c>
      <c r="M14" s="5004"/>
      <c r="O14" s="4995" t="s">
        <v>9605</v>
      </c>
      <c r="P14" s="4996"/>
      <c r="Q14" s="4999"/>
      <c r="S14" s="577"/>
      <c r="T14" s="484" t="str">
        <f t="shared" si="0"/>
        <v>Conjuros</v>
      </c>
      <c r="U14" s="29"/>
      <c r="V14" s="672">
        <f>IF(AC14="",0,VLOOKUP(AC14,Tablas!$M$1076:$N$1085,2))</f>
        <v>0</v>
      </c>
      <c r="W14" s="4166"/>
      <c r="X14" s="4761"/>
      <c r="Y14" s="4768"/>
      <c r="Z14" s="4769"/>
      <c r="AA14" s="4769"/>
      <c r="AB14" s="4770"/>
      <c r="AC14" s="542" t="str">
        <f>IF(Místicos!Y14=0,"",VLOOKUP(Místicos!Y14,Tabla_Conjuros,3,FALSE))</f>
        <v/>
      </c>
      <c r="AD14" s="2364" t="str">
        <f t="shared" si="1"/>
        <v/>
      </c>
      <c r="AE14" s="4166"/>
      <c r="AF14" s="4761"/>
      <c r="AG14" s="4768"/>
      <c r="AH14" s="4769"/>
      <c r="AI14" s="4769"/>
      <c r="AJ14" s="4770"/>
      <c r="AK14" s="1470"/>
      <c r="AL14" s="1164">
        <f>IF(Místicos!AG14=0,0,VLOOKUP(Místicos!AG14,Tabla_Conjuros,3,FALSE)-10)</f>
        <v>0</v>
      </c>
      <c r="AM14" s="1334" t="str">
        <f t="shared" si="2"/>
        <v>Conjuros_LibreAcceso</v>
      </c>
      <c r="AN14" s="1334" t="str">
        <f>AE14&amp;COUNTIF($AE$12:AF14,AE14)</f>
        <v>0</v>
      </c>
      <c r="AO14" s="2938" t="b">
        <f>ISNUMBER(SEARCH(AE14,VLOOKUP(AG14,'Tablas Magia'!$D$6:$AA$680,24,FALSE)))</f>
        <v>0</v>
      </c>
      <c r="AP14" s="4808" t="s">
        <v>6882</v>
      </c>
      <c r="AQ14" s="4806"/>
      <c r="AR14" s="4806"/>
      <c r="AS14" s="4805" t="s">
        <v>6907</v>
      </c>
      <c r="AT14" s="4806"/>
      <c r="AU14" s="4806"/>
      <c r="AV14" s="4806"/>
      <c r="AW14" s="4807"/>
      <c r="AX14" s="738"/>
      <c r="AY14" s="574"/>
      <c r="AZ14" s="3153"/>
      <c r="BA14" s="3139" t="s">
        <v>7155</v>
      </c>
      <c r="BB14" s="3139" t="s">
        <v>6921</v>
      </c>
      <c r="BC14" s="3139" t="s">
        <v>6918</v>
      </c>
      <c r="BD14" s="3139" t="s">
        <v>6927</v>
      </c>
      <c r="BE14" s="3139" t="s">
        <v>6950</v>
      </c>
      <c r="BF14" s="3139" t="s">
        <v>6930</v>
      </c>
      <c r="BG14" s="3139">
        <v>-20</v>
      </c>
      <c r="BH14" s="3139" t="s">
        <v>6921</v>
      </c>
      <c r="BI14" s="3139" t="s">
        <v>6936</v>
      </c>
    </row>
    <row r="15" spans="1:61" ht="12" customHeight="1" thickBot="1" x14ac:dyDescent="0.25">
      <c r="A15" s="29"/>
      <c r="B15" s="874"/>
      <c r="C15" s="4921"/>
      <c r="D15" s="4922"/>
      <c r="E15" s="4923"/>
      <c r="F15" s="4924"/>
      <c r="G15" s="1531"/>
      <c r="H15" s="665">
        <f t="shared" ref="H15:H25" si="3">IF(C15="",0,MIN(100,G15/VLOOKUP(C15,Tabla_VíasOpuestas,7,FALSE)+VLOOKUP(C15,Tabla_VíasOpuestas,5,FALSE)))</f>
        <v>0</v>
      </c>
      <c r="I15" s="675">
        <f>IF(H15&gt;3,VLOOKUP(H15,Tabla_NumeroConjurosLA,IF(VLOOKUP(C15,ViasMayores,2,FALSE)="Mayor",2,3))-IF(Místicos!E15=0,0,TRUNC((H15+6)/10)),0)</f>
        <v>0</v>
      </c>
      <c r="J15" s="4945"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946"/>
      <c r="L15" s="4946"/>
      <c r="M15" s="4947"/>
      <c r="O15" s="4997"/>
      <c r="P15" s="4998"/>
      <c r="Q15" s="5000"/>
      <c r="S15" s="577"/>
      <c r="T15" s="484" t="str">
        <f t="shared" si="0"/>
        <v>Conjuros</v>
      </c>
      <c r="U15" s="29"/>
      <c r="V15" s="672">
        <f>IF(AC15="",0,VLOOKUP(AC15,Tablas!$M$1076:$N$1085,2))</f>
        <v>0</v>
      </c>
      <c r="W15" s="4169"/>
      <c r="X15" s="4863"/>
      <c r="Y15" s="4771"/>
      <c r="Z15" s="4772"/>
      <c r="AA15" s="4772"/>
      <c r="AB15" s="4773"/>
      <c r="AC15" s="541" t="str">
        <f>IF(Místicos!Y15=0,"",VLOOKUP(Místicos!Y15,Tabla_Conjuros,3,FALSE))</f>
        <v/>
      </c>
      <c r="AD15" s="2364" t="str">
        <f t="shared" si="1"/>
        <v/>
      </c>
      <c r="AE15" s="4789"/>
      <c r="AF15" s="4764"/>
      <c r="AG15" s="4771"/>
      <c r="AH15" s="4772"/>
      <c r="AI15" s="4772"/>
      <c r="AJ15" s="4773"/>
      <c r="AK15" s="1539"/>
      <c r="AL15" s="1164">
        <f>IF(Místicos!AG15=0,0,VLOOKUP(Místicos!AG15,Tabla_Conjuros,3,FALSE)-10)</f>
        <v>0</v>
      </c>
      <c r="AM15" s="1334" t="str">
        <f t="shared" si="2"/>
        <v>Conjuros_LibreAcceso</v>
      </c>
      <c r="AN15" s="1334" t="str">
        <f>AE15&amp;COUNTIF($AE$12:AF15,AE15)</f>
        <v>0</v>
      </c>
      <c r="AO15" s="2938" t="b">
        <f>ISNUMBER(SEARCH(AE15,VLOOKUP(AG15,'Tablas Magia'!$D$6:$AA$680,24,FALSE)))</f>
        <v>0</v>
      </c>
      <c r="AP15" s="712" t="s">
        <v>1402</v>
      </c>
      <c r="AQ15" s="4785" t="s">
        <v>6853</v>
      </c>
      <c r="AR15" s="4785"/>
      <c r="AS15" s="713" t="s">
        <v>1565</v>
      </c>
      <c r="AT15" s="172" t="s">
        <v>134</v>
      </c>
      <c r="AU15" s="172" t="s">
        <v>2168</v>
      </c>
      <c r="AV15" s="172" t="s">
        <v>1464</v>
      </c>
      <c r="AW15" s="711" t="s">
        <v>6880</v>
      </c>
      <c r="AX15" s="738"/>
      <c r="AY15" s="574"/>
      <c r="AZ15" s="3153"/>
      <c r="BA15" s="3139" t="s">
        <v>7156</v>
      </c>
      <c r="BB15" s="3139" t="s">
        <v>6921</v>
      </c>
      <c r="BC15" s="3139" t="s">
        <v>1576</v>
      </c>
      <c r="BD15" s="3139" t="s">
        <v>6928</v>
      </c>
      <c r="BE15" s="3139" t="s">
        <v>6951</v>
      </c>
      <c r="BF15" s="3139" t="s">
        <v>6931</v>
      </c>
      <c r="BG15" s="3139">
        <v>0</v>
      </c>
      <c r="BH15" s="3139" t="s">
        <v>6921</v>
      </c>
      <c r="BI15" s="3139" t="s">
        <v>6937</v>
      </c>
    </row>
    <row r="16" spans="1:61" ht="12" customHeight="1" thickBot="1" x14ac:dyDescent="0.25">
      <c r="A16" s="29"/>
      <c r="B16" s="874"/>
      <c r="C16" s="4872"/>
      <c r="D16" s="4873"/>
      <c r="E16" s="4877"/>
      <c r="F16" s="4878"/>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4166"/>
      <c r="X16" s="4761"/>
      <c r="Y16" s="4768"/>
      <c r="Z16" s="4769"/>
      <c r="AA16" s="4769"/>
      <c r="AB16" s="4770"/>
      <c r="AC16" s="542" t="str">
        <f>IF(Místicos!Y16=0,"",VLOOKUP(Místicos!Y16,Tabla_Conjuros,3,FALSE))</f>
        <v/>
      </c>
      <c r="AD16" s="2364" t="str">
        <f t="shared" si="1"/>
        <v/>
      </c>
      <c r="AE16" s="4166"/>
      <c r="AF16" s="4761"/>
      <c r="AG16" s="4768"/>
      <c r="AH16" s="4769"/>
      <c r="AI16" s="4769"/>
      <c r="AJ16" s="4770"/>
      <c r="AK16" s="1470"/>
      <c r="AL16" s="1164">
        <f>IF(Místicos!AG16=0,0,VLOOKUP(Místicos!AG16,Tabla_Conjuros,3,FALSE)-10)</f>
        <v>0</v>
      </c>
      <c r="AM16" s="1334" t="str">
        <f t="shared" si="2"/>
        <v>Conjuros_LibreAcceso</v>
      </c>
      <c r="AN16" s="1334" t="str">
        <f>AE16&amp;COUNTIF($AE$12:AF16,AE16)</f>
        <v>0</v>
      </c>
      <c r="AO16" s="2938" t="b">
        <f>ISNUMBER(SEARCH(AE16,VLOOKUP(AG16,'Tablas Magia'!$D$6:$AA$680,24,FALSE)))</f>
        <v>0</v>
      </c>
      <c r="AP16" s="718">
        <v>1</v>
      </c>
      <c r="AQ16" s="4810">
        <f>VLOOKUP(AP16,Tabla_MagiaNatural_DifBase,2,FALSE)+IF(NOT($AT$10="Magia Natural"),4,0)+IF($AS$32="",0,IF(ISNUMBER(SEARCH("(",$AS$32)),-4,-2))</f>
        <v>18</v>
      </c>
      <c r="AR16" s="4810"/>
      <c r="AS16" s="716">
        <v>20</v>
      </c>
      <c r="AT16" s="717" t="s">
        <v>1381</v>
      </c>
      <c r="AU16" s="717">
        <v>40</v>
      </c>
      <c r="AV16" s="717">
        <v>80</v>
      </c>
      <c r="AW16" s="719">
        <v>4</v>
      </c>
      <c r="AX16" s="738"/>
      <c r="AY16" s="574"/>
      <c r="AZ16" s="3153"/>
      <c r="BA16" s="3139" t="s">
        <v>7157</v>
      </c>
      <c r="BB16" s="3139" t="s">
        <v>6921</v>
      </c>
      <c r="BC16" s="3139" t="s">
        <v>6919</v>
      </c>
      <c r="BD16" s="3139" t="s">
        <v>6058</v>
      </c>
      <c r="BE16" s="3139" t="s">
        <v>6952</v>
      </c>
      <c r="BF16" s="3139" t="s">
        <v>6932</v>
      </c>
      <c r="BG16" s="3139">
        <v>20</v>
      </c>
      <c r="BH16" s="3139" t="s">
        <v>6921</v>
      </c>
      <c r="BI16" s="3139" t="s">
        <v>6937</v>
      </c>
    </row>
    <row r="17" spans="1:61" ht="12" customHeight="1" thickBot="1" x14ac:dyDescent="0.25">
      <c r="A17" s="29"/>
      <c r="B17" s="874"/>
      <c r="C17" s="4931"/>
      <c r="D17" s="4932"/>
      <c r="E17" s="4888"/>
      <c r="F17" s="4889"/>
      <c r="G17" s="1532"/>
      <c r="H17" s="665">
        <f t="shared" si="3"/>
        <v>0</v>
      </c>
      <c r="I17" s="675">
        <f>IF(H17&gt;3,VLOOKUP(H17,Tabla_NumeroConjurosLA,IF(VLOOKUP(C17,ViasMayores,2,FALSE)="Mayor",2,3))-IF(Místicos!E17=0,0,TRUNC((H17+6)/10)),0)</f>
        <v>0</v>
      </c>
      <c r="J17" s="4992" t="s">
        <v>2661</v>
      </c>
      <c r="K17" s="4993"/>
      <c r="L17" s="4993"/>
      <c r="M17" s="4993"/>
      <c r="N17" s="4993"/>
      <c r="O17" s="4993"/>
      <c r="P17" s="4993"/>
      <c r="Q17" s="4994"/>
      <c r="S17" s="577"/>
      <c r="T17" s="484" t="str">
        <f t="shared" si="0"/>
        <v>Conjuros</v>
      </c>
      <c r="U17" s="29"/>
      <c r="V17" s="672">
        <f>IF(AC17="",0,VLOOKUP(AC17,Tablas!$M$1076:$N$1085,2))</f>
        <v>0</v>
      </c>
      <c r="W17" s="4169"/>
      <c r="X17" s="4863"/>
      <c r="Y17" s="4771"/>
      <c r="Z17" s="4772"/>
      <c r="AA17" s="4772"/>
      <c r="AB17" s="4773"/>
      <c r="AC17" s="541" t="str">
        <f>IF(Místicos!Y17=0,"",VLOOKUP(Místicos!Y17,Tabla_Conjuros,3,FALSE))</f>
        <v/>
      </c>
      <c r="AD17" s="2364" t="str">
        <f t="shared" si="1"/>
        <v/>
      </c>
      <c r="AE17" s="4789"/>
      <c r="AF17" s="4764"/>
      <c r="AG17" s="4771"/>
      <c r="AH17" s="4772"/>
      <c r="AI17" s="4772"/>
      <c r="AJ17" s="4773"/>
      <c r="AK17" s="1539"/>
      <c r="AL17" s="1164">
        <f>IF(Místicos!AG17=0,0,VLOOKUP(Místicos!AG17,Tabla_Conjuros,3,FALSE)-10)</f>
        <v>0</v>
      </c>
      <c r="AM17" s="1334" t="str">
        <f t="shared" si="2"/>
        <v>Conjuros_LibreAcceso</v>
      </c>
      <c r="AN17" s="1334" t="str">
        <f>AE17&amp;COUNTIF($AE$12:AF17,AE17)</f>
        <v>0</v>
      </c>
      <c r="AO17" s="2938" t="b">
        <f>ISNUMBER(SEARCH(AE17,VLOOKUP(AG17,'Tablas Magia'!$D$6:$AA$680,24,FALSE)))</f>
        <v>0</v>
      </c>
      <c r="AP17" s="718">
        <v>2</v>
      </c>
      <c r="AQ17" s="4810">
        <f>VLOOKUP(AP17,Tabla_MagiaNatural_DifBase,2,FALSE)+IF(NOT($AT$10="Magia Natural"),4,0)+IF($AS$32="",0,IF(ISNUMBER(SEARCH("(",$AS$32)),-4,-2))</f>
        <v>22</v>
      </c>
      <c r="AR17" s="4810"/>
      <c r="AS17" s="716">
        <v>50</v>
      </c>
      <c r="AT17" s="717" t="s">
        <v>5603</v>
      </c>
      <c r="AU17" s="717">
        <v>150</v>
      </c>
      <c r="AV17" s="717">
        <v>100</v>
      </c>
      <c r="AW17" s="719">
        <v>6</v>
      </c>
      <c r="AX17" s="738"/>
      <c r="AY17" s="574"/>
      <c r="AZ17" s="3153"/>
      <c r="BA17" s="3139" t="s">
        <v>7158</v>
      </c>
      <c r="BB17" s="3139" t="s">
        <v>6921</v>
      </c>
      <c r="BC17" s="3139" t="s">
        <v>6920</v>
      </c>
      <c r="BD17" s="3139" t="s">
        <v>3379</v>
      </c>
      <c r="BE17" s="3139" t="s">
        <v>6953</v>
      </c>
      <c r="BF17" s="3139" t="s">
        <v>6933</v>
      </c>
      <c r="BG17" s="3139">
        <v>40</v>
      </c>
      <c r="BH17" s="3139" t="s">
        <v>6921</v>
      </c>
      <c r="BI17" s="3139" t="s">
        <v>6938</v>
      </c>
    </row>
    <row r="18" spans="1:61" ht="12" customHeight="1" x14ac:dyDescent="0.2">
      <c r="A18" s="29"/>
      <c r="B18" s="874"/>
      <c r="C18" s="5005"/>
      <c r="D18" s="5006"/>
      <c r="E18" s="4877"/>
      <c r="F18" s="4878"/>
      <c r="G18" s="1535"/>
      <c r="H18" s="666">
        <f t="shared" si="3"/>
        <v>0</v>
      </c>
      <c r="I18" s="675">
        <f>IF(H18&gt;3,VLOOKUP(H18,Tabla_NumeroConjurosLA,IF(VLOOKUP(C18,ViasMayores,2,FALSE)="Mayor",2,3))-IF(Místicos!E18=0,0,TRUNC((H18+6)/10)),0)</f>
        <v>0</v>
      </c>
      <c r="J18" s="4967" t="s">
        <v>1701</v>
      </c>
      <c r="K18" s="4969">
        <f>Zeón_final+L20</f>
        <v>0</v>
      </c>
      <c r="L18" s="4970"/>
      <c r="M18" s="4943"/>
      <c r="N18" s="4943"/>
      <c r="O18" s="4943"/>
      <c r="P18" s="4943"/>
      <c r="Q18" s="4944"/>
      <c r="S18" s="577"/>
      <c r="T18" s="484" t="str">
        <f t="shared" si="0"/>
        <v>Conjuros</v>
      </c>
      <c r="U18" s="29"/>
      <c r="V18" s="672">
        <f>IF(AC18="",0,VLOOKUP(AC18,Tablas!$M$1076:$N$1085,2))</f>
        <v>0</v>
      </c>
      <c r="W18" s="4166"/>
      <c r="X18" s="4761"/>
      <c r="Y18" s="4768"/>
      <c r="Z18" s="4769"/>
      <c r="AA18" s="4769"/>
      <c r="AB18" s="4770"/>
      <c r="AC18" s="542" t="str">
        <f>IF(Místicos!Y18=0,"",VLOOKUP(Místicos!Y18,Tabla_Conjuros,3,FALSE))</f>
        <v/>
      </c>
      <c r="AD18" s="2364" t="str">
        <f t="shared" si="1"/>
        <v/>
      </c>
      <c r="AE18" s="4166"/>
      <c r="AF18" s="4761"/>
      <c r="AG18" s="4768"/>
      <c r="AH18" s="4769"/>
      <c r="AI18" s="4769"/>
      <c r="AJ18" s="4770"/>
      <c r="AK18" s="1470"/>
      <c r="AL18" s="1164">
        <f>IF(Místicos!AG18=0,0,VLOOKUP(Místicos!AG18,Tabla_Conjuros,3,FALSE)-10)</f>
        <v>0</v>
      </c>
      <c r="AM18" s="1334" t="str">
        <f t="shared" si="2"/>
        <v>Conjuros_LibreAcceso</v>
      </c>
      <c r="AN18" s="1334" t="str">
        <f>AE18&amp;COUNTIF($AE$12:AF18,AE18)</f>
        <v>0</v>
      </c>
      <c r="AO18" s="2938" t="b">
        <f>ISNUMBER(SEARCH(AE18,VLOOKUP(AG18,'Tablas Magia'!$D$6:$AA$680,24,FALSE)))</f>
        <v>0</v>
      </c>
      <c r="AP18" s="718">
        <v>3</v>
      </c>
      <c r="AQ18" s="4810">
        <f>VLOOKUP(AP18,Tabla_MagiaNatural_DifBase,2,FALSE)+IF(NOT($AT$10="Magia Natural"),4,0)+IF($AS$32="",0,IF(ISNUMBER(SEARCH("(",$AS$32)),-4,-2))</f>
        <v>28</v>
      </c>
      <c r="AR18" s="4810"/>
      <c r="AS18" s="716">
        <v>100</v>
      </c>
      <c r="AT18" s="717" t="s">
        <v>6896</v>
      </c>
      <c r="AU18" s="717">
        <v>500</v>
      </c>
      <c r="AV18" s="717">
        <v>120</v>
      </c>
      <c r="AW18" s="719">
        <v>9</v>
      </c>
      <c r="AX18" s="738"/>
      <c r="AY18" s="574"/>
      <c r="AZ18" s="3153"/>
      <c r="BA18" s="3139" t="s">
        <v>7159</v>
      </c>
      <c r="BB18" s="3139" t="s">
        <v>6921</v>
      </c>
      <c r="BC18" s="3139" t="s">
        <v>6921</v>
      </c>
      <c r="BD18" s="3139" t="s">
        <v>3380</v>
      </c>
      <c r="BE18" s="3139" t="s">
        <v>6954</v>
      </c>
      <c r="BF18" s="3139" t="s">
        <v>6921</v>
      </c>
      <c r="BG18" s="3139">
        <v>80</v>
      </c>
      <c r="BH18" s="3139" t="s">
        <v>6921</v>
      </c>
      <c r="BI18" s="3139" t="s">
        <v>6921</v>
      </c>
    </row>
    <row r="19" spans="1:61" ht="12" customHeight="1" x14ac:dyDescent="0.2">
      <c r="A19" s="29"/>
      <c r="B19" s="874"/>
      <c r="C19" s="4931"/>
      <c r="D19" s="4932"/>
      <c r="E19" s="4888"/>
      <c r="F19" s="4889"/>
      <c r="G19" s="1532"/>
      <c r="H19" s="665">
        <f t="shared" si="3"/>
        <v>0</v>
      </c>
      <c r="I19" s="675">
        <f>IF(H19&gt;3,VLOOKUP(H19,Tabla_NumeroConjurosLA,IF(VLOOKUP(C19,ViasMayores,2,FALSE)="Mayor",2,3))-IF(Místicos!E19=0,0,TRUNC((H19+6)/10)),0)</f>
        <v>0</v>
      </c>
      <c r="J19" s="4968"/>
      <c r="K19" s="4971"/>
      <c r="L19" s="4972"/>
      <c r="M19" s="4943"/>
      <c r="N19" s="4943"/>
      <c r="O19" s="4943"/>
      <c r="P19" s="4943"/>
      <c r="Q19" s="4944"/>
      <c r="S19" s="577"/>
      <c r="T19" s="484" t="str">
        <f t="shared" si="0"/>
        <v>Conjuros</v>
      </c>
      <c r="U19" s="29"/>
      <c r="V19" s="672">
        <f>IF(AC19="",0,VLOOKUP(AC19,Tablas!$M$1076:$N$1085,2))</f>
        <v>0</v>
      </c>
      <c r="W19" s="4169"/>
      <c r="X19" s="4863"/>
      <c r="Y19" s="4771"/>
      <c r="Z19" s="4772"/>
      <c r="AA19" s="4772"/>
      <c r="AB19" s="4773"/>
      <c r="AC19" s="541" t="str">
        <f>IF(Místicos!Y19=0,"",VLOOKUP(Místicos!Y19,Tabla_Conjuros,3,FALSE))</f>
        <v/>
      </c>
      <c r="AD19" s="2364" t="str">
        <f t="shared" si="1"/>
        <v/>
      </c>
      <c r="AE19" s="4789"/>
      <c r="AF19" s="4764"/>
      <c r="AG19" s="4771"/>
      <c r="AH19" s="4772"/>
      <c r="AI19" s="4772"/>
      <c r="AJ19" s="4773"/>
      <c r="AK19" s="1539"/>
      <c r="AL19" s="1164">
        <f>IF(Místicos!AG19=0,0,VLOOKUP(Místicos!AG19,Tabla_Conjuros,3,FALSE)-10)</f>
        <v>0</v>
      </c>
      <c r="AM19" s="1334" t="str">
        <f t="shared" si="2"/>
        <v>Conjuros_LibreAcceso</v>
      </c>
      <c r="AN19" s="1334" t="str">
        <f>AE19&amp;COUNTIF($AE$12:AF19,AE19)</f>
        <v>0</v>
      </c>
      <c r="AO19" s="2938" t="b">
        <f>ISNUMBER(SEARCH(AE19,VLOOKUP(AG19,'Tablas Magia'!$D$6:$AA$680,24,FALSE)))</f>
        <v>0</v>
      </c>
      <c r="AP19" s="718">
        <v>4</v>
      </c>
      <c r="AQ19" s="4810">
        <f>VLOOKUP(AP19,Tabla_MagiaNatural_DifBase,2,FALSE)+IF(NOT($AT$10="Magia Natural"),4,0)+IF($AS$32="",0,IF(ISNUMBER(SEARCH("(",$AS$32)),-4,-2))</f>
        <v>34</v>
      </c>
      <c r="AR19" s="4810"/>
      <c r="AS19" s="716">
        <v>150</v>
      </c>
      <c r="AT19" s="717" t="s">
        <v>5606</v>
      </c>
      <c r="AU19" s="717">
        <v>1000</v>
      </c>
      <c r="AV19" s="717">
        <v>160</v>
      </c>
      <c r="AW19" s="719">
        <v>12</v>
      </c>
      <c r="AX19" s="738"/>
      <c r="AY19" s="574"/>
      <c r="AZ19" s="3153"/>
      <c r="BA19" s="3139" t="s">
        <v>7160</v>
      </c>
      <c r="BB19" s="3139" t="s">
        <v>6921</v>
      </c>
      <c r="BC19" s="3139" t="s">
        <v>6921</v>
      </c>
      <c r="BD19" s="3139" t="s">
        <v>3381</v>
      </c>
      <c r="BE19" s="3139" t="s">
        <v>6955</v>
      </c>
      <c r="BF19" s="3139"/>
      <c r="BG19" s="3139">
        <v>120</v>
      </c>
      <c r="BH19" s="3139" t="s">
        <v>6921</v>
      </c>
      <c r="BI19" s="3139" t="s">
        <v>6921</v>
      </c>
    </row>
    <row r="20" spans="1:61" ht="12" customHeight="1" thickBot="1" x14ac:dyDescent="0.25">
      <c r="A20" s="29"/>
      <c r="B20" s="874"/>
      <c r="C20" s="4872"/>
      <c r="D20" s="4873"/>
      <c r="E20" s="4877"/>
      <c r="F20" s="4878"/>
      <c r="G20" s="1535"/>
      <c r="H20" s="666">
        <f t="shared" si="3"/>
        <v>0</v>
      </c>
      <c r="I20" s="675">
        <f>IF(H20&gt;3,VLOOKUP(H20,Tabla_NumeroConjurosLA,IF(VLOOKUP(C20,ViasMayores,2,FALSE)="Mayor",2,3))-IF(Místicos!E20=0,0,TRUNC((H20+6)/10)),0)</f>
        <v>0</v>
      </c>
      <c r="J20" s="5007" t="s">
        <v>1702</v>
      </c>
      <c r="K20" s="5008"/>
      <c r="L20" s="2216"/>
      <c r="M20" s="4943"/>
      <c r="N20" s="4943"/>
      <c r="O20" s="4943"/>
      <c r="P20" s="4943"/>
      <c r="Q20" s="4944"/>
      <c r="S20" s="577"/>
      <c r="T20" s="484" t="str">
        <f t="shared" si="0"/>
        <v>Conjuros</v>
      </c>
      <c r="U20" s="29"/>
      <c r="V20" s="672">
        <f>IF(AC20="",0,VLOOKUP(AC20,Tablas!$M$1076:$N$1085,2))</f>
        <v>0</v>
      </c>
      <c r="W20" s="4166"/>
      <c r="X20" s="4761"/>
      <c r="Y20" s="4768"/>
      <c r="Z20" s="4769"/>
      <c r="AA20" s="4769"/>
      <c r="AB20" s="4770"/>
      <c r="AC20" s="542" t="str">
        <f>IF(Místicos!Y20=0,"",VLOOKUP(Místicos!Y20,Tabla_Conjuros,3,FALSE))</f>
        <v/>
      </c>
      <c r="AD20" s="2364" t="str">
        <f t="shared" si="1"/>
        <v/>
      </c>
      <c r="AE20" s="4166"/>
      <c r="AF20" s="4761"/>
      <c r="AG20" s="4768"/>
      <c r="AH20" s="4769"/>
      <c r="AI20" s="4769"/>
      <c r="AJ20" s="4770"/>
      <c r="AK20" s="1470"/>
      <c r="AL20" s="1164">
        <f>IF(Místicos!AG20=0,0,VLOOKUP(Místicos!AG20,Tabla_Conjuros,3,FALSE)-10)</f>
        <v>0</v>
      </c>
      <c r="AM20" s="1334" t="str">
        <f t="shared" si="2"/>
        <v>Conjuros_LibreAcceso</v>
      </c>
      <c r="AN20" s="1334" t="str">
        <f>AE20&amp;COUNTIF($AE$12:AF20,AE20)</f>
        <v>0</v>
      </c>
      <c r="AO20" s="2938" t="b">
        <f>ISNUMBER(SEARCH(AE20,VLOOKUP(AG20,'Tablas Magia'!$D$6:$AA$680,24,FALSE)))</f>
        <v>0</v>
      </c>
      <c r="AP20" s="720">
        <v>5</v>
      </c>
      <c r="AQ20" s="4811">
        <f>VLOOKUP(AP20,Tabla_MagiaNatural_DifBase,2,FALSE)+IF(NOT($AT$10="Magia Natural"),4,0)+IF($AS$32="",0,IF(ISNUMBER(SEARCH("(",$AS$32)),-4,-2))</f>
        <v>40</v>
      </c>
      <c r="AR20" s="4811"/>
      <c r="AS20" s="721">
        <v>250</v>
      </c>
      <c r="AT20" s="722" t="s">
        <v>6895</v>
      </c>
      <c r="AU20" s="722">
        <v>2500</v>
      </c>
      <c r="AV20" s="722">
        <v>180</v>
      </c>
      <c r="AW20" s="723">
        <v>16</v>
      </c>
      <c r="AX20" s="738"/>
      <c r="AY20" s="574"/>
      <c r="AZ20" s="3153"/>
      <c r="BA20" s="3139" t="s">
        <v>2764</v>
      </c>
      <c r="BB20" s="3139" t="s">
        <v>6921</v>
      </c>
      <c r="BC20" s="3139" t="s">
        <v>6921</v>
      </c>
      <c r="BD20" s="3139" t="s">
        <v>6921</v>
      </c>
      <c r="BE20" s="3139" t="s">
        <v>6921</v>
      </c>
      <c r="BF20" s="3139" t="s">
        <v>6939</v>
      </c>
      <c r="BG20" s="3139" t="s">
        <v>6921</v>
      </c>
      <c r="BH20" s="3139" t="s">
        <v>6921</v>
      </c>
      <c r="BI20" s="3139" t="s">
        <v>6921</v>
      </c>
    </row>
    <row r="21" spans="1:61" ht="12" customHeight="1" thickBot="1" x14ac:dyDescent="0.25">
      <c r="A21" s="29"/>
      <c r="B21" s="874"/>
      <c r="C21" s="4886"/>
      <c r="D21" s="4887"/>
      <c r="E21" s="4888"/>
      <c r="F21" s="4889"/>
      <c r="G21" s="1532"/>
      <c r="H21" s="665">
        <f t="shared" si="3"/>
        <v>0</v>
      </c>
      <c r="I21" s="675">
        <f>IF(H21&gt;3,VLOOKUP(H21,Tabla_NumeroConjurosLA,IF(VLOOKUP(C21,ViasMayores,2,FALSE)="Mayor",2,3))-IF(Místicos!E21=0,0,TRUNC((H21+6)/10)),0)</f>
        <v>0</v>
      </c>
      <c r="J21" s="4890" t="s">
        <v>1704</v>
      </c>
      <c r="K21" s="4891"/>
      <c r="L21" s="2750"/>
      <c r="M21" s="4943"/>
      <c r="N21" s="4943"/>
      <c r="O21" s="4943"/>
      <c r="P21" s="4943"/>
      <c r="Q21" s="4944"/>
      <c r="S21" s="577"/>
      <c r="T21" s="484" t="str">
        <f t="shared" si="0"/>
        <v>Conjuros</v>
      </c>
      <c r="U21" s="29"/>
      <c r="V21" s="672">
        <f>IF(AC21="",0,VLOOKUP(AC21,Tablas!$M$1076:$N$1085,2))</f>
        <v>0</v>
      </c>
      <c r="W21" s="4169"/>
      <c r="X21" s="4863"/>
      <c r="Y21" s="4771"/>
      <c r="Z21" s="4772"/>
      <c r="AA21" s="4772"/>
      <c r="AB21" s="4773"/>
      <c r="AC21" s="541" t="str">
        <f>IF(Místicos!Y21=0,"",VLOOKUP(Místicos!Y21,Tabla_Conjuros,3,FALSE))</f>
        <v/>
      </c>
      <c r="AD21" s="2364" t="str">
        <f t="shared" si="1"/>
        <v/>
      </c>
      <c r="AE21" s="4789"/>
      <c r="AF21" s="4764"/>
      <c r="AG21" s="4771"/>
      <c r="AH21" s="4772"/>
      <c r="AI21" s="4772"/>
      <c r="AJ21" s="4773"/>
      <c r="AK21" s="1539"/>
      <c r="AL21" s="1164">
        <f>IF(Místicos!AG21=0,0,VLOOKUP(Místicos!AG21,Tabla_Conjuros,3,FALSE)-10)</f>
        <v>0</v>
      </c>
      <c r="AM21" s="1334" t="str">
        <f t="shared" si="2"/>
        <v>Conjuros_LibreAcceso</v>
      </c>
      <c r="AN21" s="1334" t="str">
        <f>AE21&amp;COUNTIF($AE$12:AF21,AE21)</f>
        <v>0</v>
      </c>
      <c r="AO21" s="2938" t="b">
        <f>ISNUMBER(SEARCH(AE21,VLOOKUP(AG21,'Tablas Magia'!$D$6:$AA$680,24,FALSE)))</f>
        <v>0</v>
      </c>
      <c r="AX21" s="738"/>
      <c r="AY21" s="574"/>
      <c r="AZ21" s="3153"/>
      <c r="BA21" s="3139" t="s">
        <v>6921</v>
      </c>
      <c r="BB21" s="3139" t="s">
        <v>6921</v>
      </c>
      <c r="BC21" s="3139" t="s">
        <v>6940</v>
      </c>
      <c r="BD21" s="3139" t="s">
        <v>6921</v>
      </c>
      <c r="BE21" s="3139" t="s">
        <v>6947</v>
      </c>
      <c r="BF21" s="3139" t="s">
        <v>6943</v>
      </c>
      <c r="BG21" s="3139" t="s">
        <v>6921</v>
      </c>
      <c r="BH21" s="3139" t="s">
        <v>6921</v>
      </c>
      <c r="BI21" s="3139" t="s">
        <v>6921</v>
      </c>
    </row>
    <row r="22" spans="1:61" ht="12" customHeight="1" thickBot="1" x14ac:dyDescent="0.25">
      <c r="A22" s="29"/>
      <c r="B22" s="874"/>
      <c r="C22" s="4872"/>
      <c r="D22" s="4873"/>
      <c r="E22" s="4877"/>
      <c r="F22" s="4878"/>
      <c r="G22" s="1535"/>
      <c r="H22" s="666">
        <f t="shared" si="3"/>
        <v>0</v>
      </c>
      <c r="I22" s="675">
        <f>IF(H22&gt;3,VLOOKUP(H22,Tabla_NumeroConjurosLA,IF(VLOOKUP(C22,ViasMayores,2,FALSE)="Mayor",2,3))-IF(Místicos!E22=0,0,TRUNC((H22+6)/10)),0)</f>
        <v>0</v>
      </c>
      <c r="J22" s="4874" t="str">
        <f>IF(AT10="Onmyodo","Zeon invertido en ofudas: "&amp;SUM(AW62:AW72),"")</f>
        <v/>
      </c>
      <c r="K22" s="4875"/>
      <c r="L22" s="4875"/>
      <c r="M22" s="4875"/>
      <c r="N22" s="4875"/>
      <c r="O22" s="4875"/>
      <c r="P22" s="4875"/>
      <c r="Q22" s="4876"/>
      <c r="S22" s="577"/>
      <c r="T22" s="484" t="str">
        <f t="shared" si="0"/>
        <v>Conjuros</v>
      </c>
      <c r="U22" s="29"/>
      <c r="V22" s="672">
        <f>IF(AC22="",0,VLOOKUP(AC22,Tablas!$M$1076:$N$1085,2))</f>
        <v>0</v>
      </c>
      <c r="W22" s="4166"/>
      <c r="X22" s="4761"/>
      <c r="Y22" s="4768"/>
      <c r="Z22" s="4769"/>
      <c r="AA22" s="4769"/>
      <c r="AB22" s="4770"/>
      <c r="AC22" s="542" t="str">
        <f>IF(Místicos!Y22=0,"",VLOOKUP(Místicos!Y22,Tabla_Conjuros,3,FALSE))</f>
        <v/>
      </c>
      <c r="AD22" s="2364" t="str">
        <f t="shared" si="1"/>
        <v/>
      </c>
      <c r="AE22" s="4166"/>
      <c r="AF22" s="4761"/>
      <c r="AG22" s="4768"/>
      <c r="AH22" s="4769"/>
      <c r="AI22" s="4769"/>
      <c r="AJ22" s="4770"/>
      <c r="AK22" s="1470"/>
      <c r="AL22" s="1164">
        <f>IF(Místicos!AG22=0,0,VLOOKUP(Místicos!AG22,Tabla_Conjuros,3,FALSE)-10)</f>
        <v>0</v>
      </c>
      <c r="AM22" s="1334" t="str">
        <f t="shared" si="2"/>
        <v>Conjuros_LibreAcceso</v>
      </c>
      <c r="AN22" s="1334" t="str">
        <f>AE22&amp;COUNTIF($AE$12:AF22,AE22)</f>
        <v>0</v>
      </c>
      <c r="AO22" s="2938" t="b">
        <f>ISNUMBER(SEARCH(AE22,VLOOKUP(AG22,'Tablas Magia'!$D$6:$AA$680,24,FALSE)))</f>
        <v>0</v>
      </c>
      <c r="AP22" s="4808" t="s">
        <v>6903</v>
      </c>
      <c r="AQ22" s="4806"/>
      <c r="AR22" s="4806"/>
      <c r="AS22" s="4806"/>
      <c r="AT22" s="4806"/>
      <c r="AU22" s="4806"/>
      <c r="AV22" s="4806"/>
      <c r="AW22" s="4807"/>
      <c r="AX22" s="738"/>
      <c r="AY22" s="574"/>
      <c r="AZ22" s="3153"/>
      <c r="BA22" s="3139" t="s">
        <v>6921</v>
      </c>
      <c r="BB22" s="3139" t="s">
        <v>6921</v>
      </c>
      <c r="BC22" s="3085" t="s">
        <v>6941</v>
      </c>
      <c r="BD22" s="3139" t="s">
        <v>6921</v>
      </c>
      <c r="BE22" s="3139" t="s">
        <v>6945</v>
      </c>
      <c r="BF22" s="3085" t="s">
        <v>1455</v>
      </c>
      <c r="BG22" s="3139" t="s">
        <v>6921</v>
      </c>
      <c r="BH22" s="3139" t="s">
        <v>6921</v>
      </c>
      <c r="BI22" s="3085"/>
    </row>
    <row r="23" spans="1:61" ht="12" customHeight="1" thickBot="1" x14ac:dyDescent="0.25">
      <c r="A23" s="29"/>
      <c r="B23" s="874"/>
      <c r="C23" s="4886"/>
      <c r="D23" s="4887"/>
      <c r="E23" s="4888"/>
      <c r="F23" s="4889"/>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4169"/>
      <c r="X23" s="4863"/>
      <c r="Y23" s="4771"/>
      <c r="Z23" s="4772"/>
      <c r="AA23" s="4772"/>
      <c r="AB23" s="4773"/>
      <c r="AC23" s="541" t="str">
        <f>IF(Místicos!Y23=0,"",VLOOKUP(Místicos!Y23,Tabla_Conjuros,3,FALSE))</f>
        <v/>
      </c>
      <c r="AD23" s="2364" t="str">
        <f t="shared" si="1"/>
        <v/>
      </c>
      <c r="AE23" s="4789"/>
      <c r="AF23" s="4764"/>
      <c r="AG23" s="4771"/>
      <c r="AH23" s="4772"/>
      <c r="AI23" s="4772"/>
      <c r="AJ23" s="4773"/>
      <c r="AK23" s="1539"/>
      <c r="AL23" s="1164">
        <f>IF(Místicos!AG23=0,0,VLOOKUP(Místicos!AG23,Tabla_Conjuros,3,FALSE)-10)</f>
        <v>0</v>
      </c>
      <c r="AM23" s="1334" t="str">
        <f t="shared" si="2"/>
        <v>Conjuros_LibreAcceso</v>
      </c>
      <c r="AN23" s="1334" t="str">
        <f>AE23&amp;COUNTIF($AE$12:AF23,AE23)</f>
        <v>0</v>
      </c>
      <c r="AO23" s="2938" t="b">
        <f>ISNUMBER(SEARCH(AE23,VLOOKUP(AG23,'Tablas Magia'!$D$6:$AA$680,24,FALSE)))</f>
        <v>0</v>
      </c>
      <c r="AP23" s="4800" t="s">
        <v>6854</v>
      </c>
      <c r="AQ23" s="4785"/>
      <c r="AR23" s="1445" t="s">
        <v>6904</v>
      </c>
      <c r="AS23" s="4785" t="s">
        <v>6856</v>
      </c>
      <c r="AT23" s="4785"/>
      <c r="AU23" s="1445" t="s">
        <v>6904</v>
      </c>
      <c r="AV23" s="172" t="s">
        <v>2661</v>
      </c>
      <c r="AW23" s="711" t="s">
        <v>6904</v>
      </c>
      <c r="AX23" s="738"/>
      <c r="AY23" s="574"/>
      <c r="AZ23" s="3153"/>
      <c r="BA23" s="3085"/>
      <c r="BB23" s="3085"/>
      <c r="BC23" s="3085" t="s">
        <v>6942</v>
      </c>
      <c r="BD23" s="3139" t="s">
        <v>6921</v>
      </c>
      <c r="BE23" s="3139" t="s">
        <v>6946</v>
      </c>
      <c r="BF23" s="3085" t="s">
        <v>6944</v>
      </c>
      <c r="BG23" s="3139" t="s">
        <v>6921</v>
      </c>
      <c r="BH23" s="3139" t="s">
        <v>6921</v>
      </c>
      <c r="BI23" s="3085"/>
    </row>
    <row r="24" spans="1:61" ht="12" customHeight="1" thickBot="1" x14ac:dyDescent="0.25">
      <c r="A24" s="29"/>
      <c r="B24" s="874"/>
      <c r="C24" s="4872"/>
      <c r="D24" s="4873"/>
      <c r="E24" s="4877"/>
      <c r="F24" s="4878"/>
      <c r="G24" s="1535"/>
      <c r="H24" s="666">
        <f t="shared" si="3"/>
        <v>0</v>
      </c>
      <c r="I24" s="675">
        <f>IF(H24&gt;3,VLOOKUP(H24,Tabla_NumeroConjurosLA,IF(VLOOKUP(C24,ViasMayores,2,FALSE)="Mayor",2,3))-IF(Místicos!E24=0,0,TRUNC((H24+6)/10)),0)</f>
        <v>0</v>
      </c>
      <c r="J24" s="3746" t="s">
        <v>1707</v>
      </c>
      <c r="K24" s="3503"/>
      <c r="L24" s="3503"/>
      <c r="M24" s="3685"/>
      <c r="N24" s="3503"/>
      <c r="O24" s="3503"/>
      <c r="P24" s="3503"/>
      <c r="Q24" s="3749"/>
      <c r="S24" s="577"/>
      <c r="T24" s="484" t="str">
        <f t="shared" si="0"/>
        <v>Conjuros</v>
      </c>
      <c r="U24" s="29"/>
      <c r="V24" s="672">
        <f>IF(AC24="",0,VLOOKUP(AC24,Tablas!$M$1076:$N$1085,2))</f>
        <v>0</v>
      </c>
      <c r="W24" s="4166"/>
      <c r="X24" s="4761"/>
      <c r="Y24" s="4768"/>
      <c r="Z24" s="4769"/>
      <c r="AA24" s="4769"/>
      <c r="AB24" s="4770"/>
      <c r="AC24" s="542" t="str">
        <f>IF(Místicos!Y24=0,"",VLOOKUP(Místicos!Y24,Tabla_Conjuros,3,FALSE))</f>
        <v/>
      </c>
      <c r="AD24" s="2364" t="str">
        <f t="shared" si="1"/>
        <v/>
      </c>
      <c r="AE24" s="4166"/>
      <c r="AF24" s="4761"/>
      <c r="AG24" s="4768"/>
      <c r="AH24" s="4769"/>
      <c r="AI24" s="4769"/>
      <c r="AJ24" s="4770"/>
      <c r="AK24" s="1470"/>
      <c r="AL24" s="1164">
        <f>IF(Místicos!AG24=0,0,VLOOKUP(Místicos!AG24,Tabla_Conjuros,3,FALSE)-10)</f>
        <v>0</v>
      </c>
      <c r="AM24" s="1334" t="str">
        <f t="shared" si="2"/>
        <v>Conjuros_LibreAcceso</v>
      </c>
      <c r="AN24" s="1334" t="str">
        <f>AE24&amp;COUNTIF($AE$12:AF24,AE24)</f>
        <v>0</v>
      </c>
      <c r="AO24" s="2938" t="b">
        <f>ISNUMBER(SEARCH(AE24,VLOOKUP(AG24,'Tablas Magia'!$D$6:$AA$680,24,FALSE)))</f>
        <v>0</v>
      </c>
      <c r="AP24" s="4801" t="s">
        <v>6855</v>
      </c>
      <c r="AQ24" s="4802"/>
      <c r="AR24" s="1436" t="s">
        <v>6873</v>
      </c>
      <c r="AS24" s="4809" t="s">
        <v>6857</v>
      </c>
      <c r="AT24" s="4802"/>
      <c r="AU24" s="1437" t="s">
        <v>6873</v>
      </c>
      <c r="AV24" s="1438" t="s">
        <v>6862</v>
      </c>
      <c r="AW24" s="1439" t="s">
        <v>6889</v>
      </c>
      <c r="AX24" s="738"/>
      <c r="AY24" s="574"/>
      <c r="AZ24" s="3153"/>
      <c r="BA24" s="3085" t="s">
        <v>6948</v>
      </c>
      <c r="BB24" s="3085" t="s">
        <v>6948</v>
      </c>
      <c r="BC24" s="3085" t="s">
        <v>6948</v>
      </c>
      <c r="BD24" s="3085" t="s">
        <v>6948</v>
      </c>
      <c r="BE24" s="3085" t="s">
        <v>6948</v>
      </c>
      <c r="BF24" s="3085" t="s">
        <v>6948</v>
      </c>
      <c r="BG24" s="3085" t="s">
        <v>6948</v>
      </c>
      <c r="BH24" s="3085" t="s">
        <v>6948</v>
      </c>
      <c r="BI24" s="3085" t="s">
        <v>6948</v>
      </c>
    </row>
    <row r="25" spans="1:61" ht="12" customHeight="1" x14ac:dyDescent="0.2">
      <c r="A25" s="29"/>
      <c r="B25" s="874"/>
      <c r="C25" s="5009"/>
      <c r="D25" s="5010"/>
      <c r="E25" s="4879"/>
      <c r="F25" s="4880"/>
      <c r="G25" s="1533"/>
      <c r="H25" s="667">
        <f t="shared" si="3"/>
        <v>0</v>
      </c>
      <c r="I25" s="675">
        <f>IF(H25&gt;3,VLOOKUP(H25,Tabla_NumeroConjurosLA,IF(VLOOKUP(C25,ViasMayores,2,FALSE)="Mayor",2,3))-IF(Místicos!E25=0,0,TRUNC((H25+6)/10)),0)</f>
        <v>0</v>
      </c>
      <c r="J25" s="4883" t="s">
        <v>1375</v>
      </c>
      <c r="K25" s="4884"/>
      <c r="L25" s="1596" t="s">
        <v>1417</v>
      </c>
      <c r="M25" s="1595" t="s">
        <v>1349</v>
      </c>
      <c r="N25" s="4904" t="s">
        <v>1709</v>
      </c>
      <c r="O25" s="4905"/>
      <c r="P25" s="4905"/>
      <c r="Q25" s="1597" t="str">
        <f>IF(P26="Invocador","No","Nv. "&amp;PDs!R17+Tablas!G395+2*Tablas!G396+3*Tablas!G397)</f>
        <v>Nv. 0</v>
      </c>
      <c r="S25" s="577"/>
      <c r="T25" s="484" t="str">
        <f t="shared" si="0"/>
        <v>Conjuros</v>
      </c>
      <c r="U25" s="29"/>
      <c r="V25" s="672">
        <f>IF(AC25="",0,VLOOKUP(AC25,Tablas!$M$1076:$N$1085,2))</f>
        <v>0</v>
      </c>
      <c r="W25" s="4169"/>
      <c r="X25" s="4863"/>
      <c r="Y25" s="4771"/>
      <c r="Z25" s="4772"/>
      <c r="AA25" s="4772"/>
      <c r="AB25" s="4773"/>
      <c r="AC25" s="541" t="str">
        <f>IF(Místicos!Y25=0,"",VLOOKUP(Místicos!Y25,Tabla_Conjuros,3,FALSE))</f>
        <v/>
      </c>
      <c r="AD25" s="2364" t="str">
        <f t="shared" si="1"/>
        <v/>
      </c>
      <c r="AE25" s="4789"/>
      <c r="AF25" s="4764"/>
      <c r="AG25" s="4771"/>
      <c r="AH25" s="4772"/>
      <c r="AI25" s="4772"/>
      <c r="AJ25" s="4773"/>
      <c r="AK25" s="1539"/>
      <c r="AL25" s="1164">
        <f>IF(Místicos!AG25=0,0,VLOOKUP(Místicos!AG25,Tabla_Conjuros,3,FALSE)-10)</f>
        <v>0</v>
      </c>
      <c r="AM25" s="1334" t="str">
        <f t="shared" si="2"/>
        <v>Conjuros_LibreAcceso</v>
      </c>
      <c r="AN25" s="1334" t="str">
        <f>AE25&amp;COUNTIF($AE$12:AF25,AE25)</f>
        <v>0</v>
      </c>
      <c r="AO25" s="2938" t="b">
        <f>ISNUMBER(SEARCH(AE25,VLOOKUP(AG25,'Tablas Magia'!$D$6:$AA$680,24,FALSE)))</f>
        <v>0</v>
      </c>
      <c r="AP25" s="4803" t="s">
        <v>6851</v>
      </c>
      <c r="AQ25" s="4797"/>
      <c r="AR25" s="714" t="s">
        <v>2869</v>
      </c>
      <c r="AS25" s="4796" t="s">
        <v>1731</v>
      </c>
      <c r="AT25" s="4797"/>
      <c r="AU25" s="715" t="s">
        <v>2869</v>
      </c>
      <c r="AV25" s="1426" t="s">
        <v>6863</v>
      </c>
      <c r="AW25" s="1440" t="s">
        <v>3135</v>
      </c>
      <c r="AX25" s="738"/>
      <c r="AY25" s="574"/>
      <c r="AZ25" s="3153"/>
      <c r="BA25" s="3085"/>
      <c r="BB25" s="3085"/>
      <c r="BC25" s="3085"/>
      <c r="BD25" s="3085"/>
      <c r="BE25" s="3085"/>
      <c r="BF25" s="3085"/>
      <c r="BG25" s="3085"/>
      <c r="BH25" s="3085"/>
      <c r="BI25" s="3085"/>
    </row>
    <row r="26" spans="1:61" ht="12" customHeight="1" x14ac:dyDescent="0.2">
      <c r="A26" s="29"/>
      <c r="B26" s="485"/>
      <c r="C26" s="3540" t="s">
        <v>1686</v>
      </c>
      <c r="D26" s="4870"/>
      <c r="E26" s="4870"/>
      <c r="F26" s="4870"/>
      <c r="G26" s="4871"/>
      <c r="H26" s="702">
        <f>SUM(V12:V50)</f>
        <v>0</v>
      </c>
      <c r="I26" s="768"/>
      <c r="J26" s="4881" t="s">
        <v>1514</v>
      </c>
      <c r="K26" s="4882"/>
      <c r="L26" s="2217"/>
      <c r="M26" s="1536">
        <f>Convocar_final+L26</f>
        <v>0</v>
      </c>
      <c r="N26" s="4077" t="s">
        <v>1711</v>
      </c>
      <c r="O26" s="4077"/>
      <c r="P26" s="4975"/>
      <c r="Q26" s="4976"/>
      <c r="S26" s="577"/>
      <c r="T26" s="484" t="str">
        <f t="shared" si="0"/>
        <v>Conjuros</v>
      </c>
      <c r="U26" s="29"/>
      <c r="V26" s="672">
        <f>IF(AC26="",0,VLOOKUP(AC26,Tablas!$M$1076:$N$1085,2))</f>
        <v>0</v>
      </c>
      <c r="W26" s="4166"/>
      <c r="X26" s="4761"/>
      <c r="Y26" s="4768"/>
      <c r="Z26" s="4769"/>
      <c r="AA26" s="4769"/>
      <c r="AB26" s="4770"/>
      <c r="AC26" s="542" t="str">
        <f>IF(Místicos!Y26=0,"",VLOOKUP(Místicos!Y26,Tabla_Conjuros,3,FALSE))</f>
        <v/>
      </c>
      <c r="AD26" s="2364" t="str">
        <f t="shared" si="1"/>
        <v/>
      </c>
      <c r="AE26" s="4166"/>
      <c r="AF26" s="4761"/>
      <c r="AG26" s="4768"/>
      <c r="AH26" s="4769"/>
      <c r="AI26" s="4769"/>
      <c r="AJ26" s="4770"/>
      <c r="AK26" s="1470"/>
      <c r="AL26" s="1164">
        <f>IF(Místicos!AG26=0,0,VLOOKUP(Místicos!AG26,Tabla_Conjuros,3,FALSE)-10)</f>
        <v>0</v>
      </c>
      <c r="AM26" s="1334" t="str">
        <f t="shared" si="2"/>
        <v>Conjuros_LibreAcceso</v>
      </c>
      <c r="AN26" s="1334" t="str">
        <f>AE26&amp;COUNTIF($AE$12:AF26,AE26)</f>
        <v>0</v>
      </c>
      <c r="AO26" s="2938" t="b">
        <f>ISNUMBER(SEARCH(AE26,VLOOKUP(AG26,'Tablas Magia'!$D$6:$AA$680,24,FALSE)))</f>
        <v>0</v>
      </c>
      <c r="AP26" s="4803" t="s">
        <v>6859</v>
      </c>
      <c r="AQ26" s="4797"/>
      <c r="AR26" s="714" t="s">
        <v>2869</v>
      </c>
      <c r="AS26" s="4796" t="s">
        <v>1733</v>
      </c>
      <c r="AT26" s="4797"/>
      <c r="AU26" s="715" t="s">
        <v>2830</v>
      </c>
      <c r="AV26" s="1426" t="s">
        <v>6864</v>
      </c>
      <c r="AW26" s="1424" t="s">
        <v>6873</v>
      </c>
      <c r="AX26" s="738"/>
      <c r="AY26" s="574"/>
      <c r="AZ26" s="3153"/>
      <c r="BA26" s="3085"/>
      <c r="BB26" s="3085"/>
      <c r="BC26" s="3085"/>
      <c r="BD26" s="3085"/>
      <c r="BE26" s="3085"/>
      <c r="BF26" s="3085"/>
      <c r="BG26" s="3085"/>
      <c r="BH26" s="3085"/>
      <c r="BI26" s="3085"/>
    </row>
    <row r="27" spans="1:61" ht="12" customHeight="1" thickBot="1" x14ac:dyDescent="0.25">
      <c r="A27" s="29"/>
      <c r="B27" s="485"/>
      <c r="C27" s="4892" t="s">
        <v>6843</v>
      </c>
      <c r="D27" s="4893"/>
      <c r="E27" s="4896" t="str">
        <f>Tablas!$R$1099</f>
        <v/>
      </c>
      <c r="F27" s="4896"/>
      <c r="G27" s="4896"/>
      <c r="H27" s="4897"/>
      <c r="J27" s="4881" t="s">
        <v>1515</v>
      </c>
      <c r="K27" s="4882"/>
      <c r="L27" s="2218"/>
      <c r="M27" s="1537">
        <f>Controlar_final+L27</f>
        <v>0</v>
      </c>
      <c r="N27" s="4900" t="str">
        <f>IF(P26=0,"",IF(P26="Invocador","Invocador: No puede convocar criaturas","Elementalismo: +30 sobre seres afines, -30 sobre el resto, -60 sobre opuestos"))</f>
        <v/>
      </c>
      <c r="O27" s="4900"/>
      <c r="P27" s="4900"/>
      <c r="Q27" s="4901"/>
      <c r="S27" s="577"/>
      <c r="T27" s="484" t="str">
        <f t="shared" si="0"/>
        <v>Conjuros</v>
      </c>
      <c r="U27" s="29"/>
      <c r="V27" s="672">
        <f>IF(AC27="",0,VLOOKUP(AC27,Tablas!$M$1076:$N$1085,2))</f>
        <v>0</v>
      </c>
      <c r="W27" s="4169"/>
      <c r="X27" s="4863"/>
      <c r="Y27" s="4771"/>
      <c r="Z27" s="4772"/>
      <c r="AA27" s="4772"/>
      <c r="AB27" s="4773"/>
      <c r="AC27" s="541" t="str">
        <f>IF(Místicos!Y27=0,"",VLOOKUP(Místicos!Y27,Tabla_Conjuros,3,FALSE))</f>
        <v/>
      </c>
      <c r="AD27" s="2364" t="str">
        <f t="shared" si="1"/>
        <v/>
      </c>
      <c r="AE27" s="4789"/>
      <c r="AF27" s="4764"/>
      <c r="AG27" s="4771"/>
      <c r="AH27" s="4772"/>
      <c r="AI27" s="4772"/>
      <c r="AJ27" s="4773"/>
      <c r="AK27" s="1539"/>
      <c r="AL27" s="1164">
        <f>IF(Místicos!AG27=0,0,VLOOKUP(Místicos!AG27,Tabla_Conjuros,3,FALSE)-10)</f>
        <v>0</v>
      </c>
      <c r="AM27" s="1334" t="str">
        <f t="shared" si="2"/>
        <v>Conjuros_LibreAcceso</v>
      </c>
      <c r="AN27" s="1334" t="str">
        <f>AE27&amp;COUNTIF($AE$12:AF27,AE27)</f>
        <v>0</v>
      </c>
      <c r="AO27" s="2938" t="b">
        <f>ISNUMBER(SEARCH(AE27,VLOOKUP(AG27,'Tablas Magia'!$D$6:$AA$680,24,FALSE)))</f>
        <v>0</v>
      </c>
      <c r="AP27" s="4803" t="s">
        <v>6860</v>
      </c>
      <c r="AQ27" s="4797"/>
      <c r="AR27" s="714" t="s">
        <v>2830</v>
      </c>
      <c r="AS27" s="4796" t="s">
        <v>6858</v>
      </c>
      <c r="AT27" s="4797"/>
      <c r="AU27" s="715" t="s">
        <v>2831</v>
      </c>
      <c r="AV27" s="1426" t="s">
        <v>6865</v>
      </c>
      <c r="AW27" s="1424">
        <v>-2</v>
      </c>
      <c r="AX27" s="738"/>
      <c r="AY27" s="574"/>
      <c r="AZ27" s="3153"/>
      <c r="BA27" s="3085"/>
      <c r="BB27" s="3085"/>
      <c r="BC27" s="3085"/>
      <c r="BD27" s="3085"/>
      <c r="BE27" s="3085"/>
      <c r="BF27" s="3085"/>
      <c r="BG27" s="3085"/>
      <c r="BH27" s="3085"/>
      <c r="BI27" s="3085"/>
    </row>
    <row r="28" spans="1:61" ht="12" customHeight="1" thickBot="1" x14ac:dyDescent="0.25">
      <c r="A28" s="29"/>
      <c r="B28" s="485"/>
      <c r="C28" s="4894"/>
      <c r="D28" s="4895"/>
      <c r="E28" s="4898"/>
      <c r="F28" s="4898"/>
      <c r="G28" s="4898"/>
      <c r="H28" s="4899"/>
      <c r="J28" s="4881" t="s">
        <v>1516</v>
      </c>
      <c r="K28" s="4882"/>
      <c r="L28" s="2218"/>
      <c r="M28" s="1537">
        <f>Atar_final+L28</f>
        <v>0</v>
      </c>
      <c r="N28" s="4900"/>
      <c r="O28" s="4900"/>
      <c r="P28" s="4900"/>
      <c r="Q28" s="4901"/>
      <c r="S28" s="577"/>
      <c r="T28" s="484" t="str">
        <f t="shared" si="0"/>
        <v>Conjuros</v>
      </c>
      <c r="U28" s="29"/>
      <c r="V28" s="672">
        <f>IF(AC28="",0,VLOOKUP(AC28,Tablas!$M$1076:$N$1085,2))</f>
        <v>0</v>
      </c>
      <c r="W28" s="4166"/>
      <c r="X28" s="4761"/>
      <c r="Y28" s="4768"/>
      <c r="Z28" s="4769"/>
      <c r="AA28" s="4769"/>
      <c r="AB28" s="4770"/>
      <c r="AC28" s="542" t="str">
        <f>IF(Místicos!Y28=0,"",VLOOKUP(Místicos!Y28,Tabla_Conjuros,3,FALSE))</f>
        <v/>
      </c>
      <c r="AD28" s="2364" t="str">
        <f t="shared" si="1"/>
        <v/>
      </c>
      <c r="AE28" s="4166"/>
      <c r="AF28" s="4761"/>
      <c r="AG28" s="4768"/>
      <c r="AH28" s="4769"/>
      <c r="AI28" s="4769"/>
      <c r="AJ28" s="4770"/>
      <c r="AK28" s="1470"/>
      <c r="AL28" s="1164">
        <f>IF(Místicos!AG28=0,0,VLOOKUP(Místicos!AG28,Tabla_Conjuros,3,FALSE)-10)</f>
        <v>0</v>
      </c>
      <c r="AM28" s="1334" t="str">
        <f t="shared" si="2"/>
        <v>Conjuros_LibreAcceso</v>
      </c>
      <c r="AN28" s="1334" t="str">
        <f>AE28&amp;COUNTIF($AE$12:AF28,AE28)</f>
        <v>0</v>
      </c>
      <c r="AO28" s="2938" t="b">
        <f>ISNUMBER(SEARCH(AE28,VLOOKUP(AG28,'Tablas Magia'!$D$6:$AA$680,24,FALSE)))</f>
        <v>0</v>
      </c>
      <c r="AP28" s="4803" t="s">
        <v>6861</v>
      </c>
      <c r="AQ28" s="4797"/>
      <c r="AR28" s="714" t="s">
        <v>2831</v>
      </c>
      <c r="AS28" s="4796" t="s">
        <v>1735</v>
      </c>
      <c r="AT28" s="4797"/>
      <c r="AU28" s="715" t="s">
        <v>3135</v>
      </c>
      <c r="AV28" s="1426" t="s">
        <v>6866</v>
      </c>
      <c r="AW28" s="1424">
        <v>-4</v>
      </c>
      <c r="AX28" s="738"/>
      <c r="AY28" s="574"/>
      <c r="AZ28" s="3153"/>
      <c r="BA28" s="3085"/>
      <c r="BB28" s="3085"/>
      <c r="BC28" s="3085"/>
      <c r="BD28" s="3085"/>
      <c r="BE28" s="3085"/>
      <c r="BF28" s="3085"/>
      <c r="BG28" s="3085"/>
      <c r="BH28" s="3085"/>
      <c r="BI28" s="3085"/>
    </row>
    <row r="29" spans="1:61" ht="12" customHeight="1" thickBot="1" x14ac:dyDescent="0.25">
      <c r="A29" s="29"/>
      <c r="B29" s="485"/>
      <c r="C29" s="490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7"/>
      <c r="E29" s="4907"/>
      <c r="F29" s="4907"/>
      <c r="G29" s="4907"/>
      <c r="H29" s="4908"/>
      <c r="J29" s="4868" t="s">
        <v>1517</v>
      </c>
      <c r="K29" s="4869"/>
      <c r="L29" s="2219"/>
      <c r="M29" s="1598">
        <f>Desconvocar_final+L29</f>
        <v>0</v>
      </c>
      <c r="N29" s="4902"/>
      <c r="O29" s="4902"/>
      <c r="P29" s="4902"/>
      <c r="Q29" s="4903"/>
      <c r="S29" s="577"/>
      <c r="T29" s="484" t="str">
        <f t="shared" si="0"/>
        <v>Conjuros</v>
      </c>
      <c r="U29" s="29"/>
      <c r="V29" s="672">
        <f>IF(AC29="",0,VLOOKUP(AC29,Tablas!$M$1076:$N$1085,2))</f>
        <v>0</v>
      </c>
      <c r="W29" s="4169"/>
      <c r="X29" s="4863"/>
      <c r="Y29" s="4771"/>
      <c r="Z29" s="4772"/>
      <c r="AA29" s="4772"/>
      <c r="AB29" s="4773"/>
      <c r="AC29" s="541" t="str">
        <f>IF(Místicos!Y29=0,"",VLOOKUP(Místicos!Y29,Tabla_Conjuros,3,FALSE))</f>
        <v/>
      </c>
      <c r="AD29" s="2364" t="str">
        <f t="shared" si="1"/>
        <v/>
      </c>
      <c r="AE29" s="4789"/>
      <c r="AF29" s="4764"/>
      <c r="AG29" s="4771"/>
      <c r="AH29" s="4772"/>
      <c r="AI29" s="4772"/>
      <c r="AJ29" s="4773"/>
      <c r="AK29" s="1539"/>
      <c r="AL29" s="1164">
        <f>IF(Místicos!AG29=0,0,VLOOKUP(Místicos!AG29,Tabla_Conjuros,3,FALSE)-10)</f>
        <v>0</v>
      </c>
      <c r="AM29" s="1334" t="str">
        <f t="shared" si="2"/>
        <v>Conjuros_LibreAcceso</v>
      </c>
      <c r="AN29" s="1334" t="str">
        <f>AE29&amp;COUNTIF($AE$12:AF29,AE29)</f>
        <v>0</v>
      </c>
      <c r="AO29" s="2938" t="b">
        <f>ISNUMBER(SEARCH(AE29,VLOOKUP(AG29,'Tablas Magia'!$D$6:$AA$680,24,FALSE)))</f>
        <v>0</v>
      </c>
      <c r="AP29" s="4804" t="s">
        <v>6897</v>
      </c>
      <c r="AQ29" s="4799"/>
      <c r="AR29" s="1441" t="s">
        <v>3135</v>
      </c>
      <c r="AS29" s="4798" t="s">
        <v>1738</v>
      </c>
      <c r="AT29" s="4799"/>
      <c r="AU29" s="1442" t="s">
        <v>6874</v>
      </c>
      <c r="AV29" s="1426" t="s">
        <v>6867</v>
      </c>
      <c r="AW29" s="1424">
        <v>-6</v>
      </c>
      <c r="AX29" s="738"/>
      <c r="AY29" s="574"/>
      <c r="AZ29" s="3153"/>
      <c r="BA29" s="3085"/>
      <c r="BB29" s="3085"/>
      <c r="BC29" s="3085"/>
      <c r="BD29" s="3085"/>
      <c r="BE29" s="3085"/>
      <c r="BF29" s="3085"/>
      <c r="BG29" s="3085"/>
      <c r="BH29" s="3085"/>
      <c r="BI29" s="3085"/>
    </row>
    <row r="30" spans="1:61" ht="12" customHeight="1" thickBot="1" x14ac:dyDescent="0.25">
      <c r="A30" s="29"/>
      <c r="B30" s="485"/>
      <c r="S30" s="577"/>
      <c r="T30" s="484" t="str">
        <f t="shared" si="0"/>
        <v>Conjuros</v>
      </c>
      <c r="U30" s="29"/>
      <c r="V30" s="672">
        <f>IF(AC30="",0,VLOOKUP(AC30,Tablas!$M$1076:$N$1085,2))</f>
        <v>0</v>
      </c>
      <c r="W30" s="4166"/>
      <c r="X30" s="4761"/>
      <c r="Y30" s="4768"/>
      <c r="Z30" s="4769"/>
      <c r="AA30" s="4769"/>
      <c r="AB30" s="4770"/>
      <c r="AC30" s="542" t="str">
        <f>IF(Místicos!Y30=0,"",VLOOKUP(Místicos!Y30,Tabla_Conjuros,3,FALSE))</f>
        <v/>
      </c>
      <c r="AD30" s="2364" t="str">
        <f t="shared" si="1"/>
        <v/>
      </c>
      <c r="AE30" s="4166"/>
      <c r="AF30" s="4761"/>
      <c r="AG30" s="4768"/>
      <c r="AH30" s="4769"/>
      <c r="AI30" s="4769"/>
      <c r="AJ30" s="4770"/>
      <c r="AK30" s="1470"/>
      <c r="AL30" s="1164">
        <f>IF(Místicos!AG30=0,0,VLOOKUP(Místicos!AG30,Tabla_Conjuros,3,FALSE)-10)</f>
        <v>0</v>
      </c>
      <c r="AM30" s="1334" t="str">
        <f t="shared" si="2"/>
        <v>Conjuros_LibreAcceso</v>
      </c>
      <c r="AN30" s="1334" t="str">
        <f>AE30&amp;COUNTIF($AE$12:AF30,AE30)</f>
        <v>0</v>
      </c>
      <c r="AO30" s="2938" t="b">
        <f>ISNUMBER(SEARCH(AE30,VLOOKUP(AG30,'Tablas Magia'!$D$6:$AA$680,24,FALSE)))</f>
        <v>0</v>
      </c>
      <c r="AP30" s="656"/>
      <c r="AQ30" s="656"/>
      <c r="AR30" s="656"/>
      <c r="AS30" s="656"/>
      <c r="AT30" s="616"/>
      <c r="AU30" s="616"/>
      <c r="AV30" s="1443" t="s">
        <v>6868</v>
      </c>
      <c r="AW30" s="1424">
        <v>-8</v>
      </c>
      <c r="AX30" s="738"/>
      <c r="AY30" s="574"/>
      <c r="AZ30" s="3153"/>
      <c r="BA30" s="3085"/>
      <c r="BB30" s="3085"/>
      <c r="BC30" s="3085"/>
      <c r="BD30" s="3085"/>
      <c r="BE30" s="3085"/>
      <c r="BF30" s="3085"/>
      <c r="BG30" s="3085"/>
      <c r="BH30" s="3085"/>
      <c r="BI30" s="3085"/>
    </row>
    <row r="31" spans="1:61" ht="12" customHeight="1" thickBot="1" x14ac:dyDescent="0.25">
      <c r="A31" s="29"/>
      <c r="B31" s="485"/>
      <c r="C31" s="4885" t="s">
        <v>1713</v>
      </c>
      <c r="D31" s="4885"/>
      <c r="E31" s="4885"/>
      <c r="F31" s="4885"/>
      <c r="G31" s="4885"/>
      <c r="H31" s="4374" t="s">
        <v>1714</v>
      </c>
      <c r="J31" s="3684" t="s">
        <v>1715</v>
      </c>
      <c r="K31" s="3685"/>
      <c r="L31" s="3685"/>
      <c r="M31" s="3685"/>
      <c r="N31" s="3685"/>
      <c r="O31" s="3685"/>
      <c r="P31" s="3685"/>
      <c r="Q31" s="3686"/>
      <c r="S31" s="577"/>
      <c r="T31" s="484" t="str">
        <f t="shared" si="0"/>
        <v>Conjuros</v>
      </c>
      <c r="U31" s="29"/>
      <c r="V31" s="672">
        <f>IF(AC31="",0,VLOOKUP(AC31,Tablas!$M$1076:$N$1085,2))</f>
        <v>0</v>
      </c>
      <c r="W31" s="4169"/>
      <c r="X31" s="4863"/>
      <c r="Y31" s="4771"/>
      <c r="Z31" s="4772"/>
      <c r="AA31" s="4772"/>
      <c r="AB31" s="4773"/>
      <c r="AC31" s="541" t="str">
        <f>IF(Místicos!Y31=0,"",VLOOKUP(Místicos!Y31,Tabla_Conjuros,3,FALSE))</f>
        <v/>
      </c>
      <c r="AD31" s="2364" t="str">
        <f t="shared" si="1"/>
        <v/>
      </c>
      <c r="AE31" s="4789"/>
      <c r="AF31" s="4764"/>
      <c r="AG31" s="4771"/>
      <c r="AH31" s="4772"/>
      <c r="AI31" s="4772"/>
      <c r="AJ31" s="4773"/>
      <c r="AK31" s="1539"/>
      <c r="AL31" s="1164">
        <f>IF(Místicos!AG31=0,0,VLOOKUP(Místicos!AG31,Tabla_Conjuros,3,FALSE)-10)</f>
        <v>0</v>
      </c>
      <c r="AM31" s="1334" t="str">
        <f t="shared" si="2"/>
        <v>Conjuros_LibreAcceso</v>
      </c>
      <c r="AN31" s="1334" t="str">
        <f>AE31&amp;COUNTIF($AE$12:AF31,AE31)</f>
        <v>0</v>
      </c>
      <c r="AO31" s="2938" t="b">
        <f>ISNUMBER(SEARCH(AE31,VLOOKUP(AG31,'Tablas Magia'!$D$6:$AA$680,24,FALSE)))</f>
        <v>0</v>
      </c>
      <c r="AP31" s="656"/>
      <c r="AQ31" s="4825" t="s">
        <v>2662</v>
      </c>
      <c r="AR31" s="4826"/>
      <c r="AS31" s="4958" t="s">
        <v>6278</v>
      </c>
      <c r="AT31" s="4959"/>
      <c r="AU31" s="616"/>
      <c r="AV31" s="1443" t="s">
        <v>6869</v>
      </c>
      <c r="AW31" s="1424">
        <v>-10</v>
      </c>
      <c r="AX31" s="738"/>
      <c r="AY31" s="574"/>
      <c r="AZ31" s="3153"/>
      <c r="BA31" s="3085"/>
      <c r="BB31" s="3085"/>
      <c r="BC31" s="3085"/>
      <c r="BD31" s="3085"/>
      <c r="BE31" s="3085"/>
      <c r="BF31" s="3085"/>
      <c r="BG31" s="3085"/>
      <c r="BH31" s="3085"/>
      <c r="BI31" s="3085"/>
    </row>
    <row r="32" spans="1:61" ht="12" customHeight="1" thickBot="1" x14ac:dyDescent="0.25">
      <c r="A32" s="29"/>
      <c r="B32" s="485"/>
      <c r="C32" s="4867" t="s">
        <v>1716</v>
      </c>
      <c r="D32" s="4867"/>
      <c r="E32" s="4867"/>
      <c r="F32" s="4867"/>
      <c r="G32" s="4867"/>
      <c r="H32" s="4374"/>
      <c r="J32" s="4973" t="s">
        <v>1440</v>
      </c>
      <c r="K32" s="4974"/>
      <c r="L32" s="4974"/>
      <c r="M32" s="4974"/>
      <c r="N32" s="4974"/>
      <c r="O32" s="4974"/>
      <c r="P32" s="676" t="s">
        <v>1717</v>
      </c>
      <c r="Q32" s="661" t="s">
        <v>1508</v>
      </c>
      <c r="S32" s="577"/>
      <c r="T32" s="484" t="str">
        <f t="shared" si="0"/>
        <v>Conjuros</v>
      </c>
      <c r="U32" s="29"/>
      <c r="V32" s="672">
        <f>IF(AC32="",0,VLOOKUP(AC32,Tablas!$M$1076:$N$1085,2))</f>
        <v>0</v>
      </c>
      <c r="W32" s="4166"/>
      <c r="X32" s="4761"/>
      <c r="Y32" s="4768"/>
      <c r="Z32" s="4769"/>
      <c r="AA32" s="4769"/>
      <c r="AB32" s="4770"/>
      <c r="AC32" s="542" t="str">
        <f>IF(Místicos!Y32=0,"",VLOOKUP(Místicos!Y32,Tabla_Conjuros,3,FALSE))</f>
        <v/>
      </c>
      <c r="AD32" s="2364" t="str">
        <f t="shared" si="1"/>
        <v/>
      </c>
      <c r="AE32" s="4166"/>
      <c r="AF32" s="4761"/>
      <c r="AG32" s="4768"/>
      <c r="AH32" s="4769"/>
      <c r="AI32" s="4769"/>
      <c r="AJ32" s="4770"/>
      <c r="AK32" s="1470"/>
      <c r="AL32" s="1164">
        <f>IF(Místicos!AG32=0,0,VLOOKUP(Místicos!AG32,Tabla_Conjuros,3,FALSE)-10)</f>
        <v>0</v>
      </c>
      <c r="AM32" s="1334" t="str">
        <f t="shared" si="2"/>
        <v>Conjuros_LibreAcceso</v>
      </c>
      <c r="AN32" s="1334" t="str">
        <f>AE32&amp;COUNTIF($AE$12:AF32,AE32)</f>
        <v>0</v>
      </c>
      <c r="AO32" s="2938" t="b">
        <f>ISNUMBER(SEARCH(AE32,VLOOKUP(AG32,'Tablas Magia'!$D$6:$AA$680,24,FALSE)))</f>
        <v>0</v>
      </c>
      <c r="AP32" s="656"/>
      <c r="AQ32" s="4954">
        <f>Presencia_final*2+Bono_Des</f>
        <v>40</v>
      </c>
      <c r="AR32" s="4955"/>
      <c r="AS32" s="4888"/>
      <c r="AT32" s="4951"/>
      <c r="AU32" s="616"/>
      <c r="AV32" s="1443" t="s">
        <v>6870</v>
      </c>
      <c r="AW32" s="1424">
        <v>-12</v>
      </c>
      <c r="AX32" s="738"/>
      <c r="AY32" s="574"/>
      <c r="AZ32" s="3153"/>
      <c r="BA32" s="3085"/>
      <c r="BB32" s="3085"/>
      <c r="BC32" s="3085"/>
      <c r="BD32" s="3085"/>
      <c r="BE32" s="3085"/>
      <c r="BF32" s="3085"/>
      <c r="BG32" s="3085"/>
      <c r="BH32" s="3085"/>
      <c r="BI32" s="3085"/>
    </row>
    <row r="33" spans="1:61" ht="12" customHeight="1" thickBot="1" x14ac:dyDescent="0.25">
      <c r="A33" s="29"/>
      <c r="B33" s="485"/>
      <c r="C33" s="4864"/>
      <c r="D33" s="4865"/>
      <c r="E33" s="4865"/>
      <c r="F33" s="4865"/>
      <c r="G33" s="4866"/>
      <c r="H33" s="1495"/>
      <c r="J33" s="4814"/>
      <c r="K33" s="4815"/>
      <c r="L33" s="4815"/>
      <c r="M33" s="4815"/>
      <c r="N33" s="4815"/>
      <c r="O33" s="4815"/>
      <c r="P33" s="638" t="str">
        <f>IF(J33=0,"",VLOOKUP(J33,Tablas!$AB$1065:$AD$1239,2,FALSE))</f>
        <v/>
      </c>
      <c r="Q33" s="662" t="str">
        <f>IF(J33=0,"",VLOOKUP(J33,Tablas!$AB$1065:$AD$1239,3,FALSE)*IF($P$26="Invocador",0.5,1))</f>
        <v/>
      </c>
      <c r="S33" s="577"/>
      <c r="T33" s="484" t="str">
        <f t="shared" si="0"/>
        <v>Conjuros</v>
      </c>
      <c r="U33" s="29"/>
      <c r="V33" s="672">
        <f>IF(AC33="",0,VLOOKUP(AC33,Tablas!$M$1076:$N$1085,2))</f>
        <v>0</v>
      </c>
      <c r="W33" s="4169"/>
      <c r="X33" s="4863"/>
      <c r="Y33" s="4771"/>
      <c r="Z33" s="4772"/>
      <c r="AA33" s="4772"/>
      <c r="AB33" s="4773"/>
      <c r="AC33" s="541" t="str">
        <f>IF(Místicos!Y33=0,"",VLOOKUP(Místicos!Y33,Tabla_Conjuros,3,FALSE))</f>
        <v/>
      </c>
      <c r="AD33" s="2364" t="str">
        <f t="shared" si="1"/>
        <v/>
      </c>
      <c r="AE33" s="4789"/>
      <c r="AF33" s="4764"/>
      <c r="AG33" s="4771"/>
      <c r="AH33" s="4772"/>
      <c r="AI33" s="4772"/>
      <c r="AJ33" s="4773"/>
      <c r="AK33" s="1539"/>
      <c r="AL33" s="1164">
        <f>IF(Místicos!AG33=0,0,VLOOKUP(Místicos!AG33,Tabla_Conjuros,3,FALSE)-10)</f>
        <v>0</v>
      </c>
      <c r="AM33" s="1334" t="str">
        <f t="shared" si="2"/>
        <v>Conjuros_LibreAcceso</v>
      </c>
      <c r="AN33" s="1334" t="str">
        <f>AE33&amp;COUNTIF($AE$12:AF33,AE33)</f>
        <v>0</v>
      </c>
      <c r="AO33" s="2938" t="b">
        <f>ISNUMBER(SEARCH(AE33,VLOOKUP(AG33,'Tablas Magia'!$D$6:$AA$680,24,FALSE)))</f>
        <v>0</v>
      </c>
      <c r="AP33" s="656"/>
      <c r="AQ33" s="4956"/>
      <c r="AR33" s="4957"/>
      <c r="AS33" s="4952"/>
      <c r="AT33" s="4953"/>
      <c r="AU33" s="616"/>
      <c r="AV33" s="1443" t="s">
        <v>6871</v>
      </c>
      <c r="AW33" s="1424">
        <v>-14</v>
      </c>
      <c r="AX33" s="738"/>
      <c r="AY33" s="574"/>
      <c r="AZ33" s="3153"/>
      <c r="BA33" s="3085" t="s">
        <v>9934</v>
      </c>
      <c r="BB33" s="3085" t="s">
        <v>9935</v>
      </c>
      <c r="BC33" s="3085" t="s">
        <v>1682</v>
      </c>
      <c r="BD33" s="3085" t="s">
        <v>9936</v>
      </c>
      <c r="BE33" s="3085" t="s">
        <v>9937</v>
      </c>
      <c r="BF33" s="3085" t="s">
        <v>9939</v>
      </c>
      <c r="BG33" s="3085" t="s">
        <v>9938</v>
      </c>
      <c r="BH33" s="3085"/>
      <c r="BI33" s="3085"/>
    </row>
    <row r="34" spans="1:61" ht="12" customHeight="1" thickBot="1" x14ac:dyDescent="0.25">
      <c r="A34" s="29"/>
      <c r="B34" s="485"/>
      <c r="C34" s="4823"/>
      <c r="D34" s="4823"/>
      <c r="E34" s="4823"/>
      <c r="F34" s="4823"/>
      <c r="G34" s="4823"/>
      <c r="H34" s="1538"/>
      <c r="J34" s="4816"/>
      <c r="K34" s="4817"/>
      <c r="L34" s="4817"/>
      <c r="M34" s="4817"/>
      <c r="N34" s="4817"/>
      <c r="O34" s="4817"/>
      <c r="P34" s="639" t="str">
        <f>IF(J34=0,"",VLOOKUP(J34,Tablas!$AB$1065:$AD$1239,2,FALSE))</f>
        <v/>
      </c>
      <c r="Q34" s="663" t="str">
        <f>IF(J34=0,"",VLOOKUP(J34,Tablas!$AB$1065:$AD$1239,3,FALSE)*IF($P$26="Invocador",0.5,1))</f>
        <v/>
      </c>
      <c r="S34" s="577"/>
      <c r="T34" s="484" t="str">
        <f t="shared" si="0"/>
        <v>Conjuros</v>
      </c>
      <c r="U34" s="29"/>
      <c r="V34" s="672">
        <f>IF(AC34="",0,VLOOKUP(AC34,Tablas!$M$1076:$N$1085,2))</f>
        <v>0</v>
      </c>
      <c r="W34" s="4166"/>
      <c r="X34" s="4761"/>
      <c r="Y34" s="4768"/>
      <c r="Z34" s="4769"/>
      <c r="AA34" s="4769"/>
      <c r="AB34" s="4770"/>
      <c r="AC34" s="542" t="str">
        <f>IF(Místicos!Y34=0,"",VLOOKUP(Místicos!Y34,Tabla_Conjuros,3,FALSE))</f>
        <v/>
      </c>
      <c r="AD34" s="2364" t="str">
        <f t="shared" si="1"/>
        <v/>
      </c>
      <c r="AE34" s="4166"/>
      <c r="AF34" s="4761"/>
      <c r="AG34" s="4768"/>
      <c r="AH34" s="4769"/>
      <c r="AI34" s="4769"/>
      <c r="AJ34" s="4770"/>
      <c r="AK34" s="1470"/>
      <c r="AL34" s="1164">
        <f>IF(Místicos!AG34=0,0,VLOOKUP(Místicos!AG34,Tabla_Conjuros,3,FALSE)-10)</f>
        <v>0</v>
      </c>
      <c r="AM34" s="1334" t="str">
        <f t="shared" si="2"/>
        <v>Conjuros_LibreAcceso</v>
      </c>
      <c r="AN34" s="1334" t="str">
        <f>AE34&amp;COUNTIF($AE$12:AF34,AE34)</f>
        <v>0</v>
      </c>
      <c r="AO34" s="2938" t="b">
        <f>ISNUMBER(SEARCH(AE34,VLOOKUP(AG34,'Tablas Magia'!$D$6:$AA$680,24,FALSE)))</f>
        <v>0</v>
      </c>
      <c r="AP34" s="656"/>
      <c r="AQ34" s="656"/>
      <c r="AR34" s="656"/>
      <c r="AS34" s="656"/>
      <c r="AT34" s="616"/>
      <c r="AU34" s="616"/>
      <c r="AV34" s="1444" t="s">
        <v>6872</v>
      </c>
      <c r="AW34" s="1425">
        <v>-16</v>
      </c>
      <c r="AX34" s="738"/>
      <c r="AY34" s="574"/>
      <c r="AZ34" s="3153"/>
      <c r="BA34" s="3085" t="b">
        <f>ISNUMBER(FIND("inhumanidad",LOWER(C33)))</f>
        <v>0</v>
      </c>
      <c r="BB34" s="3140" t="b">
        <f>IF(BA34,OR(ISNUMBER(FIND("intermedio",LOWER(C33))),ISNUMBER(FIND("avanzado",LOWER(C33)))))</f>
        <v>0</v>
      </c>
      <c r="BC34" s="3140" t="b">
        <f>IF(BA34,ISNUMBER(FIND("arcano",LOWER(C33))))</f>
        <v>0</v>
      </c>
      <c r="BD34" s="3085" t="b">
        <f>IF(BA34,AND(ISNUMBER(FIND("base",LOWER(C33))),OR(ISNUMBER(FIND("movimiento",LOWER(C33))),ISNUMBER(FIND("mov",LOWER(C33))),ISNUMBER(FIND("tm",LOWER(C33))))))</f>
        <v>0</v>
      </c>
      <c r="BE34" s="3085" t="b">
        <f>IF(BB34,AND(ISNUMBER(FIND("avanzado",LOWER(C33))),OR(ISNUMBER(FIND("movimiento",LOWER(C33))),ISNUMBER(FIND("mov",LOWER(C33))),ISNUMBER(FIND("tm",LOWER(C33))))))</f>
        <v>0</v>
      </c>
      <c r="BF34" s="3085" t="b">
        <f>IF(BA34,AND(ISNUMBER(FIND("base",LOWER(C33))),OR(ISNUMBER(FIND("fue",LOWER(C33))),ISNUMBER(FIND("peso",LOWER(C33))),ISNUMBER(FIND("ip",LOWER(C33))))))</f>
        <v>0</v>
      </c>
      <c r="BG34" s="3085" t="b">
        <f>IF(BB34,AND(ISNUMBER(FIND("avanzado",LOWER(C33))),OR(ISNUMBER(FIND("fue",LOWER(C33))),ISNUMBER(FIND("peso",LOWER(C33))),ISNUMBER(FIND("ip",LOWER(C33))))))</f>
        <v>0</v>
      </c>
      <c r="BH34" s="3085"/>
      <c r="BI34" s="3085"/>
    </row>
    <row r="35" spans="1:61" ht="12" customHeight="1" thickBot="1" x14ac:dyDescent="0.25">
      <c r="A35" s="29"/>
      <c r="B35" s="485"/>
      <c r="C35" s="4812"/>
      <c r="D35" s="4812"/>
      <c r="E35" s="4812"/>
      <c r="F35" s="4812"/>
      <c r="G35" s="4812"/>
      <c r="H35" s="1495"/>
      <c r="J35" s="4818"/>
      <c r="K35" s="4819"/>
      <c r="L35" s="4819"/>
      <c r="M35" s="4819"/>
      <c r="N35" s="4819"/>
      <c r="O35" s="4819"/>
      <c r="P35" s="638" t="str">
        <f>IF(J35=0,"",VLOOKUP(J35,Tablas!$AB$1065:$AD$1239,2,FALSE))</f>
        <v/>
      </c>
      <c r="Q35" s="662" t="str">
        <f>IF(J35=0,"",VLOOKUP(J35,Tablas!$AB$1065:$AD$1239,3,FALSE)*IF($P$26="Invocador",0.5,1))</f>
        <v/>
      </c>
      <c r="S35" s="577"/>
      <c r="T35" s="484" t="str">
        <f t="shared" si="0"/>
        <v>Conjuros</v>
      </c>
      <c r="U35" s="29"/>
      <c r="V35" s="672">
        <f>IF(AC35="",0,VLOOKUP(AC35,Tablas!$M$1076:$N$1085,2))</f>
        <v>0</v>
      </c>
      <c r="W35" s="4169"/>
      <c r="X35" s="4863"/>
      <c r="Y35" s="4771"/>
      <c r="Z35" s="4772"/>
      <c r="AA35" s="4772"/>
      <c r="AB35" s="4773"/>
      <c r="AC35" s="541" t="str">
        <f>IF(Místicos!Y35=0,"",VLOOKUP(Místicos!Y35,Tabla_Conjuros,3,FALSE))</f>
        <v/>
      </c>
      <c r="AD35" s="2364" t="str">
        <f t="shared" si="1"/>
        <v/>
      </c>
      <c r="AE35" s="4789"/>
      <c r="AF35" s="4764"/>
      <c r="AG35" s="4771"/>
      <c r="AH35" s="4772"/>
      <c r="AI35" s="4772"/>
      <c r="AJ35" s="4773"/>
      <c r="AK35" s="1539"/>
      <c r="AL35" s="1164">
        <f>IF(Místicos!AG35=0,0,VLOOKUP(Místicos!AG35,Tabla_Conjuros,3,FALSE)-10)</f>
        <v>0</v>
      </c>
      <c r="AM35" s="1334" t="str">
        <f t="shared" si="2"/>
        <v>Conjuros_LibreAcceso</v>
      </c>
      <c r="AN35" s="1334" t="str">
        <f>AE35&amp;COUNTIF($AE$12:AF35,AE35)</f>
        <v>0</v>
      </c>
      <c r="AO35" s="2938" t="b">
        <f>ISNUMBER(SEARCH(AE35,VLOOKUP(AG35,'Tablas Magia'!$D$6:$AA$680,24,FALSE)))</f>
        <v>0</v>
      </c>
      <c r="AX35" s="738"/>
      <c r="AY35" s="574"/>
      <c r="AZ35" s="3153"/>
      <c r="BA35" s="3085" t="b">
        <f t="shared" ref="BA35:BA60" si="4">ISNUMBER(FIND("inhumanidad",LOWER(C34)))</f>
        <v>0</v>
      </c>
      <c r="BB35" s="3140" t="b">
        <f t="shared" ref="BB35:BB60" si="5">IF(BA35,OR(ISNUMBER(FIND("intermedio",LOWER(C34))),ISNUMBER(FIND("avanzado",LOWER(C34)))))</f>
        <v>0</v>
      </c>
      <c r="BC35" s="3140" t="b">
        <f t="shared" ref="BC35:BC60" si="6">IF(BA35,ISNUMBER(FIND("arcano",LOWER(C34))))</f>
        <v>0</v>
      </c>
      <c r="BD35" s="3085" t="b">
        <f t="shared" ref="BD35:BD60" si="7">IF(BA35,AND(ISNUMBER(FIND("base",LOWER(C34))),OR(ISNUMBER(FIND("movimiento",LOWER(C34))),ISNUMBER(FIND("mov",LOWER(C34))),ISNUMBER(FIND("tm",LOWER(C34))))))</f>
        <v>0</v>
      </c>
      <c r="BE35" s="3085" t="b">
        <f t="shared" ref="BE35:BE60" si="8">IF(BB35,AND(ISNUMBER(FIND("avanzado",LOWER(C34))),OR(ISNUMBER(FIND("movimiento",LOWER(C34))),ISNUMBER(FIND("mov",LOWER(C34))),ISNUMBER(FIND("tm",LOWER(C34))))))</f>
        <v>0</v>
      </c>
      <c r="BF35" s="3085" t="b">
        <f t="shared" ref="BF35:BF60" si="9">IF(BA35,AND(ISNUMBER(FIND("base",LOWER(C34))),OR(ISNUMBER(FIND("fue",LOWER(C34))),ISNUMBER(FIND("peso",LOWER(C34))),ISNUMBER(FIND("ip",LOWER(C34))))))</f>
        <v>0</v>
      </c>
      <c r="BG35" s="3085" t="b">
        <f t="shared" ref="BG35:BG60" si="10">IF(BB35,AND(ISNUMBER(FIND("avanzado",LOWER(C34))),OR(ISNUMBER(FIND("fue",LOWER(C34))),ISNUMBER(FIND("peso",LOWER(C34))),ISNUMBER(FIND("ip",LOWER(C34))))))</f>
        <v>0</v>
      </c>
      <c r="BH35" s="3085"/>
      <c r="BI35" s="3085"/>
    </row>
    <row r="36" spans="1:61" ht="12" customHeight="1" thickBot="1" x14ac:dyDescent="0.25">
      <c r="A36" s="29"/>
      <c r="B36" s="485"/>
      <c r="C36" s="4823"/>
      <c r="D36" s="4823"/>
      <c r="E36" s="4823"/>
      <c r="F36" s="4823"/>
      <c r="G36" s="4823"/>
      <c r="H36" s="1538"/>
      <c r="J36" s="4816"/>
      <c r="K36" s="4817"/>
      <c r="L36" s="4817"/>
      <c r="M36" s="4817"/>
      <c r="N36" s="4817"/>
      <c r="O36" s="4817"/>
      <c r="P36" s="639" t="str">
        <f>IF(J36=0,"",VLOOKUP(J36,Tablas!$AB$1065:$AD$1239,2,FALSE))</f>
        <v/>
      </c>
      <c r="Q36" s="663" t="str">
        <f>IF(J36=0,"",VLOOKUP(J36,Tablas!$AB$1065:$AD$1239,3,FALSE)*IF($P$26="Invocador",0.5,1))</f>
        <v/>
      </c>
      <c r="S36" s="577"/>
      <c r="T36" s="484" t="str">
        <f t="shared" si="0"/>
        <v>Conjuros</v>
      </c>
      <c r="U36" s="29"/>
      <c r="V36" s="672">
        <f>IF(AC36="",0,VLOOKUP(AC36,Tablas!$M$1076:$N$1085,2))</f>
        <v>0</v>
      </c>
      <c r="W36" s="4166"/>
      <c r="X36" s="4761"/>
      <c r="Y36" s="4768"/>
      <c r="Z36" s="4769"/>
      <c r="AA36" s="4769"/>
      <c r="AB36" s="4770"/>
      <c r="AC36" s="542" t="str">
        <f>IF(Místicos!Y36=0,"",VLOOKUP(Místicos!Y36,Tabla_Conjuros,3,FALSE))</f>
        <v/>
      </c>
      <c r="AD36" s="2364" t="str">
        <f t="shared" si="1"/>
        <v/>
      </c>
      <c r="AE36" s="4166"/>
      <c r="AF36" s="4761"/>
      <c r="AG36" s="4768"/>
      <c r="AH36" s="4769"/>
      <c r="AI36" s="4769"/>
      <c r="AJ36" s="4770"/>
      <c r="AK36" s="1470"/>
      <c r="AL36" s="1164">
        <f>IF(Místicos!AG36=0,0,VLOOKUP(Místicos!AG36,Tabla_Conjuros,3,FALSE)-10)</f>
        <v>0</v>
      </c>
      <c r="AM36" s="1334" t="str">
        <f t="shared" si="2"/>
        <v>Conjuros_LibreAcceso</v>
      </c>
      <c r="AN36" s="1334" t="str">
        <f>AE36&amp;COUNTIF($AE$12:AF36,AE36)</f>
        <v>0</v>
      </c>
      <c r="AO36" s="2938" t="b">
        <f>ISNUMBER(SEARCH(AE36,VLOOKUP(AG36,'Tablas Magia'!$D$6:$AA$680,24,FALSE)))</f>
        <v>0</v>
      </c>
      <c r="AP36" s="4808" t="s">
        <v>6881</v>
      </c>
      <c r="AQ36" s="4806"/>
      <c r="AR36" s="4806"/>
      <c r="AS36" s="4806"/>
      <c r="AT36" s="4806"/>
      <c r="AU36" s="4806"/>
      <c r="AV36" s="4806"/>
      <c r="AW36" s="4807"/>
      <c r="AX36" s="738"/>
      <c r="AY36" s="574"/>
      <c r="AZ36" s="3153"/>
      <c r="BA36" s="3085" t="b">
        <f t="shared" si="4"/>
        <v>0</v>
      </c>
      <c r="BB36" s="3140" t="b">
        <f t="shared" si="5"/>
        <v>0</v>
      </c>
      <c r="BC36" s="3140" t="b">
        <f t="shared" si="6"/>
        <v>0</v>
      </c>
      <c r="BD36" s="3085" t="b">
        <f t="shared" si="7"/>
        <v>0</v>
      </c>
      <c r="BE36" s="3085" t="b">
        <f t="shared" si="8"/>
        <v>0</v>
      </c>
      <c r="BF36" s="3085" t="b">
        <f t="shared" si="9"/>
        <v>0</v>
      </c>
      <c r="BG36" s="3085" t="b">
        <f t="shared" si="10"/>
        <v>0</v>
      </c>
      <c r="BH36" s="3085"/>
      <c r="BI36" s="3085"/>
    </row>
    <row r="37" spans="1:61" ht="12" customHeight="1" x14ac:dyDescent="0.2">
      <c r="A37" s="29"/>
      <c r="B37" s="485"/>
      <c r="C37" s="4812"/>
      <c r="D37" s="4812"/>
      <c r="E37" s="4812"/>
      <c r="F37" s="4812"/>
      <c r="G37" s="4812"/>
      <c r="H37" s="1495"/>
      <c r="J37" s="4818"/>
      <c r="K37" s="4819"/>
      <c r="L37" s="4819"/>
      <c r="M37" s="4819"/>
      <c r="N37" s="4819"/>
      <c r="O37" s="4819"/>
      <c r="P37" s="638" t="str">
        <f>IF(J37=0,"",VLOOKUP(J37,Tablas!$AB$1065:$AD$1239,2,FALSE))</f>
        <v/>
      </c>
      <c r="Q37" s="662" t="str">
        <f>IF(J37=0,"",VLOOKUP(J37,Tablas!$AB$1065:$AD$1239,3,FALSE)*IF($P$26="Invocador",0.5,1))</f>
        <v/>
      </c>
      <c r="S37" s="577"/>
      <c r="T37" s="484" t="str">
        <f t="shared" si="0"/>
        <v>Conjuros</v>
      </c>
      <c r="U37" s="29"/>
      <c r="V37" s="672">
        <f>IF(AC37="",0,VLOOKUP(AC37,Tablas!$M$1076:$N$1085,2))</f>
        <v>0</v>
      </c>
      <c r="W37" s="4169"/>
      <c r="X37" s="4863"/>
      <c r="Y37" s="4771"/>
      <c r="Z37" s="4772"/>
      <c r="AA37" s="4772"/>
      <c r="AB37" s="4773"/>
      <c r="AC37" s="541" t="str">
        <f>IF(Místicos!Y37=0,"",VLOOKUP(Místicos!Y37,Tabla_Conjuros,3,FALSE))</f>
        <v/>
      </c>
      <c r="AD37" s="2364" t="str">
        <f t="shared" si="1"/>
        <v/>
      </c>
      <c r="AE37" s="4789"/>
      <c r="AF37" s="4764"/>
      <c r="AG37" s="4771"/>
      <c r="AH37" s="4772"/>
      <c r="AI37" s="4772"/>
      <c r="AJ37" s="4773"/>
      <c r="AK37" s="1539"/>
      <c r="AL37" s="1164">
        <f>IF(Místicos!AG37=0,0,VLOOKUP(Místicos!AG37,Tabla_Conjuros,3,FALSE)-10)</f>
        <v>0</v>
      </c>
      <c r="AM37" s="1334" t="str">
        <f t="shared" si="2"/>
        <v>Conjuros_LibreAcceso</v>
      </c>
      <c r="AN37" s="1334" t="str">
        <f>AE37&amp;COUNTIF($AE$12:AF37,AE37)</f>
        <v>0</v>
      </c>
      <c r="AO37" s="2938" t="b">
        <f>ISNUMBER(SEARCH(AE37,VLOOKUP(AG37,'Tablas Magia'!$D$6:$AA$680,24,FALSE)))</f>
        <v>0</v>
      </c>
      <c r="AP37" s="730" t="s">
        <v>6875</v>
      </c>
      <c r="AQ37" s="4796" t="s">
        <v>6902</v>
      </c>
      <c r="AR37" s="4797"/>
      <c r="AS37" s="4797"/>
      <c r="AT37" s="4797"/>
      <c r="AU37" s="4797"/>
      <c r="AV37" s="4797"/>
      <c r="AW37" s="4777"/>
      <c r="AX37" s="738"/>
      <c r="AY37" s="574"/>
      <c r="AZ37" s="3153"/>
      <c r="BA37" s="3085" t="b">
        <f t="shared" si="4"/>
        <v>0</v>
      </c>
      <c r="BB37" s="3140" t="b">
        <f t="shared" si="5"/>
        <v>0</v>
      </c>
      <c r="BC37" s="3140" t="b">
        <f t="shared" si="6"/>
        <v>0</v>
      </c>
      <c r="BD37" s="3085" t="b">
        <f t="shared" si="7"/>
        <v>0</v>
      </c>
      <c r="BE37" s="3085" t="b">
        <f t="shared" si="8"/>
        <v>0</v>
      </c>
      <c r="BF37" s="3085" t="b">
        <f t="shared" si="9"/>
        <v>0</v>
      </c>
      <c r="BG37" s="3085" t="b">
        <f t="shared" si="10"/>
        <v>0</v>
      </c>
      <c r="BH37" s="3085"/>
      <c r="BI37" s="3085"/>
    </row>
    <row r="38" spans="1:61" ht="12" customHeight="1" x14ac:dyDescent="0.2">
      <c r="A38" s="29"/>
      <c r="B38" s="485"/>
      <c r="C38" s="4823"/>
      <c r="D38" s="4823"/>
      <c r="E38" s="4823"/>
      <c r="F38" s="4823"/>
      <c r="G38" s="4823"/>
      <c r="H38" s="1538"/>
      <c r="J38" s="4816"/>
      <c r="K38" s="4817"/>
      <c r="L38" s="4817"/>
      <c r="M38" s="4817"/>
      <c r="N38" s="4817"/>
      <c r="O38" s="4817"/>
      <c r="P38" s="639" t="str">
        <f>IF(J38=0,"",VLOOKUP(J38,Tablas!$AB$1065:$AD$1239,2,FALSE))</f>
        <v/>
      </c>
      <c r="Q38" s="663" t="str">
        <f>IF(J38=0,"",VLOOKUP(J38,Tablas!$AB$1065:$AD$1239,3,FALSE)*IF($P$26="Invocador",0.5,1))</f>
        <v/>
      </c>
      <c r="S38" s="577"/>
      <c r="T38" s="484" t="str">
        <f t="shared" si="0"/>
        <v>Conjuros</v>
      </c>
      <c r="U38" s="29"/>
      <c r="V38" s="672">
        <f>IF(AC38="",0,VLOOKUP(AC38,Tablas!$M$1076:$N$1085,2))</f>
        <v>0</v>
      </c>
      <c r="W38" s="4166"/>
      <c r="X38" s="4761"/>
      <c r="Y38" s="4768"/>
      <c r="Z38" s="4769"/>
      <c r="AA38" s="4769"/>
      <c r="AB38" s="4770"/>
      <c r="AC38" s="542" t="str">
        <f>IF(Místicos!Y38=0,"",VLOOKUP(Místicos!Y38,Tabla_Conjuros,3,FALSE))</f>
        <v/>
      </c>
      <c r="AD38" s="2364" t="str">
        <f t="shared" si="1"/>
        <v/>
      </c>
      <c r="AE38" s="4166"/>
      <c r="AF38" s="4761"/>
      <c r="AG38" s="4768"/>
      <c r="AH38" s="4769"/>
      <c r="AI38" s="4769"/>
      <c r="AJ38" s="4770"/>
      <c r="AK38" s="1470"/>
      <c r="AL38" s="1164">
        <f>IF(Místicos!AG38=0,0,VLOOKUP(Místicos!AG38,Tabla_Conjuros,3,FALSE)-10)</f>
        <v>0</v>
      </c>
      <c r="AM38" s="1334" t="str">
        <f t="shared" si="2"/>
        <v>Conjuros_LibreAcceso</v>
      </c>
      <c r="AN38" s="1334" t="str">
        <f>AE38&amp;COUNTIF($AE$12:AF38,AE38)</f>
        <v>0</v>
      </c>
      <c r="AO38" s="2938" t="b">
        <f>ISNUMBER(SEARCH(AE38,VLOOKUP(AG38,'Tablas Magia'!$D$6:$AA$680,24,FALSE)))</f>
        <v>0</v>
      </c>
      <c r="AP38" s="730" t="s">
        <v>6876</v>
      </c>
      <c r="AQ38" s="4776" t="s">
        <v>6901</v>
      </c>
      <c r="AR38" s="4777"/>
      <c r="AS38" s="4777"/>
      <c r="AT38" s="4777"/>
      <c r="AU38" s="4777"/>
      <c r="AV38" s="4777"/>
      <c r="AW38" s="4777"/>
      <c r="AX38" s="738"/>
      <c r="AY38" s="574"/>
      <c r="AZ38" s="3153"/>
      <c r="BA38" s="3085" t="b">
        <f t="shared" si="4"/>
        <v>0</v>
      </c>
      <c r="BB38" s="3140" t="b">
        <f t="shared" si="5"/>
        <v>0</v>
      </c>
      <c r="BC38" s="3140" t="b">
        <f t="shared" si="6"/>
        <v>0</v>
      </c>
      <c r="BD38" s="3085" t="b">
        <f t="shared" si="7"/>
        <v>0</v>
      </c>
      <c r="BE38" s="3085" t="b">
        <f t="shared" si="8"/>
        <v>0</v>
      </c>
      <c r="BF38" s="3085" t="b">
        <f t="shared" si="9"/>
        <v>0</v>
      </c>
      <c r="BG38" s="3085" t="b">
        <f t="shared" si="10"/>
        <v>0</v>
      </c>
      <c r="BH38" s="3085"/>
      <c r="BI38" s="3085"/>
    </row>
    <row r="39" spans="1:61" ht="12" customHeight="1" x14ac:dyDescent="0.2">
      <c r="A39" s="29"/>
      <c r="B39" s="485"/>
      <c r="C39" s="4812"/>
      <c r="D39" s="4812"/>
      <c r="E39" s="4812"/>
      <c r="F39" s="4812"/>
      <c r="G39" s="4812"/>
      <c r="H39" s="1495"/>
      <c r="J39" s="4818"/>
      <c r="K39" s="4819"/>
      <c r="L39" s="4819"/>
      <c r="M39" s="4819"/>
      <c r="N39" s="4819"/>
      <c r="O39" s="4819"/>
      <c r="P39" s="638" t="str">
        <f>IF(J39=0,"",VLOOKUP(J39,Tablas!$AB$1065:$AD$1239,2,FALSE))</f>
        <v/>
      </c>
      <c r="Q39" s="662" t="str">
        <f>IF(J39=0,"",VLOOKUP(J39,Tablas!$AB$1065:$AD$1239,3,FALSE)*IF($P$26="Invocador",0.5,1))</f>
        <v/>
      </c>
      <c r="S39" s="577"/>
      <c r="T39" s="484" t="str">
        <f t="shared" si="0"/>
        <v>Conjuros</v>
      </c>
      <c r="U39" s="29"/>
      <c r="V39" s="672">
        <f>IF(AC39="",0,VLOOKUP(AC39,Tablas!$M$1076:$N$1085,2))</f>
        <v>0</v>
      </c>
      <c r="W39" s="4169"/>
      <c r="X39" s="4863"/>
      <c r="Y39" s="4771"/>
      <c r="Z39" s="4772"/>
      <c r="AA39" s="4772"/>
      <c r="AB39" s="4773"/>
      <c r="AC39" s="541" t="str">
        <f>IF(Místicos!Y39=0,"",VLOOKUP(Místicos!Y39,Tabla_Conjuros,3,FALSE))</f>
        <v/>
      </c>
      <c r="AD39" s="2364" t="str">
        <f t="shared" si="1"/>
        <v/>
      </c>
      <c r="AE39" s="4789"/>
      <c r="AF39" s="4764"/>
      <c r="AG39" s="4771"/>
      <c r="AH39" s="4772"/>
      <c r="AI39" s="4772"/>
      <c r="AJ39" s="4773"/>
      <c r="AK39" s="1539"/>
      <c r="AL39" s="1164">
        <f>IF(Místicos!AG39=0,0,VLOOKUP(Místicos!AG39,Tabla_Conjuros,3,FALSE)-10)</f>
        <v>0</v>
      </c>
      <c r="AM39" s="1334" t="str">
        <f t="shared" si="2"/>
        <v>Conjuros_LibreAcceso</v>
      </c>
      <c r="AN39" s="1334" t="str">
        <f>AE39&amp;COUNTIF($AE$12:AF39,AE39)</f>
        <v>0</v>
      </c>
      <c r="AO39" s="2938" t="b">
        <f>ISNUMBER(SEARCH(AE39,VLOOKUP(AG39,'Tablas Magia'!$D$6:$AA$680,24,FALSE)))</f>
        <v>0</v>
      </c>
      <c r="AP39" s="730" t="s">
        <v>6877</v>
      </c>
      <c r="AQ39" s="4776" t="s">
        <v>6900</v>
      </c>
      <c r="AR39" s="4777"/>
      <c r="AS39" s="4777"/>
      <c r="AT39" s="4777"/>
      <c r="AU39" s="4777"/>
      <c r="AV39" s="4777"/>
      <c r="AW39" s="4777"/>
      <c r="AX39" s="738"/>
      <c r="AY39" s="574"/>
      <c r="AZ39" s="3153"/>
      <c r="BA39" s="3085" t="b">
        <f t="shared" si="4"/>
        <v>0</v>
      </c>
      <c r="BB39" s="3140" t="b">
        <f t="shared" si="5"/>
        <v>0</v>
      </c>
      <c r="BC39" s="3140" t="b">
        <f t="shared" si="6"/>
        <v>0</v>
      </c>
      <c r="BD39" s="3085" t="b">
        <f t="shared" si="7"/>
        <v>0</v>
      </c>
      <c r="BE39" s="3085" t="b">
        <f t="shared" si="8"/>
        <v>0</v>
      </c>
      <c r="BF39" s="3085" t="b">
        <f t="shared" si="9"/>
        <v>0</v>
      </c>
      <c r="BG39" s="3085" t="b">
        <f t="shared" si="10"/>
        <v>0</v>
      </c>
      <c r="BH39" s="3085"/>
      <c r="BI39" s="3085"/>
    </row>
    <row r="40" spans="1:61" ht="12" customHeight="1" x14ac:dyDescent="0.2">
      <c r="A40" s="29"/>
      <c r="B40" s="485"/>
      <c r="C40" s="4823"/>
      <c r="D40" s="4823"/>
      <c r="E40" s="4823"/>
      <c r="F40" s="4823"/>
      <c r="G40" s="4823"/>
      <c r="H40" s="1538"/>
      <c r="J40" s="4816"/>
      <c r="K40" s="4817"/>
      <c r="L40" s="4817"/>
      <c r="M40" s="4817"/>
      <c r="N40" s="4817"/>
      <c r="O40" s="4817"/>
      <c r="P40" s="639" t="str">
        <f>IF(J40=0,"",VLOOKUP(J40,Tablas!$AB$1065:$AD$1239,2,FALSE))</f>
        <v/>
      </c>
      <c r="Q40" s="663" t="str">
        <f>IF(J40=0,"",VLOOKUP(J40,Tablas!$AB$1065:$AD$1239,3,FALSE)*IF($P$26="Invocador",0.5,1))</f>
        <v/>
      </c>
      <c r="S40" s="577"/>
      <c r="T40" s="484" t="str">
        <f t="shared" si="0"/>
        <v>Conjuros</v>
      </c>
      <c r="U40" s="29"/>
      <c r="V40" s="672">
        <f>IF(AC40="",0,VLOOKUP(AC40,Tablas!$M$1076:$N$1085,2))</f>
        <v>0</v>
      </c>
      <c r="W40" s="4166"/>
      <c r="X40" s="4761"/>
      <c r="Y40" s="4768"/>
      <c r="Z40" s="4769"/>
      <c r="AA40" s="4769"/>
      <c r="AB40" s="4770"/>
      <c r="AC40" s="542" t="str">
        <f>IF(Místicos!Y40=0,"",VLOOKUP(Místicos!Y40,Tabla_Conjuros,3,FALSE))</f>
        <v/>
      </c>
      <c r="AD40" s="2364" t="str">
        <f t="shared" si="1"/>
        <v/>
      </c>
      <c r="AE40" s="4166"/>
      <c r="AF40" s="4761"/>
      <c r="AG40" s="4768"/>
      <c r="AH40" s="4769"/>
      <c r="AI40" s="4769"/>
      <c r="AJ40" s="4770"/>
      <c r="AK40" s="1470"/>
      <c r="AL40" s="1164">
        <f>IF(Místicos!AG40=0,0,VLOOKUP(Místicos!AG40,Tabla_Conjuros,3,FALSE)-10)</f>
        <v>0</v>
      </c>
      <c r="AM40" s="1334" t="str">
        <f t="shared" si="2"/>
        <v>Conjuros_LibreAcceso</v>
      </c>
      <c r="AN40" s="1334" t="str">
        <f>AE40&amp;COUNTIF($AE$12:AF40,AE40)</f>
        <v>0</v>
      </c>
      <c r="AO40" s="2938" t="b">
        <f>ISNUMBER(SEARCH(AE40,VLOOKUP(AG40,'Tablas Magia'!$D$6:$AA$680,24,FALSE)))</f>
        <v>0</v>
      </c>
      <c r="AP40" s="730" t="s">
        <v>6878</v>
      </c>
      <c r="AQ40" s="4776" t="s">
        <v>6909</v>
      </c>
      <c r="AR40" s="4777"/>
      <c r="AS40" s="4777"/>
      <c r="AT40" s="4777"/>
      <c r="AU40" s="4777"/>
      <c r="AV40" s="4777"/>
      <c r="AW40" s="4777"/>
      <c r="AX40" s="738"/>
      <c r="AY40" s="574"/>
      <c r="AZ40" s="3153"/>
      <c r="BA40" s="3085" t="b">
        <f t="shared" si="4"/>
        <v>0</v>
      </c>
      <c r="BB40" s="3140" t="b">
        <f t="shared" si="5"/>
        <v>0</v>
      </c>
      <c r="BC40" s="3140" t="b">
        <f t="shared" si="6"/>
        <v>0</v>
      </c>
      <c r="BD40" s="3085" t="b">
        <f t="shared" si="7"/>
        <v>0</v>
      </c>
      <c r="BE40" s="3085" t="b">
        <f t="shared" si="8"/>
        <v>0</v>
      </c>
      <c r="BF40" s="3085" t="b">
        <f t="shared" si="9"/>
        <v>0</v>
      </c>
      <c r="BG40" s="3085" t="b">
        <f t="shared" si="10"/>
        <v>0</v>
      </c>
      <c r="BH40" s="3085"/>
      <c r="BI40" s="3085"/>
    </row>
    <row r="41" spans="1:61" ht="12" customHeight="1" x14ac:dyDescent="0.2">
      <c r="A41" s="29"/>
      <c r="B41" s="485"/>
      <c r="C41" s="4812"/>
      <c r="D41" s="4812"/>
      <c r="E41" s="4812"/>
      <c r="F41" s="4812"/>
      <c r="G41" s="4812"/>
      <c r="H41" s="1495"/>
      <c r="J41" s="4818"/>
      <c r="K41" s="4819"/>
      <c r="L41" s="4819"/>
      <c r="M41" s="4819"/>
      <c r="N41" s="4819"/>
      <c r="O41" s="4819"/>
      <c r="P41" s="638" t="str">
        <f>IF(J41=0,"",VLOOKUP(J41,Tablas!$AB$1065:$AD$1239,2,FALSE))</f>
        <v/>
      </c>
      <c r="Q41" s="662" t="str">
        <f>IF(J41=0,"",VLOOKUP(J41,Tablas!$AB$1065:$AD$1239,3,FALSE)*IF($P$26="Invocador",0.5,1))</f>
        <v/>
      </c>
      <c r="S41" s="577"/>
      <c r="T41" s="484" t="str">
        <f t="shared" si="0"/>
        <v>Conjuros</v>
      </c>
      <c r="U41" s="29"/>
      <c r="V41" s="672">
        <f>IF(AC41="",0,VLOOKUP(AC41,Tablas!$M$1076:$N$1085,2))</f>
        <v>0</v>
      </c>
      <c r="W41" s="4169"/>
      <c r="X41" s="4863"/>
      <c r="Y41" s="4771"/>
      <c r="Z41" s="4772"/>
      <c r="AA41" s="4772"/>
      <c r="AB41" s="4773"/>
      <c r="AC41" s="541" t="str">
        <f>IF(Místicos!Y41=0,"",VLOOKUP(Místicos!Y41,Tabla_Conjuros,3,FALSE))</f>
        <v/>
      </c>
      <c r="AD41" s="2364" t="str">
        <f t="shared" si="1"/>
        <v/>
      </c>
      <c r="AE41" s="4789"/>
      <c r="AF41" s="4764"/>
      <c r="AG41" s="4771"/>
      <c r="AH41" s="4772"/>
      <c r="AI41" s="4772"/>
      <c r="AJ41" s="4773"/>
      <c r="AK41" s="1539"/>
      <c r="AL41" s="1164">
        <f>IF(Místicos!AG41=0,0,VLOOKUP(Místicos!AG41,Tabla_Conjuros,3,FALSE)-10)</f>
        <v>0</v>
      </c>
      <c r="AM41" s="1334" t="str">
        <f t="shared" si="2"/>
        <v>Conjuros_LibreAcceso</v>
      </c>
      <c r="AN41" s="1334" t="str">
        <f>AE41&amp;COUNTIF($AE$12:AF41,AE41)</f>
        <v>0</v>
      </c>
      <c r="AO41" s="2938" t="b">
        <f>ISNUMBER(SEARCH(AE41,VLOOKUP(AG41,'Tablas Magia'!$D$6:$AA$680,24,FALSE)))</f>
        <v>0</v>
      </c>
      <c r="AP41" s="730" t="s">
        <v>6879</v>
      </c>
      <c r="AQ41" s="4776" t="s">
        <v>6899</v>
      </c>
      <c r="AR41" s="4777"/>
      <c r="AS41" s="4777"/>
      <c r="AT41" s="4777"/>
      <c r="AU41" s="4777"/>
      <c r="AV41" s="4777"/>
      <c r="AW41" s="4777"/>
      <c r="AX41" s="738"/>
      <c r="AY41" s="574"/>
      <c r="AZ41" s="3153"/>
      <c r="BA41" s="3085" t="b">
        <f t="shared" si="4"/>
        <v>0</v>
      </c>
      <c r="BB41" s="3140" t="b">
        <f t="shared" si="5"/>
        <v>0</v>
      </c>
      <c r="BC41" s="3140" t="b">
        <f t="shared" si="6"/>
        <v>0</v>
      </c>
      <c r="BD41" s="3085" t="b">
        <f t="shared" si="7"/>
        <v>0</v>
      </c>
      <c r="BE41" s="3085" t="b">
        <f t="shared" si="8"/>
        <v>0</v>
      </c>
      <c r="BF41" s="3085" t="b">
        <f t="shared" si="9"/>
        <v>0</v>
      </c>
      <c r="BG41" s="3085" t="b">
        <f t="shared" si="10"/>
        <v>0</v>
      </c>
      <c r="BH41" s="3085"/>
      <c r="BI41" s="3085"/>
    </row>
    <row r="42" spans="1:61" ht="12" customHeight="1" thickBot="1" x14ac:dyDescent="0.25">
      <c r="A42" s="29"/>
      <c r="B42" s="485"/>
      <c r="C42" s="4823"/>
      <c r="D42" s="4823"/>
      <c r="E42" s="4823"/>
      <c r="F42" s="4823"/>
      <c r="G42" s="4823"/>
      <c r="H42" s="1538"/>
      <c r="J42" s="4816"/>
      <c r="K42" s="4817"/>
      <c r="L42" s="4817"/>
      <c r="M42" s="4817"/>
      <c r="N42" s="4817"/>
      <c r="O42" s="4817"/>
      <c r="P42" s="639" t="str">
        <f>IF(J42=0,"",VLOOKUP(J42,Tablas!$AB$1065:$AD$1239,2,FALSE))</f>
        <v/>
      </c>
      <c r="Q42" s="663" t="str">
        <f>IF(J42=0,"",VLOOKUP(J42,Tablas!$AB$1065:$AD$1239,3,FALSE)*IF($P$26="Invocador",0.5,1))</f>
        <v/>
      </c>
      <c r="S42" s="577"/>
      <c r="T42" s="484" t="str">
        <f t="shared" si="0"/>
        <v>Conjuros</v>
      </c>
      <c r="U42" s="29"/>
      <c r="V42" s="672">
        <f>IF(AC42="",0,VLOOKUP(AC42,Tablas!$M$1076:$N$1085,2))</f>
        <v>0</v>
      </c>
      <c r="W42" s="4166"/>
      <c r="X42" s="4761"/>
      <c r="Y42" s="4768"/>
      <c r="Z42" s="4769"/>
      <c r="AA42" s="4769"/>
      <c r="AB42" s="4770"/>
      <c r="AC42" s="542" t="str">
        <f>IF(Místicos!Y42=0,"",VLOOKUP(Místicos!Y42,Tabla_Conjuros,3,FALSE))</f>
        <v/>
      </c>
      <c r="AD42" s="2364" t="str">
        <f t="shared" si="1"/>
        <v/>
      </c>
      <c r="AE42" s="4166"/>
      <c r="AF42" s="4761"/>
      <c r="AG42" s="4768"/>
      <c r="AH42" s="4769"/>
      <c r="AI42" s="4769"/>
      <c r="AJ42" s="4770"/>
      <c r="AK42" s="1470"/>
      <c r="AL42" s="1164">
        <f>IF(Místicos!AG42=0,0,VLOOKUP(Místicos!AG42,Tabla_Conjuros,3,FALSE)-10)</f>
        <v>0</v>
      </c>
      <c r="AM42" s="1334" t="str">
        <f t="shared" si="2"/>
        <v>Conjuros_LibreAcceso</v>
      </c>
      <c r="AN42" s="1334" t="str">
        <f>AE42&amp;COUNTIF($AE$12:AF42,AE42)</f>
        <v>0</v>
      </c>
      <c r="AO42" s="2938" t="b">
        <f>ISNUMBER(SEARCH(AE42,VLOOKUP(AG42,'Tablas Magia'!$D$6:$AA$680,24,FALSE)))</f>
        <v>0</v>
      </c>
      <c r="AP42" s="731">
        <v>-9</v>
      </c>
      <c r="AQ42" s="4778" t="s">
        <v>6898</v>
      </c>
      <c r="AR42" s="4779"/>
      <c r="AS42" s="4779"/>
      <c r="AT42" s="4779"/>
      <c r="AU42" s="4779"/>
      <c r="AV42" s="4779"/>
      <c r="AW42" s="4779"/>
      <c r="AX42" s="738"/>
      <c r="AY42" s="574"/>
      <c r="AZ42" s="3153"/>
      <c r="BA42" s="3085" t="b">
        <f t="shared" si="4"/>
        <v>0</v>
      </c>
      <c r="BB42" s="3140" t="b">
        <f t="shared" si="5"/>
        <v>0</v>
      </c>
      <c r="BC42" s="3140" t="b">
        <f t="shared" si="6"/>
        <v>0</v>
      </c>
      <c r="BD42" s="3085" t="b">
        <f t="shared" si="7"/>
        <v>0</v>
      </c>
      <c r="BE42" s="3085" t="b">
        <f t="shared" si="8"/>
        <v>0</v>
      </c>
      <c r="BF42" s="3085" t="b">
        <f t="shared" si="9"/>
        <v>0</v>
      </c>
      <c r="BG42" s="3085" t="b">
        <f t="shared" si="10"/>
        <v>0</v>
      </c>
      <c r="BH42" s="3085"/>
      <c r="BI42" s="3085"/>
    </row>
    <row r="43" spans="1:61" ht="12" customHeight="1" x14ac:dyDescent="0.2">
      <c r="A43" s="29"/>
      <c r="B43" s="485"/>
      <c r="C43" s="4812"/>
      <c r="D43" s="4812"/>
      <c r="E43" s="4812"/>
      <c r="F43" s="4812"/>
      <c r="G43" s="4812"/>
      <c r="H43" s="1495"/>
      <c r="J43" s="4818"/>
      <c r="K43" s="4819"/>
      <c r="L43" s="4819"/>
      <c r="M43" s="4819"/>
      <c r="N43" s="4819"/>
      <c r="O43" s="4819"/>
      <c r="P43" s="638" t="str">
        <f>IF(J43=0,"",VLOOKUP(J43,Tablas!$AB$1065:$AD$1239,2,FALSE))</f>
        <v/>
      </c>
      <c r="Q43" s="662" t="str">
        <f>IF(J43=0,"",VLOOKUP(J43,Tablas!$AB$1065:$AD$1239,3,FALSE)*IF($P$26="Invocador",0.5,1))</f>
        <v/>
      </c>
      <c r="S43" s="577"/>
      <c r="T43" s="484" t="str">
        <f t="shared" si="0"/>
        <v>Conjuros</v>
      </c>
      <c r="U43" s="29"/>
      <c r="V43" s="672">
        <f>IF(AC43="",0,VLOOKUP(AC43,Tablas!$M$1076:$N$1085,2))</f>
        <v>0</v>
      </c>
      <c r="W43" s="4169"/>
      <c r="X43" s="4863"/>
      <c r="Y43" s="4771"/>
      <c r="Z43" s="4772"/>
      <c r="AA43" s="4772"/>
      <c r="AB43" s="4773"/>
      <c r="AC43" s="541" t="str">
        <f>IF(Místicos!Y43=0,"",VLOOKUP(Místicos!Y43,Tabla_Conjuros,3,FALSE))</f>
        <v/>
      </c>
      <c r="AD43" s="2364" t="str">
        <f t="shared" si="1"/>
        <v/>
      </c>
      <c r="AE43" s="4789"/>
      <c r="AF43" s="4764"/>
      <c r="AG43" s="4771"/>
      <c r="AH43" s="4772"/>
      <c r="AI43" s="4772"/>
      <c r="AJ43" s="4773"/>
      <c r="AK43" s="1539"/>
      <c r="AL43" s="1164">
        <f>IF(Místicos!AG43=0,0,VLOOKUP(Místicos!AG43,Tabla_Conjuros,3,FALSE)-10)</f>
        <v>0</v>
      </c>
      <c r="AM43" s="1334" t="str">
        <f t="shared" si="2"/>
        <v>Conjuros_LibreAcceso</v>
      </c>
      <c r="AN43" s="1334" t="str">
        <f>AE43&amp;COUNTIF($AE$12:AF43,AE43)</f>
        <v>0</v>
      </c>
      <c r="AO43" s="2938" t="b">
        <f>ISNUMBER(SEARCH(AE43,VLOOKUP(AG43,'Tablas Magia'!$D$6:$AA$680,24,FALSE)))</f>
        <v>0</v>
      </c>
      <c r="AP43" s="48"/>
      <c r="AQ43" s="48"/>
      <c r="AR43" s="48"/>
      <c r="AS43" s="48"/>
      <c r="AT43" s="48"/>
      <c r="AU43" s="48"/>
      <c r="AV43" s="48"/>
      <c r="AW43" s="48"/>
      <c r="AX43" s="739"/>
      <c r="AY43" s="574"/>
      <c r="AZ43" s="3153"/>
      <c r="BA43" s="3085" t="b">
        <f t="shared" si="4"/>
        <v>0</v>
      </c>
      <c r="BB43" s="3140" t="b">
        <f t="shared" si="5"/>
        <v>0</v>
      </c>
      <c r="BC43" s="3140" t="b">
        <f t="shared" si="6"/>
        <v>0</v>
      </c>
      <c r="BD43" s="3085" t="b">
        <f t="shared" si="7"/>
        <v>0</v>
      </c>
      <c r="BE43" s="3085" t="b">
        <f t="shared" si="8"/>
        <v>0</v>
      </c>
      <c r="BF43" s="3085" t="b">
        <f t="shared" si="9"/>
        <v>0</v>
      </c>
      <c r="BG43" s="3085" t="b">
        <f t="shared" si="10"/>
        <v>0</v>
      </c>
      <c r="BH43" s="3085"/>
      <c r="BI43" s="3085"/>
    </row>
    <row r="44" spans="1:61" ht="12" customHeight="1" x14ac:dyDescent="0.2">
      <c r="A44" s="29"/>
      <c r="B44" s="485"/>
      <c r="C44" s="4823"/>
      <c r="D44" s="4823"/>
      <c r="E44" s="4823"/>
      <c r="F44" s="4823"/>
      <c r="G44" s="4823"/>
      <c r="H44" s="1538"/>
      <c r="J44" s="4816"/>
      <c r="K44" s="4817"/>
      <c r="L44" s="4817"/>
      <c r="M44" s="4817"/>
      <c r="N44" s="4817"/>
      <c r="O44" s="4817"/>
      <c r="P44" s="639" t="str">
        <f>IF(J44=0,"",VLOOKUP(J44,Tablas!$AB$1065:$AD$1239,2,FALSE))</f>
        <v/>
      </c>
      <c r="Q44" s="663" t="str">
        <f>IF(J44=0,"",VLOOKUP(J44,Tablas!$AB$1065:$AD$1239,3,FALSE)*IF($P$26="Invocador",0.5,1))</f>
        <v/>
      </c>
      <c r="S44" s="577"/>
      <c r="T44" s="484" t="str">
        <f t="shared" si="0"/>
        <v>Conjuros</v>
      </c>
      <c r="U44" s="29"/>
      <c r="V44" s="672">
        <f>IF(AC44="",0,VLOOKUP(AC44,Tablas!$M$1076:$N$1085,2))</f>
        <v>0</v>
      </c>
      <c r="W44" s="4166"/>
      <c r="X44" s="4761"/>
      <c r="Y44" s="4768"/>
      <c r="Z44" s="4769"/>
      <c r="AA44" s="4769"/>
      <c r="AB44" s="4770"/>
      <c r="AC44" s="542" t="str">
        <f>IF(Místicos!Y44=0,"",VLOOKUP(Místicos!Y44,Tabla_Conjuros,3,FALSE))</f>
        <v/>
      </c>
      <c r="AD44" s="2364" t="str">
        <f t="shared" si="1"/>
        <v/>
      </c>
      <c r="AE44" s="4166"/>
      <c r="AF44" s="4761"/>
      <c r="AG44" s="4768"/>
      <c r="AH44" s="4769"/>
      <c r="AI44" s="4769"/>
      <c r="AJ44" s="4770"/>
      <c r="AK44" s="1470"/>
      <c r="AL44" s="1164">
        <f>IF(Místicos!AG44=0,0,VLOOKUP(Místicos!AG44,Tabla_Conjuros,3,FALSE)-10)</f>
        <v>0</v>
      </c>
      <c r="AM44" s="1334" t="str">
        <f t="shared" si="2"/>
        <v>Conjuros_LibreAcceso</v>
      </c>
      <c r="AN44" s="1334" t="str">
        <f>AE44&amp;COUNTIF($AE$12:AF44,AE44)</f>
        <v>0</v>
      </c>
      <c r="AO44" s="2938" t="b">
        <f>ISNUMBER(SEARCH(AE44,VLOOKUP(AG44,'Tablas Magia'!$D$6:$AA$680,24,FALSE)))</f>
        <v>0</v>
      </c>
      <c r="AP44" s="4774" t="str">
        <f>IF(OR(AT10="General",AT10="Magia Natural"),"",AT10)</f>
        <v/>
      </c>
      <c r="AQ44" s="4774"/>
      <c r="AR44" s="4774"/>
      <c r="AS44" s="4774"/>
      <c r="AT44" s="4774"/>
      <c r="AU44" s="4774"/>
      <c r="AV44" s="4774"/>
      <c r="AW44" s="4774"/>
      <c r="AX44" s="738"/>
      <c r="AY44" s="574"/>
      <c r="AZ44" s="3153"/>
      <c r="BA44" s="3085" t="b">
        <f t="shared" si="4"/>
        <v>0</v>
      </c>
      <c r="BB44" s="3140" t="b">
        <f t="shared" si="5"/>
        <v>0</v>
      </c>
      <c r="BC44" s="3140" t="b">
        <f t="shared" si="6"/>
        <v>0</v>
      </c>
      <c r="BD44" s="3085" t="b">
        <f t="shared" si="7"/>
        <v>0</v>
      </c>
      <c r="BE44" s="3085" t="b">
        <f t="shared" si="8"/>
        <v>0</v>
      </c>
      <c r="BF44" s="3085" t="b">
        <f t="shared" si="9"/>
        <v>0</v>
      </c>
      <c r="BG44" s="3085" t="b">
        <f t="shared" si="10"/>
        <v>0</v>
      </c>
      <c r="BH44" s="3085"/>
      <c r="BI44" s="3085"/>
    </row>
    <row r="45" spans="1:61" ht="12" customHeight="1" x14ac:dyDescent="0.2">
      <c r="A45" s="29"/>
      <c r="B45" s="485"/>
      <c r="C45" s="4812"/>
      <c r="D45" s="4812"/>
      <c r="E45" s="4812"/>
      <c r="F45" s="4812"/>
      <c r="G45" s="4812"/>
      <c r="H45" s="1495"/>
      <c r="J45" s="4818"/>
      <c r="K45" s="4819"/>
      <c r="L45" s="4819"/>
      <c r="M45" s="4819"/>
      <c r="N45" s="4819"/>
      <c r="O45" s="4819"/>
      <c r="P45" s="638" t="str">
        <f>IF(J45=0,"",VLOOKUP(J45,Tablas!$AB$1065:$AD$1239,2,FALSE))</f>
        <v/>
      </c>
      <c r="Q45" s="662" t="str">
        <f>IF(J45=0,"",VLOOKUP(J45,Tablas!$AB$1065:$AD$1239,3,FALSE)*IF($P$26="Invocador",0.5,1))</f>
        <v/>
      </c>
      <c r="S45" s="577"/>
      <c r="T45" s="484" t="str">
        <f t="shared" si="0"/>
        <v>Conjuros</v>
      </c>
      <c r="U45" s="29"/>
      <c r="V45" s="672">
        <f>IF(AC45="",0,VLOOKUP(AC45,Tablas!$M$1076:$N$1085,2))</f>
        <v>0</v>
      </c>
      <c r="W45" s="4169"/>
      <c r="X45" s="4863"/>
      <c r="Y45" s="4771"/>
      <c r="Z45" s="4772"/>
      <c r="AA45" s="4772"/>
      <c r="AB45" s="4773"/>
      <c r="AC45" s="541" t="str">
        <f>IF(Místicos!Y45=0,"",VLOOKUP(Místicos!Y45,Tabla_Conjuros,3,FALSE))</f>
        <v/>
      </c>
      <c r="AD45" s="2364" t="str">
        <f t="shared" si="1"/>
        <v/>
      </c>
      <c r="AE45" s="4789"/>
      <c r="AF45" s="4764"/>
      <c r="AG45" s="4771"/>
      <c r="AH45" s="4772"/>
      <c r="AI45" s="4772"/>
      <c r="AJ45" s="4773"/>
      <c r="AK45" s="1539"/>
      <c r="AL45" s="1164">
        <f>IF(Místicos!AG45=0,0,VLOOKUP(Místicos!AG45,Tabla_Conjuros,3,FALSE)-10)</f>
        <v>0</v>
      </c>
      <c r="AM45" s="1334" t="str">
        <f t="shared" si="2"/>
        <v>Conjuros_LibreAcceso</v>
      </c>
      <c r="AN45" s="1334" t="str">
        <f>AE45&amp;COUNTIF($AE$12:AF45,AE45)</f>
        <v>0</v>
      </c>
      <c r="AO45" s="2938" t="b">
        <f>ISNUMBER(SEARCH(AE45,VLOOKUP(AG45,'Tablas Magia'!$D$6:$AA$680,24,FALSE)))</f>
        <v>0</v>
      </c>
      <c r="AX45" s="738"/>
      <c r="AY45" s="574"/>
      <c r="AZ45" s="3153"/>
      <c r="BA45" s="3085" t="b">
        <f t="shared" si="4"/>
        <v>0</v>
      </c>
      <c r="BB45" s="3140" t="b">
        <f t="shared" si="5"/>
        <v>0</v>
      </c>
      <c r="BC45" s="3140" t="b">
        <f t="shared" si="6"/>
        <v>0</v>
      </c>
      <c r="BD45" s="3085" t="b">
        <f t="shared" si="7"/>
        <v>0</v>
      </c>
      <c r="BE45" s="3085" t="b">
        <f t="shared" si="8"/>
        <v>0</v>
      </c>
      <c r="BF45" s="3085" t="b">
        <f t="shared" si="9"/>
        <v>0</v>
      </c>
      <c r="BG45" s="3085" t="b">
        <f t="shared" si="10"/>
        <v>0</v>
      </c>
      <c r="BH45" s="3085"/>
      <c r="BI45" s="3085"/>
    </row>
    <row r="46" spans="1:61" ht="12" customHeight="1" x14ac:dyDescent="0.2">
      <c r="A46" s="29"/>
      <c r="B46" s="485"/>
      <c r="C46" s="4823"/>
      <c r="D46" s="4823"/>
      <c r="E46" s="4823"/>
      <c r="F46" s="4823"/>
      <c r="G46" s="4823"/>
      <c r="H46" s="1538"/>
      <c r="J46" s="4816"/>
      <c r="K46" s="4817"/>
      <c r="L46" s="4817"/>
      <c r="M46" s="4817"/>
      <c r="N46" s="4817"/>
      <c r="O46" s="4817"/>
      <c r="P46" s="639" t="str">
        <f>IF(J46=0,"",VLOOKUP(J46,Tablas!$AB$1065:$AD$1239,2,FALSE))</f>
        <v/>
      </c>
      <c r="Q46" s="663" t="str">
        <f>IF(J46=0,"",VLOOKUP(J46,Tablas!$AB$1065:$AD$1239,3,FALSE)*IF($P$26="Invocador",0.5,1))</f>
        <v/>
      </c>
      <c r="S46" s="577"/>
      <c r="T46" s="484" t="str">
        <f t="shared" si="0"/>
        <v>Conjuros</v>
      </c>
      <c r="U46" s="29"/>
      <c r="V46" s="672">
        <f>IF(AC46="",0,VLOOKUP(AC46,Tablas!$M$1076:$N$1085,2))</f>
        <v>0</v>
      </c>
      <c r="W46" s="4166"/>
      <c r="X46" s="4761"/>
      <c r="Y46" s="4768"/>
      <c r="Z46" s="4769"/>
      <c r="AA46" s="4769"/>
      <c r="AB46" s="4770"/>
      <c r="AC46" s="542" t="str">
        <f>IF(Místicos!Y46=0,"",VLOOKUP(Místicos!Y46,Tabla_Conjuros,3,FALSE))</f>
        <v/>
      </c>
      <c r="AD46" s="2364" t="str">
        <f t="shared" si="1"/>
        <v/>
      </c>
      <c r="AE46" s="4166"/>
      <c r="AF46" s="4761"/>
      <c r="AG46" s="4768"/>
      <c r="AH46" s="4769"/>
      <c r="AI46" s="4769"/>
      <c r="AJ46" s="4770"/>
      <c r="AK46" s="1470"/>
      <c r="AL46" s="1164">
        <f>IF(Místicos!AG46=0,0,VLOOKUP(Místicos!AG46,Tabla_Conjuros,3,FALSE)-10)</f>
        <v>0</v>
      </c>
      <c r="AM46" s="1334" t="str">
        <f t="shared" si="2"/>
        <v>Conjuros_LibreAcceso</v>
      </c>
      <c r="AN46" s="1334" t="str">
        <f>AE46&amp;COUNTIF($AE$12:AF46,AE46)</f>
        <v>0</v>
      </c>
      <c r="AO46" s="2938" t="b">
        <f>ISNUMBER(SEARCH(AE46,VLOOKUP(AG46,'Tablas Magia'!$D$6:$AA$680,24,FALSE)))</f>
        <v>0</v>
      </c>
      <c r="AP46" s="4785"/>
      <c r="AQ46" s="4785"/>
      <c r="AR46" s="4977" t="str">
        <f>IF($BA$11,"Caligrafía ritual",IF($BB$11,"Vínculos Físicos",IF($BC$11,"Zonas Espirituales","""")))</f>
        <v>"</v>
      </c>
      <c r="AS46" s="4977"/>
      <c r="AT46" s="4977"/>
      <c r="AU46" s="4977"/>
      <c r="AV46" s="4762"/>
      <c r="AW46" s="4762"/>
      <c r="AX46" s="738"/>
      <c r="AY46" s="574"/>
      <c r="AZ46" s="3153"/>
      <c r="BA46" s="3085" t="b">
        <f t="shared" si="4"/>
        <v>0</v>
      </c>
      <c r="BB46" s="3140" t="b">
        <f t="shared" si="5"/>
        <v>0</v>
      </c>
      <c r="BC46" s="3140" t="b">
        <f t="shared" si="6"/>
        <v>0</v>
      </c>
      <c r="BD46" s="3085" t="b">
        <f t="shared" si="7"/>
        <v>0</v>
      </c>
      <c r="BE46" s="3085" t="b">
        <f t="shared" si="8"/>
        <v>0</v>
      </c>
      <c r="BF46" s="3085" t="b">
        <f t="shared" si="9"/>
        <v>0</v>
      </c>
      <c r="BG46" s="3085" t="b">
        <f t="shared" si="10"/>
        <v>0</v>
      </c>
      <c r="BH46" s="3085"/>
      <c r="BI46" s="3085"/>
    </row>
    <row r="47" spans="1:61" ht="12" customHeight="1" x14ac:dyDescent="0.2">
      <c r="A47" s="29"/>
      <c r="B47" s="485"/>
      <c r="C47" s="4812"/>
      <c r="D47" s="4812"/>
      <c r="E47" s="4812"/>
      <c r="F47" s="4812"/>
      <c r="G47" s="4812"/>
      <c r="H47" s="1495"/>
      <c r="J47" s="4818"/>
      <c r="K47" s="4819"/>
      <c r="L47" s="4819"/>
      <c r="M47" s="4819"/>
      <c r="N47" s="4819"/>
      <c r="O47" s="4819"/>
      <c r="P47" s="638" t="str">
        <f>IF(J47=0,"",VLOOKUP(J47,Tablas!$AB$1065:$AD$1239,2,FALSE))</f>
        <v/>
      </c>
      <c r="Q47" s="662" t="str">
        <f>IF(J47=0,"",VLOOKUP(J47,Tablas!$AB$1065:$AD$1239,3,FALSE)*IF($P$26="Invocador",0.5,1))</f>
        <v/>
      </c>
      <c r="S47" s="577"/>
      <c r="T47" s="484" t="str">
        <f t="shared" si="0"/>
        <v>Conjuros</v>
      </c>
      <c r="U47" s="29"/>
      <c r="V47" s="672">
        <f>IF(AC47="",0,VLOOKUP(AC47,Tablas!$M$1076:$N$1085,2))</f>
        <v>0</v>
      </c>
      <c r="W47" s="4169"/>
      <c r="X47" s="4863"/>
      <c r="Y47" s="4771"/>
      <c r="Z47" s="4772"/>
      <c r="AA47" s="4772"/>
      <c r="AB47" s="4773"/>
      <c r="AC47" s="541" t="str">
        <f>IF(Místicos!Y47=0,"",VLOOKUP(Místicos!Y47,Tabla_Conjuros,3,FALSE))</f>
        <v/>
      </c>
      <c r="AD47" s="2364" t="str">
        <f t="shared" si="1"/>
        <v/>
      </c>
      <c r="AE47" s="4789"/>
      <c r="AF47" s="4764"/>
      <c r="AG47" s="4771"/>
      <c r="AH47" s="4772"/>
      <c r="AI47" s="4772"/>
      <c r="AJ47" s="4773"/>
      <c r="AK47" s="1539"/>
      <c r="AL47" s="1164">
        <f>IF(Místicos!AG47=0,0,VLOOKUP(Místicos!AG47,Tabla_Conjuros,3,FALSE)-10)</f>
        <v>0</v>
      </c>
      <c r="AM47" s="1334" t="str">
        <f t="shared" si="2"/>
        <v>Conjuros_LibreAcceso</v>
      </c>
      <c r="AN47" s="1334" t="str">
        <f>AE47&amp;COUNTIF($AE$12:AF47,AE47)</f>
        <v>0</v>
      </c>
      <c r="AO47" s="2938" t="b">
        <f>ISNUMBER(SEARCH(AE47,VLOOKUP(AG47,'Tablas Magia'!$D$6:$AA$680,24,FALSE)))</f>
        <v>0</v>
      </c>
      <c r="AP47" s="4785" t="str">
        <f>IF($BA$11,"Nv. Conjuro  Dif.",IF($BB$11,"",IF($BC$11,"Tipo de zona","""")))</f>
        <v>"</v>
      </c>
      <c r="AQ47" s="4785"/>
      <c r="AR47" s="4762" t="str">
        <f>IF($BA$11,"Tiempo empleado en la preparación",IF($BB$11,"Objeto a consumir - Bono a RM",IF($BC$11,"Descripción","")))</f>
        <v/>
      </c>
      <c r="AS47" s="4762"/>
      <c r="AT47" s="4762"/>
      <c r="AU47" s="4762"/>
      <c r="AV47" s="4762" t="str">
        <f>IF($BA$11,"Bono",IF($BB$11,"",IF($BC$11,"Llamar espíritus","")))</f>
        <v/>
      </c>
      <c r="AW47" s="4762"/>
      <c r="AX47" s="738"/>
      <c r="AY47" s="574"/>
      <c r="AZ47" s="3153"/>
      <c r="BA47" s="3085" t="b">
        <f t="shared" si="4"/>
        <v>0</v>
      </c>
      <c r="BB47" s="3140" t="b">
        <f t="shared" si="5"/>
        <v>0</v>
      </c>
      <c r="BC47" s="3140" t="b">
        <f t="shared" si="6"/>
        <v>0</v>
      </c>
      <c r="BD47" s="3085" t="b">
        <f t="shared" si="7"/>
        <v>0</v>
      </c>
      <c r="BE47" s="3085" t="b">
        <f t="shared" si="8"/>
        <v>0</v>
      </c>
      <c r="BF47" s="3085" t="b">
        <f t="shared" si="9"/>
        <v>0</v>
      </c>
      <c r="BG47" s="3085" t="b">
        <f t="shared" si="10"/>
        <v>0</v>
      </c>
      <c r="BH47" s="3085"/>
      <c r="BI47" s="3085"/>
    </row>
    <row r="48" spans="1:61" ht="12" customHeight="1" x14ac:dyDescent="0.2">
      <c r="A48" s="29"/>
      <c r="B48" s="485"/>
      <c r="C48" s="4823"/>
      <c r="D48" s="4823"/>
      <c r="E48" s="4823"/>
      <c r="F48" s="4823"/>
      <c r="G48" s="4823"/>
      <c r="H48" s="1538"/>
      <c r="J48" s="4816"/>
      <c r="K48" s="4817"/>
      <c r="L48" s="4817"/>
      <c r="M48" s="4817"/>
      <c r="N48" s="4817"/>
      <c r="O48" s="4817"/>
      <c r="P48" s="639" t="str">
        <f>IF(J48=0,"",VLOOKUP(J48,Tablas!$AB$1065:$AD$1239,2,FALSE))</f>
        <v/>
      </c>
      <c r="Q48" s="663" t="str">
        <f>IF(J48=0,"",VLOOKUP(J48,Tablas!$AB$1065:$AD$1239,3,FALSE)*IF($P$26="Invocador",0.5,1))</f>
        <v/>
      </c>
      <c r="S48" s="577"/>
      <c r="T48" s="484" t="str">
        <f t="shared" si="0"/>
        <v>Conjuros</v>
      </c>
      <c r="U48" s="29"/>
      <c r="V48" s="672">
        <f>IF(AC48="",0,VLOOKUP(AC48,Tablas!$M$1076:$N$1085,2))</f>
        <v>0</v>
      </c>
      <c r="W48" s="4166"/>
      <c r="X48" s="4761"/>
      <c r="Y48" s="4768"/>
      <c r="Z48" s="4769"/>
      <c r="AA48" s="4769"/>
      <c r="AB48" s="4770"/>
      <c r="AC48" s="542" t="str">
        <f>IF(Místicos!Y48=0,"",VLOOKUP(Místicos!Y48,Tabla_Conjuros,3,FALSE))</f>
        <v/>
      </c>
      <c r="AD48" s="2364" t="str">
        <f t="shared" si="1"/>
        <v/>
      </c>
      <c r="AE48" s="4166"/>
      <c r="AF48" s="4761"/>
      <c r="AG48" s="4768"/>
      <c r="AH48" s="4769"/>
      <c r="AI48" s="4769"/>
      <c r="AJ48" s="4770"/>
      <c r="AK48" s="1470"/>
      <c r="AL48" s="1164">
        <f>IF(Místicos!AG48=0,0,VLOOKUP(Místicos!AG48,Tabla_Conjuros,3,FALSE)-10)</f>
        <v>0</v>
      </c>
      <c r="AM48" s="1334" t="str">
        <f t="shared" si="2"/>
        <v>Conjuros_LibreAcceso</v>
      </c>
      <c r="AN48" s="1334" t="str">
        <f>AE48&amp;COUNTIF($AE$12:AF48,AE48)</f>
        <v>0</v>
      </c>
      <c r="AO48" s="2938" t="b">
        <f>ISNUMBER(SEARCH(AE48,VLOOKUP(AG48,'Tablas Magia'!$D$6:$AA$680,24,FALSE)))</f>
        <v>0</v>
      </c>
      <c r="AP48" s="4784" t="str">
        <f t="shared" ref="AP48:AP58" si="11">IF($BA$11,BA13,IF($BB$11,BB13,IF($BC$11,BC13,"")))</f>
        <v/>
      </c>
      <c r="AQ48" s="4784"/>
      <c r="AR48" s="4782" t="str">
        <f t="shared" ref="AR48:AR58" si="12">IF($BA$11,BD13,IF($BB$11,BE13,IF($BC$11,BF13,"")))</f>
        <v/>
      </c>
      <c r="AS48" s="4782"/>
      <c r="AT48" s="4782"/>
      <c r="AU48" s="4782"/>
      <c r="AV48" s="4782" t="str">
        <f t="shared" ref="AV48:AV55" si="13">IF($BA$11,BG13,IF($BB$11,BH13,IF($BC$11,BI13,"")))</f>
        <v/>
      </c>
      <c r="AW48" s="4782"/>
      <c r="AX48" s="738"/>
      <c r="AY48" s="574"/>
      <c r="AZ48" s="3153"/>
      <c r="BA48" s="3085" t="b">
        <f t="shared" si="4"/>
        <v>0</v>
      </c>
      <c r="BB48" s="3140" t="b">
        <f t="shared" si="5"/>
        <v>0</v>
      </c>
      <c r="BC48" s="3140" t="b">
        <f t="shared" si="6"/>
        <v>0</v>
      </c>
      <c r="BD48" s="3085" t="b">
        <f t="shared" si="7"/>
        <v>0</v>
      </c>
      <c r="BE48" s="3085" t="b">
        <f t="shared" si="8"/>
        <v>0</v>
      </c>
      <c r="BF48" s="3085" t="b">
        <f t="shared" si="9"/>
        <v>0</v>
      </c>
      <c r="BG48" s="3085" t="b">
        <f t="shared" si="10"/>
        <v>0</v>
      </c>
      <c r="BH48" s="3085"/>
      <c r="BI48" s="3085"/>
    </row>
    <row r="49" spans="1:61" ht="12" customHeight="1" x14ac:dyDescent="0.2">
      <c r="A49" s="29"/>
      <c r="B49" s="485"/>
      <c r="C49" s="4812"/>
      <c r="D49" s="4812"/>
      <c r="E49" s="4812"/>
      <c r="F49" s="4812"/>
      <c r="G49" s="4812"/>
      <c r="H49" s="1495"/>
      <c r="J49" s="4818"/>
      <c r="K49" s="4819"/>
      <c r="L49" s="4819"/>
      <c r="M49" s="4819"/>
      <c r="N49" s="4819"/>
      <c r="O49" s="4819"/>
      <c r="P49" s="638" t="str">
        <f>IF(J49=0,"",VLOOKUP(J49,Tablas!$AB$1065:$AD$1239,2,FALSE))</f>
        <v/>
      </c>
      <c r="Q49" s="662" t="str">
        <f>IF(J49=0,"",VLOOKUP(J49,Tablas!$AB$1065:$AD$1239,3,FALSE)*IF($P$26="Invocador",0.5,1))</f>
        <v/>
      </c>
      <c r="S49" s="577"/>
      <c r="T49" s="484" t="str">
        <f t="shared" si="0"/>
        <v>Conjuros</v>
      </c>
      <c r="U49" s="29"/>
      <c r="V49" s="672">
        <f>IF(AC49="",0,VLOOKUP(AC49,Tablas!$M$1076:$N$1085,2))</f>
        <v>0</v>
      </c>
      <c r="W49" s="4169"/>
      <c r="X49" s="4863"/>
      <c r="Y49" s="4771"/>
      <c r="Z49" s="4772"/>
      <c r="AA49" s="4772"/>
      <c r="AB49" s="4773"/>
      <c r="AC49" s="541" t="str">
        <f>IF(Místicos!Y49=0,"",VLOOKUP(Místicos!Y49,Tabla_Conjuros,3,FALSE))</f>
        <v/>
      </c>
      <c r="AD49" s="2364" t="str">
        <f t="shared" si="1"/>
        <v/>
      </c>
      <c r="AE49" s="4789"/>
      <c r="AF49" s="4764"/>
      <c r="AG49" s="4771"/>
      <c r="AH49" s="4772"/>
      <c r="AI49" s="4772"/>
      <c r="AJ49" s="4773"/>
      <c r="AK49" s="1539"/>
      <c r="AL49" s="1164">
        <f>IF(Místicos!AG49=0,0,VLOOKUP(Místicos!AG49,Tabla_Conjuros,3,FALSE)-10)</f>
        <v>0</v>
      </c>
      <c r="AM49" s="1334" t="str">
        <f t="shared" si="2"/>
        <v>Conjuros_LibreAcceso</v>
      </c>
      <c r="AN49" s="1334" t="str">
        <f>AE49&amp;COUNTIF($AE$12:AF49,AE49)</f>
        <v>0</v>
      </c>
      <c r="AO49" s="2938" t="b">
        <f>ISNUMBER(SEARCH(AE49,VLOOKUP(AG49,'Tablas Magia'!$D$6:$AA$680,24,FALSE)))</f>
        <v>0</v>
      </c>
      <c r="AP49" s="4784" t="str">
        <f t="shared" si="11"/>
        <v/>
      </c>
      <c r="AQ49" s="4784"/>
      <c r="AR49" s="4782" t="str">
        <f t="shared" si="12"/>
        <v/>
      </c>
      <c r="AS49" s="4782"/>
      <c r="AT49" s="4782"/>
      <c r="AU49" s="4782"/>
      <c r="AV49" s="4782" t="str">
        <f t="shared" si="13"/>
        <v/>
      </c>
      <c r="AW49" s="4782"/>
      <c r="AX49" s="738"/>
      <c r="AY49" s="574"/>
      <c r="AZ49" s="3153"/>
      <c r="BA49" s="3085" t="b">
        <f t="shared" si="4"/>
        <v>0</v>
      </c>
      <c r="BB49" s="3140" t="b">
        <f t="shared" si="5"/>
        <v>0</v>
      </c>
      <c r="BC49" s="3140" t="b">
        <f t="shared" si="6"/>
        <v>0</v>
      </c>
      <c r="BD49" s="3085" t="b">
        <f t="shared" si="7"/>
        <v>0</v>
      </c>
      <c r="BE49" s="3085" t="b">
        <f t="shared" si="8"/>
        <v>0</v>
      </c>
      <c r="BF49" s="3085" t="b">
        <f t="shared" si="9"/>
        <v>0</v>
      </c>
      <c r="BG49" s="3085" t="b">
        <f t="shared" si="10"/>
        <v>0</v>
      </c>
      <c r="BH49" s="3085"/>
      <c r="BI49" s="3085"/>
    </row>
    <row r="50" spans="1:61" ht="12" customHeight="1" thickBot="1" x14ac:dyDescent="0.25">
      <c r="A50" s="29"/>
      <c r="B50" s="485"/>
      <c r="C50" s="4823"/>
      <c r="D50" s="4823"/>
      <c r="E50" s="4823"/>
      <c r="F50" s="4823"/>
      <c r="G50" s="4823"/>
      <c r="H50" s="1538"/>
      <c r="J50" s="4816"/>
      <c r="K50" s="4817"/>
      <c r="L50" s="4817"/>
      <c r="M50" s="4817"/>
      <c r="N50" s="4817"/>
      <c r="O50" s="4817"/>
      <c r="P50" s="639" t="str">
        <f>IF(J50=0,"",VLOOKUP(J50,Tablas!$AB$1065:$AD$1239,2,FALSE))</f>
        <v/>
      </c>
      <c r="Q50" s="663" t="str">
        <f>IF(J50=0,"",VLOOKUP(J50,Tablas!$AB$1065:$AD$1239,3,FALSE)*IF($P$26="Invocador",0.5,1))</f>
        <v/>
      </c>
      <c r="S50" s="577"/>
      <c r="T50" s="484" t="str">
        <f t="shared" si="0"/>
        <v>Conjuros</v>
      </c>
      <c r="U50" s="29"/>
      <c r="V50" s="672">
        <f>IF(AC50="",0,VLOOKUP(AC50,Tablas!$M$1076:$N$1085,2))</f>
        <v>0</v>
      </c>
      <c r="W50" s="4172"/>
      <c r="X50" s="4173"/>
      <c r="Y50" s="4765"/>
      <c r="Z50" s="4766"/>
      <c r="AA50" s="4766"/>
      <c r="AB50" s="4767"/>
      <c r="AC50" s="677" t="str">
        <f>IF(Místicos!Y50=0,"",VLOOKUP(Místicos!Y50,Tabla_Conjuros,3,FALSE))</f>
        <v/>
      </c>
      <c r="AD50" s="2364" t="str">
        <f t="shared" si="1"/>
        <v/>
      </c>
      <c r="AE50" s="4172"/>
      <c r="AF50" s="4173"/>
      <c r="AG50" s="4765"/>
      <c r="AH50" s="4766"/>
      <c r="AI50" s="4766"/>
      <c r="AJ50" s="4767"/>
      <c r="AK50" s="1534"/>
      <c r="AL50" s="1164">
        <f>IF(Místicos!AG50=0,0,VLOOKUP(Místicos!AG50,Tabla_Conjuros,3,FALSE)-10)</f>
        <v>0</v>
      </c>
      <c r="AM50" s="1334" t="str">
        <f t="shared" si="2"/>
        <v>Conjuros_LibreAcceso</v>
      </c>
      <c r="AN50" s="1334" t="str">
        <f>AE50&amp;COUNTIF($AE$12:AF50,AE50)</f>
        <v>0</v>
      </c>
      <c r="AO50" s="2938" t="b">
        <f>ISNUMBER(SEARCH(AE50,VLOOKUP(AG50,'Tablas Magia'!$D$6:$AA$680,24,FALSE)))</f>
        <v>0</v>
      </c>
      <c r="AP50" s="4784" t="str">
        <f t="shared" si="11"/>
        <v/>
      </c>
      <c r="AQ50" s="4784"/>
      <c r="AR50" s="4782" t="str">
        <f t="shared" si="12"/>
        <v/>
      </c>
      <c r="AS50" s="4782"/>
      <c r="AT50" s="4782"/>
      <c r="AU50" s="4782"/>
      <c r="AV50" s="4782" t="str">
        <f t="shared" si="13"/>
        <v/>
      </c>
      <c r="AW50" s="4782"/>
      <c r="AX50" s="738"/>
      <c r="AY50" s="574"/>
      <c r="AZ50" s="3153"/>
      <c r="BA50" s="3085" t="b">
        <f t="shared" si="4"/>
        <v>0</v>
      </c>
      <c r="BB50" s="3140" t="b">
        <f t="shared" si="5"/>
        <v>0</v>
      </c>
      <c r="BC50" s="3140" t="b">
        <f t="shared" si="6"/>
        <v>0</v>
      </c>
      <c r="BD50" s="3085" t="b">
        <f t="shared" si="7"/>
        <v>0</v>
      </c>
      <c r="BE50" s="3085" t="b">
        <f t="shared" si="8"/>
        <v>0</v>
      </c>
      <c r="BF50" s="3085" t="b">
        <f t="shared" si="9"/>
        <v>0</v>
      </c>
      <c r="BG50" s="3085" t="b">
        <f t="shared" si="10"/>
        <v>0</v>
      </c>
      <c r="BH50" s="3085"/>
      <c r="BI50" s="3085"/>
    </row>
    <row r="51" spans="1:61" ht="12" customHeight="1" thickBot="1" x14ac:dyDescent="0.25">
      <c r="A51" s="29"/>
      <c r="B51" s="485"/>
      <c r="C51" s="4812"/>
      <c r="D51" s="4812"/>
      <c r="E51" s="4812"/>
      <c r="F51" s="4812"/>
      <c r="G51" s="4812"/>
      <c r="H51" s="1495"/>
      <c r="J51" s="4818"/>
      <c r="K51" s="4819"/>
      <c r="L51" s="4819"/>
      <c r="M51" s="4819"/>
      <c r="N51" s="4819"/>
      <c r="O51" s="4819"/>
      <c r="P51" s="638" t="str">
        <f>IF(J51=0,"",VLOOKUP(J51,Tablas!$AB$1065:$AD$1239,2,FALSE))</f>
        <v/>
      </c>
      <c r="Q51" s="662" t="str">
        <f>IF(J51=0,"",VLOOKUP(J51,Tablas!$AB$1065:$AD$1239,3,FALSE)*IF($P$26="Invocador",0.5,1))</f>
        <v/>
      </c>
      <c r="S51" s="577"/>
      <c r="T51" s="484"/>
      <c r="U51" s="29"/>
      <c r="V51" s="673"/>
      <c r="AL51" s="1164"/>
      <c r="AM51" s="29"/>
      <c r="AN51" s="29"/>
      <c r="AO51" s="728"/>
      <c r="AP51" s="4784" t="str">
        <f t="shared" si="11"/>
        <v/>
      </c>
      <c r="AQ51" s="4784"/>
      <c r="AR51" s="4782" t="str">
        <f t="shared" si="12"/>
        <v/>
      </c>
      <c r="AS51" s="4782"/>
      <c r="AT51" s="4782"/>
      <c r="AU51" s="4782"/>
      <c r="AV51" s="4782" t="str">
        <f t="shared" si="13"/>
        <v/>
      </c>
      <c r="AW51" s="4782"/>
      <c r="AX51" s="738"/>
      <c r="AY51" s="574"/>
      <c r="AZ51" s="3153"/>
      <c r="BA51" s="3085" t="b">
        <f t="shared" si="4"/>
        <v>0</v>
      </c>
      <c r="BB51" s="3140" t="b">
        <f t="shared" si="5"/>
        <v>0</v>
      </c>
      <c r="BC51" s="3140" t="b">
        <f t="shared" si="6"/>
        <v>0</v>
      </c>
      <c r="BD51" s="3085" t="b">
        <f t="shared" si="7"/>
        <v>0</v>
      </c>
      <c r="BE51" s="3085" t="b">
        <f t="shared" si="8"/>
        <v>0</v>
      </c>
      <c r="BF51" s="3085" t="b">
        <f t="shared" si="9"/>
        <v>0</v>
      </c>
      <c r="BG51" s="3085" t="b">
        <f t="shared" si="10"/>
        <v>0</v>
      </c>
      <c r="BH51" s="3085"/>
      <c r="BI51" s="3085"/>
    </row>
    <row r="52" spans="1:61" ht="12" customHeight="1" thickBot="1" x14ac:dyDescent="0.25">
      <c r="A52" s="29"/>
      <c r="B52" s="485"/>
      <c r="C52" s="4823"/>
      <c r="D52" s="4823"/>
      <c r="E52" s="4823"/>
      <c r="F52" s="4823"/>
      <c r="G52" s="4823"/>
      <c r="H52" s="1538"/>
      <c r="J52" s="4816"/>
      <c r="K52" s="4817"/>
      <c r="L52" s="4817"/>
      <c r="M52" s="4817"/>
      <c r="N52" s="4817"/>
      <c r="O52" s="4817"/>
      <c r="P52" s="639" t="str">
        <f>IF(J52=0,"",VLOOKUP(J52,Tablas!$AB$1065:$AD$1239,2,FALSE))</f>
        <v/>
      </c>
      <c r="Q52" s="663" t="str">
        <f>IF(J52=0,"",VLOOKUP(J52,Tablas!$AB$1065:$AD$1239,3,FALSE)*IF($P$26="Invocador",0.5,1))</f>
        <v/>
      </c>
      <c r="S52" s="577"/>
      <c r="T52" s="484"/>
      <c r="U52" s="29"/>
      <c r="V52" s="673"/>
      <c r="W52" s="3684" t="s">
        <v>1720</v>
      </c>
      <c r="X52" s="3685"/>
      <c r="Y52" s="3685"/>
      <c r="Z52" s="3685"/>
      <c r="AA52" s="3685"/>
      <c r="AB52" s="4857" t="s">
        <v>1548</v>
      </c>
      <c r="AC52" s="4857"/>
      <c r="AD52" s="4857"/>
      <c r="AE52" s="4857"/>
      <c r="AF52" s="4857"/>
      <c r="AG52" s="4857"/>
      <c r="AH52" s="4857"/>
      <c r="AI52" s="4857"/>
      <c r="AJ52" s="4857"/>
      <c r="AK52" s="4858"/>
      <c r="AL52" s="1164"/>
      <c r="AM52" s="29"/>
      <c r="AN52" s="29"/>
      <c r="AO52" s="728"/>
      <c r="AP52" s="4784" t="str">
        <f t="shared" si="11"/>
        <v/>
      </c>
      <c r="AQ52" s="4784"/>
      <c r="AR52" s="4782" t="str">
        <f t="shared" si="12"/>
        <v/>
      </c>
      <c r="AS52" s="4782"/>
      <c r="AT52" s="4782"/>
      <c r="AU52" s="4782"/>
      <c r="AV52" s="4782" t="str">
        <f t="shared" si="13"/>
        <v/>
      </c>
      <c r="AW52" s="4782"/>
      <c r="AX52" s="738"/>
      <c r="AY52" s="574"/>
      <c r="AZ52" s="3153"/>
      <c r="BA52" s="3085" t="b">
        <f t="shared" si="4"/>
        <v>0</v>
      </c>
      <c r="BB52" s="3140" t="b">
        <f t="shared" si="5"/>
        <v>0</v>
      </c>
      <c r="BC52" s="3140" t="b">
        <f t="shared" si="6"/>
        <v>0</v>
      </c>
      <c r="BD52" s="3085" t="b">
        <f t="shared" si="7"/>
        <v>0</v>
      </c>
      <c r="BE52" s="3085" t="b">
        <f t="shared" si="8"/>
        <v>0</v>
      </c>
      <c r="BF52" s="3085" t="b">
        <f t="shared" si="9"/>
        <v>0</v>
      </c>
      <c r="BG52" s="3085" t="b">
        <f t="shared" si="10"/>
        <v>0</v>
      </c>
      <c r="BH52" s="3085"/>
      <c r="BI52" s="3085"/>
    </row>
    <row r="53" spans="1:61" ht="12" customHeight="1" x14ac:dyDescent="0.2">
      <c r="A53" s="29"/>
      <c r="B53" s="485"/>
      <c r="C53" s="4812"/>
      <c r="D53" s="4812"/>
      <c r="E53" s="4812"/>
      <c r="F53" s="4812"/>
      <c r="G53" s="4812"/>
      <c r="H53" s="1495"/>
      <c r="J53" s="4818"/>
      <c r="K53" s="4819"/>
      <c r="L53" s="4819"/>
      <c r="M53" s="4819"/>
      <c r="N53" s="4819"/>
      <c r="O53" s="4819"/>
      <c r="P53" s="638" t="str">
        <f>IF(J53=0,"",VLOOKUP(J53,Tablas!$AB$1065:$AD$1239,2,FALSE))</f>
        <v/>
      </c>
      <c r="Q53" s="662" t="str">
        <f>IF(J53=0,"",VLOOKUP(J53,Tablas!$AB$1065:$AD$1239,3,FALSE)*IF($P$26="Invocador",0.5,1))</f>
        <v/>
      </c>
      <c r="S53" s="577"/>
      <c r="T53" s="484"/>
      <c r="U53" s="29"/>
      <c r="V53" s="673"/>
      <c r="W53" s="4859" t="str">
        <f>IF(SUM(Tablas!$P$1138:$S$1180)=0,"",IF(Tablas!A1&gt;MAX(Tablas!$P$1138:$P$1180),"",VLOOKUP(Tablas!A1,Tablas!$P$1138:$T$1180,2,FALSE)))</f>
        <v/>
      </c>
      <c r="X53" s="4257"/>
      <c r="Y53" s="4257"/>
      <c r="Z53" s="4257"/>
      <c r="AA53" s="4257"/>
      <c r="AB53" s="4860" t="str">
        <f>IF(SUM(Tablas!$P$1138:$P$1180)=0,"",IF(Tablas!A1&gt;MAX(Tablas!$P$1138:$P$1180),"",VLOOKUP(Tablas!A1,Tablas!$P$1138:$T$1180,4,FALSE)))</f>
        <v/>
      </c>
      <c r="AC53" s="4861"/>
      <c r="AD53" s="4861"/>
      <c r="AE53" s="4861"/>
      <c r="AF53" s="4861"/>
      <c r="AG53" s="4861"/>
      <c r="AH53" s="4861"/>
      <c r="AI53" s="4861"/>
      <c r="AJ53" s="4861"/>
      <c r="AK53" s="4862"/>
      <c r="AL53" s="2667" t="str">
        <f>IF(ISNUMBER(FIND("Conjuro especializado",W53)),W53&amp;":"&amp;SUBSTITUTE(AB53,LEFT(AB53,FIND(":",AB53)),""),W53)</f>
        <v/>
      </c>
      <c r="AM53" s="29"/>
      <c r="AN53" s="29"/>
      <c r="AO53" s="728"/>
      <c r="AP53" s="4784" t="str">
        <f t="shared" si="11"/>
        <v/>
      </c>
      <c r="AQ53" s="4784"/>
      <c r="AR53" s="4782" t="str">
        <f t="shared" si="12"/>
        <v/>
      </c>
      <c r="AS53" s="4782"/>
      <c r="AT53" s="4782"/>
      <c r="AU53" s="4782"/>
      <c r="AV53" s="4782" t="str">
        <f t="shared" si="13"/>
        <v/>
      </c>
      <c r="AW53" s="4782"/>
      <c r="AX53" s="738"/>
      <c r="AY53" s="574"/>
      <c r="AZ53" s="3153"/>
      <c r="BA53" s="3085" t="b">
        <f t="shared" si="4"/>
        <v>0</v>
      </c>
      <c r="BB53" s="3140" t="b">
        <f t="shared" si="5"/>
        <v>0</v>
      </c>
      <c r="BC53" s="3140" t="b">
        <f t="shared" si="6"/>
        <v>0</v>
      </c>
      <c r="BD53" s="3085" t="b">
        <f t="shared" si="7"/>
        <v>0</v>
      </c>
      <c r="BE53" s="3085" t="b">
        <f t="shared" si="8"/>
        <v>0</v>
      </c>
      <c r="BF53" s="3085" t="b">
        <f t="shared" si="9"/>
        <v>0</v>
      </c>
      <c r="BG53" s="3085" t="b">
        <f t="shared" si="10"/>
        <v>0</v>
      </c>
      <c r="BH53" s="3085"/>
      <c r="BI53" s="3085"/>
    </row>
    <row r="54" spans="1:61" ht="12" customHeight="1" x14ac:dyDescent="0.2">
      <c r="A54" s="29"/>
      <c r="B54" s="485"/>
      <c r="C54" s="4823"/>
      <c r="D54" s="4823"/>
      <c r="E54" s="4823"/>
      <c r="F54" s="4823"/>
      <c r="G54" s="4823"/>
      <c r="H54" s="1538"/>
      <c r="J54" s="4816"/>
      <c r="K54" s="4817"/>
      <c r="L54" s="4817"/>
      <c r="M54" s="4817"/>
      <c r="N54" s="4817"/>
      <c r="O54" s="4817"/>
      <c r="P54" s="639" t="str">
        <f>IF(J54=0,"",VLOOKUP(J54,Tablas!$AB$1065:$AD$1239,2,FALSE))</f>
        <v/>
      </c>
      <c r="Q54" s="663" t="str">
        <f>IF(J54=0,"",VLOOKUP(J54,Tablas!$AB$1065:$AD$1239,3,FALSE)*IF($P$26="Invocador",0.5,1))</f>
        <v/>
      </c>
      <c r="S54" s="577"/>
      <c r="T54" s="484"/>
      <c r="U54" s="29"/>
      <c r="V54" s="673"/>
      <c r="W54" s="4830" t="str">
        <f>IF(SUM(Tablas!$P$1138:$S$1180)=0,"",IF(Tablas!A2&gt;MAX(Tablas!$P$1138:$P$1180),"",VLOOKUP(Tablas!A2,Tablas!$P$1138:$T$1180,2,FALSE)))</f>
        <v/>
      </c>
      <c r="X54" s="4831"/>
      <c r="Y54" s="4831"/>
      <c r="Z54" s="4831"/>
      <c r="AA54" s="4372"/>
      <c r="AB54" s="3646" t="str">
        <f>IF(SUM(Tablas!$P$1138:$P$1180)=0,"",IF(Tablas!A2&gt;MAX(Tablas!$P$1138:$P$1180),"",VLOOKUP(Tablas!A2,Tablas!$P$1138:$T$1180,4,FALSE)))</f>
        <v/>
      </c>
      <c r="AC54" s="3647"/>
      <c r="AD54" s="3647"/>
      <c r="AE54" s="3647"/>
      <c r="AF54" s="3647"/>
      <c r="AG54" s="3647"/>
      <c r="AH54" s="3647"/>
      <c r="AI54" s="3647"/>
      <c r="AJ54" s="3647"/>
      <c r="AK54" s="4406"/>
      <c r="AL54" s="2667" t="str">
        <f t="shared" ref="AL54:AL73" si="14">IF(ISNUMBER(FIND("Conjuro especializado",W54)),W54&amp;":"&amp;SUBSTITUTE(AB54,LEFT(AB54,FIND(":",AB54)),""),W54)</f>
        <v/>
      </c>
      <c r="AM54" s="29"/>
      <c r="AN54" s="29"/>
      <c r="AO54" s="728"/>
      <c r="AP54" s="4784" t="str">
        <f t="shared" si="11"/>
        <v/>
      </c>
      <c r="AQ54" s="4784"/>
      <c r="AR54" s="4782" t="str">
        <f t="shared" si="12"/>
        <v/>
      </c>
      <c r="AS54" s="4782"/>
      <c r="AT54" s="4782"/>
      <c r="AU54" s="4782"/>
      <c r="AV54" s="4782" t="str">
        <f t="shared" si="13"/>
        <v/>
      </c>
      <c r="AW54" s="4782"/>
      <c r="AX54" s="738"/>
      <c r="AY54" s="574"/>
      <c r="AZ54" s="3153"/>
      <c r="BA54" s="3085" t="b">
        <f t="shared" si="4"/>
        <v>0</v>
      </c>
      <c r="BB54" s="3140" t="b">
        <f t="shared" si="5"/>
        <v>0</v>
      </c>
      <c r="BC54" s="3140" t="b">
        <f t="shared" si="6"/>
        <v>0</v>
      </c>
      <c r="BD54" s="3085" t="b">
        <f t="shared" si="7"/>
        <v>0</v>
      </c>
      <c r="BE54" s="3085" t="b">
        <f t="shared" si="8"/>
        <v>0</v>
      </c>
      <c r="BF54" s="3085" t="b">
        <f t="shared" si="9"/>
        <v>0</v>
      </c>
      <c r="BG54" s="3085" t="b">
        <f t="shared" si="10"/>
        <v>0</v>
      </c>
      <c r="BH54" s="3085"/>
      <c r="BI54" s="3085"/>
    </row>
    <row r="55" spans="1:61" ht="12" customHeight="1" x14ac:dyDescent="0.2">
      <c r="A55" s="29"/>
      <c r="B55" s="485"/>
      <c r="C55" s="4812"/>
      <c r="D55" s="4812"/>
      <c r="E55" s="4812"/>
      <c r="F55" s="4812"/>
      <c r="G55" s="4812"/>
      <c r="H55" s="1495"/>
      <c r="J55" s="4818"/>
      <c r="K55" s="4819"/>
      <c r="L55" s="4819"/>
      <c r="M55" s="4819"/>
      <c r="N55" s="4819"/>
      <c r="O55" s="4819"/>
      <c r="P55" s="638" t="str">
        <f>IF(J55=0,"",VLOOKUP(J55,Tablas!$AB$1065:$AD$1239,2,FALSE))</f>
        <v/>
      </c>
      <c r="Q55" s="662" t="str">
        <f>IF(J55=0,"",VLOOKUP(J55,Tablas!$AB$1065:$AD$1239,3,FALSE)*IF($P$26="Invocador",0.5,1))</f>
        <v/>
      </c>
      <c r="S55" s="577"/>
      <c r="T55" s="484"/>
      <c r="U55" s="29"/>
      <c r="V55" s="673"/>
      <c r="W55" s="4830" t="str">
        <f>IF(SUM(Tablas!$P$1138:$S$1180)=0,"",IF(Tablas!A3&gt;MAX(Tablas!$P$1138:$P$1180),"",VLOOKUP(Tablas!A3,Tablas!$P$1138:$T$1180,2,FALSE)))</f>
        <v/>
      </c>
      <c r="X55" s="4831"/>
      <c r="Y55" s="4831"/>
      <c r="Z55" s="4831"/>
      <c r="AA55" s="4372"/>
      <c r="AB55" s="3646" t="str">
        <f>IF(SUM(Tablas!$P$1138:$P$1180)=0,"",IF(Tablas!A3&gt;MAX(Tablas!$P$1138:$P$1180),"",VLOOKUP(Tablas!A3,Tablas!$P$1138:$T$1180,4,FALSE)))</f>
        <v/>
      </c>
      <c r="AC55" s="3647"/>
      <c r="AD55" s="3647"/>
      <c r="AE55" s="3647"/>
      <c r="AF55" s="3647"/>
      <c r="AG55" s="3647"/>
      <c r="AH55" s="3647"/>
      <c r="AI55" s="3647"/>
      <c r="AJ55" s="3647"/>
      <c r="AK55" s="4406"/>
      <c r="AL55" s="2667" t="str">
        <f t="shared" si="14"/>
        <v/>
      </c>
      <c r="AM55" s="29"/>
      <c r="AN55" s="29"/>
      <c r="AO55" s="728"/>
      <c r="AP55" s="4824" t="str">
        <f t="shared" si="11"/>
        <v/>
      </c>
      <c r="AQ55" s="4824"/>
      <c r="AR55" s="4783" t="str">
        <f t="shared" si="12"/>
        <v/>
      </c>
      <c r="AS55" s="4783"/>
      <c r="AT55" s="4783"/>
      <c r="AU55" s="4783"/>
      <c r="AV55" s="4783" t="str">
        <f t="shared" si="13"/>
        <v/>
      </c>
      <c r="AW55" s="4783"/>
      <c r="AX55" s="738"/>
      <c r="AY55" s="574"/>
      <c r="AZ55" s="3153"/>
      <c r="BA55" s="3085" t="b">
        <f t="shared" si="4"/>
        <v>0</v>
      </c>
      <c r="BB55" s="3140" t="b">
        <f t="shared" si="5"/>
        <v>0</v>
      </c>
      <c r="BC55" s="3140" t="b">
        <f t="shared" si="6"/>
        <v>0</v>
      </c>
      <c r="BD55" s="3085" t="b">
        <f t="shared" si="7"/>
        <v>0</v>
      </c>
      <c r="BE55" s="3085" t="b">
        <f t="shared" si="8"/>
        <v>0</v>
      </c>
      <c r="BF55" s="3085" t="b">
        <f t="shared" si="9"/>
        <v>0</v>
      </c>
      <c r="BG55" s="3085" t="b">
        <f t="shared" si="10"/>
        <v>0</v>
      </c>
      <c r="BH55" s="3085"/>
      <c r="BI55" s="3085"/>
    </row>
    <row r="56" spans="1:61" ht="12" customHeight="1" x14ac:dyDescent="0.2">
      <c r="A56" s="29"/>
      <c r="B56" s="485"/>
      <c r="C56" s="4823"/>
      <c r="D56" s="4823"/>
      <c r="E56" s="4823"/>
      <c r="F56" s="4823"/>
      <c r="G56" s="4823"/>
      <c r="H56" s="1538"/>
      <c r="J56" s="4816"/>
      <c r="K56" s="4817"/>
      <c r="L56" s="4817"/>
      <c r="M56" s="4817"/>
      <c r="N56" s="4817"/>
      <c r="O56" s="4817"/>
      <c r="P56" s="639" t="str">
        <f>IF(J56=0,"",VLOOKUP(J56,Tablas!$AB$1065:$AD$1239,2,FALSE))</f>
        <v/>
      </c>
      <c r="Q56" s="663" t="str">
        <f>IF(J56=0,"",VLOOKUP(J56,Tablas!$AB$1065:$AD$1239,3,FALSE)*IF($P$26="Invocador",0.5,1))</f>
        <v/>
      </c>
      <c r="S56" s="577"/>
      <c r="T56" s="484"/>
      <c r="U56" s="29"/>
      <c r="V56" s="673"/>
      <c r="W56" s="4830" t="str">
        <f>IF(SUM(Tablas!$P$1138:$S$1180)=0,"",IF(Tablas!A4&gt;MAX(Tablas!$P$1138:$P$1180),"",VLOOKUP(Tablas!A4,Tablas!$P$1138:$T$1180,2,FALSE)))</f>
        <v/>
      </c>
      <c r="X56" s="4831"/>
      <c r="Y56" s="4831"/>
      <c r="Z56" s="4831"/>
      <c r="AA56" s="4372"/>
      <c r="AB56" s="3646" t="str">
        <f>IF(SUM(Tablas!$P$1138:$P$1180)=0,"",IF(Tablas!A4&gt;MAX(Tablas!$P$1138:$P$1180),"",VLOOKUP(Tablas!A4,Tablas!$P$1138:$T$1180,4,FALSE)))</f>
        <v/>
      </c>
      <c r="AC56" s="3647"/>
      <c r="AD56" s="3647"/>
      <c r="AE56" s="3647"/>
      <c r="AF56" s="3647"/>
      <c r="AG56" s="3647"/>
      <c r="AH56" s="3647"/>
      <c r="AI56" s="3647"/>
      <c r="AJ56" s="3647"/>
      <c r="AK56" s="4406"/>
      <c r="AL56" s="2667" t="str">
        <f t="shared" si="14"/>
        <v/>
      </c>
      <c r="AM56" s="29"/>
      <c r="AN56" s="29"/>
      <c r="AO56" s="728"/>
      <c r="AP56" s="4780" t="str">
        <f t="shared" si="11"/>
        <v/>
      </c>
      <c r="AQ56" s="4780"/>
      <c r="AR56" s="4781" t="str">
        <f t="shared" si="12"/>
        <v/>
      </c>
      <c r="AS56" s="4781"/>
      <c r="AT56" s="4781"/>
      <c r="AU56" s="4781"/>
      <c r="AV56" s="4781"/>
      <c r="AW56" s="4781"/>
      <c r="AX56" s="738"/>
      <c r="AY56" s="574"/>
      <c r="AZ56" s="3085"/>
      <c r="BA56" s="3085" t="b">
        <f t="shared" si="4"/>
        <v>0</v>
      </c>
      <c r="BB56" s="3140" t="b">
        <f t="shared" si="5"/>
        <v>0</v>
      </c>
      <c r="BC56" s="3140" t="b">
        <f t="shared" si="6"/>
        <v>0</v>
      </c>
      <c r="BD56" s="3085" t="b">
        <f t="shared" si="7"/>
        <v>0</v>
      </c>
      <c r="BE56" s="3085" t="b">
        <f t="shared" si="8"/>
        <v>0</v>
      </c>
      <c r="BF56" s="3085" t="b">
        <f t="shared" si="9"/>
        <v>0</v>
      </c>
      <c r="BG56" s="3085" t="b">
        <f t="shared" si="10"/>
        <v>0</v>
      </c>
      <c r="BH56" s="3085"/>
      <c r="BI56" s="3085"/>
    </row>
    <row r="57" spans="1:61" ht="12" customHeight="1" x14ac:dyDescent="0.2">
      <c r="A57" s="29"/>
      <c r="B57" s="485"/>
      <c r="C57" s="4812"/>
      <c r="D57" s="4812"/>
      <c r="E57" s="4812"/>
      <c r="F57" s="4812"/>
      <c r="G57" s="4812"/>
      <c r="H57" s="1495"/>
      <c r="J57" s="4818"/>
      <c r="K57" s="4819"/>
      <c r="L57" s="4819"/>
      <c r="M57" s="4819"/>
      <c r="N57" s="4819"/>
      <c r="O57" s="4819"/>
      <c r="P57" s="638" t="str">
        <f>IF(J57=0,"",VLOOKUP(J57,Tablas!$AB$1065:$AD$1239,2,FALSE))</f>
        <v/>
      </c>
      <c r="Q57" s="662" t="str">
        <f>IF(J57=0,"",VLOOKUP(J57,Tablas!$AB$1065:$AD$1239,3,FALSE)*IF($P$26="Invocador",0.5,1))</f>
        <v/>
      </c>
      <c r="S57" s="577"/>
      <c r="T57" s="484"/>
      <c r="U57" s="29"/>
      <c r="V57" s="673"/>
      <c r="W57" s="4830" t="str">
        <f>IF(SUM(Tablas!$P$1138:$S$1180)=0,"",IF(Tablas!A5&gt;MAX(Tablas!$P$1138:$P$1180),"",VLOOKUP(Tablas!A5,Tablas!$P$1138:$T$1180,2,FALSE)))</f>
        <v/>
      </c>
      <c r="X57" s="4831"/>
      <c r="Y57" s="4831"/>
      <c r="Z57" s="4831"/>
      <c r="AA57" s="4372"/>
      <c r="AB57" s="3646" t="str">
        <f>IF(SUM(Tablas!$P$1138:$P$1180)=0,"",IF(Tablas!A5&gt;MAX(Tablas!$P$1138:$P$1180),"",VLOOKUP(Tablas!A5,Tablas!$P$1138:$T$1180,4,FALSE)))</f>
        <v/>
      </c>
      <c r="AC57" s="3647"/>
      <c r="AD57" s="3647"/>
      <c r="AE57" s="3647"/>
      <c r="AF57" s="3647"/>
      <c r="AG57" s="3647"/>
      <c r="AH57" s="3647"/>
      <c r="AI57" s="3647"/>
      <c r="AJ57" s="3647"/>
      <c r="AK57" s="4406"/>
      <c r="AL57" s="2667" t="str">
        <f t="shared" si="14"/>
        <v/>
      </c>
      <c r="AM57" s="29"/>
      <c r="AN57" s="29"/>
      <c r="AO57" s="728"/>
      <c r="AP57" s="4780" t="str">
        <f t="shared" si="11"/>
        <v/>
      </c>
      <c r="AQ57" s="4780"/>
      <c r="AR57" s="4781" t="str">
        <f t="shared" si="12"/>
        <v/>
      </c>
      <c r="AS57" s="4781"/>
      <c r="AT57" s="4781"/>
      <c r="AU57" s="4781"/>
      <c r="AV57" s="4781"/>
      <c r="AW57" s="4781"/>
      <c r="AX57" s="738"/>
      <c r="AY57" s="574"/>
      <c r="AZ57" s="3085"/>
      <c r="BA57" s="3085" t="b">
        <f t="shared" si="4"/>
        <v>0</v>
      </c>
      <c r="BB57" s="3140" t="b">
        <f t="shared" si="5"/>
        <v>0</v>
      </c>
      <c r="BC57" s="3140" t="b">
        <f t="shared" si="6"/>
        <v>0</v>
      </c>
      <c r="BD57" s="3085" t="b">
        <f t="shared" si="7"/>
        <v>0</v>
      </c>
      <c r="BE57" s="3085" t="b">
        <f t="shared" si="8"/>
        <v>0</v>
      </c>
      <c r="BF57" s="3085" t="b">
        <f t="shared" si="9"/>
        <v>0</v>
      </c>
      <c r="BG57" s="3085" t="b">
        <f t="shared" si="10"/>
        <v>0</v>
      </c>
      <c r="BH57" s="3085"/>
      <c r="BI57" s="3085"/>
    </row>
    <row r="58" spans="1:61" ht="12" customHeight="1" x14ac:dyDescent="0.2">
      <c r="A58" s="29"/>
      <c r="B58" s="485"/>
      <c r="C58" s="4823"/>
      <c r="D58" s="4823"/>
      <c r="E58" s="4823"/>
      <c r="F58" s="4823"/>
      <c r="G58" s="4823"/>
      <c r="H58" s="1538"/>
      <c r="J58" s="4816"/>
      <c r="K58" s="4817"/>
      <c r="L58" s="4817"/>
      <c r="M58" s="4817"/>
      <c r="N58" s="4817"/>
      <c r="O58" s="4817"/>
      <c r="P58" s="639" t="str">
        <f>IF(J58=0,"",VLOOKUP(J58,Tablas!$AB$1065:$AD$1239,2,FALSE))</f>
        <v/>
      </c>
      <c r="Q58" s="663" t="str">
        <f>IF(J58=0,"",VLOOKUP(J58,Tablas!$AB$1065:$AD$1239,3,FALSE)*IF($P$26="Invocador",0.5,1))</f>
        <v/>
      </c>
      <c r="S58" s="577"/>
      <c r="T58" s="484"/>
      <c r="U58" s="29"/>
      <c r="V58" s="673"/>
      <c r="W58" s="4830" t="str">
        <f>IF(SUM(Tablas!$P$1138:$S$1180)=0,"",IF(Tablas!A6&gt;MAX(Tablas!$P$1138:$P$1180),"",VLOOKUP(Tablas!A6,Tablas!$P$1138:$T$1180,2,FALSE)))</f>
        <v/>
      </c>
      <c r="X58" s="4831"/>
      <c r="Y58" s="4831"/>
      <c r="Z58" s="4831"/>
      <c r="AA58" s="4372"/>
      <c r="AB58" s="3646" t="str">
        <f>IF(SUM(Tablas!$P$1138:$P$1180)=0,"",IF(Tablas!A6&gt;MAX(Tablas!$P$1138:$P$1180),"",VLOOKUP(Tablas!A6,Tablas!$P$1138:$T$1180,4,FALSE)))</f>
        <v/>
      </c>
      <c r="AC58" s="3647"/>
      <c r="AD58" s="3647"/>
      <c r="AE58" s="3647"/>
      <c r="AF58" s="3647"/>
      <c r="AG58" s="3647"/>
      <c r="AH58" s="3647"/>
      <c r="AI58" s="3647"/>
      <c r="AJ58" s="3647"/>
      <c r="AK58" s="4406"/>
      <c r="AL58" s="2667" t="str">
        <f t="shared" si="14"/>
        <v/>
      </c>
      <c r="AM58" s="29"/>
      <c r="AN58" s="29"/>
      <c r="AO58" s="728"/>
      <c r="AP58" s="4780" t="str">
        <f t="shared" si="11"/>
        <v/>
      </c>
      <c r="AQ58" s="4780"/>
      <c r="AR58" s="4781" t="str">
        <f t="shared" si="12"/>
        <v/>
      </c>
      <c r="AS58" s="4781"/>
      <c r="AT58" s="4781"/>
      <c r="AU58" s="4781"/>
      <c r="AV58" s="4781"/>
      <c r="AW58" s="4781"/>
      <c r="AX58" s="738"/>
      <c r="AY58" s="574"/>
      <c r="AZ58" s="3085"/>
      <c r="BA58" s="3085" t="b">
        <f t="shared" si="4"/>
        <v>0</v>
      </c>
      <c r="BB58" s="3140" t="b">
        <f t="shared" si="5"/>
        <v>0</v>
      </c>
      <c r="BC58" s="3140" t="b">
        <f t="shared" si="6"/>
        <v>0</v>
      </c>
      <c r="BD58" s="3085" t="b">
        <f t="shared" si="7"/>
        <v>0</v>
      </c>
      <c r="BE58" s="3085" t="b">
        <f t="shared" si="8"/>
        <v>0</v>
      </c>
      <c r="BF58" s="3085" t="b">
        <f t="shared" si="9"/>
        <v>0</v>
      </c>
      <c r="BG58" s="3085" t="b">
        <f t="shared" si="10"/>
        <v>0</v>
      </c>
      <c r="BH58" s="3085"/>
      <c r="BI58" s="3085"/>
    </row>
    <row r="59" spans="1:61" ht="12" customHeight="1" x14ac:dyDescent="0.2">
      <c r="A59" s="29"/>
      <c r="B59" s="485"/>
      <c r="C59" s="4812"/>
      <c r="D59" s="4812"/>
      <c r="E59" s="4812"/>
      <c r="F59" s="4812"/>
      <c r="G59" s="4812"/>
      <c r="H59" s="1495"/>
      <c r="J59" s="4965"/>
      <c r="K59" s="4966"/>
      <c r="L59" s="4966"/>
      <c r="M59" s="4966"/>
      <c r="N59" s="4966"/>
      <c r="O59" s="4966"/>
      <c r="P59" s="2167" t="str">
        <f>IF(J59=0,"",VLOOKUP(J59,Tablas!$AB$1065:$AD$1239,2,FALSE))</f>
        <v/>
      </c>
      <c r="Q59" s="2168" t="str">
        <f>IF(J59=0,"",VLOOKUP(J59,Tablas!$AB$1065:$AD$1239,3,FALSE)*IF($P$26="Invocador",0.5,1))</f>
        <v/>
      </c>
      <c r="S59" s="577"/>
      <c r="T59" s="484"/>
      <c r="U59" s="29"/>
      <c r="V59" s="673"/>
      <c r="W59" s="4830" t="str">
        <f>IF(SUM(Tablas!$P$1138:$S$1180)=0,"",IF(Tablas!A7&gt;MAX(Tablas!$P$1138:$P$1180),"",VLOOKUP(Tablas!A7,Tablas!$P$1138:$T$1180,2,FALSE)))</f>
        <v/>
      </c>
      <c r="X59" s="4831"/>
      <c r="Y59" s="4831"/>
      <c r="Z59" s="4831"/>
      <c r="AA59" s="4372"/>
      <c r="AB59" s="3646" t="str">
        <f>IF(SUM(Tablas!$P$1138:$P$1180)=0,"",IF(Tablas!A7&gt;MAX(Tablas!$P$1138:$P$1180),"",VLOOKUP(Tablas!A7,Tablas!$P$1138:$T$1180,4,FALSE)))</f>
        <v/>
      </c>
      <c r="AC59" s="3647"/>
      <c r="AD59" s="3647"/>
      <c r="AE59" s="3647"/>
      <c r="AF59" s="3647"/>
      <c r="AG59" s="3647"/>
      <c r="AH59" s="3647"/>
      <c r="AI59" s="3647"/>
      <c r="AJ59" s="3647"/>
      <c r="AK59" s="4406"/>
      <c r="AL59" s="2667" t="str">
        <f t="shared" si="14"/>
        <v/>
      </c>
      <c r="AM59" s="29"/>
      <c r="AN59" s="29"/>
      <c r="AO59" s="728"/>
      <c r="AX59" s="738"/>
      <c r="AY59" s="574"/>
      <c r="AZ59" s="3085"/>
      <c r="BA59" s="3085" t="b">
        <f t="shared" si="4"/>
        <v>0</v>
      </c>
      <c r="BB59" s="3140" t="b">
        <f t="shared" si="5"/>
        <v>0</v>
      </c>
      <c r="BC59" s="3140" t="b">
        <f t="shared" si="6"/>
        <v>0</v>
      </c>
      <c r="BD59" s="3085" t="b">
        <f t="shared" si="7"/>
        <v>0</v>
      </c>
      <c r="BE59" s="3085" t="b">
        <f t="shared" si="8"/>
        <v>0</v>
      </c>
      <c r="BF59" s="3085" t="b">
        <f t="shared" si="9"/>
        <v>0</v>
      </c>
      <c r="BG59" s="3085" t="b">
        <f t="shared" si="10"/>
        <v>0</v>
      </c>
      <c r="BH59" s="3085"/>
      <c r="BI59" s="3085"/>
    </row>
    <row r="60" spans="1:61" ht="12" customHeight="1" x14ac:dyDescent="0.2">
      <c r="A60" s="29"/>
      <c r="B60" s="485"/>
      <c r="C60" s="4823"/>
      <c r="D60" s="4823"/>
      <c r="E60" s="4823"/>
      <c r="F60" s="4823"/>
      <c r="G60" s="4823"/>
      <c r="H60" s="1538"/>
      <c r="J60" s="4816"/>
      <c r="K60" s="4817"/>
      <c r="L60" s="4817"/>
      <c r="M60" s="4817"/>
      <c r="N60" s="4817"/>
      <c r="O60" s="4817"/>
      <c r="P60" s="639" t="str">
        <f>IF(J60=0,"",VLOOKUP(J60,Tablas!$AB$1065:$AD$1239,2,FALSE))</f>
        <v/>
      </c>
      <c r="Q60" s="663" t="str">
        <f>IF(J60=0,"",VLOOKUP(J60,Tablas!$AB$1065:$AD$1239,3,FALSE)*IF($P$26="Invocador",0.5,1))</f>
        <v/>
      </c>
      <c r="S60" s="577"/>
      <c r="T60" s="484"/>
      <c r="U60" s="29"/>
      <c r="V60" s="673"/>
      <c r="W60" s="4830" t="str">
        <f>IF(SUM(Tablas!$P$1138:$S$1180)=0,"",IF(Tablas!A8&gt;MAX(Tablas!$P$1138:$P$1180),"",VLOOKUP(Tablas!A8,Tablas!$P$1138:$T$1180,2,FALSE)))</f>
        <v/>
      </c>
      <c r="X60" s="4831"/>
      <c r="Y60" s="4831"/>
      <c r="Z60" s="4831"/>
      <c r="AA60" s="4372"/>
      <c r="AB60" s="3646" t="str">
        <f>IF(SUM(Tablas!$P$1138:$P$1180)=0,"",IF(Tablas!A8&gt;MAX(Tablas!$P$1138:$P$1180),"",VLOOKUP(Tablas!A8,Tablas!$P$1138:$T$1180,4,FALSE)))</f>
        <v/>
      </c>
      <c r="AC60" s="3647"/>
      <c r="AD60" s="3647"/>
      <c r="AE60" s="3647"/>
      <c r="AF60" s="3647"/>
      <c r="AG60" s="3647"/>
      <c r="AH60" s="3647"/>
      <c r="AI60" s="3647"/>
      <c r="AJ60" s="3647"/>
      <c r="AK60" s="4406"/>
      <c r="AL60" s="2667" t="str">
        <f t="shared" si="14"/>
        <v/>
      </c>
      <c r="AM60" s="29"/>
      <c r="AN60" s="29"/>
      <c r="AO60" s="728"/>
      <c r="AP60" s="4775" t="s">
        <v>6905</v>
      </c>
      <c r="AQ60" s="4775"/>
      <c r="AR60" s="4775"/>
      <c r="AS60" s="4775"/>
      <c r="AT60" s="4775"/>
      <c r="AU60" s="4775"/>
      <c r="AV60" s="4775"/>
      <c r="AW60" s="4775"/>
      <c r="AX60" s="738"/>
      <c r="AY60" s="574"/>
      <c r="AZ60" s="3085"/>
      <c r="BA60" s="3085" t="b">
        <f t="shared" si="4"/>
        <v>0</v>
      </c>
      <c r="BB60" s="3140" t="b">
        <f t="shared" si="5"/>
        <v>0</v>
      </c>
      <c r="BC60" s="3140" t="b">
        <f t="shared" si="6"/>
        <v>0</v>
      </c>
      <c r="BD60" s="3085" t="b">
        <f t="shared" si="7"/>
        <v>0</v>
      </c>
      <c r="BE60" s="3085" t="b">
        <f t="shared" si="8"/>
        <v>0</v>
      </c>
      <c r="BF60" s="3085" t="b">
        <f t="shared" si="9"/>
        <v>0</v>
      </c>
      <c r="BG60" s="3085" t="b">
        <f t="shared" si="10"/>
        <v>0</v>
      </c>
      <c r="BH60" s="3085"/>
      <c r="BI60" s="3085"/>
    </row>
    <row r="61" spans="1:61" ht="12" customHeight="1" thickBot="1" x14ac:dyDescent="0.25">
      <c r="A61" s="29"/>
      <c r="B61" s="485"/>
      <c r="C61" s="4813" t="s">
        <v>1718</v>
      </c>
      <c r="D61" s="4813"/>
      <c r="E61" s="4813"/>
      <c r="F61" s="4813"/>
      <c r="G61" s="4813"/>
      <c r="H61" s="92">
        <f>SUM(H33:H60)+IF(Sheele!$O$5="No",0,Sheele!$I$5)</f>
        <v>0</v>
      </c>
      <c r="J61" s="4820" t="str">
        <f>IF(Tablas!X21,IF(AND(22-COUNTBLANK(P33:P60)&gt;VLOOKUP(Nivel_Sobrenatural,Tablas!$S$9:$X$12,6,FALSE)),"Número inicial de invocaciones excesivo. ","")&amp;IF(P26="Invocador","Costes de las invocaciones ya reducidos",""),"")</f>
        <v/>
      </c>
      <c r="K61" s="4821"/>
      <c r="L61" s="4821"/>
      <c r="M61" s="4821"/>
      <c r="N61" s="4821"/>
      <c r="O61" s="4821"/>
      <c r="P61" s="4821"/>
      <c r="Q61" s="4822"/>
      <c r="S61" s="577"/>
      <c r="T61" s="484"/>
      <c r="U61" s="29"/>
      <c r="V61" s="673"/>
      <c r="W61" s="4830" t="str">
        <f>IF(SUM(Tablas!$P$1138:$S$1180)=0,"",IF(Tablas!A9&gt;MAX(Tablas!$P$1138:$P$1180),"",VLOOKUP(Tablas!A9,Tablas!$P$1138:$T$1180,2,FALSE)))</f>
        <v/>
      </c>
      <c r="X61" s="4831"/>
      <c r="Y61" s="4831"/>
      <c r="Z61" s="4831"/>
      <c r="AA61" s="4372"/>
      <c r="AB61" s="4832" t="str">
        <f>IF(SUM(Tablas!$P$1138:$P$1180)=0,"",IF(Tablas!A9&gt;MAX(Tablas!$P$1138:$P$1180),"",VLOOKUP(Tablas!A9,Tablas!$P$1138:$T$1180,4,FALSE)))</f>
        <v/>
      </c>
      <c r="AC61" s="4247"/>
      <c r="AD61" s="4247"/>
      <c r="AE61" s="4247"/>
      <c r="AF61" s="4247"/>
      <c r="AG61" s="4247"/>
      <c r="AH61" s="4247"/>
      <c r="AI61" s="4247"/>
      <c r="AJ61" s="4247"/>
      <c r="AK61" s="4833"/>
      <c r="AL61" s="2667" t="str">
        <f t="shared" si="14"/>
        <v/>
      </c>
      <c r="AM61" s="29"/>
      <c r="AN61" s="29"/>
      <c r="AO61" s="728"/>
      <c r="AP61" s="4762" t="s">
        <v>1694</v>
      </c>
      <c r="AQ61" s="4762"/>
      <c r="AR61" s="4762" t="s">
        <v>1693</v>
      </c>
      <c r="AS61" s="4762"/>
      <c r="AT61" s="4762"/>
      <c r="AU61" s="2294"/>
      <c r="AV61" s="2295" t="s">
        <v>6906</v>
      </c>
      <c r="AW61" s="946" t="s">
        <v>2661</v>
      </c>
      <c r="AX61" s="738"/>
      <c r="AY61" s="574"/>
      <c r="AZ61" s="3085"/>
      <c r="BA61" s="3085" t="s">
        <v>1349</v>
      </c>
      <c r="BB61" s="3140" t="b">
        <f t="shared" ref="BB61:BG61" si="15">OR(BB34:BB60)</f>
        <v>0</v>
      </c>
      <c r="BC61" s="3140" t="b">
        <f t="shared" si="15"/>
        <v>0</v>
      </c>
      <c r="BD61" s="3140" t="b">
        <f t="shared" si="15"/>
        <v>0</v>
      </c>
      <c r="BE61" s="3140" t="b">
        <f t="shared" si="15"/>
        <v>0</v>
      </c>
      <c r="BF61" s="3140" t="b">
        <f t="shared" si="15"/>
        <v>0</v>
      </c>
      <c r="BG61" s="3140" t="b">
        <f t="shared" si="15"/>
        <v>0</v>
      </c>
      <c r="BH61" s="3085"/>
      <c r="BI61" s="3085"/>
    </row>
    <row r="62" spans="1:61" ht="12" customHeight="1" thickBot="1" x14ac:dyDescent="0.25">
      <c r="A62" s="29"/>
      <c r="B62" s="485"/>
      <c r="S62" s="577"/>
      <c r="T62" s="484"/>
      <c r="U62" s="29"/>
      <c r="V62" s="673"/>
      <c r="W62" s="4830" t="str">
        <f>IF(SUM(Tablas!$P$1138:$S$1180)=0,"",IF(Tablas!A10&gt;MAX(Tablas!$P$1138:$P$1180),"",VLOOKUP(Tablas!A10,Tablas!$P$1138:$T$1180,2,FALSE)))</f>
        <v/>
      </c>
      <c r="X62" s="4831"/>
      <c r="Y62" s="4831"/>
      <c r="Z62" s="4831"/>
      <c r="AA62" s="4372"/>
      <c r="AB62" s="4832" t="str">
        <f>IF(SUM(Tablas!$P$1138:$P$1180)=0,"",IF(Tablas!A10&gt;MAX(Tablas!$P$1138:$P$1180),"",VLOOKUP(Tablas!A10,Tablas!$P$1138:$T$1180,4,FALSE)))</f>
        <v/>
      </c>
      <c r="AC62" s="4247"/>
      <c r="AD62" s="4247"/>
      <c r="AE62" s="4247"/>
      <c r="AF62" s="4247"/>
      <c r="AG62" s="4247"/>
      <c r="AH62" s="4247"/>
      <c r="AI62" s="4247"/>
      <c r="AJ62" s="4247"/>
      <c r="AK62" s="4833"/>
      <c r="AL62" s="2667" t="str">
        <f t="shared" si="14"/>
        <v/>
      </c>
      <c r="AM62" s="29"/>
      <c r="AN62" s="29"/>
      <c r="AO62" s="856" t="str">
        <f>"Conjuros"&amp;IF(AP62="","","_"&amp;SUBSTITUTE(AP62," ",""))</f>
        <v>Conjuros</v>
      </c>
      <c r="AP62" s="4760"/>
      <c r="AQ62" s="4760"/>
      <c r="AR62" s="4761"/>
      <c r="AS62" s="4761"/>
      <c r="AT62" s="4761"/>
      <c r="AU62" s="4761"/>
      <c r="AV62" s="2292"/>
      <c r="AW62" s="1459">
        <f>IF(AR62="",0,AV62*VLOOKUP(AR62,'Tablas Magia'!$D$6:$Z$680,11,FALSE)/2)</f>
        <v>0</v>
      </c>
      <c r="AX62" s="738"/>
      <c r="AY62" s="574"/>
      <c r="AZ62" s="3085"/>
      <c r="BA62" s="3085"/>
      <c r="BB62" s="3140"/>
      <c r="BC62" s="3140"/>
      <c r="BD62" s="3085"/>
      <c r="BE62" s="3139"/>
      <c r="BF62" s="3085"/>
      <c r="BG62" s="3085"/>
      <c r="BH62" s="3085"/>
      <c r="BI62" s="3085"/>
    </row>
    <row r="63" spans="1:61" ht="12" customHeight="1" thickBot="1" x14ac:dyDescent="0.25">
      <c r="A63" s="29"/>
      <c r="B63" s="485"/>
      <c r="C63" s="3676" t="s">
        <v>9606</v>
      </c>
      <c r="D63" s="3676"/>
      <c r="E63" s="3676"/>
      <c r="F63" s="3676"/>
      <c r="G63" s="3676"/>
      <c r="H63" s="3676"/>
      <c r="J63" s="3734" t="s">
        <v>1719</v>
      </c>
      <c r="K63" s="4843"/>
      <c r="L63" s="4843"/>
      <c r="M63" s="4844" t="s">
        <v>1511</v>
      </c>
      <c r="N63" s="4844"/>
      <c r="O63" s="4844"/>
      <c r="P63" s="4844"/>
      <c r="Q63" s="4845"/>
      <c r="S63" s="577"/>
      <c r="T63" s="484"/>
      <c r="U63" s="29"/>
      <c r="V63" s="673"/>
      <c r="W63" s="4830" t="str">
        <f>IF(SUM(Tablas!$P$1138:$S$1180)=0,"",IF(Tablas!A11&gt;MAX(Tablas!$P$1138:$P$1180),"",VLOOKUP(Tablas!A11,Tablas!$P$1138:$T$1180,2,FALSE)))</f>
        <v/>
      </c>
      <c r="X63" s="4831"/>
      <c r="Y63" s="4831"/>
      <c r="Z63" s="4831"/>
      <c r="AA63" s="4372"/>
      <c r="AB63" s="4832" t="str">
        <f>IF(SUM(Tablas!$P$1138:$P$1180)=0,"",IF(Tablas!A11&gt;MAX(Tablas!$P$1138:$P$1180),"",VLOOKUP(Tablas!A11,Tablas!$P$1138:$T$1180,4,FALSE)))</f>
        <v/>
      </c>
      <c r="AC63" s="4247"/>
      <c r="AD63" s="4247"/>
      <c r="AE63" s="4247"/>
      <c r="AF63" s="4247"/>
      <c r="AG63" s="4247"/>
      <c r="AH63" s="4247"/>
      <c r="AI63" s="4247"/>
      <c r="AJ63" s="4247"/>
      <c r="AK63" s="4833"/>
      <c r="AL63" s="2667" t="str">
        <f t="shared" si="14"/>
        <v/>
      </c>
      <c r="AM63" s="29"/>
      <c r="AN63" s="29"/>
      <c r="AO63" s="856" t="str">
        <f t="shared" ref="AO63:AO72" si="16">"Conjuros"&amp;IF(AP63="","","_"&amp;SUBSTITUTE(AP63," ",""))</f>
        <v>Conjuros</v>
      </c>
      <c r="AP63" s="4763"/>
      <c r="AQ63" s="4763"/>
      <c r="AR63" s="4764"/>
      <c r="AS63" s="4764"/>
      <c r="AT63" s="4764"/>
      <c r="AU63" s="4764"/>
      <c r="AV63" s="2293"/>
      <c r="AW63" s="2296">
        <f>IF(AR63="",0,AV63*VLOOKUP(AR63,'Tablas Magia'!$D$6:$Z$680,11,FALSE)/2)</f>
        <v>0</v>
      </c>
      <c r="AX63" s="738"/>
      <c r="AY63" s="574"/>
      <c r="AZ63" s="3085"/>
      <c r="BA63" s="3085"/>
      <c r="BB63" s="3140"/>
      <c r="BC63" s="3140"/>
      <c r="BD63" s="3085"/>
      <c r="BE63" s="3139"/>
      <c r="BF63" s="3085"/>
      <c r="BG63" s="3085"/>
      <c r="BH63" s="3085"/>
      <c r="BI63" s="3085"/>
    </row>
    <row r="64" spans="1:61" ht="12" customHeight="1" x14ac:dyDescent="0.2">
      <c r="A64" s="29"/>
      <c r="B64" s="485"/>
      <c r="C64" s="4846"/>
      <c r="D64" s="4847"/>
      <c r="E64" s="4847"/>
      <c r="F64" s="4847"/>
      <c r="G64" s="4847"/>
      <c r="H64" s="4848"/>
      <c r="J64" s="2165">
        <v>20</v>
      </c>
      <c r="K64" s="4834" t="s">
        <v>1722</v>
      </c>
      <c r="L64" s="4834"/>
      <c r="M64" s="4855" t="s">
        <v>1723</v>
      </c>
      <c r="N64" s="4855"/>
      <c r="O64" s="4855"/>
      <c r="P64" s="4855"/>
      <c r="Q64" s="4856"/>
      <c r="S64" s="577"/>
      <c r="T64" s="484"/>
      <c r="U64" s="29"/>
      <c r="V64" s="673"/>
      <c r="W64" s="4830" t="str">
        <f>IF(SUM(Tablas!$P$1138:$S$1180)=0,"",IF(Tablas!A12&gt;MAX(Tablas!$P$1138:$P$1180),"",VLOOKUP(Tablas!A12,Tablas!$P$1138:$T$1180,2,FALSE)))</f>
        <v/>
      </c>
      <c r="X64" s="4831"/>
      <c r="Y64" s="4831"/>
      <c r="Z64" s="4831"/>
      <c r="AA64" s="4372"/>
      <c r="AB64" s="4832" t="str">
        <f>IF(SUM(Tablas!$P$1138:$P$1180)=0,"",IF(Tablas!A12&gt;MAX(Tablas!$P$1138:$P$1180),"",VLOOKUP(Tablas!A12,Tablas!$P$1138:$T$1180,4,FALSE)))</f>
        <v/>
      </c>
      <c r="AC64" s="4247"/>
      <c r="AD64" s="4247"/>
      <c r="AE64" s="4247"/>
      <c r="AF64" s="4247"/>
      <c r="AG64" s="4247"/>
      <c r="AH64" s="4247"/>
      <c r="AI64" s="4247"/>
      <c r="AJ64" s="4247"/>
      <c r="AK64" s="4833"/>
      <c r="AL64" s="2667" t="str">
        <f t="shared" si="14"/>
        <v/>
      </c>
      <c r="AM64" s="29"/>
      <c r="AN64" s="29"/>
      <c r="AO64" s="856" t="str">
        <f t="shared" si="16"/>
        <v>Conjuros</v>
      </c>
      <c r="AP64" s="4760"/>
      <c r="AQ64" s="4760"/>
      <c r="AR64" s="4761"/>
      <c r="AS64" s="4761"/>
      <c r="AT64" s="4761"/>
      <c r="AU64" s="4761"/>
      <c r="AV64" s="2292"/>
      <c r="AW64" s="1459">
        <f>IF(AR64="",0,AV64*VLOOKUP(AR64,'Tablas Magia'!$D$6:$Z$680,11,FALSE)/2)</f>
        <v>0</v>
      </c>
      <c r="AX64" s="738"/>
      <c r="AY64" s="574"/>
      <c r="AZ64" s="3085"/>
      <c r="BA64" s="3085"/>
      <c r="BB64" s="3140"/>
      <c r="BC64" s="3140"/>
      <c r="BD64" s="3085"/>
      <c r="BE64" s="3085"/>
      <c r="BF64" s="3085"/>
      <c r="BG64" s="3085"/>
      <c r="BH64" s="3085"/>
      <c r="BI64" s="3085"/>
    </row>
    <row r="65" spans="1:61" ht="12" customHeight="1" x14ac:dyDescent="0.2">
      <c r="A65" s="29"/>
      <c r="B65" s="485"/>
      <c r="C65" s="4849"/>
      <c r="D65" s="4850"/>
      <c r="E65" s="4850"/>
      <c r="F65" s="4850"/>
      <c r="G65" s="4850"/>
      <c r="H65" s="4851"/>
      <c r="J65" s="2165">
        <v>40</v>
      </c>
      <c r="K65" s="4834" t="s">
        <v>1724</v>
      </c>
      <c r="L65" s="4834"/>
      <c r="M65" s="4835" t="s">
        <v>1725</v>
      </c>
      <c r="N65" s="4835"/>
      <c r="O65" s="4835"/>
      <c r="P65" s="4835"/>
      <c r="Q65" s="4836"/>
      <c r="S65" s="577"/>
      <c r="T65" s="484"/>
      <c r="U65" s="29"/>
      <c r="V65" s="673"/>
      <c r="W65" s="4830" t="str">
        <f>IF(SUM(Tablas!$P$1138:$S$1180)=0,"",IF(Tablas!A13&gt;MAX(Tablas!$P$1138:$P$1180),"",VLOOKUP(Tablas!A13,Tablas!$P$1138:$T$1180,2,FALSE)))</f>
        <v/>
      </c>
      <c r="X65" s="4831"/>
      <c r="Y65" s="4831"/>
      <c r="Z65" s="4831"/>
      <c r="AA65" s="4372"/>
      <c r="AB65" s="4832" t="str">
        <f>IF(SUM(Tablas!$P$1138:$P$1180)=0,"",IF(Tablas!A13&gt;MAX(Tablas!$P$1138:$P$1180),"",VLOOKUP(Tablas!A13,Tablas!$P$1138:$T$1180,4,FALSE)))</f>
        <v/>
      </c>
      <c r="AC65" s="4247"/>
      <c r="AD65" s="4247"/>
      <c r="AE65" s="4247"/>
      <c r="AF65" s="4247"/>
      <c r="AG65" s="4247"/>
      <c r="AH65" s="4247"/>
      <c r="AI65" s="4247"/>
      <c r="AJ65" s="4247"/>
      <c r="AK65" s="4833"/>
      <c r="AL65" s="2667" t="str">
        <f t="shared" si="14"/>
        <v/>
      </c>
      <c r="AM65" s="29"/>
      <c r="AN65" s="29"/>
      <c r="AO65" s="856" t="str">
        <f t="shared" si="16"/>
        <v>Conjuros</v>
      </c>
      <c r="AP65" s="4763"/>
      <c r="AQ65" s="4763"/>
      <c r="AR65" s="4764"/>
      <c r="AS65" s="4764"/>
      <c r="AT65" s="4764"/>
      <c r="AU65" s="4764"/>
      <c r="AV65" s="2293"/>
      <c r="AW65" s="2296">
        <f>IF(AR65="",0,AV65*VLOOKUP(AR65,'Tablas Magia'!$D$6:$Z$680,11,FALSE)/2)</f>
        <v>0</v>
      </c>
      <c r="AX65" s="737"/>
      <c r="AY65" s="574"/>
      <c r="AZ65" s="3085"/>
      <c r="BA65" s="3085"/>
      <c r="BB65" s="3140"/>
      <c r="BC65" s="3140"/>
      <c r="BD65" s="3085"/>
      <c r="BE65" s="3085"/>
      <c r="BF65" s="3085"/>
      <c r="BG65" s="3085"/>
      <c r="BH65" s="3085"/>
      <c r="BI65" s="3085"/>
    </row>
    <row r="66" spans="1:61" ht="12" customHeight="1" x14ac:dyDescent="0.2">
      <c r="A66" s="29"/>
      <c r="B66" s="485"/>
      <c r="C66" s="4849"/>
      <c r="D66" s="4850"/>
      <c r="E66" s="4850"/>
      <c r="F66" s="4850"/>
      <c r="G66" s="4850"/>
      <c r="H66" s="4851"/>
      <c r="J66" s="2165">
        <v>80</v>
      </c>
      <c r="K66" s="4834" t="s">
        <v>1727</v>
      </c>
      <c r="L66" s="4834"/>
      <c r="M66" s="4835" t="s">
        <v>1728</v>
      </c>
      <c r="N66" s="4835"/>
      <c r="O66" s="4835"/>
      <c r="P66" s="4835"/>
      <c r="Q66" s="4836"/>
      <c r="S66" s="577"/>
      <c r="T66" s="484"/>
      <c r="U66" s="29"/>
      <c r="V66" s="673"/>
      <c r="W66" s="4830" t="str">
        <f>IF(SUM(Tablas!$P$1138:$S$1180)=0,"",IF(Tablas!A14&gt;MAX(Tablas!$P$1138:$P$1180),"",VLOOKUP(Tablas!A14,Tablas!$P$1138:$T$1180,2,FALSE)))</f>
        <v/>
      </c>
      <c r="X66" s="4831"/>
      <c r="Y66" s="4831"/>
      <c r="Z66" s="4831"/>
      <c r="AA66" s="4372"/>
      <c r="AB66" s="4832" t="str">
        <f>IF(SUM(Tablas!$P$1138:$P$1180)=0,"",IF(Tablas!A14&gt;MAX(Tablas!$P$1138:$P$1180),"",VLOOKUP(Tablas!A14,Tablas!$P$1138:$T$1180,4,FALSE)))</f>
        <v/>
      </c>
      <c r="AC66" s="4247"/>
      <c r="AD66" s="4247"/>
      <c r="AE66" s="4247"/>
      <c r="AF66" s="4247"/>
      <c r="AG66" s="4247"/>
      <c r="AH66" s="4247"/>
      <c r="AI66" s="4247"/>
      <c r="AJ66" s="4247"/>
      <c r="AK66" s="4833"/>
      <c r="AL66" s="2667" t="str">
        <f t="shared" si="14"/>
        <v/>
      </c>
      <c r="AM66" s="29"/>
      <c r="AN66" s="29"/>
      <c r="AO66" s="856" t="str">
        <f t="shared" si="16"/>
        <v>Conjuros</v>
      </c>
      <c r="AP66" s="4760"/>
      <c r="AQ66" s="4760"/>
      <c r="AR66" s="4761"/>
      <c r="AS66" s="4761"/>
      <c r="AT66" s="4761"/>
      <c r="AU66" s="4761"/>
      <c r="AV66" s="2292"/>
      <c r="AW66" s="1459">
        <f>IF(AR66="",0,AV66*VLOOKUP(AR66,'Tablas Magia'!$D$6:$Z$680,11,FALSE)/2)</f>
        <v>0</v>
      </c>
      <c r="AX66" s="737"/>
      <c r="AY66" s="574"/>
      <c r="AZ66" s="3085"/>
      <c r="BA66" s="3085"/>
      <c r="BB66" s="3140"/>
      <c r="BC66" s="3140"/>
      <c r="BD66" s="3085"/>
      <c r="BE66" s="3085"/>
      <c r="BF66" s="3085"/>
      <c r="BG66" s="3085"/>
      <c r="BH66" s="3085"/>
      <c r="BI66" s="3085"/>
    </row>
    <row r="67" spans="1:61" ht="12" customHeight="1" x14ac:dyDescent="0.2">
      <c r="A67" s="29"/>
      <c r="B67" s="485"/>
      <c r="C67" s="4849"/>
      <c r="D67" s="4850"/>
      <c r="E67" s="4850"/>
      <c r="F67" s="4850"/>
      <c r="G67" s="4850"/>
      <c r="H67" s="4851"/>
      <c r="J67" s="2165">
        <v>120</v>
      </c>
      <c r="K67" s="4834" t="s">
        <v>1730</v>
      </c>
      <c r="L67" s="4834"/>
      <c r="M67" s="4835" t="str">
        <f>IF(Metamagia!$R$54+Metamagia!$U$54+Metamagia!$AA$54+Metamagia!$AA$59+Metamagia!$AA$64+Metamagia!$AD$48+Metamagia!$AG$46&gt;0,"Blancos hasta 100m. Zeón 10","Blancos hasta 100m")</f>
        <v>Blancos hasta 100m</v>
      </c>
      <c r="N67" s="4835"/>
      <c r="O67" s="4835"/>
      <c r="P67" s="4835"/>
      <c r="Q67" s="4836"/>
      <c r="S67" s="577"/>
      <c r="T67" s="484"/>
      <c r="U67" s="29"/>
      <c r="V67" s="673"/>
      <c r="W67" s="4830" t="str">
        <f>IF(SUM(Tablas!$P$1138:$S$1180)=0,"",IF(Tablas!A15&gt;MAX(Tablas!$P$1138:$P$1180),"",VLOOKUP(Tablas!A15,Tablas!$P$1138:$T$1180,2,FALSE)))</f>
        <v/>
      </c>
      <c r="X67" s="4831"/>
      <c r="Y67" s="4831"/>
      <c r="Z67" s="4831"/>
      <c r="AA67" s="4372"/>
      <c r="AB67" s="4832" t="str">
        <f>IF(SUM(Tablas!$P$1138:$P$1180)=0,"",IF(Tablas!A15&gt;MAX(Tablas!$P$1138:$P$1180),"",VLOOKUP(Tablas!A15,Tablas!$P$1138:$T$1180,4,FALSE)))</f>
        <v/>
      </c>
      <c r="AC67" s="4247"/>
      <c r="AD67" s="4247"/>
      <c r="AE67" s="4247"/>
      <c r="AF67" s="4247"/>
      <c r="AG67" s="4247"/>
      <c r="AH67" s="4247"/>
      <c r="AI67" s="4247"/>
      <c r="AJ67" s="4247"/>
      <c r="AK67" s="4833"/>
      <c r="AL67" s="2667" t="str">
        <f t="shared" si="14"/>
        <v/>
      </c>
      <c r="AM67" s="29"/>
      <c r="AN67" s="29"/>
      <c r="AO67" s="856" t="str">
        <f t="shared" si="16"/>
        <v>Conjuros</v>
      </c>
      <c r="AP67" s="4763"/>
      <c r="AQ67" s="4763"/>
      <c r="AR67" s="4764"/>
      <c r="AS67" s="4764"/>
      <c r="AT67" s="4764"/>
      <c r="AU67" s="4764"/>
      <c r="AV67" s="2293"/>
      <c r="AW67" s="2296">
        <f>IF(AR67="",0,AV67*VLOOKUP(AR67,'Tablas Magia'!$D$6:$Z$680,11,FALSE)/2)</f>
        <v>0</v>
      </c>
      <c r="AX67" s="737"/>
      <c r="AY67" s="574"/>
      <c r="AZ67" s="3085"/>
      <c r="BA67" s="3085"/>
      <c r="BB67" s="3085"/>
      <c r="BC67" s="3085"/>
      <c r="BD67" s="3085"/>
      <c r="BE67" s="3085"/>
      <c r="BF67" s="3085"/>
      <c r="BG67" s="3085"/>
      <c r="BH67" s="3085"/>
      <c r="BI67" s="3085"/>
    </row>
    <row r="68" spans="1:61" ht="12" customHeight="1" x14ac:dyDescent="0.2">
      <c r="A68" s="29"/>
      <c r="B68" s="485"/>
      <c r="C68" s="4849"/>
      <c r="D68" s="4850"/>
      <c r="E68" s="4850"/>
      <c r="F68" s="4850"/>
      <c r="G68" s="4850"/>
      <c r="H68" s="4851"/>
      <c r="J68" s="2165">
        <v>140</v>
      </c>
      <c r="K68" s="4834" t="s">
        <v>1732</v>
      </c>
      <c r="L68" s="4834"/>
      <c r="M68" s="4835" t="str">
        <f>IF(Metamagia!$R$54+Metamagia!$U$54+Metamagia!$AA$54+Metamagia!$AA$59+Metamagia!$AA$64+Metamagia!$AD$48+Metamagia!$AG$46&gt;1,"Blancos hasta 250m. Zeón 20","Blancos hasta 250m")</f>
        <v>Blancos hasta 250m</v>
      </c>
      <c r="N68" s="4835"/>
      <c r="O68" s="4835"/>
      <c r="P68" s="4835"/>
      <c r="Q68" s="4836"/>
      <c r="S68" s="577"/>
      <c r="T68" s="484"/>
      <c r="U68" s="29"/>
      <c r="V68" s="673"/>
      <c r="W68" s="4830" t="str">
        <f>IF(SUM(Tablas!$P$1138:$S$1180)=0,"",IF(Tablas!A16&gt;MAX(Tablas!$P$1138:$P$1180),"",VLOOKUP(Tablas!A16,Tablas!$P$1138:$T$1180,2,FALSE)))</f>
        <v/>
      </c>
      <c r="X68" s="4831"/>
      <c r="Y68" s="4831"/>
      <c r="Z68" s="4831"/>
      <c r="AA68" s="4372"/>
      <c r="AB68" s="4832" t="str">
        <f>IF(SUM(Tablas!$P$1138:$P$1180)=0,"",IF(Tablas!A16&gt;MAX(Tablas!$P$1138:$P$1180),"",VLOOKUP(Tablas!A16,Tablas!$P$1138:$T$1180,4,FALSE)))</f>
        <v/>
      </c>
      <c r="AC68" s="4247"/>
      <c r="AD68" s="4247"/>
      <c r="AE68" s="4247"/>
      <c r="AF68" s="4247"/>
      <c r="AG68" s="4247"/>
      <c r="AH68" s="4247"/>
      <c r="AI68" s="4247"/>
      <c r="AJ68" s="4247"/>
      <c r="AK68" s="4833"/>
      <c r="AL68" s="2667" t="str">
        <f t="shared" si="14"/>
        <v/>
      </c>
      <c r="AM68" s="29"/>
      <c r="AN68" s="29"/>
      <c r="AO68" s="856" t="str">
        <f t="shared" si="16"/>
        <v>Conjuros</v>
      </c>
      <c r="AP68" s="4760"/>
      <c r="AQ68" s="4760"/>
      <c r="AR68" s="4761"/>
      <c r="AS68" s="4761"/>
      <c r="AT68" s="4761"/>
      <c r="AU68" s="4761"/>
      <c r="AV68" s="2292"/>
      <c r="AW68" s="1459">
        <f>IF(AR68="",0,AV68*VLOOKUP(AR68,'Tablas Magia'!$D$6:$Z$680,11,FALSE)/2)</f>
        <v>0</v>
      </c>
      <c r="AX68" s="737"/>
      <c r="AY68" s="574"/>
      <c r="AZ68" s="3085"/>
      <c r="BA68" s="3085"/>
      <c r="BB68" s="3085"/>
      <c r="BC68" s="3085"/>
      <c r="BD68" s="3085"/>
      <c r="BE68" s="3085"/>
      <c r="BF68" s="3085"/>
      <c r="BG68" s="3085"/>
      <c r="BH68" s="3085"/>
      <c r="BI68" s="3085"/>
    </row>
    <row r="69" spans="1:61" ht="12" customHeight="1" x14ac:dyDescent="0.2">
      <c r="A69" s="29"/>
      <c r="B69" s="485"/>
      <c r="C69" s="4849"/>
      <c r="D69" s="4850"/>
      <c r="E69" s="4850"/>
      <c r="F69" s="4850"/>
      <c r="G69" s="4850"/>
      <c r="H69" s="4851"/>
      <c r="J69" s="2165">
        <v>180</v>
      </c>
      <c r="K69" s="4834" t="s">
        <v>1734</v>
      </c>
      <c r="L69" s="4834"/>
      <c r="M69" s="4835" t="str">
        <f>IF(Metamagia!$R$54+Metamagia!$U$54+Metamagia!$AA$54+Metamagia!$AA$59+Metamagia!$AA$64+Metamagia!$AD$48+Metamagia!$AG$46&gt;2,"Blancos hasta 500m. Zeón 40","Blancos hasta 500m")</f>
        <v>Blancos hasta 500m</v>
      </c>
      <c r="N69" s="4835"/>
      <c r="O69" s="4835"/>
      <c r="P69" s="4835"/>
      <c r="Q69" s="4836"/>
      <c r="S69" s="577"/>
      <c r="T69" s="484"/>
      <c r="U69" s="29"/>
      <c r="V69" s="673"/>
      <c r="W69" s="4830" t="str">
        <f>IF(SUM(Tablas!$P$1138:$S$1180)=0,"",IF(Tablas!A17&gt;MAX(Tablas!$P$1138:$P$1180),"",VLOOKUP(Tablas!A17,Tablas!$P$1138:$T$1180,2,FALSE)))</f>
        <v/>
      </c>
      <c r="X69" s="4831"/>
      <c r="Y69" s="4831"/>
      <c r="Z69" s="4831"/>
      <c r="AA69" s="4372"/>
      <c r="AB69" s="4832" t="str">
        <f>IF(SUM(Tablas!$P$1138:$P$1180)=0,"",IF(Tablas!A17&gt;MAX(Tablas!$P$1138:$P$1180),"",VLOOKUP(Tablas!A17,Tablas!$P$1138:$T$1180,4,FALSE)))</f>
        <v/>
      </c>
      <c r="AC69" s="4247"/>
      <c r="AD69" s="4247"/>
      <c r="AE69" s="4247"/>
      <c r="AF69" s="4247"/>
      <c r="AG69" s="4247"/>
      <c r="AH69" s="4247"/>
      <c r="AI69" s="4247"/>
      <c r="AJ69" s="4247"/>
      <c r="AK69" s="4833"/>
      <c r="AL69" s="2667" t="str">
        <f t="shared" si="14"/>
        <v/>
      </c>
      <c r="AM69" s="29"/>
      <c r="AN69" s="29"/>
      <c r="AO69" s="856" t="str">
        <f t="shared" si="16"/>
        <v>Conjuros</v>
      </c>
      <c r="AP69" s="4763"/>
      <c r="AQ69" s="4763"/>
      <c r="AR69" s="4764"/>
      <c r="AS69" s="4764"/>
      <c r="AT69" s="4764"/>
      <c r="AU69" s="4764"/>
      <c r="AV69" s="2293"/>
      <c r="AW69" s="2296">
        <f>IF(AR69="",0,AV69*VLOOKUP(AR69,'Tablas Magia'!$D$6:$Z$680,11,FALSE)/2)</f>
        <v>0</v>
      </c>
      <c r="AX69" s="737"/>
      <c r="AY69" s="574"/>
      <c r="AZ69" s="3085"/>
      <c r="BA69" s="3085"/>
      <c r="BB69" s="3085"/>
      <c r="BC69" s="3085"/>
      <c r="BD69" s="3085"/>
      <c r="BE69" s="3085"/>
      <c r="BF69" s="3085"/>
      <c r="BG69" s="3085"/>
      <c r="BH69" s="3085"/>
      <c r="BI69" s="3085"/>
    </row>
    <row r="70" spans="1:61" ht="12" customHeight="1" x14ac:dyDescent="0.2">
      <c r="A70" s="29"/>
      <c r="B70" s="485"/>
      <c r="C70" s="4849"/>
      <c r="D70" s="4850"/>
      <c r="E70" s="4850"/>
      <c r="F70" s="4850"/>
      <c r="G70" s="4850"/>
      <c r="H70" s="4851"/>
      <c r="J70" s="2165">
        <v>240</v>
      </c>
      <c r="K70" s="4834" t="s">
        <v>1736</v>
      </c>
      <c r="L70" s="4834"/>
      <c r="M70" s="4835" t="str">
        <f>IF(Metamagia!$R$54+Metamagia!$U$54+Metamagia!$AA$54+Metamagia!$AA$59+Metamagia!$AA$64+Metamagia!$AD$48+Metamagia!$AG$46&gt;3,"Hasta 1 km. Blanco localizado. Zeón 60","Hasta 1 km. Blanco localizado")</f>
        <v>Hasta 1 km. Blanco localizado</v>
      </c>
      <c r="N70" s="4835"/>
      <c r="O70" s="4835"/>
      <c r="P70" s="4835"/>
      <c r="Q70" s="4836"/>
      <c r="S70" s="577"/>
      <c r="T70" s="484"/>
      <c r="U70" s="29"/>
      <c r="V70" s="673"/>
      <c r="W70" s="4830" t="str">
        <f>IF(SUM(Tablas!$P$1138:$S$1180)=0,"",IF(Tablas!A18&gt;MAX(Tablas!$P$1138:$P$1180),"",VLOOKUP(Tablas!A18,Tablas!$P$1138:$T$1180,2,FALSE)))</f>
        <v/>
      </c>
      <c r="X70" s="4831"/>
      <c r="Y70" s="4831"/>
      <c r="Z70" s="4831"/>
      <c r="AA70" s="4372"/>
      <c r="AB70" s="4832" t="str">
        <f>IF(SUM(Tablas!$P$1138:$P$1180)=0,"",IF(Tablas!A18&gt;MAX(Tablas!$P$1138:$P$1180),"",VLOOKUP(Tablas!A18,Tablas!$P$1138:$T$1180,4,FALSE)))</f>
        <v/>
      </c>
      <c r="AC70" s="4247"/>
      <c r="AD70" s="4247"/>
      <c r="AE70" s="4247"/>
      <c r="AF70" s="4247"/>
      <c r="AG70" s="4247"/>
      <c r="AH70" s="4247"/>
      <c r="AI70" s="4247"/>
      <c r="AJ70" s="4247"/>
      <c r="AK70" s="4833"/>
      <c r="AL70" s="2667" t="str">
        <f t="shared" si="14"/>
        <v/>
      </c>
      <c r="AM70" s="29"/>
      <c r="AN70" s="29"/>
      <c r="AO70" s="856" t="str">
        <f t="shared" si="16"/>
        <v>Conjuros</v>
      </c>
      <c r="AP70" s="4760"/>
      <c r="AQ70" s="4760"/>
      <c r="AR70" s="4761"/>
      <c r="AS70" s="4761"/>
      <c r="AT70" s="4761"/>
      <c r="AU70" s="4761"/>
      <c r="AV70" s="2292"/>
      <c r="AW70" s="1459">
        <f>IF(AR70="",0,AV70*VLOOKUP(AR70,'Tablas Magia'!$D$6:$Z$680,11,FALSE)/2)</f>
        <v>0</v>
      </c>
      <c r="AX70" s="737"/>
      <c r="AY70" s="574"/>
      <c r="AZ70" s="3085"/>
      <c r="BA70" s="3085"/>
      <c r="BB70" s="3085"/>
      <c r="BC70" s="3085"/>
      <c r="BD70" s="3085"/>
      <c r="BE70" s="3085"/>
      <c r="BF70" s="3085"/>
      <c r="BG70" s="3085"/>
      <c r="BH70" s="3085"/>
      <c r="BI70" s="3085"/>
    </row>
    <row r="71" spans="1:61" ht="12" customHeight="1" x14ac:dyDescent="0.2">
      <c r="A71" s="29"/>
      <c r="B71" s="485"/>
      <c r="C71" s="4849"/>
      <c r="D71" s="4850"/>
      <c r="E71" s="4850"/>
      <c r="F71" s="4850"/>
      <c r="G71" s="4850"/>
      <c r="H71" s="4851"/>
      <c r="J71" s="2165">
        <v>280</v>
      </c>
      <c r="K71" s="4834" t="s">
        <v>1737</v>
      </c>
      <c r="L71" s="4834"/>
      <c r="M71" s="4835" t="str">
        <f>IF(Metamagia!$R$54+Metamagia!$U$54+Metamagia!$AA$54+Metamagia!$AA$59+Metamagia!$AA$64+Metamagia!$AD$48+Metamagia!$AG$46&gt;4,"Hasta 5 km. Blanco aprox. Zeón 80","Hasta 5 km. Blanco aproximado")</f>
        <v>Hasta 5 km. Blanco aproximado</v>
      </c>
      <c r="N71" s="4835"/>
      <c r="O71" s="4835"/>
      <c r="P71" s="4835"/>
      <c r="Q71" s="4836"/>
      <c r="S71" s="577"/>
      <c r="T71" s="484"/>
      <c r="U71" s="29"/>
      <c r="V71" s="673"/>
      <c r="W71" s="4830" t="str">
        <f>IF(SUM(Tablas!$P$1138:$S$1180)=0,"",IF(Tablas!A19&gt;MAX(Tablas!$P$1138:$P$1180),"",VLOOKUP(Tablas!A19,Tablas!$P$1138:$T$1180,2,FALSE)))</f>
        <v/>
      </c>
      <c r="X71" s="4831"/>
      <c r="Y71" s="4831"/>
      <c r="Z71" s="4831"/>
      <c r="AA71" s="4372"/>
      <c r="AB71" s="4832" t="str">
        <f>IF(SUM(Tablas!$P$1138:$P$1180)=0,"",IF(Tablas!A19&gt;MAX(Tablas!$P$1138:$P$1180),"",VLOOKUP(Tablas!A19,Tablas!$P$1138:$T$1180,4,FALSE)))</f>
        <v/>
      </c>
      <c r="AC71" s="4247"/>
      <c r="AD71" s="4247"/>
      <c r="AE71" s="4247"/>
      <c r="AF71" s="4247"/>
      <c r="AG71" s="4247"/>
      <c r="AH71" s="4247"/>
      <c r="AI71" s="4247"/>
      <c r="AJ71" s="4247"/>
      <c r="AK71" s="4833"/>
      <c r="AL71" s="2667" t="str">
        <f t="shared" si="14"/>
        <v/>
      </c>
      <c r="AM71" s="29"/>
      <c r="AN71" s="29"/>
      <c r="AO71" s="856" t="str">
        <f t="shared" si="16"/>
        <v>Conjuros</v>
      </c>
      <c r="AP71" s="4763"/>
      <c r="AQ71" s="4763"/>
      <c r="AR71" s="4764"/>
      <c r="AS71" s="4764"/>
      <c r="AT71" s="4764"/>
      <c r="AU71" s="4764"/>
      <c r="AV71" s="2293"/>
      <c r="AW71" s="2296">
        <f>IF(AR71="",0,AV71*VLOOKUP(AR71,'Tablas Magia'!$D$6:$Z$680,11,FALSE)/2)</f>
        <v>0</v>
      </c>
      <c r="AX71" s="737"/>
      <c r="AY71" s="574"/>
      <c r="AZ71" s="3085"/>
      <c r="BA71" s="3085"/>
      <c r="BB71" s="3085"/>
      <c r="BC71" s="3085"/>
      <c r="BD71" s="3085"/>
      <c r="BE71" s="3085"/>
      <c r="BF71" s="3085"/>
      <c r="BG71" s="3085"/>
      <c r="BH71" s="3085"/>
      <c r="BI71" s="3085"/>
    </row>
    <row r="72" spans="1:61" ht="12" customHeight="1" x14ac:dyDescent="0.2">
      <c r="A72" s="29"/>
      <c r="B72" s="485"/>
      <c r="C72" s="4849"/>
      <c r="D72" s="4850"/>
      <c r="E72" s="4850"/>
      <c r="F72" s="4850"/>
      <c r="G72" s="4850"/>
      <c r="H72" s="4851"/>
      <c r="J72" s="2165">
        <v>320</v>
      </c>
      <c r="K72" s="4834" t="s">
        <v>1739</v>
      </c>
      <c r="L72" s="4834"/>
      <c r="M72" s="4835" t="str">
        <f>IF(Metamagia!$R$54+Metamagia!$U$54+Metamagia!$AA$54+Metamagia!$AA$59+Metamagia!$AA$64+Metamagia!$AD$48+Metamagia!$AG$46&gt;5,"Zeón 100","-")</f>
        <v>-</v>
      </c>
      <c r="N72" s="4835"/>
      <c r="O72" s="4835"/>
      <c r="P72" s="4835"/>
      <c r="Q72" s="4836"/>
      <c r="S72" s="577"/>
      <c r="T72" s="484"/>
      <c r="U72" s="29"/>
      <c r="V72" s="673"/>
      <c r="W72" s="4830" t="str">
        <f>IF(SUM(Tablas!$P$1138:$S$1180)=0,"",IF(Tablas!A20&gt;MAX(Tablas!$P$1138:$P$1180),"",VLOOKUP(Tablas!A20,Tablas!$P$1138:$T$1180,2,FALSE)))</f>
        <v/>
      </c>
      <c r="X72" s="4831"/>
      <c r="Y72" s="4831"/>
      <c r="Z72" s="4831"/>
      <c r="AA72" s="4372"/>
      <c r="AB72" s="4832" t="str">
        <f>IF(SUM(Tablas!$P$1138:$P$1180)=0,"",IF(Tablas!A20&gt;MAX(Tablas!$P$1138:$P$1180),"",VLOOKUP(Tablas!A20,Tablas!$P$1138:$T$1180,4,FALSE)))</f>
        <v/>
      </c>
      <c r="AC72" s="4247"/>
      <c r="AD72" s="4247"/>
      <c r="AE72" s="4247"/>
      <c r="AF72" s="4247"/>
      <c r="AG72" s="4247"/>
      <c r="AH72" s="4247"/>
      <c r="AI72" s="4247"/>
      <c r="AJ72" s="4247"/>
      <c r="AK72" s="4833"/>
      <c r="AL72" s="2667" t="str">
        <f t="shared" si="14"/>
        <v/>
      </c>
      <c r="AM72" s="29"/>
      <c r="AN72" s="29"/>
      <c r="AO72" s="856" t="str">
        <f t="shared" si="16"/>
        <v>Conjuros</v>
      </c>
      <c r="AP72" s="4760"/>
      <c r="AQ72" s="4760"/>
      <c r="AR72" s="4761"/>
      <c r="AS72" s="4761"/>
      <c r="AT72" s="4761"/>
      <c r="AU72" s="4761"/>
      <c r="AV72" s="2292"/>
      <c r="AW72" s="1459">
        <f>IF(AR72="",0,AV72*VLOOKUP(AR72,'Tablas Magia'!$D$6:$Z$680,11,FALSE)/2)</f>
        <v>0</v>
      </c>
      <c r="AX72" s="737"/>
      <c r="AY72" s="574"/>
      <c r="AZ72" s="3085"/>
      <c r="BA72" s="3085"/>
      <c r="BB72" s="3085"/>
      <c r="BC72" s="3085"/>
      <c r="BD72" s="3085"/>
      <c r="BE72" s="3085"/>
      <c r="BF72" s="3085"/>
      <c r="BG72" s="3085"/>
      <c r="BH72" s="3085"/>
      <c r="BI72" s="3085"/>
    </row>
    <row r="73" spans="1:61" ht="12" customHeight="1" thickBot="1" x14ac:dyDescent="0.25">
      <c r="A73" s="29"/>
      <c r="B73" s="485"/>
      <c r="C73" s="4852"/>
      <c r="D73" s="4853"/>
      <c r="E73" s="4853"/>
      <c r="F73" s="4853"/>
      <c r="G73" s="4853"/>
      <c r="H73" s="4854"/>
      <c r="J73" s="2166">
        <v>440</v>
      </c>
      <c r="K73" s="4827" t="s">
        <v>1682</v>
      </c>
      <c r="L73" s="4827"/>
      <c r="M73" s="4828" t="str">
        <f>IF(Metamagia!$R$54+Metamagia!$U$54+Metamagia!$AA$54+Metamagia!$AA$59+Metamagia!$AA$64+Metamagia!$AD$48+Metamagia!$AG$46&gt;6,"Zeón 200","-")</f>
        <v>-</v>
      </c>
      <c r="N73" s="4828"/>
      <c r="O73" s="4828"/>
      <c r="P73" s="4828"/>
      <c r="Q73" s="4829"/>
      <c r="S73" s="577"/>
      <c r="T73" s="484"/>
      <c r="U73" s="29"/>
      <c r="V73" s="673"/>
      <c r="W73" s="4837" t="str">
        <f>IF(W72&lt;&gt;"","Más (Ver Metamagia)","")</f>
        <v/>
      </c>
      <c r="X73" s="4838"/>
      <c r="Y73" s="4838"/>
      <c r="Z73" s="4838"/>
      <c r="AA73" s="4839"/>
      <c r="AB73" s="4840" t="str">
        <f>IF(SUM(Tablas!$P$1138:$P$1180)=0,"",IF(Tablas!A21&gt;MAX(Tablas!$P$1138:$P$1180),"",VLOOKUP(Tablas!A21,Tablas!$P$1138:$T$1180,4,FALSE)))</f>
        <v/>
      </c>
      <c r="AC73" s="4841"/>
      <c r="AD73" s="4841"/>
      <c r="AE73" s="4841"/>
      <c r="AF73" s="4841"/>
      <c r="AG73" s="4841"/>
      <c r="AH73" s="4841"/>
      <c r="AI73" s="4841"/>
      <c r="AJ73" s="4841"/>
      <c r="AK73" s="4842"/>
      <c r="AL73" s="2667" t="str">
        <f t="shared" si="14"/>
        <v/>
      </c>
      <c r="AM73" s="29"/>
      <c r="AN73" s="29"/>
      <c r="AO73" s="728"/>
      <c r="AX73" s="737"/>
      <c r="AY73" s="574"/>
      <c r="AZ73" s="3085"/>
      <c r="BA73" s="3085"/>
      <c r="BB73" s="3085"/>
      <c r="BC73" s="3085"/>
      <c r="BD73" s="3085"/>
      <c r="BE73" s="3085"/>
      <c r="BF73" s="3085"/>
      <c r="BG73" s="3085"/>
      <c r="BH73" s="3085"/>
      <c r="BI73" s="3085"/>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85"/>
      <c r="BA74" s="3085"/>
      <c r="BB74" s="3085"/>
      <c r="BC74" s="3085"/>
      <c r="BD74" s="3085"/>
      <c r="BE74" s="3085"/>
      <c r="BF74" s="3085"/>
      <c r="BG74" s="3085"/>
      <c r="BH74" s="3085"/>
      <c r="BI74" s="3085"/>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5"/>
      <c r="BA75" s="3085"/>
      <c r="BB75" s="3085"/>
      <c r="BC75" s="3085"/>
      <c r="BD75" s="3085"/>
      <c r="BE75" s="3085"/>
      <c r="BF75" s="3085"/>
      <c r="BG75" s="3085"/>
      <c r="BH75" s="3085"/>
      <c r="BI75" s="3085"/>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4"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85"/>
    </row>
    <row r="3" spans="1:37" ht="12" customHeight="1" thickBot="1" x14ac:dyDescent="0.25">
      <c r="A3" s="484">
        <v>15</v>
      </c>
      <c r="B3" s="98"/>
      <c r="C3" s="3341" t="s">
        <v>10159</v>
      </c>
      <c r="D3" s="3341"/>
      <c r="E3" s="3341"/>
      <c r="F3" s="3341"/>
      <c r="G3" s="3341"/>
      <c r="H3" s="3341"/>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85"/>
    </row>
    <row r="4" spans="1:37" ht="12" customHeight="1" thickBot="1" x14ac:dyDescent="0.25">
      <c r="A4" s="484">
        <v>20</v>
      </c>
      <c r="B4" s="98"/>
      <c r="C4" s="3341"/>
      <c r="D4" s="3341"/>
      <c r="E4" s="3341"/>
      <c r="F4" s="3341"/>
      <c r="G4" s="3341"/>
      <c r="H4" s="3341"/>
      <c r="I4" s="9"/>
      <c r="J4" s="95"/>
      <c r="K4" s="95"/>
      <c r="L4" s="95"/>
      <c r="M4" s="95"/>
      <c r="N4" s="95"/>
      <c r="O4" s="95"/>
      <c r="P4" s="95"/>
      <c r="Q4" s="95"/>
      <c r="R4" s="3158" t="s">
        <v>10457</v>
      </c>
      <c r="S4" s="3160"/>
      <c r="T4" s="95"/>
      <c r="U4" s="95"/>
      <c r="V4" s="29"/>
      <c r="W4" s="29"/>
      <c r="X4" s="29"/>
      <c r="Y4" s="29"/>
      <c r="Z4" s="29"/>
      <c r="AA4" s="4295" t="s">
        <v>1323</v>
      </c>
      <c r="AB4" s="5025"/>
      <c r="AC4" s="5026" t="str">
        <f>IF(OR(General!$F$22="",General!$F$22=0),"",General!$F$22)</f>
        <v/>
      </c>
      <c r="AD4" s="5026"/>
      <c r="AE4" s="5026"/>
      <c r="AF4" s="5026"/>
      <c r="AG4" s="5026"/>
      <c r="AH4" s="1741"/>
      <c r="AI4" s="1740"/>
      <c r="AJ4" s="1735"/>
      <c r="AK4" s="3085"/>
    </row>
    <row r="5" spans="1:37" ht="12" customHeight="1" thickBot="1" x14ac:dyDescent="0.25">
      <c r="A5" s="484">
        <v>25</v>
      </c>
      <c r="B5" s="98"/>
      <c r="C5" s="3341"/>
      <c r="D5" s="3341"/>
      <c r="E5" s="3341"/>
      <c r="F5" s="3341"/>
      <c r="G5" s="3341"/>
      <c r="H5" s="3341"/>
      <c r="I5" s="9"/>
      <c r="J5" s="95"/>
      <c r="K5" s="95"/>
      <c r="L5" s="95"/>
      <c r="M5" s="95"/>
      <c r="N5" s="95"/>
      <c r="O5" s="95"/>
      <c r="P5" s="95"/>
      <c r="Q5" s="95"/>
      <c r="R5" s="5011"/>
      <c r="S5" s="5012"/>
      <c r="T5" s="95"/>
      <c r="U5" s="95"/>
      <c r="V5" s="29"/>
      <c r="W5" s="29"/>
      <c r="X5" s="29"/>
      <c r="Y5" s="29"/>
      <c r="Z5" s="29"/>
      <c r="AA5" s="4326" t="s">
        <v>1324</v>
      </c>
      <c r="AB5" s="5027"/>
      <c r="AC5" s="3184" t="str">
        <f>IF(LEN(PDs!$E$11)&lt;=General!$AO$5,PDs!$E$11,"… /"&amp;RIGHT(PDs!$E$11,General!$AO$5-FIND("/",RIGHT(PDs!$E$11,General!$AO$5))))</f>
        <v/>
      </c>
      <c r="AD5" s="3184"/>
      <c r="AE5" s="3184"/>
      <c r="AF5" s="2252" t="s">
        <v>1325</v>
      </c>
      <c r="AG5" s="2253" t="str">
        <f>Principal!$O$6</f>
        <v>0</v>
      </c>
      <c r="AH5" s="1742"/>
      <c r="AI5" s="1740"/>
      <c r="AJ5" s="1735"/>
      <c r="AK5" s="3085"/>
    </row>
    <row r="6" spans="1:37" ht="12" customHeight="1" thickBot="1" x14ac:dyDescent="0.25">
      <c r="A6" s="545"/>
      <c r="B6" s="100"/>
      <c r="C6" s="3341"/>
      <c r="D6" s="3341"/>
      <c r="E6" s="3341"/>
      <c r="F6" s="3341"/>
      <c r="G6" s="3341"/>
      <c r="H6" s="3341"/>
      <c r="I6" s="9"/>
      <c r="J6" s="95"/>
      <c r="K6" s="95"/>
      <c r="L6" s="95"/>
      <c r="M6" s="95"/>
      <c r="N6" s="95"/>
      <c r="O6" s="95"/>
      <c r="P6" s="95"/>
      <c r="Q6" s="95"/>
      <c r="R6" s="5013" t="s">
        <v>2583</v>
      </c>
      <c r="S6" s="5014"/>
      <c r="T6" s="95"/>
      <c r="U6" s="95"/>
      <c r="V6" s="29"/>
      <c r="W6" s="29"/>
      <c r="X6" s="29"/>
      <c r="Y6" s="29"/>
      <c r="Z6" s="29"/>
      <c r="AA6" s="4355" t="s">
        <v>1742</v>
      </c>
      <c r="AB6" s="5028"/>
      <c r="AC6" s="5028"/>
      <c r="AD6" s="5028"/>
      <c r="AE6" s="5028"/>
      <c r="AF6" s="5028"/>
      <c r="AG6" s="5028"/>
      <c r="AH6" s="1742"/>
      <c r="AI6" s="1740"/>
      <c r="AJ6" s="1735"/>
      <c r="AK6" s="3085"/>
    </row>
    <row r="7" spans="1:37" ht="12" customHeight="1" thickBot="1" x14ac:dyDescent="0.25">
      <c r="A7" s="546"/>
      <c r="B7" s="101"/>
      <c r="C7" s="3341"/>
      <c r="D7" s="3341"/>
      <c r="E7" s="3341"/>
      <c r="F7" s="3341"/>
      <c r="G7" s="3341"/>
      <c r="H7" s="3341"/>
      <c r="I7" s="9"/>
      <c r="J7" s="95"/>
      <c r="K7" s="95"/>
      <c r="L7" s="95"/>
      <c r="M7" s="95"/>
      <c r="N7" s="95"/>
      <c r="O7" s="95"/>
      <c r="P7" s="95"/>
      <c r="Q7" s="95"/>
      <c r="R7" s="5015"/>
      <c r="S7" s="5016"/>
      <c r="T7" s="95"/>
      <c r="U7" s="95"/>
      <c r="V7" s="29"/>
      <c r="W7" s="29"/>
      <c r="X7" s="29"/>
      <c r="Y7" s="29"/>
      <c r="Z7" s="29"/>
      <c r="AA7" s="4355"/>
      <c r="AB7" s="5028"/>
      <c r="AC7" s="5028"/>
      <c r="AD7" s="5028"/>
      <c r="AE7" s="5028"/>
      <c r="AF7" s="5028"/>
      <c r="AG7" s="5028"/>
      <c r="AH7" s="1742"/>
      <c r="AI7" s="1740"/>
      <c r="AJ7" s="1735"/>
      <c r="AK7" s="3085"/>
    </row>
    <row r="8" spans="1:37" ht="12" customHeight="1" thickBot="1" x14ac:dyDescent="0.25">
      <c r="A8" s="546"/>
      <c r="B8" s="101"/>
      <c r="C8" s="3341"/>
      <c r="D8" s="3341"/>
      <c r="E8" s="3341"/>
      <c r="F8" s="3341"/>
      <c r="G8" s="3341"/>
      <c r="H8" s="3341"/>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85"/>
    </row>
    <row r="9" spans="1:37" ht="12" customHeight="1" thickBot="1" x14ac:dyDescent="0.25">
      <c r="A9" s="547"/>
      <c r="B9" s="103"/>
      <c r="C9" s="26"/>
      <c r="D9" s="26"/>
      <c r="E9" s="26"/>
      <c r="AB9" s="1724"/>
      <c r="AC9" s="1724"/>
      <c r="AD9" s="1724"/>
      <c r="AE9" s="1724"/>
      <c r="AF9" s="1724"/>
      <c r="AG9" s="1724"/>
      <c r="AH9" s="1724"/>
      <c r="AI9" s="1740"/>
      <c r="AJ9" s="1735"/>
      <c r="AK9" s="3085"/>
    </row>
    <row r="10" spans="1:37" ht="12" customHeight="1" thickBot="1" x14ac:dyDescent="0.25">
      <c r="A10" s="548"/>
      <c r="B10" s="98"/>
      <c r="C10" s="26"/>
      <c r="D10" s="26"/>
      <c r="E10" s="26"/>
      <c r="F10" s="26"/>
      <c r="G10" s="26"/>
      <c r="H10" s="104"/>
      <c r="I10" s="5017" t="s">
        <v>1743</v>
      </c>
      <c r="J10" s="5017"/>
      <c r="K10" s="47"/>
      <c r="L10" s="26"/>
      <c r="M10" s="26"/>
      <c r="N10" s="26"/>
      <c r="X10" s="26"/>
      <c r="Y10" s="26"/>
      <c r="Z10" s="104"/>
      <c r="AA10" s="5017" t="s">
        <v>1744</v>
      </c>
      <c r="AB10" s="5020"/>
      <c r="AC10" s="913"/>
      <c r="AD10" s="1724"/>
      <c r="AE10" s="1724"/>
      <c r="AF10" s="575"/>
      <c r="AG10" s="1724"/>
      <c r="AH10" s="1724"/>
      <c r="AI10" s="1740"/>
      <c r="AJ10" s="1735"/>
      <c r="AK10" s="3085"/>
    </row>
    <row r="11" spans="1:37" ht="12" customHeight="1" thickBot="1" x14ac:dyDescent="0.25">
      <c r="A11" s="548"/>
      <c r="B11" s="98"/>
      <c r="C11" s="26"/>
      <c r="D11" s="26"/>
      <c r="E11" s="26"/>
      <c r="F11" s="5017" t="s">
        <v>1745</v>
      </c>
      <c r="G11" s="5017"/>
      <c r="H11" s="105"/>
      <c r="I11" s="5017"/>
      <c r="J11" s="5017"/>
      <c r="K11" s="106"/>
      <c r="L11" s="5017" t="s">
        <v>1746</v>
      </c>
      <c r="M11" s="5017"/>
      <c r="N11" s="104"/>
      <c r="X11" s="5017" t="s">
        <v>1747</v>
      </c>
      <c r="Y11" s="5017"/>
      <c r="Z11" s="105"/>
      <c r="AA11" s="5017"/>
      <c r="AB11" s="5020"/>
      <c r="AC11" s="1784"/>
      <c r="AD11" s="5020" t="s">
        <v>1747</v>
      </c>
      <c r="AE11" s="5020"/>
      <c r="AF11" s="913"/>
      <c r="AG11" s="1724"/>
      <c r="AH11" s="1724"/>
      <c r="AI11" s="1740"/>
      <c r="AJ11" s="1735"/>
      <c r="AK11" s="3085"/>
    </row>
    <row r="12" spans="1:37" ht="12" customHeight="1" thickBot="1" x14ac:dyDescent="0.25">
      <c r="A12" s="484"/>
      <c r="B12" s="98"/>
      <c r="C12" s="26"/>
      <c r="D12" s="26"/>
      <c r="E12" s="104"/>
      <c r="F12" s="5017"/>
      <c r="G12" s="5017"/>
      <c r="H12" s="108"/>
      <c r="I12" s="5017"/>
      <c r="J12" s="5017"/>
      <c r="K12" s="108"/>
      <c r="L12" s="5017"/>
      <c r="M12" s="5017"/>
      <c r="N12" s="104"/>
      <c r="T12" s="678" t="b">
        <f>R6="Sí"</f>
        <v>1</v>
      </c>
      <c r="X12" s="5017"/>
      <c r="Y12" s="5017"/>
      <c r="Z12" s="108"/>
      <c r="AA12" s="5017"/>
      <c r="AB12" s="5020"/>
      <c r="AC12" s="913"/>
      <c r="AD12" s="5020"/>
      <c r="AE12" s="5020"/>
      <c r="AF12" s="913"/>
      <c r="AG12" s="1724"/>
      <c r="AH12" s="1724"/>
      <c r="AI12" s="1740"/>
      <c r="AJ12" s="1735"/>
      <c r="AK12" s="3085"/>
    </row>
    <row r="13" spans="1:37" ht="12" customHeight="1" thickBot="1" x14ac:dyDescent="0.25">
      <c r="A13" s="484"/>
      <c r="B13" s="98"/>
      <c r="C13" s="26"/>
      <c r="D13" s="26"/>
      <c r="E13" s="104"/>
      <c r="F13" s="5017"/>
      <c r="G13" s="5017"/>
      <c r="H13" s="108"/>
      <c r="I13" s="109"/>
      <c r="J13" s="1706"/>
      <c r="K13" s="108">
        <v>10</v>
      </c>
      <c r="L13" s="5017"/>
      <c r="M13" s="5017"/>
      <c r="N13" s="108"/>
      <c r="X13" s="5017"/>
      <c r="Y13" s="5017"/>
      <c r="Z13" s="108"/>
      <c r="AA13" s="109"/>
      <c r="AB13" s="1746"/>
      <c r="AC13" s="913">
        <v>5</v>
      </c>
      <c r="AD13" s="5020"/>
      <c r="AE13" s="5020"/>
      <c r="AF13" s="913"/>
      <c r="AG13" s="1724"/>
      <c r="AH13" s="1724"/>
      <c r="AI13" s="1740"/>
      <c r="AJ13" s="1735"/>
      <c r="AK13" s="3085"/>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85"/>
    </row>
    <row r="15" spans="1:37" ht="12" customHeight="1" thickBot="1" x14ac:dyDescent="0.25">
      <c r="A15" s="484"/>
      <c r="B15" s="98"/>
      <c r="F15" s="90">
        <f>IF(G14&gt;0,1,0)</f>
        <v>0</v>
      </c>
      <c r="G15" s="96"/>
      <c r="H15" s="108"/>
      <c r="I15" s="5017" t="s">
        <v>1748</v>
      </c>
      <c r="J15" s="5017"/>
      <c r="K15" s="108"/>
      <c r="L15" s="111">
        <f>IF(M14&gt;0,1,0)</f>
        <v>0</v>
      </c>
      <c r="M15" s="26"/>
      <c r="N15" s="108"/>
      <c r="O15" s="26"/>
      <c r="P15" s="26"/>
      <c r="Q15" s="104"/>
      <c r="R15" s="5017" t="s">
        <v>1746</v>
      </c>
      <c r="S15" s="5017"/>
      <c r="T15" s="26"/>
      <c r="W15" s="47"/>
      <c r="X15" s="90">
        <f>IF(Y14&gt;0,1,0)</f>
        <v>0</v>
      </c>
      <c r="Y15" s="96"/>
      <c r="Z15" s="108"/>
      <c r="AA15" s="5017" t="s">
        <v>1749</v>
      </c>
      <c r="AB15" s="5020"/>
      <c r="AC15" s="913"/>
      <c r="AD15" s="1790">
        <f>IF(AE14&gt;0,1,0)</f>
        <v>0</v>
      </c>
      <c r="AE15" s="1724"/>
      <c r="AF15" s="913"/>
      <c r="AG15" s="1724"/>
      <c r="AH15" s="1724"/>
      <c r="AI15" s="1740"/>
      <c r="AJ15" s="1735"/>
      <c r="AK15" s="3085"/>
    </row>
    <row r="16" spans="1:37" ht="12" customHeight="1" thickBot="1" x14ac:dyDescent="0.25">
      <c r="A16" s="484"/>
      <c r="B16" s="98"/>
      <c r="F16" s="26"/>
      <c r="G16" s="112"/>
      <c r="H16" s="106"/>
      <c r="I16" s="5017"/>
      <c r="J16" s="5017"/>
      <c r="K16" s="113"/>
      <c r="L16" s="114"/>
      <c r="M16" s="26"/>
      <c r="N16" s="108"/>
      <c r="O16" s="26"/>
      <c r="P16" s="115"/>
      <c r="Q16" s="116"/>
      <c r="R16" s="5017"/>
      <c r="S16" s="5017"/>
      <c r="T16" s="104"/>
      <c r="W16" s="47"/>
      <c r="X16" s="26"/>
      <c r="Y16" s="112"/>
      <c r="Z16" s="106"/>
      <c r="AA16" s="5017"/>
      <c r="AB16" s="5020"/>
      <c r="AC16" s="919"/>
      <c r="AD16" s="1748"/>
      <c r="AE16" s="1724"/>
      <c r="AF16" s="913"/>
      <c r="AG16" s="1724"/>
      <c r="AH16" s="1724"/>
      <c r="AI16" s="1740"/>
      <c r="AJ16" s="1735"/>
      <c r="AK16" s="3085"/>
    </row>
    <row r="17" spans="1:37" ht="12" customHeight="1" x14ac:dyDescent="0.2">
      <c r="A17" s="484"/>
      <c r="B17" s="98"/>
      <c r="F17" s="26"/>
      <c r="G17" s="98"/>
      <c r="H17" s="108"/>
      <c r="I17" s="5017"/>
      <c r="J17" s="5017"/>
      <c r="K17" s="108"/>
      <c r="L17" s="117"/>
      <c r="M17" s="26"/>
      <c r="N17" s="108"/>
      <c r="O17" s="117"/>
      <c r="P17" s="26"/>
      <c r="Q17" s="104"/>
      <c r="R17" s="5017"/>
      <c r="S17" s="5017"/>
      <c r="T17" s="108"/>
      <c r="W17" s="47"/>
      <c r="X17" s="26"/>
      <c r="Y17" s="98"/>
      <c r="Z17" s="108"/>
      <c r="AA17" s="5017"/>
      <c r="AB17" s="5020"/>
      <c r="AC17" s="913"/>
      <c r="AD17" s="1740"/>
      <c r="AE17" s="1724"/>
      <c r="AF17" s="913"/>
      <c r="AG17" s="1724"/>
      <c r="AH17" s="1724"/>
      <c r="AI17" s="1740"/>
      <c r="AJ17" s="1735"/>
      <c r="AK17" s="3085"/>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85"/>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85"/>
    </row>
    <row r="20" spans="1:37" ht="12" customHeight="1" thickBot="1" x14ac:dyDescent="0.25">
      <c r="A20" s="484"/>
      <c r="B20" s="98"/>
      <c r="C20" s="5017" t="s">
        <v>1746</v>
      </c>
      <c r="D20" s="5017"/>
      <c r="E20" s="108"/>
      <c r="F20" s="5017" t="s">
        <v>1750</v>
      </c>
      <c r="G20" s="5017"/>
      <c r="H20" s="108">
        <v>3</v>
      </c>
      <c r="I20" s="5017" t="s">
        <v>1751</v>
      </c>
      <c r="J20" s="5017"/>
      <c r="K20" s="108">
        <v>4</v>
      </c>
      <c r="L20" s="5017" t="s">
        <v>1752</v>
      </c>
      <c r="M20" s="5017"/>
      <c r="N20" s="108">
        <v>2</v>
      </c>
      <c r="O20" s="5017" t="s">
        <v>1743</v>
      </c>
      <c r="P20" s="5017"/>
      <c r="Q20" s="108">
        <v>4</v>
      </c>
      <c r="R20" s="5017" t="s">
        <v>1751</v>
      </c>
      <c r="S20" s="5017"/>
      <c r="T20" s="108">
        <v>5</v>
      </c>
      <c r="U20" s="5017" t="s">
        <v>1749</v>
      </c>
      <c r="V20" s="5017"/>
      <c r="W20" s="47"/>
      <c r="X20" s="5017" t="s">
        <v>1753</v>
      </c>
      <c r="Y20" s="5017"/>
      <c r="Z20" s="108">
        <v>3</v>
      </c>
      <c r="AA20" s="5017" t="s">
        <v>1754</v>
      </c>
      <c r="AB20" s="5020"/>
      <c r="AC20" s="913">
        <v>5</v>
      </c>
      <c r="AD20" s="5020" t="s">
        <v>1755</v>
      </c>
      <c r="AE20" s="5020"/>
      <c r="AF20" s="913">
        <v>2</v>
      </c>
      <c r="AG20" s="5020" t="s">
        <v>1753</v>
      </c>
      <c r="AH20" s="5020"/>
      <c r="AI20" s="1787">
        <v>3</v>
      </c>
      <c r="AJ20" s="1735"/>
      <c r="AK20" s="3085"/>
    </row>
    <row r="21" spans="1:37" ht="12" customHeight="1" thickBot="1" x14ac:dyDescent="0.25">
      <c r="A21" s="484"/>
      <c r="B21" s="98"/>
      <c r="C21" s="5017"/>
      <c r="D21" s="5017"/>
      <c r="E21" s="105"/>
      <c r="F21" s="5017"/>
      <c r="G21" s="5017"/>
      <c r="H21" s="105"/>
      <c r="I21" s="5017"/>
      <c r="J21" s="5017"/>
      <c r="K21" s="105"/>
      <c r="L21" s="5017"/>
      <c r="M21" s="5017"/>
      <c r="N21" s="105"/>
      <c r="O21" s="5017"/>
      <c r="P21" s="5017"/>
      <c r="Q21" s="108"/>
      <c r="R21" s="5017"/>
      <c r="S21" s="5017"/>
      <c r="T21" s="108"/>
      <c r="U21" s="5017"/>
      <c r="V21" s="5017"/>
      <c r="W21" s="107"/>
      <c r="X21" s="5017"/>
      <c r="Y21" s="5017"/>
      <c r="Z21" s="105"/>
      <c r="AA21" s="5017"/>
      <c r="AB21" s="5020"/>
      <c r="AC21" s="1784"/>
      <c r="AD21" s="5020"/>
      <c r="AE21" s="5020"/>
      <c r="AF21" s="1784"/>
      <c r="AG21" s="5020"/>
      <c r="AH21" s="5020"/>
      <c r="AI21" s="1787"/>
      <c r="AJ21" s="1735"/>
      <c r="AK21" s="3085"/>
    </row>
    <row r="22" spans="1:37" ht="12" customHeight="1" x14ac:dyDescent="0.2">
      <c r="A22" s="484"/>
      <c r="B22" s="98"/>
      <c r="C22" s="5017"/>
      <c r="D22" s="5017"/>
      <c r="E22" s="108"/>
      <c r="F22" s="5017"/>
      <c r="G22" s="5017"/>
      <c r="H22" s="108"/>
      <c r="I22" s="5017"/>
      <c r="J22" s="5017"/>
      <c r="K22" s="108"/>
      <c r="L22" s="5017"/>
      <c r="M22" s="5017"/>
      <c r="N22" s="108"/>
      <c r="O22" s="5017"/>
      <c r="P22" s="5017"/>
      <c r="Q22" s="108"/>
      <c r="R22" s="5017"/>
      <c r="S22" s="5017"/>
      <c r="T22" s="108"/>
      <c r="U22" s="5017"/>
      <c r="V22" s="5017"/>
      <c r="W22" s="47"/>
      <c r="X22" s="5017"/>
      <c r="Y22" s="5017"/>
      <c r="Z22" s="108"/>
      <c r="AA22" s="5017"/>
      <c r="AB22" s="5020"/>
      <c r="AC22" s="913"/>
      <c r="AD22" s="5020"/>
      <c r="AE22" s="5020"/>
      <c r="AF22" s="913"/>
      <c r="AG22" s="5020"/>
      <c r="AH22" s="5020"/>
      <c r="AI22" s="1787"/>
      <c r="AJ22" s="1735"/>
      <c r="AK22" s="3085"/>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85"/>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85"/>
    </row>
    <row r="25" spans="1:37" ht="12" customHeight="1" thickBot="1" x14ac:dyDescent="0.25">
      <c r="A25" s="484"/>
      <c r="B25" s="98"/>
      <c r="D25" s="35"/>
      <c r="E25" s="43"/>
      <c r="F25" s="114"/>
      <c r="G25" s="26"/>
      <c r="H25" s="108"/>
      <c r="I25" s="5017" t="s">
        <v>1752</v>
      </c>
      <c r="J25" s="5017"/>
      <c r="K25" s="108">
        <v>6</v>
      </c>
      <c r="L25" s="114"/>
      <c r="M25" s="26"/>
      <c r="N25" s="108"/>
      <c r="O25" s="26"/>
      <c r="P25" s="26"/>
      <c r="Q25" s="108"/>
      <c r="R25" s="5017" t="s">
        <v>1756</v>
      </c>
      <c r="S25" s="5017"/>
      <c r="T25" s="108">
        <v>2</v>
      </c>
      <c r="U25" s="36"/>
      <c r="W25" s="47"/>
      <c r="X25" s="114"/>
      <c r="Y25" s="26"/>
      <c r="Z25" s="108"/>
      <c r="AA25" s="5017" t="s">
        <v>1757</v>
      </c>
      <c r="AB25" s="5020"/>
      <c r="AC25" s="913">
        <v>8</v>
      </c>
      <c r="AD25" s="1748"/>
      <c r="AE25" s="1724"/>
      <c r="AF25" s="913"/>
      <c r="AG25" s="1724"/>
      <c r="AH25" s="1750"/>
      <c r="AI25" s="1787"/>
      <c r="AJ25" s="1735"/>
      <c r="AK25" s="3085"/>
    </row>
    <row r="26" spans="1:37" ht="12" customHeight="1" thickBot="1" x14ac:dyDescent="0.25">
      <c r="A26" s="484"/>
      <c r="B26" s="98"/>
      <c r="D26" s="35"/>
      <c r="E26" s="43"/>
      <c r="F26" s="5017" t="s">
        <v>1748</v>
      </c>
      <c r="G26" s="5017"/>
      <c r="H26" s="108">
        <v>6</v>
      </c>
      <c r="I26" s="5017"/>
      <c r="J26" s="5017"/>
      <c r="K26" s="108"/>
      <c r="L26" s="5017" t="s">
        <v>1750</v>
      </c>
      <c r="M26" s="5017"/>
      <c r="N26" s="108">
        <v>6</v>
      </c>
      <c r="O26" s="26"/>
      <c r="P26" s="26"/>
      <c r="Q26" s="108"/>
      <c r="R26" s="5017"/>
      <c r="S26" s="5017"/>
      <c r="T26" s="113"/>
      <c r="U26" s="69"/>
      <c r="W26" s="47"/>
      <c r="X26" s="5017" t="s">
        <v>1758</v>
      </c>
      <c r="Y26" s="5017"/>
      <c r="Z26" s="108">
        <v>7</v>
      </c>
      <c r="AA26" s="5017"/>
      <c r="AB26" s="5020"/>
      <c r="AC26" s="913"/>
      <c r="AD26" s="5020" t="s">
        <v>1759</v>
      </c>
      <c r="AE26" s="5020"/>
      <c r="AF26" s="913">
        <v>8</v>
      </c>
      <c r="AG26" s="1724"/>
      <c r="AH26" s="1750"/>
      <c r="AI26" s="1727"/>
      <c r="AJ26" s="1735"/>
      <c r="AK26" s="3085"/>
    </row>
    <row r="27" spans="1:37" ht="12" customHeight="1" thickBot="1" x14ac:dyDescent="0.25">
      <c r="A27" s="484"/>
      <c r="B27" s="98"/>
      <c r="D27" s="67"/>
      <c r="E27" s="43"/>
      <c r="F27" s="5017"/>
      <c r="G27" s="5017"/>
      <c r="H27" s="108"/>
      <c r="I27" s="5017"/>
      <c r="J27" s="5017"/>
      <c r="K27" s="108"/>
      <c r="L27" s="5017"/>
      <c r="M27" s="5017"/>
      <c r="N27" s="108"/>
      <c r="O27" s="26"/>
      <c r="P27" s="26"/>
      <c r="Q27" s="104"/>
      <c r="R27" s="5017"/>
      <c r="S27" s="5017"/>
      <c r="T27" s="108"/>
      <c r="W27" s="47"/>
      <c r="X27" s="5017"/>
      <c r="Y27" s="5017"/>
      <c r="Z27" s="108"/>
      <c r="AA27" s="5017"/>
      <c r="AB27" s="5020"/>
      <c r="AC27" s="913"/>
      <c r="AD27" s="5020"/>
      <c r="AE27" s="5020"/>
      <c r="AF27" s="913"/>
      <c r="AG27" s="1724"/>
      <c r="AH27" s="1751"/>
      <c r="AI27" s="1727"/>
      <c r="AJ27" s="1735"/>
      <c r="AK27" s="3085"/>
    </row>
    <row r="28" spans="1:37" ht="12" customHeight="1" thickBot="1" x14ac:dyDescent="0.25">
      <c r="A28" s="484"/>
      <c r="B28" s="98"/>
      <c r="C28" s="5017" t="s">
        <v>1745</v>
      </c>
      <c r="D28" s="5017"/>
      <c r="E28" s="108">
        <v>4</v>
      </c>
      <c r="F28" s="5017"/>
      <c r="G28" s="5017"/>
      <c r="H28" s="108"/>
      <c r="I28" s="109" t="str">
        <f>IF(AND($T$12,PDs!$R$17&gt;=Metamagia!K25),"","Nv "&amp;Metamagia!K25)</f>
        <v>Nv 6</v>
      </c>
      <c r="J28" s="1706"/>
      <c r="K28" s="108">
        <v>10</v>
      </c>
      <c r="L28" s="5017"/>
      <c r="M28" s="5017"/>
      <c r="N28" s="108"/>
      <c r="O28" s="26"/>
      <c r="P28" s="26"/>
      <c r="Q28" s="104"/>
      <c r="R28" s="109" t="str">
        <f>IF(AND($T$12,PDs!$R$17&gt;=Metamagia!T25),"","Nv "&amp;Metamagia!T25)</f>
        <v>Nv 2</v>
      </c>
      <c r="S28" s="1706"/>
      <c r="T28" s="108">
        <v>5</v>
      </c>
      <c r="W28" s="47"/>
      <c r="X28" s="5017"/>
      <c r="Y28" s="5017"/>
      <c r="Z28" s="108"/>
      <c r="AA28" s="109" t="str">
        <f>IF(AND($T$12,PDs!$R$17&gt;=Metamagia!AC25),"","Nv "&amp;Metamagia!AC25)</f>
        <v>Nv 8</v>
      </c>
      <c r="AB28" s="1746"/>
      <c r="AC28" s="913">
        <v>5</v>
      </c>
      <c r="AD28" s="5020"/>
      <c r="AE28" s="5020"/>
      <c r="AF28" s="913"/>
      <c r="AG28" s="5020" t="s">
        <v>1755</v>
      </c>
      <c r="AH28" s="5020"/>
      <c r="AI28" s="1787">
        <v>4</v>
      </c>
      <c r="AJ28" s="1735"/>
      <c r="AK28" s="3085"/>
    </row>
    <row r="29" spans="1:37" ht="12" customHeight="1" thickBot="1" x14ac:dyDescent="0.25">
      <c r="A29" s="484"/>
      <c r="B29" s="98"/>
      <c r="C29" s="5017"/>
      <c r="D29" s="5017"/>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20"/>
      <c r="AH29" s="5020"/>
      <c r="AI29" s="1787"/>
      <c r="AJ29" s="1735"/>
      <c r="AK29" s="3085"/>
    </row>
    <row r="30" spans="1:37" ht="12" customHeight="1" thickBot="1" x14ac:dyDescent="0.25">
      <c r="A30" s="484"/>
      <c r="B30" s="98"/>
      <c r="C30" s="5017"/>
      <c r="D30" s="5017"/>
      <c r="E30" s="108"/>
      <c r="F30" s="111">
        <f>IF(G29&gt;0,1,0)</f>
        <v>0</v>
      </c>
      <c r="G30" s="115"/>
      <c r="H30" s="106"/>
      <c r="I30" s="5017" t="s">
        <v>1751</v>
      </c>
      <c r="J30" s="5017"/>
      <c r="K30" s="121">
        <v>7</v>
      </c>
      <c r="L30" s="118">
        <f>IF(M29&gt;0,1,0)</f>
        <v>0</v>
      </c>
      <c r="M30" s="26"/>
      <c r="N30" s="108"/>
      <c r="W30" s="47"/>
      <c r="X30" s="111">
        <f>IF(Y29&gt;0,1,0)</f>
        <v>0</v>
      </c>
      <c r="Y30" s="115"/>
      <c r="Z30" s="106"/>
      <c r="AA30" s="5017" t="s">
        <v>1760</v>
      </c>
      <c r="AB30" s="5020"/>
      <c r="AC30" s="1785">
        <v>9</v>
      </c>
      <c r="AD30" s="1791">
        <f>IF(AE29&gt;0,1,0)</f>
        <v>0</v>
      </c>
      <c r="AE30" s="1724"/>
      <c r="AF30" s="913"/>
      <c r="AG30" s="5020"/>
      <c r="AH30" s="5020"/>
      <c r="AI30" s="1787"/>
      <c r="AJ30" s="1735"/>
      <c r="AK30" s="3085"/>
    </row>
    <row r="31" spans="1:37" ht="12" customHeight="1" thickBot="1" x14ac:dyDescent="0.25">
      <c r="A31" s="484"/>
      <c r="B31" s="98"/>
      <c r="C31" s="109" t="str">
        <f>IF(AND($T$12,PDs!$R$17&gt;=Metamagia!E28),"","Nv "&amp;Metamagia!E28)</f>
        <v>Nv 4</v>
      </c>
      <c r="D31" s="1706"/>
      <c r="E31" s="108">
        <v>5</v>
      </c>
      <c r="F31" s="122"/>
      <c r="G31" s="26"/>
      <c r="H31" s="108"/>
      <c r="I31" s="5017"/>
      <c r="J31" s="5017"/>
      <c r="K31" s="123"/>
      <c r="L31" s="26"/>
      <c r="M31" s="26"/>
      <c r="N31" s="108"/>
      <c r="W31" s="47"/>
      <c r="X31" s="122"/>
      <c r="Y31" s="26"/>
      <c r="Z31" s="108"/>
      <c r="AA31" s="5017"/>
      <c r="AB31" s="5020"/>
      <c r="AC31" s="1786"/>
      <c r="AD31" s="1724"/>
      <c r="AE31" s="1724"/>
      <c r="AF31" s="913"/>
      <c r="AG31" s="109" t="str">
        <f>IF(AND($T$12,PDs!$R$17&gt;=Metamagia!AI28),"","Nv "&amp;Metamagia!AI28)</f>
        <v>Nv 4</v>
      </c>
      <c r="AH31" s="1746"/>
      <c r="AI31" s="1787">
        <v>5</v>
      </c>
      <c r="AJ31" s="1735"/>
      <c r="AK31" s="3085"/>
    </row>
    <row r="32" spans="1:37" ht="12" customHeight="1" thickBot="1" x14ac:dyDescent="0.25">
      <c r="A32" s="484"/>
      <c r="B32" s="98"/>
      <c r="C32" s="120">
        <f>IF(D31&gt;0,1,0)</f>
        <v>0</v>
      </c>
      <c r="D32" s="124"/>
      <c r="E32" s="125"/>
      <c r="F32" s="126"/>
      <c r="G32" s="26"/>
      <c r="H32" s="108"/>
      <c r="I32" s="5017"/>
      <c r="J32" s="5017"/>
      <c r="K32" s="123"/>
      <c r="L32" s="26"/>
      <c r="M32" s="26"/>
      <c r="N32" s="108"/>
      <c r="W32" s="47"/>
      <c r="X32" s="126"/>
      <c r="Y32" s="26"/>
      <c r="Z32" s="108"/>
      <c r="AA32" s="5017"/>
      <c r="AB32" s="5020"/>
      <c r="AC32" s="1786"/>
      <c r="AD32" s="1724"/>
      <c r="AE32" s="1724"/>
      <c r="AF32" s="913"/>
      <c r="AG32" s="1793">
        <f>IF(AH31&gt;0,1,0)</f>
        <v>0</v>
      </c>
      <c r="AH32" s="1752"/>
      <c r="AI32" s="1787"/>
      <c r="AJ32" s="1735"/>
      <c r="AK32" s="3085"/>
    </row>
    <row r="33" spans="1:37" ht="12" customHeight="1" thickBot="1" x14ac:dyDescent="0.25">
      <c r="A33" s="484"/>
      <c r="B33" s="98"/>
      <c r="D33" s="35"/>
      <c r="E33" s="43"/>
      <c r="F33" s="5017" t="s">
        <v>1761</v>
      </c>
      <c r="G33" s="5017"/>
      <c r="H33" s="108">
        <v>10</v>
      </c>
      <c r="I33" s="109" t="str">
        <f>IF(AND($T$12,PDs!$R$17&gt;=Metamagia!K30),"","Nv "&amp;Metamagia!K30)</f>
        <v>Nv 7</v>
      </c>
      <c r="J33" s="1706"/>
      <c r="K33" s="123">
        <v>10</v>
      </c>
      <c r="L33" s="26"/>
      <c r="M33" s="26"/>
      <c r="N33" s="108"/>
      <c r="W33" s="47"/>
      <c r="X33" s="5017" t="s">
        <v>1762</v>
      </c>
      <c r="Y33" s="5017"/>
      <c r="Z33" s="108">
        <v>10</v>
      </c>
      <c r="AA33" s="109" t="str">
        <f>IF(AND($T$12,PDs!$R$17&gt;=Metamagia!AC30),"","Nv "&amp;Metamagia!AC30)</f>
        <v>Nv 9</v>
      </c>
      <c r="AB33" s="1746"/>
      <c r="AC33" s="1786">
        <v>20</v>
      </c>
      <c r="AD33" s="1724"/>
      <c r="AE33" s="1724"/>
      <c r="AF33" s="913"/>
      <c r="AG33" s="1724"/>
      <c r="AH33" s="1750"/>
      <c r="AI33" s="1727"/>
      <c r="AJ33" s="1735"/>
      <c r="AK33" s="3085"/>
    </row>
    <row r="34" spans="1:37" ht="12" customHeight="1" thickBot="1" x14ac:dyDescent="0.25">
      <c r="A34" s="484"/>
      <c r="B34" s="98"/>
      <c r="D34" s="67"/>
      <c r="E34" s="43"/>
      <c r="F34" s="5017"/>
      <c r="G34" s="5017"/>
      <c r="H34" s="113"/>
      <c r="I34" s="111">
        <f>IF(J33&gt;0,1,0)</f>
        <v>0</v>
      </c>
      <c r="J34" s="26"/>
      <c r="K34" s="108"/>
      <c r="N34" s="43"/>
      <c r="X34" s="5017"/>
      <c r="Y34" s="5017"/>
      <c r="Z34" s="113"/>
      <c r="AA34" s="118">
        <f>IF(AB33&gt;0,1,0)</f>
        <v>0</v>
      </c>
      <c r="AB34" s="1749"/>
      <c r="AC34" s="913"/>
      <c r="AD34" s="1724"/>
      <c r="AE34" s="1724"/>
      <c r="AF34" s="575"/>
      <c r="AG34" s="1724"/>
      <c r="AH34" s="1751"/>
      <c r="AI34" s="1727"/>
      <c r="AJ34" s="1735"/>
      <c r="AK34" s="3085"/>
    </row>
    <row r="35" spans="1:37" ht="12" customHeight="1" thickBot="1" x14ac:dyDescent="0.25">
      <c r="A35" s="484"/>
      <c r="B35" s="98"/>
      <c r="C35" s="5017" t="s">
        <v>1748</v>
      </c>
      <c r="D35" s="5017"/>
      <c r="E35" s="108">
        <v>5</v>
      </c>
      <c r="F35" s="5017"/>
      <c r="G35" s="5017"/>
      <c r="H35" s="108"/>
      <c r="I35" s="97"/>
      <c r="J35" s="26"/>
      <c r="K35" s="108"/>
      <c r="N35" s="43"/>
      <c r="P35" s="3676" t="s">
        <v>1512</v>
      </c>
      <c r="Q35" s="3676"/>
      <c r="R35" s="3676"/>
      <c r="S35" s="3676"/>
      <c r="T35" s="3676"/>
      <c r="U35" s="3676"/>
      <c r="X35" s="5017"/>
      <c r="Y35" s="5017"/>
      <c r="Z35" s="108"/>
      <c r="AA35" s="26"/>
      <c r="AB35" s="1724"/>
      <c r="AC35" s="913"/>
      <c r="AD35" s="1724"/>
      <c r="AE35" s="1724"/>
      <c r="AF35" s="575"/>
      <c r="AG35" s="5020" t="s">
        <v>1763</v>
      </c>
      <c r="AH35" s="5020"/>
      <c r="AI35" s="1787">
        <v>5</v>
      </c>
      <c r="AJ35" s="1735"/>
      <c r="AK35" s="3085"/>
    </row>
    <row r="36" spans="1:37" ht="12" customHeight="1" thickBot="1" x14ac:dyDescent="0.25">
      <c r="A36" s="484"/>
      <c r="B36" s="98"/>
      <c r="C36" s="5017"/>
      <c r="D36" s="5017"/>
      <c r="E36" s="108"/>
      <c r="F36" s="109" t="str">
        <f>IF(AND($T$12,PDs!$R$17&gt;=Metamagia!H33),"","Nv "&amp;Metamagia!H33)</f>
        <v>Nv 10</v>
      </c>
      <c r="G36" s="1706"/>
      <c r="H36" s="108">
        <v>20</v>
      </c>
      <c r="I36" s="26"/>
      <c r="J36" s="26"/>
      <c r="K36" s="108"/>
      <c r="N36" s="43"/>
      <c r="P36" s="5021" t="s">
        <v>1688</v>
      </c>
      <c r="Q36" s="5021"/>
      <c r="R36" s="5022" t="s">
        <v>1689</v>
      </c>
      <c r="S36" s="5022"/>
      <c r="T36" s="5023" t="s">
        <v>1690</v>
      </c>
      <c r="U36" s="5023"/>
      <c r="X36" s="109" t="str">
        <f>IF(AND($T$12,PDs!$R$17&gt;=Metamagia!Z33),"","Nv "&amp;Metamagia!Z33)</f>
        <v>Nv 10</v>
      </c>
      <c r="Y36" s="1706"/>
      <c r="Z36" s="108">
        <v>20</v>
      </c>
      <c r="AA36" s="26"/>
      <c r="AB36" s="1724"/>
      <c r="AC36" s="913"/>
      <c r="AD36" s="1724"/>
      <c r="AE36" s="1724"/>
      <c r="AF36" s="575"/>
      <c r="AG36" s="5020"/>
      <c r="AH36" s="5020"/>
      <c r="AI36" s="1787"/>
      <c r="AJ36" s="1735"/>
      <c r="AK36" s="3085"/>
    </row>
    <row r="37" spans="1:37" ht="12" customHeight="1" thickBot="1" x14ac:dyDescent="0.25">
      <c r="A37" s="484"/>
      <c r="B37" s="98"/>
      <c r="C37" s="5017"/>
      <c r="D37" s="5017"/>
      <c r="E37" s="108"/>
      <c r="F37" s="90">
        <f>IF(G36&gt;0,1,0)</f>
        <v>0</v>
      </c>
      <c r="H37" s="43"/>
      <c r="I37" s="26"/>
      <c r="J37" s="26"/>
      <c r="K37" s="108"/>
      <c r="L37" s="5017" t="s">
        <v>1764</v>
      </c>
      <c r="M37" s="5017"/>
      <c r="N37" s="108">
        <v>10</v>
      </c>
      <c r="P37" s="5024">
        <f>Místicos!$C$12</f>
        <v>0</v>
      </c>
      <c r="Q37" s="5024"/>
      <c r="R37" s="5018">
        <f>Místicos!$E$12</f>
        <v>0</v>
      </c>
      <c r="S37" s="5018"/>
      <c r="T37" s="5019">
        <f>D23+D31+D38+D45+D53+G14+G23+G29+G36+G47+G53+G62+J13+J18+J23+J28+J33+J43+J48+J53+J58+J63+M14+M23+M29+M40+M47+M53+M62+P23+P53+S18+S23+S28+S48+S53+S58+V23+V53+Y14+Y23+Y29+Y36+Y47+Y53+Y62+AB13+AB18+AB23+AB28+AB33+AB43+AB48+AB53+AB58+AB63+AE14+AE23+AE29+AE40+AE47+AE53+AE62+AH23+AH31+AH38+AH45+AH53</f>
        <v>0</v>
      </c>
      <c r="U37" s="5019"/>
      <c r="X37" s="90">
        <f>IF(Y36&gt;0,1,0)</f>
        <v>0</v>
      </c>
      <c r="Z37" s="43"/>
      <c r="AA37" s="26"/>
      <c r="AB37" s="1724"/>
      <c r="AC37" s="1787"/>
      <c r="AD37" s="5020" t="s">
        <v>1765</v>
      </c>
      <c r="AE37" s="5020"/>
      <c r="AF37" s="913">
        <v>10</v>
      </c>
      <c r="AG37" s="5020"/>
      <c r="AH37" s="5020"/>
      <c r="AI37" s="1787"/>
      <c r="AJ37" s="1735"/>
      <c r="AK37" s="3085"/>
    </row>
    <row r="38" spans="1:37" ht="12" customHeight="1" thickBot="1" x14ac:dyDescent="0.25">
      <c r="A38" s="484"/>
      <c r="B38" s="98"/>
      <c r="C38" s="109" t="str">
        <f>IF(AND($T$12,PDs!$R$17&gt;=Metamagia!E35),"","Nv "&amp;Metamagia!E35)</f>
        <v>Nv 5</v>
      </c>
      <c r="D38" s="1706"/>
      <c r="E38" s="108">
        <v>10</v>
      </c>
      <c r="H38" s="43"/>
      <c r="I38" s="26"/>
      <c r="J38" s="68"/>
      <c r="K38" s="127"/>
      <c r="L38" s="5017"/>
      <c r="M38" s="5017"/>
      <c r="N38" s="128"/>
      <c r="P38" s="5024"/>
      <c r="Q38" s="5024"/>
      <c r="R38" s="5018"/>
      <c r="S38" s="5018"/>
      <c r="T38" s="5019"/>
      <c r="U38" s="5019"/>
      <c r="W38" s="47"/>
      <c r="Z38" s="43"/>
      <c r="AA38" s="26"/>
      <c r="AB38" s="1753"/>
      <c r="AC38" s="1788"/>
      <c r="AD38" s="5020"/>
      <c r="AE38" s="5020"/>
      <c r="AF38" s="913"/>
      <c r="AG38" s="109" t="str">
        <f>IF(AND($T$12,PDs!$R$17&gt;=Metamagia!AI35),"","Nv "&amp;Metamagia!AI35)</f>
        <v>Nv 5</v>
      </c>
      <c r="AH38" s="1746"/>
      <c r="AI38" s="1787">
        <v>5</v>
      </c>
      <c r="AJ38" s="1735"/>
      <c r="AK38" s="3085"/>
    </row>
    <row r="39" spans="1:37" ht="12" customHeight="1" thickBot="1" x14ac:dyDescent="0.25">
      <c r="A39" s="484"/>
      <c r="B39" s="98"/>
      <c r="C39" s="120">
        <f>IF(D38&gt;0,1,0)</f>
        <v>0</v>
      </c>
      <c r="D39" s="96"/>
      <c r="E39" s="108"/>
      <c r="H39" s="43"/>
      <c r="I39" s="114"/>
      <c r="J39" s="26"/>
      <c r="K39" s="108"/>
      <c r="L39" s="5017"/>
      <c r="M39" s="5017"/>
      <c r="N39" s="108"/>
      <c r="W39" s="47"/>
      <c r="Z39" s="43"/>
      <c r="AA39" s="26"/>
      <c r="AB39" s="1751"/>
      <c r="AC39" s="1787"/>
      <c r="AD39" s="5020"/>
      <c r="AE39" s="5020"/>
      <c r="AF39" s="913"/>
      <c r="AG39" s="675">
        <f>IF(AH38&gt;0,1,0)</f>
        <v>0</v>
      </c>
      <c r="AH39" s="1750"/>
      <c r="AI39" s="1787"/>
      <c r="AJ39" s="1735"/>
      <c r="AK39" s="3085"/>
    </row>
    <row r="40" spans="1:37" ht="12" customHeight="1" thickBot="1" x14ac:dyDescent="0.25">
      <c r="A40" s="484"/>
      <c r="B40" s="98"/>
      <c r="C40" s="26"/>
      <c r="D40" s="98"/>
      <c r="E40" s="108"/>
      <c r="F40" s="129"/>
      <c r="G40" s="26"/>
      <c r="H40" s="108"/>
      <c r="I40" s="5017" t="s">
        <v>1766</v>
      </c>
      <c r="J40" s="5017"/>
      <c r="K40" s="108">
        <v>7</v>
      </c>
      <c r="L40" s="109" t="str">
        <f>IF(AND($T$12,PDs!$R$17&gt;=Metamagia!N37),"","Nv "&amp;Metamagia!N37)</f>
        <v>Nv 10</v>
      </c>
      <c r="M40" s="1706"/>
      <c r="N40" s="108">
        <v>20</v>
      </c>
      <c r="W40" s="47"/>
      <c r="Z40" s="43"/>
      <c r="AA40" s="5017" t="s">
        <v>1767</v>
      </c>
      <c r="AB40" s="5020"/>
      <c r="AC40" s="913">
        <v>9</v>
      </c>
      <c r="AD40" s="109" t="str">
        <f>IF(AND($T$12,PDs!$R$17&gt;=Metamagia!AF37),"","Nv "&amp;Metamagia!AF37)</f>
        <v>Nv 10</v>
      </c>
      <c r="AE40" s="1746"/>
      <c r="AF40" s="913">
        <v>20</v>
      </c>
      <c r="AG40" s="1724"/>
      <c r="AH40" s="1750"/>
      <c r="AI40" s="1787"/>
      <c r="AJ40" s="1735"/>
      <c r="AK40" s="3085"/>
    </row>
    <row r="41" spans="1:37" ht="12" customHeight="1" thickBot="1" x14ac:dyDescent="0.25">
      <c r="A41" s="484"/>
      <c r="B41" s="98"/>
      <c r="D41" s="67"/>
      <c r="E41" s="43"/>
      <c r="F41" s="129"/>
      <c r="G41" s="26"/>
      <c r="H41" s="108"/>
      <c r="I41" s="5017"/>
      <c r="J41" s="5017"/>
      <c r="K41" s="108"/>
      <c r="L41" s="90">
        <f>IF(M40&gt;0,1,0)</f>
        <v>0</v>
      </c>
      <c r="M41" s="26"/>
      <c r="N41" s="108"/>
      <c r="W41" s="47"/>
      <c r="X41" s="129"/>
      <c r="Y41" s="26"/>
      <c r="Z41" s="108"/>
      <c r="AA41" s="5017"/>
      <c r="AB41" s="5020"/>
      <c r="AC41" s="913"/>
      <c r="AD41" s="675">
        <f>IF(AE40&gt;0,1,0)</f>
        <v>0</v>
      </c>
      <c r="AE41" s="1724"/>
      <c r="AF41" s="913"/>
      <c r="AG41" s="1724"/>
      <c r="AH41" s="1751"/>
      <c r="AI41" s="1727"/>
      <c r="AJ41" s="1735"/>
      <c r="AK41" s="3085"/>
    </row>
    <row r="42" spans="1:37" ht="12" customHeight="1" thickBot="1" x14ac:dyDescent="0.25">
      <c r="A42" s="484"/>
      <c r="B42" s="98"/>
      <c r="C42" s="5017" t="s">
        <v>1768</v>
      </c>
      <c r="D42" s="5017"/>
      <c r="E42" s="130">
        <v>2</v>
      </c>
      <c r="F42" s="26"/>
      <c r="G42" s="96"/>
      <c r="H42" s="131"/>
      <c r="I42" s="5017"/>
      <c r="J42" s="5017"/>
      <c r="K42" s="132"/>
      <c r="L42" s="133"/>
      <c r="M42" s="26"/>
      <c r="N42" s="108"/>
      <c r="W42" s="47"/>
      <c r="X42" s="26"/>
      <c r="Y42" s="96"/>
      <c r="Z42" s="131"/>
      <c r="AA42" s="5017"/>
      <c r="AB42" s="5020"/>
      <c r="AC42" s="1789"/>
      <c r="AD42" s="1737"/>
      <c r="AE42" s="1724"/>
      <c r="AF42" s="913"/>
      <c r="AG42" s="5020" t="s">
        <v>1769</v>
      </c>
      <c r="AH42" s="5020"/>
      <c r="AI42" s="1787">
        <v>3</v>
      </c>
      <c r="AJ42" s="1735"/>
      <c r="AK42" s="3085"/>
    </row>
    <row r="43" spans="1:37" ht="12" customHeight="1" thickBot="1" x14ac:dyDescent="0.25">
      <c r="A43" s="484"/>
      <c r="B43" s="98"/>
      <c r="C43" s="5017"/>
      <c r="D43" s="5017"/>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20"/>
      <c r="AH43" s="5020"/>
      <c r="AI43" s="1787"/>
      <c r="AJ43" s="1735"/>
      <c r="AK43" s="3085"/>
    </row>
    <row r="44" spans="1:37" ht="12" customHeight="1" thickBot="1" x14ac:dyDescent="0.25">
      <c r="A44" s="484"/>
      <c r="B44" s="98"/>
      <c r="C44" s="5017"/>
      <c r="D44" s="5017"/>
      <c r="E44" s="108"/>
      <c r="F44" s="5017" t="s">
        <v>1770</v>
      </c>
      <c r="G44" s="5017"/>
      <c r="H44" s="108">
        <v>6</v>
      </c>
      <c r="I44" s="90">
        <f>IF(J43&gt;0,1,0)</f>
        <v>0</v>
      </c>
      <c r="J44" s="26"/>
      <c r="K44" s="108"/>
      <c r="L44" s="5017" t="s">
        <v>1771</v>
      </c>
      <c r="M44" s="5017"/>
      <c r="N44" s="108">
        <v>9</v>
      </c>
      <c r="O44" s="26"/>
      <c r="W44" s="47"/>
      <c r="X44" s="5017" t="s">
        <v>1772</v>
      </c>
      <c r="Y44" s="5017"/>
      <c r="Z44" s="108">
        <v>8</v>
      </c>
      <c r="AA44" s="90">
        <f>IF(AB43&gt;0,1,0)</f>
        <v>0</v>
      </c>
      <c r="AB44" s="1724"/>
      <c r="AC44" s="913"/>
      <c r="AD44" s="5020" t="s">
        <v>1769</v>
      </c>
      <c r="AE44" s="5020"/>
      <c r="AF44" s="913">
        <v>10</v>
      </c>
      <c r="AG44" s="5020"/>
      <c r="AH44" s="5020"/>
      <c r="AI44" s="1787"/>
      <c r="AJ44" s="1735"/>
      <c r="AK44" s="3085"/>
    </row>
    <row r="45" spans="1:37" ht="12" customHeight="1" thickBot="1" x14ac:dyDescent="0.25">
      <c r="A45" s="484"/>
      <c r="B45" s="98"/>
      <c r="C45" s="109" t="str">
        <f>IF(AND($T$12,PDs!$R$17&gt;=Metamagia!E42),"","Nv "&amp;Metamagia!E42)</f>
        <v>Nv 2</v>
      </c>
      <c r="D45" s="1706"/>
      <c r="E45" s="108">
        <v>5</v>
      </c>
      <c r="F45" s="5017"/>
      <c r="G45" s="5017"/>
      <c r="H45" s="108"/>
      <c r="I45" s="5017" t="s">
        <v>1771</v>
      </c>
      <c r="J45" s="5017"/>
      <c r="K45" s="108">
        <v>6</v>
      </c>
      <c r="L45" s="5017"/>
      <c r="M45" s="5017"/>
      <c r="N45" s="108"/>
      <c r="O45" s="26"/>
      <c r="P45" s="26"/>
      <c r="Q45" s="104"/>
      <c r="R45" s="5017" t="s">
        <v>1768</v>
      </c>
      <c r="S45" s="5017"/>
      <c r="T45" s="108">
        <v>2</v>
      </c>
      <c r="W45" s="47"/>
      <c r="X45" s="5017"/>
      <c r="Y45" s="5017"/>
      <c r="Z45" s="108"/>
      <c r="AA45" s="5017" t="s">
        <v>1773</v>
      </c>
      <c r="AB45" s="5020"/>
      <c r="AC45" s="913">
        <v>6</v>
      </c>
      <c r="AD45" s="5020"/>
      <c r="AE45" s="5020"/>
      <c r="AF45" s="913"/>
      <c r="AG45" s="109" t="str">
        <f>IF(AND($T$12,PDs!$R$17&gt;=Metamagia!AI42),"","Nv "&amp;Metamagia!AI42)</f>
        <v>Nv 3</v>
      </c>
      <c r="AH45" s="1746"/>
      <c r="AI45" s="1787">
        <v>5</v>
      </c>
      <c r="AJ45" s="1735"/>
      <c r="AK45" s="3085"/>
    </row>
    <row r="46" spans="1:37" ht="12" customHeight="1" thickBot="1" x14ac:dyDescent="0.25">
      <c r="A46" s="484"/>
      <c r="B46" s="98"/>
      <c r="C46" s="111">
        <f>IF(D45&gt;0,1,0)</f>
        <v>0</v>
      </c>
      <c r="D46" s="26"/>
      <c r="E46" s="108"/>
      <c r="F46" s="5017"/>
      <c r="G46" s="5017"/>
      <c r="H46" s="108"/>
      <c r="I46" s="5017"/>
      <c r="J46" s="5017"/>
      <c r="K46" s="108"/>
      <c r="L46" s="5017"/>
      <c r="M46" s="5017"/>
      <c r="N46" s="108"/>
      <c r="O46" s="26"/>
      <c r="P46" s="115"/>
      <c r="Q46" s="116"/>
      <c r="R46" s="5017"/>
      <c r="S46" s="5017"/>
      <c r="T46" s="108"/>
      <c r="W46" s="47"/>
      <c r="X46" s="5017"/>
      <c r="Y46" s="5017"/>
      <c r="Z46" s="108"/>
      <c r="AA46" s="5017"/>
      <c r="AB46" s="5020"/>
      <c r="AC46" s="913"/>
      <c r="AD46" s="5020"/>
      <c r="AE46" s="5020"/>
      <c r="AF46" s="913"/>
      <c r="AG46" s="1793">
        <f>IF(AH45&gt;0,1,0)</f>
        <v>0</v>
      </c>
      <c r="AH46" s="1749"/>
      <c r="AI46" s="1787"/>
      <c r="AJ46" s="1735"/>
      <c r="AK46" s="3085"/>
    </row>
    <row r="47" spans="1:37" ht="12" customHeight="1" thickBot="1" x14ac:dyDescent="0.25">
      <c r="A47" s="484"/>
      <c r="B47" s="98"/>
      <c r="C47" s="117"/>
      <c r="D47" s="26"/>
      <c r="E47" s="108"/>
      <c r="F47" s="109" t="str">
        <f>IF(AND($T$12,PDs!$R$17&gt;=Metamagia!H44),"","Nv "&amp;Metamagia!H44)</f>
        <v>Nv 6</v>
      </c>
      <c r="G47" s="1706"/>
      <c r="H47" s="108">
        <v>10</v>
      </c>
      <c r="I47" s="5017"/>
      <c r="J47" s="5017"/>
      <c r="K47" s="108"/>
      <c r="L47" s="109" t="str">
        <f>IF(AND($T$12,PDs!$R$17&gt;=Metamagia!N44),"","Nv "&amp;Metamagia!N44)</f>
        <v>Nv 9</v>
      </c>
      <c r="M47" s="1706"/>
      <c r="N47" s="108">
        <v>25</v>
      </c>
      <c r="O47" s="117"/>
      <c r="P47" s="26"/>
      <c r="Q47" s="104"/>
      <c r="R47" s="5017"/>
      <c r="S47" s="5017"/>
      <c r="T47" s="108"/>
      <c r="W47" s="134"/>
      <c r="X47" s="109" t="str">
        <f>IF(AND($T$12,PDs!$R$17&gt;=Metamagia!Z44),"","Nv "&amp;Metamagia!Z44)</f>
        <v>Nv 8</v>
      </c>
      <c r="Y47" s="1706"/>
      <c r="Z47" s="108">
        <v>5</v>
      </c>
      <c r="AA47" s="5017"/>
      <c r="AB47" s="5020"/>
      <c r="AC47" s="913"/>
      <c r="AD47" s="109" t="str">
        <f>IF(AND($T$12,PDs!$R$17&gt;=Metamagia!AF44),"","Nv "&amp;Metamagia!AF44)</f>
        <v>Nv 10</v>
      </c>
      <c r="AE47" s="1746"/>
      <c r="AF47" s="913">
        <v>5</v>
      </c>
      <c r="AG47" s="1724"/>
      <c r="AH47" s="1750"/>
      <c r="AI47" s="1787"/>
      <c r="AJ47" s="1735"/>
      <c r="AK47" s="3085"/>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85"/>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85"/>
    </row>
    <row r="50" spans="1:37" ht="12" customHeight="1" thickBot="1" x14ac:dyDescent="0.25">
      <c r="A50" s="484"/>
      <c r="B50" s="98"/>
      <c r="C50" s="5017" t="s">
        <v>1774</v>
      </c>
      <c r="D50" s="5017"/>
      <c r="E50" s="108"/>
      <c r="F50" s="5017" t="s">
        <v>1775</v>
      </c>
      <c r="G50" s="5017"/>
      <c r="H50" s="108">
        <v>3</v>
      </c>
      <c r="I50" s="5017" t="s">
        <v>1776</v>
      </c>
      <c r="J50" s="5017"/>
      <c r="K50" s="108">
        <v>3</v>
      </c>
      <c r="L50" s="5017" t="s">
        <v>1777</v>
      </c>
      <c r="M50" s="5017"/>
      <c r="N50" s="108">
        <v>3</v>
      </c>
      <c r="O50" s="5017" t="s">
        <v>1778</v>
      </c>
      <c r="P50" s="5017"/>
      <c r="Q50" s="104"/>
      <c r="R50" s="5017" t="s">
        <v>1769</v>
      </c>
      <c r="S50" s="5017"/>
      <c r="T50" s="108">
        <v>5</v>
      </c>
      <c r="U50" s="5017" t="s">
        <v>1769</v>
      </c>
      <c r="V50" s="5017"/>
      <c r="W50" s="108">
        <v>4</v>
      </c>
      <c r="X50" s="5017" t="s">
        <v>1779</v>
      </c>
      <c r="Y50" s="5017"/>
      <c r="Z50" s="108">
        <v>3</v>
      </c>
      <c r="AA50" s="5017" t="s">
        <v>1769</v>
      </c>
      <c r="AB50" s="5020"/>
      <c r="AC50" s="913">
        <v>6</v>
      </c>
      <c r="AD50" s="5020" t="s">
        <v>1780</v>
      </c>
      <c r="AE50" s="5020"/>
      <c r="AF50" s="913">
        <v>3</v>
      </c>
      <c r="AG50" s="5020" t="s">
        <v>1781</v>
      </c>
      <c r="AH50" s="5020"/>
      <c r="AI50" s="1787">
        <v>3</v>
      </c>
      <c r="AJ50" s="1735"/>
      <c r="AK50" s="3085"/>
    </row>
    <row r="51" spans="1:37" ht="12" customHeight="1" thickBot="1" x14ac:dyDescent="0.25">
      <c r="A51" s="484"/>
      <c r="B51" s="98"/>
      <c r="C51" s="5017"/>
      <c r="D51" s="5017"/>
      <c r="E51" s="105"/>
      <c r="F51" s="5017"/>
      <c r="G51" s="5017"/>
      <c r="H51" s="105"/>
      <c r="I51" s="5017"/>
      <c r="J51" s="5017"/>
      <c r="K51" s="105"/>
      <c r="L51" s="5017"/>
      <c r="M51" s="5017"/>
      <c r="N51" s="105"/>
      <c r="O51" s="5017"/>
      <c r="P51" s="5017"/>
      <c r="Q51" s="104"/>
      <c r="R51" s="5017"/>
      <c r="S51" s="5017"/>
      <c r="T51" s="108"/>
      <c r="U51" s="5017"/>
      <c r="V51" s="5017"/>
      <c r="W51" s="105"/>
      <c r="X51" s="5017"/>
      <c r="Y51" s="5017"/>
      <c r="Z51" s="105"/>
      <c r="AA51" s="5017"/>
      <c r="AB51" s="5020"/>
      <c r="AC51" s="1784"/>
      <c r="AD51" s="5020"/>
      <c r="AE51" s="5020"/>
      <c r="AF51" s="1784"/>
      <c r="AG51" s="5020"/>
      <c r="AH51" s="5020"/>
      <c r="AI51" s="1787"/>
      <c r="AJ51" s="1735"/>
      <c r="AK51" s="3085"/>
    </row>
    <row r="52" spans="1:37" ht="12" customHeight="1" x14ac:dyDescent="0.2">
      <c r="A52" s="484"/>
      <c r="B52" s="98"/>
      <c r="C52" s="5017"/>
      <c r="D52" s="5017"/>
      <c r="E52" s="108"/>
      <c r="F52" s="5017"/>
      <c r="G52" s="5017"/>
      <c r="H52" s="108"/>
      <c r="I52" s="5017"/>
      <c r="J52" s="5017"/>
      <c r="K52" s="108"/>
      <c r="L52" s="5017"/>
      <c r="M52" s="5017"/>
      <c r="N52" s="108"/>
      <c r="O52" s="5017"/>
      <c r="P52" s="5017"/>
      <c r="Q52" s="104"/>
      <c r="R52" s="5017"/>
      <c r="S52" s="5017"/>
      <c r="T52" s="108"/>
      <c r="U52" s="5017"/>
      <c r="V52" s="5017"/>
      <c r="W52" s="108"/>
      <c r="X52" s="5017"/>
      <c r="Y52" s="5017"/>
      <c r="Z52" s="108"/>
      <c r="AA52" s="5017"/>
      <c r="AB52" s="5020"/>
      <c r="AC52" s="913"/>
      <c r="AD52" s="5020"/>
      <c r="AE52" s="5020"/>
      <c r="AF52" s="913"/>
      <c r="AG52" s="5020"/>
      <c r="AH52" s="5020"/>
      <c r="AI52" s="1787"/>
      <c r="AJ52" s="1735"/>
      <c r="AK52" s="3085"/>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85"/>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85"/>
    </row>
    <row r="55" spans="1:37" ht="12" customHeight="1" thickBot="1" x14ac:dyDescent="0.25">
      <c r="A55" s="484"/>
      <c r="B55" s="98"/>
      <c r="C55" s="136"/>
      <c r="D55" s="136"/>
      <c r="E55" s="104"/>
      <c r="F55" s="137"/>
      <c r="G55" s="138"/>
      <c r="H55" s="139"/>
      <c r="I55" s="5017" t="s">
        <v>1782</v>
      </c>
      <c r="J55" s="5017"/>
      <c r="K55" s="108"/>
      <c r="L55" s="26"/>
      <c r="M55" s="98"/>
      <c r="N55" s="108"/>
      <c r="O55" s="26"/>
      <c r="P55" s="26"/>
      <c r="Q55" s="104"/>
      <c r="R55" s="5017" t="s">
        <v>1772</v>
      </c>
      <c r="S55" s="5017"/>
      <c r="T55" s="108">
        <v>5</v>
      </c>
      <c r="U55" s="36"/>
      <c r="W55" s="47"/>
      <c r="X55" s="137"/>
      <c r="Y55" s="138"/>
      <c r="Z55" s="139"/>
      <c r="AA55" s="5017" t="s">
        <v>1769</v>
      </c>
      <c r="AB55" s="5020"/>
      <c r="AC55" s="913"/>
      <c r="AD55" s="1724"/>
      <c r="AE55" s="1750"/>
      <c r="AF55" s="913"/>
      <c r="AG55" s="1724"/>
      <c r="AH55" s="1724"/>
      <c r="AI55" s="1787"/>
      <c r="AJ55" s="1735"/>
      <c r="AK55" s="3085"/>
    </row>
    <row r="56" spans="1:37" ht="12" customHeight="1" thickBot="1" x14ac:dyDescent="0.25">
      <c r="A56" s="484"/>
      <c r="B56" s="35"/>
      <c r="C56" s="42"/>
      <c r="D56" s="42"/>
      <c r="E56" s="47"/>
      <c r="F56" s="140"/>
      <c r="G56" s="141"/>
      <c r="H56" s="142"/>
      <c r="I56" s="5017"/>
      <c r="J56" s="5017"/>
      <c r="K56" s="113"/>
      <c r="L56" s="69"/>
      <c r="M56" s="35"/>
      <c r="N56" s="108"/>
      <c r="O56" s="26"/>
      <c r="P56" s="26"/>
      <c r="Q56" s="104"/>
      <c r="R56" s="5017"/>
      <c r="S56" s="5017"/>
      <c r="T56" s="113"/>
      <c r="U56" s="69"/>
      <c r="W56" s="47"/>
      <c r="X56" s="140"/>
      <c r="Y56" s="141"/>
      <c r="Z56" s="142"/>
      <c r="AA56" s="5017"/>
      <c r="AB56" s="5020"/>
      <c r="AC56" s="919"/>
      <c r="AD56" s="1748"/>
      <c r="AE56" s="1750"/>
      <c r="AF56" s="913"/>
      <c r="AG56" s="1724"/>
      <c r="AH56" s="1724"/>
      <c r="AI56" s="1727"/>
      <c r="AJ56" s="1735"/>
      <c r="AK56" s="3085"/>
    </row>
    <row r="57" spans="1:37" ht="12" customHeight="1" x14ac:dyDescent="0.2">
      <c r="A57" s="484"/>
      <c r="B57" s="35"/>
      <c r="C57" s="42"/>
      <c r="D57" s="42"/>
      <c r="E57" s="47"/>
      <c r="F57" s="143"/>
      <c r="G57" s="144"/>
      <c r="H57" s="108"/>
      <c r="I57" s="5017"/>
      <c r="J57" s="5017"/>
      <c r="K57" s="108"/>
      <c r="M57" s="35"/>
      <c r="N57" s="108"/>
      <c r="O57" s="26"/>
      <c r="P57" s="26"/>
      <c r="Q57" s="104"/>
      <c r="R57" s="5017"/>
      <c r="S57" s="5017"/>
      <c r="T57" s="108"/>
      <c r="W57" s="47"/>
      <c r="X57" s="143"/>
      <c r="Y57" s="144"/>
      <c r="Z57" s="108"/>
      <c r="AA57" s="5017"/>
      <c r="AB57" s="5020"/>
      <c r="AC57" s="913"/>
      <c r="AD57" s="1724"/>
      <c r="AE57" s="1750"/>
      <c r="AF57" s="913"/>
      <c r="AG57" s="1724"/>
      <c r="AH57" s="1724"/>
      <c r="AI57" s="1727"/>
      <c r="AJ57" s="1735"/>
      <c r="AK57" s="3085"/>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85"/>
    </row>
    <row r="59" spans="1:37" ht="12" customHeight="1" thickBot="1" x14ac:dyDescent="0.25">
      <c r="A59" s="484"/>
      <c r="B59" s="35"/>
      <c r="C59" s="42"/>
      <c r="D59" s="42"/>
      <c r="E59" s="86"/>
      <c r="F59" s="5017" t="s">
        <v>1783</v>
      </c>
      <c r="G59" s="5017"/>
      <c r="H59" s="108"/>
      <c r="I59" s="118">
        <f>IF(J58&gt;0,1,0)</f>
        <v>0</v>
      </c>
      <c r="K59" s="108"/>
      <c r="L59" s="5017" t="s">
        <v>1768</v>
      </c>
      <c r="M59" s="5017"/>
      <c r="N59" s="108"/>
      <c r="Q59" s="47"/>
      <c r="R59" s="90">
        <f>IF(S58&gt;0,1,0)</f>
        <v>0</v>
      </c>
      <c r="T59" s="47"/>
      <c r="W59" s="47"/>
      <c r="X59" s="5017" t="s">
        <v>1772</v>
      </c>
      <c r="Y59" s="5017"/>
      <c r="Z59" s="108"/>
      <c r="AA59" s="118">
        <f>IF(AB58&gt;0,1,0)</f>
        <v>0</v>
      </c>
      <c r="AB59" s="1724"/>
      <c r="AC59" s="913"/>
      <c r="AD59" s="5020" t="s">
        <v>1781</v>
      </c>
      <c r="AE59" s="5020"/>
      <c r="AF59" s="913"/>
      <c r="AG59" s="1724"/>
      <c r="AH59" s="1724"/>
      <c r="AI59" s="1727"/>
      <c r="AJ59" s="1735"/>
      <c r="AK59" s="3085"/>
    </row>
    <row r="60" spans="1:37" ht="12" customHeight="1" thickBot="1" x14ac:dyDescent="0.25">
      <c r="A60" s="549"/>
      <c r="B60" s="146"/>
      <c r="C60" s="42"/>
      <c r="D60" s="42"/>
      <c r="E60" s="86"/>
      <c r="F60" s="5017"/>
      <c r="G60" s="5017"/>
      <c r="H60" s="105"/>
      <c r="I60" s="5017" t="s">
        <v>1776</v>
      </c>
      <c r="J60" s="5017"/>
      <c r="K60" s="107"/>
      <c r="L60" s="5017"/>
      <c r="M60" s="5017"/>
      <c r="N60" s="108"/>
      <c r="T60" s="47"/>
      <c r="W60" s="47"/>
      <c r="X60" s="5017"/>
      <c r="Y60" s="5017"/>
      <c r="Z60" s="105"/>
      <c r="AA60" s="5017" t="s">
        <v>1769</v>
      </c>
      <c r="AB60" s="5020"/>
      <c r="AC60" s="1784"/>
      <c r="AD60" s="5020"/>
      <c r="AE60" s="5020"/>
      <c r="AF60" s="913"/>
      <c r="AG60" s="1724"/>
      <c r="AH60" s="1724"/>
      <c r="AI60" s="1727"/>
      <c r="AJ60" s="1735"/>
      <c r="AK60" s="3085"/>
    </row>
    <row r="61" spans="1:37" ht="12" customHeight="1" thickBot="1" x14ac:dyDescent="0.25">
      <c r="A61" s="549"/>
      <c r="B61" s="146"/>
      <c r="C61" s="42"/>
      <c r="D61" s="42"/>
      <c r="E61" s="86"/>
      <c r="F61" s="5017"/>
      <c r="G61" s="5017"/>
      <c r="H61" s="108"/>
      <c r="I61" s="5017"/>
      <c r="J61" s="5017"/>
      <c r="K61" s="47"/>
      <c r="L61" s="5017"/>
      <c r="M61" s="5017"/>
      <c r="N61" s="108"/>
      <c r="T61" s="47"/>
      <c r="W61" s="47"/>
      <c r="X61" s="5017"/>
      <c r="Y61" s="5017"/>
      <c r="Z61" s="108"/>
      <c r="AA61" s="5017"/>
      <c r="AB61" s="5020"/>
      <c r="AC61" s="913"/>
      <c r="AD61" s="5020"/>
      <c r="AE61" s="5020"/>
      <c r="AF61" s="913"/>
      <c r="AG61" s="1724"/>
      <c r="AH61" s="1724"/>
      <c r="AI61" s="1727"/>
      <c r="AJ61" s="1735"/>
      <c r="AK61" s="3085"/>
    </row>
    <row r="62" spans="1:37" ht="12" customHeight="1" thickBot="1" x14ac:dyDescent="0.25">
      <c r="A62" s="549"/>
      <c r="B62" s="146"/>
      <c r="C62" s="42"/>
      <c r="D62" s="42"/>
      <c r="F62" s="109"/>
      <c r="G62" s="1706"/>
      <c r="H62" s="108">
        <v>5</v>
      </c>
      <c r="I62" s="5017"/>
      <c r="J62" s="5017"/>
      <c r="K62" s="47"/>
      <c r="L62" s="109"/>
      <c r="M62" s="1706"/>
      <c r="N62" s="108">
        <v>5</v>
      </c>
      <c r="T62" s="47"/>
      <c r="W62" s="134"/>
      <c r="X62" s="109"/>
      <c r="Y62" s="1706"/>
      <c r="Z62" s="108">
        <v>5</v>
      </c>
      <c r="AA62" s="5017"/>
      <c r="AB62" s="5020"/>
      <c r="AC62" s="913"/>
      <c r="AD62" s="1792"/>
      <c r="AE62" s="1746"/>
      <c r="AF62" s="913">
        <v>5</v>
      </c>
      <c r="AG62" s="1724"/>
      <c r="AH62" s="1724"/>
      <c r="AI62" s="1740"/>
      <c r="AJ62" s="1735"/>
      <c r="AK62" s="3085"/>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85"/>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85"/>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85"/>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5"/>
    </row>
  </sheetData>
  <sheetProtection sheet="1" scenarios="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4" t="s">
        <v>8736</v>
      </c>
      <c r="W1" s="3127"/>
      <c r="X1" s="3127"/>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7"/>
      <c r="W2" s="3127"/>
      <c r="X2" s="3127"/>
    </row>
    <row r="3" spans="1:24" ht="12" customHeight="1" thickBot="1" x14ac:dyDescent="0.25">
      <c r="A3" s="330"/>
      <c r="B3" s="335"/>
      <c r="C3" s="3083"/>
      <c r="D3" s="5037" t="s">
        <v>10159</v>
      </c>
      <c r="E3" s="5037"/>
      <c r="F3" s="5037"/>
      <c r="G3" s="1641"/>
      <c r="H3" s="1641"/>
      <c r="I3" s="1641"/>
      <c r="J3" s="5034" t="str">
        <f>"Sheele"&amp;CHAR(10)&amp;IFERROR(VLOOKUP(Sheele!M5,'Tablas Sheele'!C5:G12,5,FALSE),"")</f>
        <v>Sheele
Haley</v>
      </c>
      <c r="K3" s="5034"/>
      <c r="L3" s="5034"/>
      <c r="M3" s="2898"/>
      <c r="N3" s="2898"/>
      <c r="O3" s="2898"/>
      <c r="P3" s="1641"/>
      <c r="Q3" s="1641"/>
      <c r="R3" s="1641"/>
      <c r="S3" s="3079"/>
      <c r="T3" s="2018"/>
      <c r="U3" s="2016"/>
      <c r="V3" s="3127"/>
      <c r="W3" s="3127"/>
      <c r="X3" s="3127"/>
    </row>
    <row r="4" spans="1:24" ht="12" customHeight="1" thickBot="1" x14ac:dyDescent="0.25">
      <c r="A4" s="330"/>
      <c r="B4" s="335"/>
      <c r="C4" s="3081"/>
      <c r="D4" s="5038"/>
      <c r="E4" s="5038"/>
      <c r="F4" s="5038"/>
      <c r="G4" s="5029" t="s">
        <v>1325</v>
      </c>
      <c r="H4" s="5029"/>
      <c r="I4" s="3077">
        <f>VALUE(PDs!R17)</f>
        <v>0</v>
      </c>
      <c r="J4" s="5035"/>
      <c r="K4" s="5035"/>
      <c r="L4" s="5035"/>
      <c r="M4" s="5154" t="s">
        <v>2794</v>
      </c>
      <c r="N4" s="5155"/>
      <c r="O4" s="5155" t="s">
        <v>2795</v>
      </c>
      <c r="P4" s="5155"/>
      <c r="Q4" s="5030" t="s">
        <v>10489</v>
      </c>
      <c r="R4" s="5031"/>
      <c r="S4" s="2900"/>
      <c r="T4" s="2018"/>
      <c r="U4" s="2016"/>
      <c r="V4" s="3127"/>
      <c r="W4" s="3127"/>
      <c r="X4" s="3127"/>
    </row>
    <row r="5" spans="1:24" ht="12" customHeight="1" thickBot="1" x14ac:dyDescent="0.25">
      <c r="A5" s="330"/>
      <c r="B5" s="335"/>
      <c r="C5" s="3081"/>
      <c r="D5" s="5038"/>
      <c r="E5" s="5038"/>
      <c r="F5" s="5038"/>
      <c r="G5" s="5029" t="s">
        <v>9612</v>
      </c>
      <c r="H5" s="5029"/>
      <c r="I5" s="3078">
        <f>ROUNDUP(IF(I4=0,5,10*I4)/2,0)</f>
        <v>3</v>
      </c>
      <c r="J5" s="5035"/>
      <c r="K5" s="5035"/>
      <c r="L5" s="5035"/>
      <c r="M5" s="5156" t="s">
        <v>1602</v>
      </c>
      <c r="N5" s="5157"/>
      <c r="O5" s="5157" t="s">
        <v>1381</v>
      </c>
      <c r="P5" s="5157"/>
      <c r="Q5" s="5032" t="s">
        <v>2583</v>
      </c>
      <c r="R5" s="5033"/>
      <c r="S5" s="2900"/>
      <c r="T5" s="2018"/>
      <c r="U5" s="2016"/>
      <c r="V5" s="3141" t="s">
        <v>10490</v>
      </c>
      <c r="W5" s="3127"/>
      <c r="X5" s="3127" t="b">
        <f>NOT(Q5="No (No oficial)")</f>
        <v>1</v>
      </c>
    </row>
    <row r="6" spans="1:24" ht="12" customHeight="1" thickBot="1" x14ac:dyDescent="0.25">
      <c r="A6" s="330"/>
      <c r="B6" s="335"/>
      <c r="C6" s="3082"/>
      <c r="D6" s="5039"/>
      <c r="E6" s="5039"/>
      <c r="F6" s="5039"/>
      <c r="G6" s="336"/>
      <c r="H6" s="336"/>
      <c r="I6" s="1644"/>
      <c r="J6" s="5036"/>
      <c r="K6" s="5036"/>
      <c r="L6" s="5036"/>
      <c r="M6" s="2899"/>
      <c r="N6" s="2899"/>
      <c r="O6" s="2899"/>
      <c r="P6" s="1644"/>
      <c r="Q6" s="1644"/>
      <c r="R6" s="1644"/>
      <c r="S6" s="3080"/>
      <c r="T6" s="2018"/>
      <c r="U6" s="2016"/>
      <c r="V6" s="3127" t="str">
        <f>"Mejoras_"&amp;M5</f>
        <v>Mejoras_Aire</v>
      </c>
      <c r="W6" s="3127"/>
      <c r="X6" s="3127"/>
    </row>
    <row r="7" spans="1:24" ht="12" customHeight="1" thickBot="1" x14ac:dyDescent="0.25">
      <c r="A7" s="330"/>
      <c r="B7" s="335"/>
      <c r="C7" s="2486"/>
      <c r="D7" s="2486"/>
      <c r="E7" s="2486"/>
      <c r="F7" s="2486"/>
      <c r="G7" s="2486"/>
      <c r="H7" s="2486"/>
      <c r="I7" s="2486"/>
      <c r="J7" s="2486"/>
      <c r="K7" s="2486"/>
      <c r="L7" s="2486"/>
      <c r="M7" s="2486"/>
      <c r="N7" s="2486"/>
      <c r="O7" s="2486"/>
      <c r="P7" s="2486"/>
      <c r="Q7" s="2486"/>
      <c r="R7" s="2486"/>
      <c r="S7" s="2901"/>
      <c r="T7" s="2018"/>
      <c r="U7" s="2016"/>
      <c r="V7" s="3127"/>
      <c r="W7" s="3127"/>
      <c r="X7" s="3127"/>
    </row>
    <row r="8" spans="1:24" ht="12" customHeight="1" thickBot="1" x14ac:dyDescent="0.25">
      <c r="A8" s="330"/>
      <c r="B8" s="335"/>
      <c r="C8" s="5235" t="s">
        <v>1364</v>
      </c>
      <c r="D8" s="337"/>
      <c r="E8" s="2902" t="s">
        <v>1365</v>
      </c>
      <c r="F8" s="2903" t="s">
        <v>1366</v>
      </c>
      <c r="G8" s="2904" t="s">
        <v>1349</v>
      </c>
      <c r="H8" s="2905" t="s">
        <v>1367</v>
      </c>
      <c r="I8" s="2486"/>
      <c r="J8" s="4461" t="s">
        <v>1369</v>
      </c>
      <c r="K8" s="4462"/>
      <c r="L8" s="4463"/>
      <c r="M8" s="2486"/>
      <c r="N8" s="5199" t="s">
        <v>1394</v>
      </c>
      <c r="O8" s="5200"/>
      <c r="P8" s="5200"/>
      <c r="Q8" s="5201" t="s">
        <v>6571</v>
      </c>
      <c r="R8" s="5201"/>
      <c r="S8" s="2311">
        <f>IF(VALUE($I$4)&lt;2,0,5*($I$4-1)-SUMIF(R10:R65,"&gt;0"))</f>
        <v>0</v>
      </c>
      <c r="T8" s="2018"/>
      <c r="U8" s="2016"/>
      <c r="V8" s="3127" t="s">
        <v>10427</v>
      </c>
      <c r="W8" s="3127"/>
      <c r="X8" s="3127">
        <f>IFERROR(VLOOKUP("Hab. Mejoradas ("&amp;SUBSTITUTE(SUBSTITUTE(M5,"Naturaleza","Nat."),"Oscuridad","Osc.")&amp;")",'Tablas Sheele'!$C$110:$F$197,4,0),0)</f>
        <v>0</v>
      </c>
    </row>
    <row r="9" spans="1:24" ht="12" customHeight="1" x14ac:dyDescent="0.2">
      <c r="A9" s="330"/>
      <c r="B9" s="335"/>
      <c r="C9" s="5236"/>
      <c r="D9" s="339" t="s">
        <v>1373</v>
      </c>
      <c r="E9" s="2906">
        <f>HLOOKUP($M$5,'Tablas Sheele'!$G$17:$N$25,'Tablas Sheele'!E18,)</f>
        <v>8</v>
      </c>
      <c r="F9" s="2220"/>
      <c r="G9" s="2897">
        <f>E9+'Tablas Sheele'!D18+IF('Tablas Sheele'!F142&gt;0,2,0)+F9</f>
        <v>8</v>
      </c>
      <c r="H9" s="510">
        <f>IF(G9&lt;1,0,VLOOKUP(G9,Tablas!$C$14:$D$33,2))</f>
        <v>10</v>
      </c>
      <c r="I9" s="2901"/>
      <c r="J9" s="5202">
        <f>IF('Tablas Sheele'!F107&gt;0, L27*4, L27*2)+IF('Tablas Sheele'!F148&gt;0,250,0)</f>
        <v>50</v>
      </c>
      <c r="K9" s="5205"/>
      <c r="L9" s="5206"/>
      <c r="M9" s="2907">
        <f>MATCH(J14,INDEX(Tabla_Regen,,2),0)</f>
        <v>1</v>
      </c>
      <c r="N9" s="345" t="s">
        <v>1398</v>
      </c>
      <c r="O9" s="5102" t="s">
        <v>1375</v>
      </c>
      <c r="P9" s="5240"/>
      <c r="Q9" s="2883" t="s">
        <v>1365</v>
      </c>
      <c r="R9" s="2456" t="s">
        <v>2812</v>
      </c>
      <c r="S9" s="2315" t="s">
        <v>1349</v>
      </c>
      <c r="T9" s="2018"/>
      <c r="U9" s="2016"/>
      <c r="V9" s="3142" t="s">
        <v>8608</v>
      </c>
      <c r="W9" s="3142" t="s">
        <v>2617</v>
      </c>
      <c r="X9" s="3142" t="s">
        <v>7282</v>
      </c>
    </row>
    <row r="10" spans="1:24" ht="12" customHeight="1" x14ac:dyDescent="0.2">
      <c r="A10" s="330"/>
      <c r="B10" s="335"/>
      <c r="C10" s="5236"/>
      <c r="D10" s="339" t="s">
        <v>1497</v>
      </c>
      <c r="E10" s="2906">
        <f>HLOOKUP($M$5,'Tablas Sheele'!$G$17:$N$25,'Tablas Sheele'!E19,)</f>
        <v>2</v>
      </c>
      <c r="F10" s="2221"/>
      <c r="G10" s="2897">
        <f>E10+'Tablas Sheele'!D19+F10</f>
        <v>2</v>
      </c>
      <c r="H10" s="510">
        <f>IF(G10&lt;1,0,VLOOKUP(G10,Tablas!$C$14:$D$33,2))</f>
        <v>-20</v>
      </c>
      <c r="I10" s="2901"/>
      <c r="J10" s="5203"/>
      <c r="K10" s="5207"/>
      <c r="L10" s="5208"/>
      <c r="M10" s="2486"/>
      <c r="N10" s="3489" t="s">
        <v>1403</v>
      </c>
      <c r="O10" s="3493" t="s">
        <v>1404</v>
      </c>
      <c r="P10" s="3493"/>
      <c r="Q10" s="2877">
        <f>IF(HLOOKUP(Sheele!$M$5,'Tablas Sheele'!$C$29:$K$86,'Tablas Sheele'!B30,FALSE)=0,"",HLOOKUP(Sheele!$M$5,'Tablas Sheele'!$C$29:$K$86,'Tablas Sheele'!B30,FALSE)+IF($X$8&gt;0,40+20*($X$8-1),0)+V10)</f>
        <v>60</v>
      </c>
      <c r="R10" s="2224"/>
      <c r="S10" s="463">
        <f>IF(W10,IF(OR(X10&lt;0,AND(Principal!Q22="-",$X$5)),"-",IF($X$5,MIN(Principal!Q22,X10),X10)),X10)</f>
        <v>60</v>
      </c>
      <c r="T10" s="2018"/>
      <c r="U10" s="2016"/>
      <c r="V10" s="3142"/>
      <c r="W10" s="3142"/>
      <c r="X10" s="3142">
        <f t="shared" ref="X10:X41" si="0">IF(AND(Q10="",R10=""),-30,IF(Q10="",0,Q10)+10*R10)</f>
        <v>60</v>
      </c>
    </row>
    <row r="11" spans="1:24" ht="12" customHeight="1" thickBot="1" x14ac:dyDescent="0.25">
      <c r="A11" s="330"/>
      <c r="B11" s="335"/>
      <c r="C11" s="5236"/>
      <c r="D11" s="339" t="s">
        <v>1378</v>
      </c>
      <c r="E11" s="2906">
        <f>HLOOKUP($M$5,'Tablas Sheele'!$G$17:$N$25,'Tablas Sheele'!E20,)</f>
        <v>8</v>
      </c>
      <c r="F11" s="2221"/>
      <c r="G11" s="2897">
        <f>E11+'Tablas Sheele'!D20+IF('Tablas Sheele'!F142&gt;0,2,0)+F11</f>
        <v>8</v>
      </c>
      <c r="H11" s="510">
        <f>IF(G11&lt;1,0,VLOOKUP(G11,Tablas!$C$14:$D$33,2))</f>
        <v>10</v>
      </c>
      <c r="I11" s="2486"/>
      <c r="J11" s="5204"/>
      <c r="K11" s="5209"/>
      <c r="L11" s="5210"/>
      <c r="M11" s="2486"/>
      <c r="N11" s="3490"/>
      <c r="O11" s="3496" t="s">
        <v>1405</v>
      </c>
      <c r="P11" s="3496"/>
      <c r="Q11" s="2877" t="str">
        <f>IF(HLOOKUP(Sheele!$M$5,'Tablas Sheele'!$C$29:$K$86,'Tablas Sheele'!B31,FALSE)=0,"",HLOOKUP(Sheele!$M$5,'Tablas Sheele'!$C$29:$K$86,'Tablas Sheele'!B31,FALSE)+IF($X$8&gt;0,40+20*($X$8-1),0)+V11)</f>
        <v/>
      </c>
      <c r="R11" s="2225"/>
      <c r="S11" s="463">
        <f>IF(W11,IF(OR(X11&lt;0,AND(Principal!Q23="-",$X$5)),"-",IF($X$5,MIN(Principal!Q23,X11),X11)),X11)</f>
        <v>-30</v>
      </c>
      <c r="T11" s="2018"/>
      <c r="U11" s="2016"/>
      <c r="V11" s="3142"/>
      <c r="W11" s="3142"/>
      <c r="X11" s="3142">
        <f t="shared" si="0"/>
        <v>-30</v>
      </c>
    </row>
    <row r="12" spans="1:24" ht="12" customHeight="1" thickBot="1" x14ac:dyDescent="0.25">
      <c r="A12" s="330"/>
      <c r="B12" s="279"/>
      <c r="C12" s="5236"/>
      <c r="D12" s="339" t="s">
        <v>1383</v>
      </c>
      <c r="E12" s="2906">
        <f>HLOOKUP($M$5,'Tablas Sheele'!$G$17:$N$25,'Tablas Sheele'!E21,)</f>
        <v>2</v>
      </c>
      <c r="F12" s="2221"/>
      <c r="G12" s="2897">
        <f>E12+'Tablas Sheele'!D21+IF('Tablas Sheele'!F142&gt;0,2,0)+F12</f>
        <v>2</v>
      </c>
      <c r="H12" s="510">
        <f>IF(G12&lt;1,0,VLOOKUP(G12,Tablas!$C$14:$D$33,2))</f>
        <v>-20</v>
      </c>
      <c r="I12" s="2901"/>
      <c r="J12" s="2335"/>
      <c r="K12" s="2335"/>
      <c r="L12" s="2335"/>
      <c r="M12" s="2486"/>
      <c r="N12" s="3490"/>
      <c r="O12" s="3496" t="s">
        <v>1408</v>
      </c>
      <c r="P12" s="3496"/>
      <c r="Q12" s="2877" t="str">
        <f>IF(HLOOKUP(Sheele!$M$5,'Tablas Sheele'!$C$29:$K$86,'Tablas Sheele'!B32,FALSE)=0,"",HLOOKUP(Sheele!$M$5,'Tablas Sheele'!$C$29:$K$86,'Tablas Sheele'!B32,FALSE)+IF($X$8&gt;0,40+20*($X$8-1),0)+V12)</f>
        <v/>
      </c>
      <c r="R12" s="2225"/>
      <c r="S12" s="463">
        <f>IF(W12,IF(OR(X12&lt;0,AND(Principal!Q24="-",$X$5)),"-",IF($X$5,MIN(Principal!Q24,X12),X12)),X12)</f>
        <v>-30</v>
      </c>
      <c r="T12" s="2018"/>
      <c r="U12" s="2016"/>
      <c r="V12" s="3142"/>
      <c r="W12" s="3142"/>
      <c r="X12" s="3142">
        <f t="shared" si="0"/>
        <v>-30</v>
      </c>
    </row>
    <row r="13" spans="1:24" ht="12" customHeight="1" thickBot="1" x14ac:dyDescent="0.25">
      <c r="A13" s="330"/>
      <c r="B13" s="340"/>
      <c r="C13" s="5236"/>
      <c r="D13" s="339" t="s">
        <v>1385</v>
      </c>
      <c r="E13" s="2906">
        <f>HLOOKUP($M$5,'Tablas Sheele'!$G$17:$N$25,'Tablas Sheele'!E22,)</f>
        <v>8</v>
      </c>
      <c r="F13" s="2221"/>
      <c r="G13" s="2897">
        <f>E13+'Tablas Sheele'!D22+F13</f>
        <v>8</v>
      </c>
      <c r="H13" s="510">
        <f>IF(G13&lt;1,0,VLOOKUP(G13,Tablas!$C$14:$D$33,2))</f>
        <v>10</v>
      </c>
      <c r="I13" s="2486"/>
      <c r="J13" s="4461" t="s">
        <v>1368</v>
      </c>
      <c r="K13" s="4462"/>
      <c r="L13" s="4463"/>
      <c r="M13" s="2486"/>
      <c r="N13" s="3490"/>
      <c r="O13" s="3496" t="s">
        <v>1412</v>
      </c>
      <c r="P13" s="3496"/>
      <c r="Q13" s="2877" t="str">
        <f>IF(HLOOKUP(Sheele!$M$5,'Tablas Sheele'!$C$29:$K$86,'Tablas Sheele'!B33,FALSE)=0,"",HLOOKUP(Sheele!$M$5,'Tablas Sheele'!$C$29:$K$86,'Tablas Sheele'!B33,FALSE)+IF($X$8&gt;0,40+20*($X$8-1),0)+V13)</f>
        <v/>
      </c>
      <c r="R13" s="2225"/>
      <c r="S13" s="463">
        <f>IF(W13,IF(OR(X13&lt;0,AND(Principal!Q25="-",$X$5)),"-",IF($X$5,MIN(Principal!Q25,X13),X13)),X13)</f>
        <v>-30</v>
      </c>
      <c r="T13" s="2018"/>
      <c r="U13" s="2016"/>
      <c r="V13" s="3142"/>
      <c r="W13" s="3142"/>
      <c r="X13" s="3142">
        <f t="shared" si="0"/>
        <v>-30</v>
      </c>
    </row>
    <row r="14" spans="1:24" ht="12" customHeight="1" x14ac:dyDescent="0.2">
      <c r="A14" s="330"/>
      <c r="B14" s="340"/>
      <c r="C14" s="5236"/>
      <c r="D14" s="339" t="s">
        <v>1388</v>
      </c>
      <c r="E14" s="2906">
        <f>HLOOKUP($M$5,'Tablas Sheele'!$G$17:$N$25,'Tablas Sheele'!E23,)</f>
        <v>6</v>
      </c>
      <c r="F14" s="2221"/>
      <c r="G14" s="2897">
        <f>E14+'Tablas Sheele'!D23+F14</f>
        <v>6</v>
      </c>
      <c r="H14" s="510">
        <f>IF(G14&lt;1,0,VLOOKUP(G14,Tablas!$C$14:$D$33,2))</f>
        <v>5</v>
      </c>
      <c r="I14" s="2486"/>
      <c r="J14" s="5143">
        <f>MIN(20,VLOOKUP(G10,Tablas!C37:G65,2)+L16)</f>
        <v>0</v>
      </c>
      <c r="K14" s="5145" t="str">
        <f>IF(M5='Tablas Sheele'!C11,"5 PV / asalto",IF('Tablas Sheele'!F131&gt;0,"10 PV / asalto",INDEX(Tablas!I38:I65,M9)&amp;INDEX(Tabla_Regen,M9,4)))</f>
        <v>Ninguna</v>
      </c>
      <c r="L14" s="5146"/>
      <c r="M14" s="2486"/>
      <c r="N14" s="3490"/>
      <c r="O14" s="3496" t="s">
        <v>1415</v>
      </c>
      <c r="P14" s="3496"/>
      <c r="Q14" s="2877" t="str">
        <f>IF(HLOOKUP(Sheele!$M$5,'Tablas Sheele'!$C$29:$K$86,'Tablas Sheele'!B34,FALSE)=0,"",HLOOKUP(Sheele!$M$5,'Tablas Sheele'!$C$29:$K$86,'Tablas Sheele'!B34,FALSE)+IF($X$8&gt;0,40+20*($X$8-1),0)+V14)</f>
        <v/>
      </c>
      <c r="R14" s="2225"/>
      <c r="S14" s="463">
        <f>IF(W14,IF(OR(X14&lt;0,AND(Principal!Q26="-",$X$5)),"-",IF($X$5,MIN(Principal!Q26,X14),X14)),X14)</f>
        <v>-30</v>
      </c>
      <c r="T14" s="2018"/>
      <c r="U14" s="2016"/>
      <c r="V14" s="3142"/>
      <c r="W14" s="3142"/>
      <c r="X14" s="3142">
        <f t="shared" si="0"/>
        <v>-30</v>
      </c>
    </row>
    <row r="15" spans="1:24" ht="12" customHeight="1" x14ac:dyDescent="0.2">
      <c r="A15" s="330"/>
      <c r="B15" s="340"/>
      <c r="C15" s="5236"/>
      <c r="D15" s="339" t="s">
        <v>1390</v>
      </c>
      <c r="E15" s="1700">
        <f>HLOOKUP($M$5,'Tablas Sheele'!$G$17:$N$25,'Tablas Sheele'!E24,)</f>
        <v>8</v>
      </c>
      <c r="F15" s="2222"/>
      <c r="G15" s="2897">
        <f>E15+'Tablas Sheele'!D24+F15</f>
        <v>8</v>
      </c>
      <c r="H15" s="510">
        <f>IF(G15&lt;1,0,VLOOKUP(G15,Tablas!$C$14:$D$33,2))</f>
        <v>10</v>
      </c>
      <c r="I15" s="2486"/>
      <c r="J15" s="5144"/>
      <c r="K15" s="5129" t="str">
        <f>VLOOKUP(J14,Tablas!D38:G65,4)</f>
        <v>Ninguna</v>
      </c>
      <c r="L15" s="5130"/>
      <c r="M15" s="2486"/>
      <c r="N15" s="3490"/>
      <c r="O15" s="3496" t="s">
        <v>1418</v>
      </c>
      <c r="P15" s="3496"/>
      <c r="Q15" s="2877" t="str">
        <f>IF(HLOOKUP(Sheele!$M$5,'Tablas Sheele'!$C$29:$K$86,'Tablas Sheele'!B35,FALSE)=0,"",HLOOKUP(Sheele!$M$5,'Tablas Sheele'!$C$29:$K$86,'Tablas Sheele'!B35,FALSE)+IF($X$8&gt;0,40+20*($X$8-1),0)+V15)</f>
        <v/>
      </c>
      <c r="R15" s="2225"/>
      <c r="S15" s="463">
        <f>IF(W15,IF(OR(X15&lt;0,AND(Principal!Q27="-",$X$5)),"-",IF($X$5,MIN(Principal!Q27,X15),X15)),X15)</f>
        <v>-30</v>
      </c>
      <c r="T15" s="2018"/>
      <c r="U15" s="2016"/>
      <c r="V15" s="3142"/>
      <c r="W15" s="3142"/>
      <c r="X15" s="3142">
        <f t="shared" si="0"/>
        <v>-30</v>
      </c>
    </row>
    <row r="16" spans="1:24" ht="12" customHeight="1" thickBot="1" x14ac:dyDescent="0.25">
      <c r="A16" s="330"/>
      <c r="B16" s="340"/>
      <c r="C16" s="5237"/>
      <c r="D16" s="341" t="s">
        <v>1391</v>
      </c>
      <c r="E16" s="2908">
        <f>HLOOKUP($M$5,'Tablas Sheele'!$G$17:$N$25,'Tablas Sheele'!E25,)</f>
        <v>6</v>
      </c>
      <c r="F16" s="2223"/>
      <c r="G16" s="342">
        <f>E16+'Tablas Sheele'!D25+F16</f>
        <v>6</v>
      </c>
      <c r="H16" s="2886">
        <f>IF(G16&lt;1,0,VLOOKUP(G16,Tablas!$C$14:$D$33,2))</f>
        <v>5</v>
      </c>
      <c r="I16" s="2486"/>
      <c r="J16" s="3534" t="s">
        <v>1379</v>
      </c>
      <c r="K16" s="3535"/>
      <c r="L16" s="2268"/>
      <c r="M16" s="2486"/>
      <c r="N16" s="3491"/>
      <c r="O16" s="5050" t="s">
        <v>6273</v>
      </c>
      <c r="P16" s="5051"/>
      <c r="Q16" s="2909" t="str">
        <f>IF(HLOOKUP(Sheele!$M$5,'Tablas Sheele'!$C$29:$K$86,'Tablas Sheele'!B36,FALSE)=0,"",HLOOKUP(Sheele!$M$5,'Tablas Sheele'!$C$29:$K$86,'Tablas Sheele'!B36,FALSE)+IF($X$8&gt;0,40+20*($X$8-1),0)+V16)</f>
        <v/>
      </c>
      <c r="R16" s="2226"/>
      <c r="S16" s="2910">
        <f>IF(W16,IF(OR(X16&lt;0,AND(Principal!Q28="-",$X$5)),"-",IF($X$5,MIN(Principal!Q28,X16),X16)),X16)</f>
        <v>-30</v>
      </c>
      <c r="T16" s="2018"/>
      <c r="U16" s="2016"/>
      <c r="V16" s="3142"/>
      <c r="W16" s="3142"/>
      <c r="X16" s="3142">
        <f t="shared" si="0"/>
        <v>-30</v>
      </c>
    </row>
    <row r="17" spans="1:24" ht="12" customHeight="1" thickBot="1" x14ac:dyDescent="0.25">
      <c r="A17" s="330"/>
      <c r="B17" s="340"/>
      <c r="C17" s="2486"/>
      <c r="D17" s="2486"/>
      <c r="E17" s="2486"/>
      <c r="F17" s="2486"/>
      <c r="G17" s="2486"/>
      <c r="H17" s="2486"/>
      <c r="I17" s="2486"/>
      <c r="J17" s="2486"/>
      <c r="K17" s="2486"/>
      <c r="L17" s="2486"/>
      <c r="M17" s="2486"/>
      <c r="N17" s="3490" t="s">
        <v>1421</v>
      </c>
      <c r="O17" s="3496" t="s">
        <v>1422</v>
      </c>
      <c r="P17" s="3496"/>
      <c r="Q17" s="2877" t="str">
        <f>IF(HLOOKUP(Sheele!$M$5,'Tablas Sheele'!$C$29:$K$86,'Tablas Sheele'!B37,FALSE)=0,"",HLOOKUP(Sheele!$M$5,'Tablas Sheele'!$C$29:$K$86,'Tablas Sheele'!B37,FALSE)+IF($X$8&gt;0,40+20*($X$8-1),0)+V17)</f>
        <v/>
      </c>
      <c r="R17" s="2224"/>
      <c r="S17" s="463">
        <f>IF(W17,IF(OR(X17&lt;0,AND(Principal!Q29="-",$X$5)),"-",IF($X$5,MIN(Principal!Q29,X17),X17)),X17)</f>
        <v>-30</v>
      </c>
      <c r="T17" s="2018"/>
      <c r="U17" s="2016"/>
      <c r="V17" s="3142"/>
      <c r="W17" s="3142"/>
      <c r="X17" s="3142">
        <f t="shared" si="0"/>
        <v>-30</v>
      </c>
    </row>
    <row r="18" spans="1:24" ht="12" customHeight="1" thickBot="1" x14ac:dyDescent="0.25">
      <c r="A18" s="330"/>
      <c r="B18" s="340"/>
      <c r="C18" s="3158" t="s">
        <v>8395</v>
      </c>
      <c r="D18" s="3159"/>
      <c r="E18" s="3159"/>
      <c r="F18" s="3159"/>
      <c r="G18" s="3159"/>
      <c r="H18" s="3160"/>
      <c r="I18" s="2486"/>
      <c r="J18" s="5131" t="s">
        <v>1386</v>
      </c>
      <c r="K18" s="5132"/>
      <c r="L18" s="5133"/>
      <c r="M18" s="2486"/>
      <c r="N18" s="3490"/>
      <c r="O18" s="3496" t="s">
        <v>1424</v>
      </c>
      <c r="P18" s="3496"/>
      <c r="Q18" s="2877" t="str">
        <f>IF(HLOOKUP(Sheele!$M$5,'Tablas Sheele'!$C$29:$K$86,'Tablas Sheele'!B38,FALSE)=0,"",HLOOKUP(Sheele!$M$5,'Tablas Sheele'!$C$29:$K$86,'Tablas Sheele'!B38,FALSE)+IF($X$8&gt;0,40+20*($X$8-1),0)+V18)</f>
        <v/>
      </c>
      <c r="R18" s="2225"/>
      <c r="S18" s="463">
        <f>IF(W18,IF(OR(X18&lt;0,AND(Principal!Q30="-",$X$5)),"-",IF($X$5,MIN(Principal!Q30,X18),X18)),X18)</f>
        <v>-30</v>
      </c>
      <c r="T18" s="2018"/>
      <c r="U18" s="2016"/>
      <c r="V18" s="3142"/>
      <c r="W18" s="3142"/>
      <c r="X18" s="3142">
        <f t="shared" si="0"/>
        <v>-30</v>
      </c>
    </row>
    <row r="19" spans="1:24" ht="12" customHeight="1" x14ac:dyDescent="0.2">
      <c r="A19" s="330"/>
      <c r="B19" s="340"/>
      <c r="C19" s="3774" t="str">
        <f>INDEX(Tabla_Regen,MATCH($J$14,INDEX(Tabla_Regen,,2),0),6)</f>
        <v/>
      </c>
      <c r="D19" s="3775"/>
      <c r="E19" s="3775"/>
      <c r="F19" s="3775"/>
      <c r="G19" s="3775"/>
      <c r="H19" s="3776"/>
      <c r="I19" s="2486"/>
      <c r="J19" s="5158">
        <f>MIN(20,G9+L25)</f>
        <v>8</v>
      </c>
      <c r="K19" s="5127" t="s">
        <v>1576</v>
      </c>
      <c r="L19" s="5128"/>
      <c r="M19" s="2486"/>
      <c r="N19" s="3490"/>
      <c r="O19" s="3496" t="s">
        <v>1427</v>
      </c>
      <c r="P19" s="3496"/>
      <c r="Q19" s="2877" t="str">
        <f>IF(HLOOKUP(Sheele!$M$5,'Tablas Sheele'!$C$29:$K$86,'Tablas Sheele'!B39,FALSE)=0,"",HLOOKUP(Sheele!$M$5,'Tablas Sheele'!$C$29:$K$86,'Tablas Sheele'!B39,FALSE)+IF($X$8&gt;0,40+20*($X$8-1),0)+V19)</f>
        <v/>
      </c>
      <c r="R19" s="2225"/>
      <c r="S19" s="463">
        <f>IF(W19,IF(OR(X19&lt;0,AND(Principal!Q31="-",$X$5)),"-",IF($X$5,MIN(Principal!Q31,X19),X19)),X19)</f>
        <v>-30</v>
      </c>
      <c r="T19" s="2018"/>
      <c r="U19" s="2016"/>
      <c r="V19" s="3142"/>
      <c r="W19" s="3142"/>
      <c r="X19" s="3142">
        <f t="shared" si="0"/>
        <v>-30</v>
      </c>
    </row>
    <row r="20" spans="1:24" ht="12" customHeight="1" thickBot="1" x14ac:dyDescent="0.25">
      <c r="A20" s="330"/>
      <c r="B20" s="340"/>
      <c r="C20" s="3777"/>
      <c r="D20" s="3778"/>
      <c r="E20" s="3778"/>
      <c r="F20" s="3778"/>
      <c r="G20" s="3778"/>
      <c r="H20" s="3779"/>
      <c r="I20" s="2486"/>
      <c r="J20" s="5158"/>
      <c r="K20" s="5063" t="str">
        <f>IF(J19&lt;1,"",VLOOKUP(J19,Tabla_TipoMovimiento,2,FALSE))</f>
        <v>28 m / asalto</v>
      </c>
      <c r="L20" s="5064"/>
      <c r="M20" s="2486"/>
      <c r="N20" s="3490"/>
      <c r="O20" s="3496" t="s">
        <v>1429</v>
      </c>
      <c r="P20" s="3496"/>
      <c r="Q20" s="2877" t="str">
        <f>IF(HLOOKUP(Sheele!$M$5,'Tablas Sheele'!$C$29:$K$86,'Tablas Sheele'!B40,FALSE)=0,"",HLOOKUP(Sheele!$M$5,'Tablas Sheele'!$C$29:$K$86,'Tablas Sheele'!B40,FALSE)+IF($X$8&gt;0,40+20*($X$8-1),0)+V20)</f>
        <v/>
      </c>
      <c r="R20" s="2225"/>
      <c r="S20" s="463">
        <f>IF(W20,IF(OR(X20&lt;0,AND(Principal!Q32="-",$X$5)),"-",IF($X$5,MIN(Principal!Q32,X20),X20)),X20)</f>
        <v>-30</v>
      </c>
      <c r="T20" s="2018"/>
      <c r="U20" s="2016"/>
      <c r="V20" s="3142"/>
      <c r="W20" s="3142"/>
      <c r="X20" s="3142">
        <f t="shared" si="0"/>
        <v>-30</v>
      </c>
    </row>
    <row r="21" spans="1:24" ht="12" customHeight="1" thickBot="1" x14ac:dyDescent="0.25">
      <c r="A21" s="330"/>
      <c r="B21" s="335"/>
      <c r="C21" s="2486"/>
      <c r="D21" s="2486"/>
      <c r="E21" s="2486"/>
      <c r="F21" s="2486"/>
      <c r="G21" s="2486"/>
      <c r="H21" s="2486"/>
      <c r="I21" s="2486"/>
      <c r="J21" s="5147">
        <f>MIN(20,IF('Tablas Sheele'!F116&gt;0,14,VLOOKUP(C69,'Tablas Sheele'!C203:M242,10,FALSE))+L25)</f>
        <v>10</v>
      </c>
      <c r="K21" s="5125" t="s">
        <v>1625</v>
      </c>
      <c r="L21" s="5126"/>
      <c r="M21" s="2486"/>
      <c r="N21" s="3490"/>
      <c r="O21" s="3496" t="s">
        <v>816</v>
      </c>
      <c r="P21" s="3496"/>
      <c r="Q21" s="2877" t="str">
        <f>IF(HLOOKUP(Sheele!$M$5,'Tablas Sheele'!$C$29:$K$86,'Tablas Sheele'!B41,FALSE)=0,"",HLOOKUP(Sheele!$M$5,'Tablas Sheele'!$C$29:$K$86,'Tablas Sheele'!B41,FALSE)+IF($X$8&gt;0,40+20*($X$8-1),0)+V21)</f>
        <v/>
      </c>
      <c r="R21" s="2225"/>
      <c r="S21" s="463">
        <f>IF(W21,IF(OR(X21&lt;0,AND(Principal!Q33="-",$X$5)),"-",IF($X$5,MIN(Principal!Q33,X21),X21)),X21)</f>
        <v>-30</v>
      </c>
      <c r="T21" s="2018"/>
      <c r="U21" s="2016"/>
      <c r="V21" s="3142"/>
      <c r="W21" s="3142"/>
      <c r="X21" s="3142">
        <f t="shared" si="0"/>
        <v>-30</v>
      </c>
    </row>
    <row r="22" spans="1:24" ht="12" customHeight="1" x14ac:dyDescent="0.2">
      <c r="A22" s="330"/>
      <c r="B22" s="335"/>
      <c r="C22" s="5225" t="s">
        <v>2808</v>
      </c>
      <c r="D22" s="5226"/>
      <c r="E22" s="5226"/>
      <c r="F22" s="5226"/>
      <c r="G22" s="5226"/>
      <c r="H22" s="5141">
        <f>IF(O5='Tablas Sheele'!L4,0,$I$4+IF($O$5='Tablas Sheele'!L6,2,0)+IF(Tablas!G392&gt;0,2,0)-COUNTIF(C24:H35,"*")-SUM($F$36:$F$39,$H$36:$H$39))</f>
        <v>0</v>
      </c>
      <c r="I22" s="2486"/>
      <c r="J22" s="5148"/>
      <c r="K22" s="5063" t="str">
        <f>IF(J21&lt;1,"",VLOOKUP(J21,Tabla_TipoMovimiento,2,FALSE))</f>
        <v>35 m / asalto</v>
      </c>
      <c r="L22" s="5064"/>
      <c r="M22" s="2486"/>
      <c r="N22" s="3490"/>
      <c r="O22" s="3496" t="s">
        <v>817</v>
      </c>
      <c r="P22" s="3496"/>
      <c r="Q22" s="2877" t="str">
        <f>IF(HLOOKUP(Sheele!$M$5,'Tablas Sheele'!$C$29:$K$86,'Tablas Sheele'!B42,FALSE)=0,"",HLOOKUP(Sheele!$M$5,'Tablas Sheele'!$C$29:$K$86,'Tablas Sheele'!B42,FALSE)+IF($X$8&gt;0,40+20*($X$8-1),0)+V22)</f>
        <v/>
      </c>
      <c r="R22" s="2225"/>
      <c r="S22" s="463">
        <f>IF(W22,IF(OR(X22&lt;0,AND(Principal!Q34="-",$X$5)),"-",IF($X$5,MIN(Principal!Q34,X22),X22)),X22)</f>
        <v>-30</v>
      </c>
      <c r="T22" s="2018"/>
      <c r="U22" s="2016"/>
      <c r="V22" s="3142"/>
      <c r="W22" s="3142"/>
      <c r="X22" s="3142">
        <f t="shared" si="0"/>
        <v>-30</v>
      </c>
    </row>
    <row r="23" spans="1:24" ht="12" customHeight="1" x14ac:dyDescent="0.2">
      <c r="A23" s="330"/>
      <c r="B23" s="335"/>
      <c r="C23" s="5227"/>
      <c r="D23" s="5228"/>
      <c r="E23" s="5228"/>
      <c r="F23" s="5228"/>
      <c r="G23" s="5228"/>
      <c r="H23" s="5142"/>
      <c r="I23" s="2486"/>
      <c r="J23" s="5147" t="str">
        <f>IF('Tablas Sheele'!F127&gt;0,MIN(20,15+L25),IF(M5='Tablas Sheele'!C6,MIN(20,10+L25),IF('Tablas Sheele'!F152&gt;0,J19,"-")))</f>
        <v>-</v>
      </c>
      <c r="K23" s="5125" t="str">
        <f>IF(M5='Tablas Sheele'!C6,"Acuático",IF('Tablas Sheele'!F152&gt;0,"Subterráneo","Otros"))</f>
        <v>Otros</v>
      </c>
      <c r="L23" s="5126"/>
      <c r="M23" s="2486"/>
      <c r="N23" s="3490"/>
      <c r="O23" s="5050" t="s">
        <v>818</v>
      </c>
      <c r="P23" s="5051"/>
      <c r="Q23" s="2909" t="str">
        <f>IF(HLOOKUP(Sheele!$M$5,'Tablas Sheele'!$C$29:$K$86,'Tablas Sheele'!B43,FALSE)=0,"",HLOOKUP(Sheele!$M$5,'Tablas Sheele'!$C$29:$K$86,'Tablas Sheele'!B43,FALSE)+IF($X$8&gt;0,40+20*($X$8-1),0)+V23)</f>
        <v/>
      </c>
      <c r="R23" s="2227"/>
      <c r="S23" s="2910">
        <f>IF(W23,IF(OR(X23&lt;0,AND(Principal!Q35="-",$X$5)),"-",IF($X$5,MIN(Principal!Q35,X23),X23)),X23)</f>
        <v>-30</v>
      </c>
      <c r="T23" s="2018"/>
      <c r="U23" s="2016"/>
      <c r="V23" s="3142"/>
      <c r="W23" s="3142"/>
      <c r="X23" s="3142">
        <f t="shared" si="0"/>
        <v>-30</v>
      </c>
    </row>
    <row r="24" spans="1:24" ht="12" customHeight="1" x14ac:dyDescent="0.2">
      <c r="A24" s="330"/>
      <c r="B24" s="335"/>
      <c r="C24" s="5058"/>
      <c r="D24" s="5059"/>
      <c r="E24" s="5059"/>
      <c r="F24" s="5238"/>
      <c r="G24" s="5059"/>
      <c r="H24" s="5239"/>
      <c r="I24" s="2486"/>
      <c r="J24" s="5148"/>
      <c r="K24" s="5063" t="str">
        <f>IF(J23="-","-",VLOOKUP(J23,Tabla_TipoMovimiento,2,FALSE))</f>
        <v>-</v>
      </c>
      <c r="L24" s="5064"/>
      <c r="M24" s="2486"/>
      <c r="N24" s="3489" t="s">
        <v>1430</v>
      </c>
      <c r="O24" s="3496" t="s">
        <v>1431</v>
      </c>
      <c r="P24" s="3496"/>
      <c r="Q24" s="2877">
        <f>IF(HLOOKUP(Sheele!$M$5,'Tablas Sheele'!$C$29:$K$86,'Tablas Sheele'!B44,FALSE)=0,"",HLOOKUP(Sheele!$M$5,'Tablas Sheele'!$C$29:$K$86,'Tablas Sheele'!B44,FALSE)+IF($X$8&gt;0,40+20*($X$8-1),0)+V24)</f>
        <v>30</v>
      </c>
      <c r="R24" s="2224"/>
      <c r="S24" s="463">
        <f>IF(W24,IF(OR(X24&lt;0,AND(Principal!Q36="-",$X$5)),"-",IF($X$5,MIN(Principal!Q36,X24),X24)),X24)</f>
        <v>30</v>
      </c>
      <c r="T24" s="2018"/>
      <c r="U24" s="2016"/>
      <c r="V24" s="3143">
        <f>IF('Tablas Sheele'!$F$160&gt;0,100,0)</f>
        <v>0</v>
      </c>
      <c r="W24" s="3142"/>
      <c r="X24" s="3142">
        <f t="shared" si="0"/>
        <v>30</v>
      </c>
    </row>
    <row r="25" spans="1:24" ht="12" customHeight="1" thickBot="1" x14ac:dyDescent="0.25">
      <c r="A25" s="330"/>
      <c r="B25" s="335"/>
      <c r="C25" s="5060"/>
      <c r="D25" s="5061"/>
      <c r="E25" s="5062"/>
      <c r="F25" s="5149"/>
      <c r="G25" s="5061"/>
      <c r="H25" s="5150"/>
      <c r="I25" s="2335"/>
      <c r="J25" s="3534" t="s">
        <v>1379</v>
      </c>
      <c r="K25" s="3535"/>
      <c r="L25" s="2268"/>
      <c r="M25" s="2486"/>
      <c r="N25" s="3490"/>
      <c r="O25" s="3496" t="s">
        <v>1432</v>
      </c>
      <c r="P25" s="3496"/>
      <c r="Q25" s="2877">
        <f>IF(HLOOKUP(Sheele!$M$5,'Tablas Sheele'!$C$29:$K$86,'Tablas Sheele'!B45,FALSE)=0,"",HLOOKUP(Sheele!$M$5,'Tablas Sheele'!$C$29:$K$86,'Tablas Sheele'!B45,FALSE)+IF($X$8&gt;0,40+20*($X$8-1),0)+V25)</f>
        <v>10</v>
      </c>
      <c r="R25" s="2225"/>
      <c r="S25" s="463">
        <f>IF(W25,IF(OR(X25&lt;0,AND(Principal!Q37="-",$X$5)),"-",IF($X$5,MIN(Principal!Q37,X25),X25)),X25)</f>
        <v>10</v>
      </c>
      <c r="T25" s="2018"/>
      <c r="U25" s="2016"/>
      <c r="V25" s="3143">
        <f>IF('Tablas Sheele'!$F$160&gt;0,100,0)</f>
        <v>0</v>
      </c>
      <c r="W25" s="3142"/>
      <c r="X25" s="3142">
        <f t="shared" si="0"/>
        <v>10</v>
      </c>
    </row>
    <row r="26" spans="1:24" ht="12" customHeight="1" thickBot="1" x14ac:dyDescent="0.25">
      <c r="A26" s="330"/>
      <c r="B26" s="335"/>
      <c r="C26" s="5060"/>
      <c r="D26" s="5061"/>
      <c r="E26" s="5062"/>
      <c r="F26" s="5149"/>
      <c r="G26" s="5061"/>
      <c r="H26" s="5150"/>
      <c r="I26" s="2335"/>
      <c r="J26" s="2486"/>
      <c r="K26" s="2486"/>
      <c r="L26" s="2486"/>
      <c r="M26" s="2486"/>
      <c r="N26" s="3491"/>
      <c r="O26" s="5050" t="s">
        <v>1433</v>
      </c>
      <c r="P26" s="5051"/>
      <c r="Q26" s="2909" t="str">
        <f>IF(HLOOKUP(Sheele!$M$5,'Tablas Sheele'!$C$29:$K$86,'Tablas Sheele'!B46,FALSE)=0,"",HLOOKUP(Sheele!$M$5,'Tablas Sheele'!$C$29:$K$86,'Tablas Sheele'!B46,FALSE)+IF($X$8&gt;0,40+20*($X$8-1),0)+V26)</f>
        <v/>
      </c>
      <c r="R26" s="2226"/>
      <c r="S26" s="2910">
        <f>IF(W26,IF(OR(X26&lt;0,AND(Principal!Q38="-",$X$5)),"-",IF($X$5,MIN(Principal!Q38,X26),X26)),X26)</f>
        <v>-30</v>
      </c>
      <c r="T26" s="2018"/>
      <c r="U26" s="2016"/>
      <c r="V26" s="3142"/>
      <c r="W26" s="3142"/>
      <c r="X26" s="3142">
        <f t="shared" si="0"/>
        <v>-30</v>
      </c>
    </row>
    <row r="27" spans="1:24" ht="12" customHeight="1" x14ac:dyDescent="0.2">
      <c r="A27" s="330"/>
      <c r="B27" s="335"/>
      <c r="C27" s="5060"/>
      <c r="D27" s="5061"/>
      <c r="E27" s="5062"/>
      <c r="F27" s="5149"/>
      <c r="G27" s="5061"/>
      <c r="H27" s="5150"/>
      <c r="I27" s="2335"/>
      <c r="J27" s="5134" t="s">
        <v>10005</v>
      </c>
      <c r="K27" s="343" t="s">
        <v>1557</v>
      </c>
      <c r="L27" s="2911">
        <f>25+5*I4</f>
        <v>25</v>
      </c>
      <c r="M27" s="2486"/>
      <c r="N27" s="3490" t="s">
        <v>1434</v>
      </c>
      <c r="O27" s="3496" t="s">
        <v>1435</v>
      </c>
      <c r="P27" s="3496"/>
      <c r="Q27" s="2877" t="str">
        <f>IF(HLOOKUP(Sheele!$M$5,'Tablas Sheele'!$C$29:$K$86,'Tablas Sheele'!B47,FALSE)=0,"",HLOOKUP(Sheele!$M$5,'Tablas Sheele'!$C$29:$K$86,'Tablas Sheele'!B47,FALSE)+IF($X$8&gt;0,40+20*($X$8-1),0)+V27)</f>
        <v/>
      </c>
      <c r="R27" s="2228"/>
      <c r="S27" s="463">
        <f>IF(W27,IF(OR(X27&lt;0,AND(Principal!Q39="-",$X$5)),"-",IF($X$5,MIN(Principal!Q39,X27),X27)),X27)</f>
        <v>-30</v>
      </c>
      <c r="T27" s="2018"/>
      <c r="U27" s="2016"/>
      <c r="V27" s="3142"/>
      <c r="W27" s="3142"/>
      <c r="X27" s="3142">
        <f t="shared" si="0"/>
        <v>-30</v>
      </c>
    </row>
    <row r="28" spans="1:24" ht="12" customHeight="1" x14ac:dyDescent="0.2">
      <c r="A28" s="330"/>
      <c r="B28" s="335"/>
      <c r="C28" s="5060"/>
      <c r="D28" s="5061"/>
      <c r="E28" s="5062"/>
      <c r="F28" s="5149"/>
      <c r="G28" s="5061"/>
      <c r="H28" s="5150"/>
      <c r="I28" s="2335"/>
      <c r="J28" s="5135"/>
      <c r="K28" s="2459" t="s">
        <v>1458</v>
      </c>
      <c r="L28" s="344">
        <f>Principal!J58-Principal!I58+IF('Tablas Sheele'!F$164&gt;0,50,0)</f>
        <v>20</v>
      </c>
      <c r="M28" s="2486"/>
      <c r="N28" s="3490"/>
      <c r="O28" s="3496" t="str">
        <f>IF($M$5='Tablas Sheele'!$C$8,"Ciencia (geología)","Ciencia")</f>
        <v>Ciencia</v>
      </c>
      <c r="P28" s="3496"/>
      <c r="Q28" s="2877" t="str">
        <f>IF(HLOOKUP(Sheele!$M$5,'Tablas Sheele'!$C$29:$K$86,'Tablas Sheele'!B48,FALSE)=0,"",HLOOKUP(Sheele!$M$5,'Tablas Sheele'!$C$29:$K$86,'Tablas Sheele'!B48,FALSE)+IF($X$8&gt;0,40+20*($X$8-1),0)+V28)</f>
        <v/>
      </c>
      <c r="R28" s="2225"/>
      <c r="S28" s="463" t="str">
        <f>IF(W28,IF(OR(X28&lt;0,AND(Principal!Q40="-",$X$5)),"-",IF($X$5,MIN(Principal!Q40,X28),X28)),X28)</f>
        <v>-</v>
      </c>
      <c r="T28" s="2018"/>
      <c r="U28" s="2016"/>
      <c r="V28" s="3142"/>
      <c r="W28" s="3142">
        <v>1</v>
      </c>
      <c r="X28" s="3142">
        <f t="shared" si="0"/>
        <v>-30</v>
      </c>
    </row>
    <row r="29" spans="1:24" ht="12" customHeight="1" x14ac:dyDescent="0.2">
      <c r="A29" s="330"/>
      <c r="B29" s="335"/>
      <c r="C29" s="5060"/>
      <c r="D29" s="5061"/>
      <c r="E29" s="5062"/>
      <c r="F29" s="5149"/>
      <c r="G29" s="5061"/>
      <c r="H29" s="5150"/>
      <c r="I29" s="2335"/>
      <c r="J29" s="5135"/>
      <c r="K29" s="2459" t="s">
        <v>1460</v>
      </c>
      <c r="L29" s="344">
        <f>Principal!J59-Principal!I59+IF('Tablas Sheele'!F$164&gt;0,50,0)</f>
        <v>20</v>
      </c>
      <c r="M29" s="2486"/>
      <c r="N29" s="3490"/>
      <c r="O29" s="3496" t="s">
        <v>2566</v>
      </c>
      <c r="P29" s="3496"/>
      <c r="Q29" s="2877" t="str">
        <f>IF(HLOOKUP(Sheele!$M$5,'Tablas Sheele'!$C$29:$K$86,'Tablas Sheele'!B49,FALSE)=0,"",HLOOKUP(Sheele!$M$5,'Tablas Sheele'!$C$29:$K$86,'Tablas Sheele'!B49,FALSE)+IF($X$8&gt;0,40+20*($X$8-1),0)+V29)</f>
        <v/>
      </c>
      <c r="R29" s="2225"/>
      <c r="S29" s="463">
        <f>IF(W29,IF(OR(X29&lt;0,AND(Principal!Q41="-",$X$5)),"-",IF($X$5,MIN(Principal!Q41,X29),X29)),X29)</f>
        <v>-30</v>
      </c>
      <c r="T29" s="2018"/>
      <c r="U29" s="2016"/>
      <c r="V29" s="3142"/>
      <c r="W29" s="3142"/>
      <c r="X29" s="3142">
        <f t="shared" si="0"/>
        <v>-30</v>
      </c>
    </row>
    <row r="30" spans="1:24" ht="12" customHeight="1" x14ac:dyDescent="0.2">
      <c r="A30" s="330"/>
      <c r="B30" s="335"/>
      <c r="C30" s="5060"/>
      <c r="D30" s="5061"/>
      <c r="E30" s="5062"/>
      <c r="F30" s="5149"/>
      <c r="G30" s="5061"/>
      <c r="H30" s="5150"/>
      <c r="I30" s="2335"/>
      <c r="J30" s="5135"/>
      <c r="K30" s="2459" t="s">
        <v>1462</v>
      </c>
      <c r="L30" s="344">
        <f>Principal!J60-Principal!I60+IF('Tablas Sheele'!F$164&gt;0,50,0)</f>
        <v>20</v>
      </c>
      <c r="M30" s="2486"/>
      <c r="N30" s="3490"/>
      <c r="O30" s="3496" t="s">
        <v>1437</v>
      </c>
      <c r="P30" s="3496"/>
      <c r="Q30" s="2877" t="str">
        <f>IF(HLOOKUP(Sheele!$M$5,'Tablas Sheele'!$C$29:$K$86,'Tablas Sheele'!B50,FALSE)=0,"",HLOOKUP(Sheele!$M$5,'Tablas Sheele'!$C$29:$K$86,'Tablas Sheele'!B50,FALSE)+IF($X$8&gt;0,40+20*($X$8-1),0)+V30)</f>
        <v/>
      </c>
      <c r="R30" s="2225"/>
      <c r="S30" s="463">
        <f>IF(W30,IF(OR(X30&lt;0,AND(Principal!Q42="-",$X$5)),"-",IF($X$5,MIN(Principal!Q42,X30),X30)),X30)</f>
        <v>-30</v>
      </c>
      <c r="T30" s="2018"/>
      <c r="U30" s="2016"/>
      <c r="V30" s="3142"/>
      <c r="W30" s="3142"/>
      <c r="X30" s="3142">
        <f t="shared" si="0"/>
        <v>-30</v>
      </c>
    </row>
    <row r="31" spans="1:24" ht="12" customHeight="1" x14ac:dyDescent="0.2">
      <c r="A31" s="330"/>
      <c r="B31" s="335"/>
      <c r="C31" s="5060"/>
      <c r="D31" s="5061"/>
      <c r="E31" s="5062"/>
      <c r="F31" s="5149"/>
      <c r="G31" s="5061"/>
      <c r="H31" s="5150"/>
      <c r="I31" s="2335"/>
      <c r="J31" s="5135"/>
      <c r="K31" s="2459" t="s">
        <v>1464</v>
      </c>
      <c r="L31" s="344">
        <f>Principal!J61-Principal!I61+IF('Tablas Sheele'!F$164&gt;0,50,0)</f>
        <v>20</v>
      </c>
      <c r="M31" s="2486"/>
      <c r="N31" s="3490"/>
      <c r="O31" s="3496" t="s">
        <v>1439</v>
      </c>
      <c r="P31" s="3496"/>
      <c r="Q31" s="2877" t="str">
        <f>IF(HLOOKUP(Sheele!$M$5,'Tablas Sheele'!$C$29:$K$86,'Tablas Sheele'!B51,FALSE)=0,"",HLOOKUP(Sheele!$M$5,'Tablas Sheele'!$C$29:$K$86,'Tablas Sheele'!B51,FALSE)+IF($X$8&gt;0,40+20*($X$8-1),0)+V31)</f>
        <v/>
      </c>
      <c r="R31" s="2225"/>
      <c r="S31" s="463" t="str">
        <f>IF(W31,IF(OR(X31&lt;0,AND(Principal!Q43="-",$X$5)),"-",IF($X$5,MIN(Principal!Q43,X31),X31)),X31)</f>
        <v>-</v>
      </c>
      <c r="T31" s="2019"/>
      <c r="U31" s="2016"/>
      <c r="V31" s="3142"/>
      <c r="W31" s="3142">
        <v>1</v>
      </c>
      <c r="X31" s="3142">
        <f t="shared" si="0"/>
        <v>-30</v>
      </c>
    </row>
    <row r="32" spans="1:24" ht="12" customHeight="1" thickBot="1" x14ac:dyDescent="0.25">
      <c r="A32" s="330"/>
      <c r="B32" s="335"/>
      <c r="C32" s="5060"/>
      <c r="D32" s="5061"/>
      <c r="E32" s="5062"/>
      <c r="F32" s="5149"/>
      <c r="G32" s="5061"/>
      <c r="H32" s="5150"/>
      <c r="I32" s="2335"/>
      <c r="J32" s="5136"/>
      <c r="K32" s="2460" t="s">
        <v>1466</v>
      </c>
      <c r="L32" s="2912">
        <f>Principal!J62-Principal!I62+IF('Tablas Sheele'!F$164&gt;0,50,0)</f>
        <v>20</v>
      </c>
      <c r="M32" s="2486"/>
      <c r="N32" s="3490"/>
      <c r="O32" s="3496" t="s">
        <v>819</v>
      </c>
      <c r="P32" s="3496"/>
      <c r="Q32" s="2877" t="str">
        <f>IF(HLOOKUP(Sheele!$M$5,'Tablas Sheele'!$C$29:$K$86,'Tablas Sheele'!B52,FALSE)=0,"",HLOOKUP(Sheele!$M$5,'Tablas Sheele'!$C$29:$K$86,'Tablas Sheele'!B52,FALSE)+IF($X$8&gt;0,40+20*($X$8-1),0)+V32)</f>
        <v/>
      </c>
      <c r="R32" s="2225"/>
      <c r="S32" s="463">
        <f>IF(W32,IF(OR(X32&lt;0,AND(Principal!Q44="-",$X$5)),"-",IF($X$5,MIN(Principal!Q44,X32),X32)),X32)</f>
        <v>-30</v>
      </c>
      <c r="T32" s="2018"/>
      <c r="U32" s="2016"/>
      <c r="V32" s="3142"/>
      <c r="W32" s="3142"/>
      <c r="X32" s="3142">
        <f t="shared" si="0"/>
        <v>-30</v>
      </c>
    </row>
    <row r="33" spans="1:24" ht="12" customHeight="1" thickBot="1" x14ac:dyDescent="0.25">
      <c r="A33" s="330"/>
      <c r="B33" s="335"/>
      <c r="C33" s="5060"/>
      <c r="D33" s="5061"/>
      <c r="E33" s="5062"/>
      <c r="F33" s="5149"/>
      <c r="G33" s="5061"/>
      <c r="H33" s="5150"/>
      <c r="I33" s="2335"/>
      <c r="J33" s="2486"/>
      <c r="K33" s="2486"/>
      <c r="L33" s="2486"/>
      <c r="M33" s="2486"/>
      <c r="N33" s="3490"/>
      <c r="O33" s="3496" t="s">
        <v>1442</v>
      </c>
      <c r="P33" s="3496"/>
      <c r="Q33" s="2877" t="str">
        <f>IF(HLOOKUP(Sheele!$M$5,'Tablas Sheele'!$C$29:$K$86,'Tablas Sheele'!B53,FALSE)=0,"",HLOOKUP(Sheele!$M$5,'Tablas Sheele'!$C$29:$K$86,'Tablas Sheele'!B53,FALSE)+IF($X$8&gt;0,40+20*($X$8-1),0)+V33)</f>
        <v/>
      </c>
      <c r="R33" s="2225"/>
      <c r="S33" s="463" t="str">
        <f>IF(W33,IF(OR(X33&lt;0,AND(Principal!Q45="-",$X$5)),"-",IF($X$5,MIN(Principal!Q45,X33),X33)),X33)</f>
        <v>-</v>
      </c>
      <c r="T33" s="2018"/>
      <c r="U33" s="2016"/>
      <c r="V33" s="3142"/>
      <c r="W33" s="3142">
        <v>1</v>
      </c>
      <c r="X33" s="3142">
        <f t="shared" si="0"/>
        <v>-30</v>
      </c>
    </row>
    <row r="34" spans="1:24" ht="12" customHeight="1" x14ac:dyDescent="0.2">
      <c r="A34" s="330"/>
      <c r="B34" s="346"/>
      <c r="C34" s="5232"/>
      <c r="D34" s="5233"/>
      <c r="E34" s="5234"/>
      <c r="F34" s="5149"/>
      <c r="G34" s="5061"/>
      <c r="H34" s="5150"/>
      <c r="I34" s="2335"/>
      <c r="J34" s="5165" t="s">
        <v>2811</v>
      </c>
      <c r="K34" s="5166"/>
      <c r="L34" s="5167"/>
      <c r="M34" s="2486"/>
      <c r="N34" s="3490"/>
      <c r="O34" s="3496" t="s">
        <v>1443</v>
      </c>
      <c r="P34" s="3496"/>
      <c r="Q34" s="2877" t="str">
        <f>IF(HLOOKUP(Sheele!$M$5,'Tablas Sheele'!$C$29:$K$86,'Tablas Sheele'!B54,FALSE)=0,"",HLOOKUP(Sheele!$M$5,'Tablas Sheele'!$C$29:$K$86,'Tablas Sheele'!B54,FALSE)+IF($X$8&gt;0,40+20*($X$8-1),0)+V34)</f>
        <v/>
      </c>
      <c r="R34" s="2225"/>
      <c r="S34" s="463">
        <f>IF(W34,IF(OR(X34&lt;0,AND(Principal!Q46="-",$X$5)),"-",IF($X$5,MIN(Principal!Q46,X34),X34)),X34)</f>
        <v>-30</v>
      </c>
      <c r="T34" s="2018"/>
      <c r="U34" s="2016"/>
      <c r="V34" s="3142"/>
      <c r="W34" s="3142"/>
      <c r="X34" s="3142">
        <f t="shared" si="0"/>
        <v>-30</v>
      </c>
    </row>
    <row r="35" spans="1:24" ht="12" customHeight="1" x14ac:dyDescent="0.2">
      <c r="A35" s="330"/>
      <c r="B35" s="346"/>
      <c r="C35" s="5196"/>
      <c r="D35" s="5197"/>
      <c r="E35" s="5198"/>
      <c r="F35" s="5151"/>
      <c r="G35" s="5152"/>
      <c r="H35" s="5153"/>
      <c r="I35" s="2335"/>
      <c r="J35" s="5168" t="s">
        <v>10006</v>
      </c>
      <c r="K35" s="5169"/>
      <c r="L35" s="5170"/>
      <c r="M35" s="2486"/>
      <c r="N35" s="3490"/>
      <c r="O35" s="3496" t="s">
        <v>1444</v>
      </c>
      <c r="P35" s="3496"/>
      <c r="Q35" s="2877" t="str">
        <f>IF(HLOOKUP(Sheele!$M$5,'Tablas Sheele'!$C$29:$K$86,'Tablas Sheele'!B55,FALSE)=0,"",HLOOKUP(Sheele!$M$5,'Tablas Sheele'!$C$29:$K$86,'Tablas Sheele'!B55,FALSE)+IF($X$8&gt;0,40+20*($X$8-1),0)+V35)</f>
        <v/>
      </c>
      <c r="R35" s="2225"/>
      <c r="S35" s="463">
        <f>IF(W35,IF(OR(X35&lt;0,AND(Principal!Q47="-",$X$5)),"-",IF($X$5,MIN(Principal!Q47,X35),X35)),X35)</f>
        <v>-30</v>
      </c>
      <c r="T35" s="2018"/>
      <c r="U35" s="2016"/>
      <c r="V35" s="3142"/>
      <c r="W35" s="3142"/>
      <c r="X35" s="3142">
        <f t="shared" si="0"/>
        <v>-30</v>
      </c>
    </row>
    <row r="36" spans="1:24" ht="12" customHeight="1" x14ac:dyDescent="0.2">
      <c r="A36" s="330"/>
      <c r="B36" s="346"/>
      <c r="C36" s="5219" t="s">
        <v>2813</v>
      </c>
      <c r="D36" s="5220"/>
      <c r="E36" s="2461" t="s">
        <v>1373</v>
      </c>
      <c r="F36" s="2420"/>
      <c r="G36" s="2430" t="s">
        <v>1385</v>
      </c>
      <c r="H36" s="2879"/>
      <c r="I36" s="2335"/>
      <c r="J36" s="5171">
        <f>20+10*ROUNDDOWN(Controlar_final/50,0)+MIN(100,25*'Tablas Sheele'!F108)</f>
        <v>20</v>
      </c>
      <c r="K36" s="5172"/>
      <c r="L36" s="5173"/>
      <c r="M36" s="2486"/>
      <c r="N36" s="3490"/>
      <c r="O36" s="3496" t="s">
        <v>1445</v>
      </c>
      <c r="P36" s="3496"/>
      <c r="Q36" s="2877" t="str">
        <f>IF(HLOOKUP(Sheele!$M$5,'Tablas Sheele'!$C$29:$K$86,'Tablas Sheele'!B56,FALSE)=0,"",HLOOKUP(Sheele!$M$5,'Tablas Sheele'!$C$29:$K$86,'Tablas Sheele'!B56,FALSE)+IF($X$8&gt;0,40+20*($X$8-1),0)+V36)</f>
        <v/>
      </c>
      <c r="R36" s="2225"/>
      <c r="S36" s="463">
        <f>IF(W36,IF(OR(X36&lt;0,AND(Principal!Q48="-",$X$5)),"-",IF($X$5,MIN(Principal!Q48,X36),X36)),X36)</f>
        <v>-30</v>
      </c>
      <c r="T36" s="2019"/>
      <c r="U36" s="2016"/>
      <c r="V36" s="3142"/>
      <c r="W36" s="3142"/>
      <c r="X36" s="3142">
        <f t="shared" si="0"/>
        <v>-30</v>
      </c>
    </row>
    <row r="37" spans="1:24" ht="12" customHeight="1" thickBot="1" x14ac:dyDescent="0.25">
      <c r="A37" s="330"/>
      <c r="B37" s="346"/>
      <c r="C37" s="5221"/>
      <c r="D37" s="5222"/>
      <c r="E37" s="2461" t="str">
        <f>IF(OR($J$58="Ánima",$J$58="Ánima, Elemental",$J$58="No muerto, Espectro"),"-","CON")</f>
        <v>CON</v>
      </c>
      <c r="F37" s="2419"/>
      <c r="G37" s="2430" t="s">
        <v>1388</v>
      </c>
      <c r="H37" s="2880"/>
      <c r="I37" s="2335"/>
      <c r="J37" s="5174"/>
      <c r="K37" s="5175"/>
      <c r="L37" s="5176"/>
      <c r="M37" s="2486"/>
      <c r="N37" s="3490"/>
      <c r="O37" s="3496" t="s">
        <v>1446</v>
      </c>
      <c r="P37" s="3496"/>
      <c r="Q37" s="2877" t="str">
        <f>IF(HLOOKUP(Sheele!$M$5,'Tablas Sheele'!$C$29:$K$86,'Tablas Sheele'!B57,FALSE)=0,"",HLOOKUP(Sheele!$M$5,'Tablas Sheele'!$C$29:$K$86,'Tablas Sheele'!B57,FALSE)+IF($X$8&gt;0,40+20*($X$8-1),0)+V37)</f>
        <v/>
      </c>
      <c r="R37" s="2225"/>
      <c r="S37" s="463" t="str">
        <f>IF(W37,IF(OR(X37&lt;0,AND(Principal!Q49="-",$X$5)),"-",IF($X$5,MIN(Principal!Q49,X37),X37)),X37)</f>
        <v>-</v>
      </c>
      <c r="T37" s="2019"/>
      <c r="U37" s="2016"/>
      <c r="V37" s="3142"/>
      <c r="W37" s="3142">
        <v>1</v>
      </c>
      <c r="X37" s="3142">
        <f t="shared" si="0"/>
        <v>-30</v>
      </c>
    </row>
    <row r="38" spans="1:24" ht="12" customHeight="1" x14ac:dyDescent="0.2">
      <c r="A38" s="330"/>
      <c r="B38" s="346"/>
      <c r="C38" s="5221"/>
      <c r="D38" s="5222"/>
      <c r="E38" s="2461" t="s">
        <v>1378</v>
      </c>
      <c r="F38" s="2419"/>
      <c r="G38" s="2430" t="s">
        <v>1390</v>
      </c>
      <c r="H38" s="2880"/>
      <c r="I38" s="2335"/>
      <c r="J38" s="5211" t="s">
        <v>10409</v>
      </c>
      <c r="K38" s="5212"/>
      <c r="L38" s="5213"/>
      <c r="M38" s="2486"/>
      <c r="N38" s="3490"/>
      <c r="O38" s="5050" t="s">
        <v>1447</v>
      </c>
      <c r="P38" s="5051"/>
      <c r="Q38" s="2909">
        <f>IF(HLOOKUP(Sheele!$M$5,'Tablas Sheele'!$C$29:$K$86,'Tablas Sheele'!B58,FALSE)=0,"",HLOOKUP(Sheele!$M$5,'Tablas Sheele'!$C$29:$K$86,'Tablas Sheele'!B58,FALSE)+IF($X$8&gt;0,40+20*($X$8-1),0)+V38)</f>
        <v>80</v>
      </c>
      <c r="R38" s="2227"/>
      <c r="S38" s="1768" t="str">
        <f>IF(W38,IF(OR(X38&lt;0,AND(Principal!Q50="-",$X$5)),"-",IF($X$5,MIN(Principal!Q50,X38),X38)),X38)</f>
        <v>-</v>
      </c>
      <c r="T38" s="2019"/>
      <c r="U38" s="2016"/>
      <c r="V38" s="3142"/>
      <c r="W38" s="3142">
        <v>1</v>
      </c>
      <c r="X38" s="3142">
        <f t="shared" si="0"/>
        <v>80</v>
      </c>
    </row>
    <row r="39" spans="1:24" ht="12" customHeight="1" thickBot="1" x14ac:dyDescent="0.25">
      <c r="A39" s="330"/>
      <c r="B39" s="346"/>
      <c r="C39" s="5223"/>
      <c r="D39" s="5224"/>
      <c r="E39" s="2462" t="s">
        <v>1383</v>
      </c>
      <c r="F39" s="2882"/>
      <c r="G39" s="2896" t="s">
        <v>1391</v>
      </c>
      <c r="H39" s="2881"/>
      <c r="I39" s="2335"/>
      <c r="J39" s="5214"/>
      <c r="K39" s="5215"/>
      <c r="L39" s="5216"/>
      <c r="M39" s="2486"/>
      <c r="N39" s="3489" t="s">
        <v>1448</v>
      </c>
      <c r="O39" s="3496" t="s">
        <v>1449</v>
      </c>
      <c r="P39" s="3496"/>
      <c r="Q39" s="2877" t="str">
        <f>IF(HLOOKUP(Sheele!$M$5,'Tablas Sheele'!$C$29:$K$86,'Tablas Sheele'!B59,FALSE)=0,"",HLOOKUP(Sheele!$M$5,'Tablas Sheele'!$C$29:$K$86,'Tablas Sheele'!B59,FALSE)+IF($X$8&gt;0,40+20*($X$8-1),0)+V39)</f>
        <v/>
      </c>
      <c r="R39" s="2224"/>
      <c r="S39" s="463">
        <f>IF(W39,IF(OR(X39&lt;0,AND(Principal!Q51="-",$X$5)),"-",IF($X$5,MIN(Principal!Q51,X39),X39)),X39)</f>
        <v>-30</v>
      </c>
      <c r="T39" s="2316"/>
      <c r="U39" s="2016"/>
      <c r="V39" s="3142"/>
      <c r="W39" s="3142"/>
      <c r="X39" s="3142">
        <f t="shared" si="0"/>
        <v>-30</v>
      </c>
    </row>
    <row r="40" spans="1:24" ht="12" customHeight="1" thickBot="1" x14ac:dyDescent="0.25">
      <c r="A40" s="330"/>
      <c r="B40" s="346"/>
      <c r="C40" s="2486"/>
      <c r="D40" s="2486"/>
      <c r="E40" s="2486"/>
      <c r="F40" s="2486"/>
      <c r="G40" s="2486"/>
      <c r="H40" s="2486"/>
      <c r="I40" s="2335"/>
      <c r="J40" s="2335"/>
      <c r="K40" s="2335"/>
      <c r="L40" s="2335"/>
      <c r="M40" s="2486"/>
      <c r="N40" s="3490"/>
      <c r="O40" s="3496" t="s">
        <v>1450</v>
      </c>
      <c r="P40" s="3496"/>
      <c r="Q40" s="2877" t="str">
        <f>IF(HLOOKUP(Sheele!$M$5,'Tablas Sheele'!$C$29:$K$86,'Tablas Sheele'!B60,FALSE)=0,"",HLOOKUP(Sheele!$M$5,'Tablas Sheele'!$C$29:$K$86,'Tablas Sheele'!B60,FALSE)+IF($X$8&gt;0,40+20*($X$8-1),0)+V40)</f>
        <v/>
      </c>
      <c r="R40" s="2225"/>
      <c r="S40" s="463">
        <f>IF(W40,IF(OR(X40&lt;0,AND(Principal!Q52="-",$X$5)),"-",IF($X$5,MIN(Principal!Q52,X40),X40)),X40)</f>
        <v>-30</v>
      </c>
      <c r="T40" s="2316"/>
      <c r="U40" s="2016"/>
      <c r="V40" s="3142"/>
      <c r="W40" s="3142"/>
      <c r="X40" s="3142">
        <f t="shared" si="0"/>
        <v>-30</v>
      </c>
    </row>
    <row r="41" spans="1:24" ht="12" customHeight="1" x14ac:dyDescent="0.2">
      <c r="A41" s="330"/>
      <c r="B41" s="346"/>
      <c r="C41" s="5225" t="s">
        <v>2796</v>
      </c>
      <c r="D41" s="5226"/>
      <c r="E41" s="5226"/>
      <c r="F41" s="5226"/>
      <c r="G41" s="5226"/>
      <c r="H41" s="5226"/>
      <c r="I41" s="5226"/>
      <c r="J41" s="5226"/>
      <c r="K41" s="5226"/>
      <c r="L41" s="5229"/>
      <c r="M41" s="2486"/>
      <c r="N41" s="3491"/>
      <c r="O41" s="5050" t="s">
        <v>1453</v>
      </c>
      <c r="P41" s="5051"/>
      <c r="Q41" s="2909" t="str">
        <f>IF(HLOOKUP(Sheele!$M$5,'Tablas Sheele'!$C$29:$K$86,'Tablas Sheele'!B61,FALSE)=0,"",HLOOKUP(Sheele!$M$5,'Tablas Sheele'!$C$29:$K$86,'Tablas Sheele'!B61,FALSE)+IF($X$8&gt;0,40+20*($X$8-1),0)+V41)</f>
        <v/>
      </c>
      <c r="R41" s="2226"/>
      <c r="S41" s="2910">
        <f>IF(W41,IF(OR(X41&lt;0,AND(Principal!Q53="-",$X$5)),"-",IF($X$5,MIN(Principal!Q53,X41),X41)),X41)</f>
        <v>-30</v>
      </c>
      <c r="T41" s="2019"/>
      <c r="U41" s="2016"/>
      <c r="V41" s="3142"/>
      <c r="W41" s="3142"/>
      <c r="X41" s="3142">
        <f t="shared" si="0"/>
        <v>-30</v>
      </c>
    </row>
    <row r="42" spans="1:24" ht="12" customHeight="1" x14ac:dyDescent="0.2">
      <c r="A42" s="330"/>
      <c r="B42" s="346"/>
      <c r="C42" s="5221"/>
      <c r="D42" s="5230"/>
      <c r="E42" s="5230"/>
      <c r="F42" s="5230"/>
      <c r="G42" s="5230"/>
      <c r="H42" s="5230"/>
      <c r="I42" s="5230"/>
      <c r="J42" s="5230"/>
      <c r="K42" s="5230"/>
      <c r="L42" s="5231"/>
      <c r="M42" s="2486"/>
      <c r="N42" s="3490" t="s">
        <v>1456</v>
      </c>
      <c r="O42" s="3496" t="s">
        <v>1457</v>
      </c>
      <c r="P42" s="3496"/>
      <c r="Q42" s="2877" t="str">
        <f>IF(HLOOKUP(Sheele!$M$5,'Tablas Sheele'!$C$29:$K$86,'Tablas Sheele'!B62,FALSE)=0,"",HLOOKUP(Sheele!$M$5,'Tablas Sheele'!$C$29:$K$86,'Tablas Sheele'!B62,FALSE)+IF($X$8&gt;0,40+20*($X$8-1),0)+V42)</f>
        <v/>
      </c>
      <c r="R42" s="2228"/>
      <c r="S42" s="463">
        <f>IF(W42,IF(OR(X42&lt;0,AND(Principal!Q54="-",$X$5)),"-",IF($X$5,MIN(Principal!Q54,X42),X42)),X42)</f>
        <v>-30</v>
      </c>
      <c r="T42" s="2019"/>
      <c r="U42" s="2016"/>
      <c r="V42" s="3142"/>
      <c r="W42" s="3142"/>
      <c r="X42" s="3142">
        <f t="shared" ref="X42:X65" si="1">IF(AND(Q42="",R42=""),-30,IF(Q42="",0,Q42)+10*R42)</f>
        <v>-30</v>
      </c>
    </row>
    <row r="43" spans="1:24" ht="12" customHeight="1" x14ac:dyDescent="0.2">
      <c r="A43" s="330"/>
      <c r="B43" s="335"/>
      <c r="C43" s="5065" t="s">
        <v>1507</v>
      </c>
      <c r="D43" s="5066"/>
      <c r="E43" s="5066"/>
      <c r="F43" s="5066"/>
      <c r="G43" s="5066"/>
      <c r="H43" s="5137" t="s">
        <v>2797</v>
      </c>
      <c r="I43" s="5066"/>
      <c r="J43" s="5066"/>
      <c r="K43" s="5066"/>
      <c r="L43" s="5138"/>
      <c r="M43" s="2486"/>
      <c r="N43" s="3490"/>
      <c r="O43" s="3496" t="s">
        <v>1459</v>
      </c>
      <c r="P43" s="3496"/>
      <c r="Q43" s="2877" t="str">
        <f>IF(HLOOKUP(Sheele!$M$5,'Tablas Sheele'!$C$29:$K$86,'Tablas Sheele'!B63,FALSE)=0,"",HLOOKUP(Sheele!$M$5,'Tablas Sheele'!$C$29:$K$86,'Tablas Sheele'!B63,FALSE)+IF($X$8&gt;0,40+20*($X$8-1),0)+V43)</f>
        <v/>
      </c>
      <c r="R43" s="2225"/>
      <c r="S43" s="463">
        <f>IF(W43,IF(OR(X43&lt;0,AND(Principal!Q55="-",$X$5)),"-",IF($X$5,MIN(Principal!Q55,X43),X43)),X43)</f>
        <v>-30</v>
      </c>
      <c r="T43" s="2018"/>
      <c r="U43" s="2016"/>
      <c r="V43" s="3142"/>
      <c r="W43" s="3142"/>
      <c r="X43" s="3142">
        <f t="shared" si="1"/>
        <v>-30</v>
      </c>
    </row>
    <row r="44" spans="1:24" ht="12" customHeight="1" x14ac:dyDescent="0.2">
      <c r="A44" s="330"/>
      <c r="B44" s="335"/>
      <c r="C44" s="5067"/>
      <c r="D44" s="5068"/>
      <c r="E44" s="5068"/>
      <c r="F44" s="5068"/>
      <c r="G44" s="5068"/>
      <c r="H44" s="5139"/>
      <c r="I44" s="5068"/>
      <c r="J44" s="5068"/>
      <c r="K44" s="5068"/>
      <c r="L44" s="5140"/>
      <c r="M44" s="2486"/>
      <c r="N44" s="3490"/>
      <c r="O44" s="3496" t="s">
        <v>1461</v>
      </c>
      <c r="P44" s="3496"/>
      <c r="Q44" s="2877" t="str">
        <f>IF(HLOOKUP(Sheele!$M$5,'Tablas Sheele'!$C$29:$K$86,'Tablas Sheele'!B64,FALSE)=0,"",HLOOKUP(Sheele!$M$5,'Tablas Sheele'!$C$29:$K$86,'Tablas Sheele'!B64,FALSE)+IF($X$8&gt;0,40+20*($X$8-1),0)+V44)</f>
        <v/>
      </c>
      <c r="R44" s="2225"/>
      <c r="S44" s="463">
        <f>IF(W44,IF(OR(X44&lt;0,AND(Principal!Q56="-",$X$5)),"-",IF($X$5,MIN(Principal!Q56,X44),X44)),X44)</f>
        <v>-30</v>
      </c>
      <c r="T44" s="2019"/>
      <c r="U44" s="2016"/>
      <c r="V44" s="3143">
        <f>IF('Tablas Sheele'!$F$166&gt;0,100,0)</f>
        <v>0</v>
      </c>
      <c r="W44" s="3142"/>
      <c r="X44" s="3142">
        <f t="shared" si="1"/>
        <v>-30</v>
      </c>
    </row>
    <row r="45" spans="1:24" ht="12" customHeight="1" x14ac:dyDescent="0.2">
      <c r="A45" s="330"/>
      <c r="B45" s="335"/>
      <c r="C45" s="5187" t="s">
        <v>2798</v>
      </c>
      <c r="D45" s="5074"/>
      <c r="E45" s="5075"/>
      <c r="F45" s="5217">
        <f>IF(L27*2+20*'Tablas Sheele'!F103&gt;200, IF(L27*2&gt;=200,L27*2+10*'Tablas Sheele'!F103,200+1/2*(20*'Tablas Sheele'!F103-(200-L27*2))),L27*2+20*'Tablas Sheele'!F103 )</f>
        <v>50</v>
      </c>
      <c r="G45" s="5218"/>
      <c r="H45" s="5073" t="s">
        <v>2799</v>
      </c>
      <c r="I45" s="5074"/>
      <c r="J45" s="5075"/>
      <c r="K45" s="5116">
        <f>IF('Tablas Sheele'!F175&gt;0,MAX(Sheele!F45,H11),H11)</f>
        <v>10</v>
      </c>
      <c r="L45" s="5117"/>
      <c r="M45" s="2486"/>
      <c r="N45" s="3490"/>
      <c r="O45" s="3496" t="s">
        <v>1463</v>
      </c>
      <c r="P45" s="3496"/>
      <c r="Q45" s="2877">
        <f>IF(HLOOKUP(Sheele!$M$5,'Tablas Sheele'!$C$29:$K$86,'Tablas Sheele'!B65,FALSE)=0,"",HLOOKUP(Sheele!$M$5,'Tablas Sheele'!$C$29:$K$86,'Tablas Sheele'!B65,FALSE)+IF($X$8&gt;0,40+20*($X$8-1),0)+V45)</f>
        <v>40</v>
      </c>
      <c r="R45" s="2225"/>
      <c r="S45" s="463">
        <f>IF(W45,IF(OR(X45&lt;0,AND(Principal!Q57="-",$X$5)),"-",IF($X$5,MIN(Principal!Q57,X45),X45)),X45)</f>
        <v>40</v>
      </c>
      <c r="T45" s="2018"/>
      <c r="U45" s="2016"/>
      <c r="V45" s="3144"/>
      <c r="W45" s="3142"/>
      <c r="X45" s="3142">
        <f t="shared" si="1"/>
        <v>40</v>
      </c>
    </row>
    <row r="46" spans="1:24" ht="12" customHeight="1" x14ac:dyDescent="0.2">
      <c r="A46" s="330"/>
      <c r="B46" s="335"/>
      <c r="C46" s="5188"/>
      <c r="D46" s="5077"/>
      <c r="E46" s="5078"/>
      <c r="F46" s="5183"/>
      <c r="G46" s="5184"/>
      <c r="H46" s="5076"/>
      <c r="I46" s="5077"/>
      <c r="J46" s="5078"/>
      <c r="K46" s="4490"/>
      <c r="L46" s="5118"/>
      <c r="M46" s="2486"/>
      <c r="N46" s="3490"/>
      <c r="O46" s="3496" t="s">
        <v>1465</v>
      </c>
      <c r="P46" s="3496"/>
      <c r="Q46" s="2877" t="str">
        <f>IF(HLOOKUP(Sheele!$M$5,'Tablas Sheele'!$C$29:$K$86,'Tablas Sheele'!B66,FALSE)=0,"",HLOOKUP(Sheele!$M$5,'Tablas Sheele'!$C$29:$K$86,'Tablas Sheele'!B66,FALSE)+IF($X$8&gt;0,40+20*($X$8-1),0)+V46)</f>
        <v/>
      </c>
      <c r="R46" s="2225"/>
      <c r="S46" s="463">
        <f>IF(W46,IF(OR(X46&lt;0,AND(Principal!Q58="-",$X$5)),"-",IF($X$5,MIN(Principal!Q58,X46),X46)),X46)</f>
        <v>-30</v>
      </c>
      <c r="T46" s="2018"/>
      <c r="U46" s="2016"/>
      <c r="V46" s="3143">
        <f>IF('Tablas Sheele'!$F$166&gt;0,100,0)</f>
        <v>0</v>
      </c>
      <c r="W46" s="3142"/>
      <c r="X46" s="3142">
        <f t="shared" si="1"/>
        <v>-30</v>
      </c>
    </row>
    <row r="47" spans="1:24" ht="12" customHeight="1" x14ac:dyDescent="0.2">
      <c r="A47" s="330"/>
      <c r="B47" s="335"/>
      <c r="C47" s="5189" t="s">
        <v>2802</v>
      </c>
      <c r="D47" s="5080"/>
      <c r="E47" s="5081"/>
      <c r="F47" s="5181">
        <f>IF(L27*2+20*'Tablas Sheele'!F103&gt;200, IF(L27*2&gt;=200,L27*2+10*'Tablas Sheele'!F103,200+1/2*(20*'Tablas Sheele'!F103-(200-L27*2))),L27*2+20*'Tablas Sheele'!F103 )+IF('Tablas Sheele'!F186&gt;0,40,0)</f>
        <v>50</v>
      </c>
      <c r="G47" s="5182"/>
      <c r="H47" s="5079" t="s">
        <v>2803</v>
      </c>
      <c r="I47" s="5080"/>
      <c r="J47" s="5081"/>
      <c r="K47" s="5112">
        <f>IF('Tablas Sheele'!F175&gt;0,MAX(Sheele!F47,H9),IF(M5="Aire",MAX(F47,H9),H9))</f>
        <v>50</v>
      </c>
      <c r="L47" s="5113"/>
      <c r="M47" s="2486"/>
      <c r="N47" s="3490"/>
      <c r="O47" s="3496" t="s">
        <v>1467</v>
      </c>
      <c r="P47" s="3496"/>
      <c r="Q47" s="2877" t="str">
        <f>IF(HLOOKUP(Sheele!$M$5,'Tablas Sheele'!$C$29:$K$86,'Tablas Sheele'!B67,FALSE)=0,"",HLOOKUP(Sheele!$M$5,'Tablas Sheele'!$C$29:$K$86,'Tablas Sheele'!B67,FALSE)+IF($X$8&gt;0,40+20*($X$8-1),0)+V47)</f>
        <v/>
      </c>
      <c r="R47" s="2225"/>
      <c r="S47" s="463">
        <f>IF(W47,IF(OR(X47&lt;0,AND(Principal!Q59="-",$X$5)),"-",IF($X$5,MIN(Principal!Q59,X47),X47)),X47)</f>
        <v>-30</v>
      </c>
      <c r="T47" s="2019"/>
      <c r="U47" s="2016"/>
      <c r="V47" s="3142"/>
      <c r="W47" s="3142"/>
      <c r="X47" s="3142">
        <f t="shared" si="1"/>
        <v>-30</v>
      </c>
    </row>
    <row r="48" spans="1:24" ht="12" customHeight="1" x14ac:dyDescent="0.2">
      <c r="A48" s="330"/>
      <c r="B48" s="335"/>
      <c r="C48" s="5189"/>
      <c r="D48" s="5080"/>
      <c r="E48" s="5081"/>
      <c r="F48" s="5181"/>
      <c r="G48" s="5182"/>
      <c r="H48" s="5079"/>
      <c r="I48" s="5080"/>
      <c r="J48" s="5081"/>
      <c r="K48" s="5114"/>
      <c r="L48" s="5115"/>
      <c r="M48" s="2486"/>
      <c r="N48" s="3490"/>
      <c r="O48" s="5050" t="s">
        <v>1468</v>
      </c>
      <c r="P48" s="5051"/>
      <c r="Q48" s="2909"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2"/>
      <c r="W48" s="3142">
        <v>1</v>
      </c>
      <c r="X48" s="3142">
        <f t="shared" si="1"/>
        <v>-30</v>
      </c>
    </row>
    <row r="49" spans="1:24" ht="12" customHeight="1" x14ac:dyDescent="0.2">
      <c r="A49" s="330"/>
      <c r="B49" s="335"/>
      <c r="C49" s="5188" t="s">
        <v>2804</v>
      </c>
      <c r="D49" s="5077"/>
      <c r="E49" s="5078"/>
      <c r="F49" s="5177" t="str">
        <f>IF(M5="Naturaleza","Esencia",M5)</f>
        <v>Aire</v>
      </c>
      <c r="G49" s="5178"/>
      <c r="H49" s="5077" t="s">
        <v>2805</v>
      </c>
      <c r="I49" s="5077"/>
      <c r="J49" s="5078"/>
      <c r="K49" s="5163">
        <f>IF('Tablas Sheele'!F175&gt;0,MAX(Sheele!F47,H11),H11)</f>
        <v>10</v>
      </c>
      <c r="L49" s="5164"/>
      <c r="M49" s="2486"/>
      <c r="N49" s="3489" t="s">
        <v>1469</v>
      </c>
      <c r="O49" s="3496" t="s">
        <v>1470</v>
      </c>
      <c r="P49" s="3496"/>
      <c r="Q49" s="2877" t="str">
        <f>IF(HLOOKUP(Sheele!$M$5,'Tablas Sheele'!$C$29:$K$86,'Tablas Sheele'!B69,FALSE)=0,"",HLOOKUP(Sheele!$M$5,'Tablas Sheele'!$C$29:$K$86,'Tablas Sheele'!B69,FALSE)+IF($X$8&gt;0,40+20*($X$8-1),0)+V49)</f>
        <v/>
      </c>
      <c r="R49" s="2224"/>
      <c r="S49" s="463">
        <f>IF(W49,IF(OR(X49&lt;0,AND(Principal!Q61="-",$X$5)),"-",IF($X$5,MIN(Principal!Q61,X49),X49)),X49)</f>
        <v>-30</v>
      </c>
      <c r="T49" s="2019"/>
      <c r="U49" s="2016"/>
      <c r="V49" s="3142"/>
      <c r="W49" s="3142"/>
      <c r="X49" s="3142">
        <f t="shared" si="1"/>
        <v>-30</v>
      </c>
    </row>
    <row r="50" spans="1:24" ht="12" customHeight="1" x14ac:dyDescent="0.2">
      <c r="A50" s="330"/>
      <c r="B50" s="335"/>
      <c r="C50" s="5188"/>
      <c r="D50" s="5077"/>
      <c r="E50" s="5078"/>
      <c r="F50" s="5179">
        <f>IF(20+10*'Tablas Sheele'!F104&lt;=50,20+10*'Tablas Sheele'!F104,50+1/2*(10*'Tablas Sheele'!F104-(50-20)))</f>
        <v>20</v>
      </c>
      <c r="G50" s="5180"/>
      <c r="H50" s="5077"/>
      <c r="I50" s="5077"/>
      <c r="J50" s="5078"/>
      <c r="K50" s="4490"/>
      <c r="L50" s="5118"/>
      <c r="M50" s="2486"/>
      <c r="N50" s="3490"/>
      <c r="O50" s="3496" t="s">
        <v>1471</v>
      </c>
      <c r="P50" s="3496"/>
      <c r="Q50" s="2877">
        <f>IF(HLOOKUP(Sheele!$M$5,'Tablas Sheele'!$C$29:$K$86,'Tablas Sheele'!B70,FALSE)=0,"",HLOOKUP(Sheele!$M$5,'Tablas Sheele'!$C$29:$K$86,'Tablas Sheele'!B70,FALSE)+IF($X$8&gt;0,40+20*($X$8-1),0)+V50)</f>
        <v>40</v>
      </c>
      <c r="R50" s="2225"/>
      <c r="S50" s="463" t="str">
        <f>IF(W50,IF(OR(X50&lt;0,AND(Principal!Q62="-",$X$5)),"-",IF($X$5,MIN(Principal!Q62,X50),X50)),X50)</f>
        <v>-</v>
      </c>
      <c r="T50" s="2019"/>
      <c r="U50" s="2016"/>
      <c r="V50" s="3142"/>
      <c r="W50" s="3142">
        <v>1</v>
      </c>
      <c r="X50" s="3142">
        <f t="shared" si="1"/>
        <v>40</v>
      </c>
    </row>
    <row r="51" spans="1:24" ht="12" customHeight="1" x14ac:dyDescent="0.2">
      <c r="A51" s="330"/>
      <c r="B51" s="335"/>
      <c r="C51" s="5189" t="s">
        <v>2807</v>
      </c>
      <c r="D51" s="5080"/>
      <c r="E51" s="5081"/>
      <c r="F51" s="5181">
        <f>Místicos!L12</f>
        <v>0</v>
      </c>
      <c r="G51" s="5182"/>
      <c r="H51" s="5079" t="s">
        <v>1392</v>
      </c>
      <c r="I51" s="5080"/>
      <c r="J51" s="5081"/>
      <c r="K51" s="5159">
        <f>Turno_SinArmas_final+IF('Tablas Sheele'!F120,50,0)</f>
        <v>40</v>
      </c>
      <c r="L51" s="5160"/>
      <c r="M51" s="2486"/>
      <c r="N51" s="3490"/>
      <c r="O51" s="3496" t="s">
        <v>1472</v>
      </c>
      <c r="P51" s="3496"/>
      <c r="Q51" s="2877" t="str">
        <f>IF(HLOOKUP(Sheele!$M$5,'Tablas Sheele'!$C$29:$K$86,'Tablas Sheele'!B71,FALSE)=0,"",HLOOKUP(Sheele!$M$5,'Tablas Sheele'!$C$29:$K$86,'Tablas Sheele'!B71,FALSE)+IF($X$8&gt;0,40+20*($X$8-1),0)+V51)</f>
        <v/>
      </c>
      <c r="R51" s="2225"/>
      <c r="S51" s="463" t="str">
        <f>IF(W51,IF(OR(X51&lt;0,AND(Principal!Q63="-",$X$5)),"-",IF($X$5,MIN(Principal!Q63,X51),X51)),X51)</f>
        <v>-</v>
      </c>
      <c r="T51" s="2019"/>
      <c r="U51" s="2016"/>
      <c r="V51" s="3142"/>
      <c r="W51" s="3142">
        <v>1</v>
      </c>
      <c r="X51" s="3142">
        <f t="shared" si="1"/>
        <v>-30</v>
      </c>
    </row>
    <row r="52" spans="1:24" ht="12" customHeight="1" x14ac:dyDescent="0.2">
      <c r="A52" s="330"/>
      <c r="B52" s="335"/>
      <c r="C52" s="5189"/>
      <c r="D52" s="5080"/>
      <c r="E52" s="5081"/>
      <c r="F52" s="5181"/>
      <c r="G52" s="5182"/>
      <c r="H52" s="5079"/>
      <c r="I52" s="5080"/>
      <c r="J52" s="5081"/>
      <c r="K52" s="5161"/>
      <c r="L52" s="5162"/>
      <c r="M52" s="2486"/>
      <c r="N52" s="3490"/>
      <c r="O52" s="3496" t="s">
        <v>813</v>
      </c>
      <c r="P52" s="3496"/>
      <c r="Q52" s="2877" t="str">
        <f>IF(HLOOKUP(Sheele!$M$5,'Tablas Sheele'!$C$29:$K$86,'Tablas Sheele'!B72,FALSE)=0,"",HLOOKUP(Sheele!$M$5,'Tablas Sheele'!$C$29:$K$86,'Tablas Sheele'!B72,FALSE)+IF($X$8&gt;0,40+20*($X$8-1),0)+V52)</f>
        <v/>
      </c>
      <c r="R52" s="2225"/>
      <c r="S52" s="463">
        <f>IF(W52,IF(OR(X52&lt;0,AND(Principal!Q64="-",$X$5)),"-",IF($X$5,MIN(Principal!Q64,X52),X52)),X52)</f>
        <v>-30</v>
      </c>
      <c r="T52" s="2019"/>
      <c r="U52" s="2016"/>
      <c r="V52" s="3142"/>
      <c r="W52" s="3142"/>
      <c r="X52" s="3142">
        <f t="shared" si="1"/>
        <v>-30</v>
      </c>
    </row>
    <row r="53" spans="1:24" ht="12" customHeight="1" x14ac:dyDescent="0.2">
      <c r="A53" s="330"/>
      <c r="B53" s="335"/>
      <c r="C53" s="5190" t="s">
        <v>2809</v>
      </c>
      <c r="D53" s="5191"/>
      <c r="E53" s="5192"/>
      <c r="F53" s="5183">
        <f>5*'Tablas Sheele'!F105</f>
        <v>0</v>
      </c>
      <c r="G53" s="5184"/>
      <c r="H53" s="5076" t="s">
        <v>10408</v>
      </c>
      <c r="I53" s="5077"/>
      <c r="J53" s="5078"/>
      <c r="K53" s="5069">
        <f>VLOOKUP(G11+G9,Tabla_NumAcciones,2)</f>
        <v>3</v>
      </c>
      <c r="L53" s="5070"/>
      <c r="M53" s="2486"/>
      <c r="N53" s="3490"/>
      <c r="O53" s="3496" t="s">
        <v>814</v>
      </c>
      <c r="P53" s="3496"/>
      <c r="Q53" s="2877" t="str">
        <f>IF(HLOOKUP(Sheele!$M$5,'Tablas Sheele'!$C$29:$K$86,'Tablas Sheele'!B73,FALSE)=0,"",HLOOKUP(Sheele!$M$5,'Tablas Sheele'!$C$29:$K$86,'Tablas Sheele'!B73,FALSE)+IF($X$8&gt;0,40+20*($X$8-1),0)+V53)</f>
        <v/>
      </c>
      <c r="R53" s="2225"/>
      <c r="S53" s="463">
        <f>IF(W53,IF(OR(X53&lt;0,AND(Principal!Q65="-",$X$5)),"-",IF($X$5,MIN(Principal!Q65,X53),X53)),X53)</f>
        <v>-30</v>
      </c>
      <c r="T53" s="2019"/>
      <c r="U53" s="2016"/>
      <c r="V53" s="3142"/>
      <c r="W53" s="3142"/>
      <c r="X53" s="3142">
        <f t="shared" si="1"/>
        <v>-30</v>
      </c>
    </row>
    <row r="54" spans="1:24" ht="12" customHeight="1" thickBot="1" x14ac:dyDescent="0.25">
      <c r="A54" s="330"/>
      <c r="B54" s="335"/>
      <c r="C54" s="5193"/>
      <c r="D54" s="5194"/>
      <c r="E54" s="5195"/>
      <c r="F54" s="5185"/>
      <c r="G54" s="5186"/>
      <c r="H54" s="5082"/>
      <c r="I54" s="5083"/>
      <c r="J54" s="5084"/>
      <c r="K54" s="5071"/>
      <c r="L54" s="5072"/>
      <c r="M54" s="2486"/>
      <c r="N54" s="3490"/>
      <c r="O54" s="3496" t="s">
        <v>815</v>
      </c>
      <c r="P54" s="3496"/>
      <c r="Q54" s="2877" t="str">
        <f>IF(HLOOKUP(Sheele!$M$5,'Tablas Sheele'!$C$29:$K$86,'Tablas Sheele'!B74,FALSE)=0,"",HLOOKUP(Sheele!$M$5,'Tablas Sheele'!$C$29:$K$86,'Tablas Sheele'!B74,FALSE)+IF($X$8&gt;0,40+20*($X$8-1),0)+V54)</f>
        <v/>
      </c>
      <c r="R54" s="2225"/>
      <c r="S54" s="463">
        <f>IF(W54,IF(OR(X54&lt;0,AND(Principal!Q66="-",$X$5)),"-",IF($X$5,MIN(Principal!Q66,X54),X54)),X54)</f>
        <v>-30</v>
      </c>
      <c r="T54" s="2019"/>
      <c r="U54" s="2016"/>
      <c r="V54" s="3142"/>
      <c r="W54" s="3142"/>
      <c r="X54" s="3142">
        <f t="shared" si="1"/>
        <v>-30</v>
      </c>
    </row>
    <row r="55" spans="1:24" ht="12" customHeight="1" thickBot="1" x14ac:dyDescent="0.25">
      <c r="A55" s="330"/>
      <c r="B55" s="335"/>
      <c r="C55" s="2486"/>
      <c r="D55" s="2486"/>
      <c r="E55" s="2486"/>
      <c r="F55" s="2486"/>
      <c r="G55" s="2486"/>
      <c r="H55" s="2486"/>
      <c r="I55" s="2486"/>
      <c r="J55" s="2486"/>
      <c r="K55" s="2486"/>
      <c r="L55" s="2486"/>
      <c r="M55" s="2486"/>
      <c r="N55" s="3490"/>
      <c r="O55" s="3496" t="s">
        <v>1473</v>
      </c>
      <c r="P55" s="3496"/>
      <c r="Q55" s="2877" t="str">
        <f>IF(HLOOKUP(Sheele!$M$5,'Tablas Sheele'!$C$29:$K$86,'Tablas Sheele'!B75,FALSE)=0,"",HLOOKUP(Sheele!$M$5,'Tablas Sheele'!$C$29:$K$86,'Tablas Sheele'!B75,FALSE)+IF($X$8&gt;0,40+20*($X$8-1),0)+V55)</f>
        <v/>
      </c>
      <c r="R55" s="2225"/>
      <c r="S55" s="463" t="str">
        <f>IF(W55,IF(OR(X55&lt;0,AND(Principal!Q67="-",$X$5)),"-",IF($X$5,MIN(Principal!Q67,X55),X55)),X55)</f>
        <v>-</v>
      </c>
      <c r="T55" s="2019"/>
      <c r="U55" s="2016"/>
      <c r="V55" s="3142"/>
      <c r="W55" s="3142">
        <v>1</v>
      </c>
      <c r="X55" s="3142">
        <f t="shared" si="1"/>
        <v>-30</v>
      </c>
    </row>
    <row r="56" spans="1:24" ht="12" customHeight="1" x14ac:dyDescent="0.2">
      <c r="A56" s="330"/>
      <c r="B56" s="335"/>
      <c r="C56" s="5225" t="s">
        <v>10007</v>
      </c>
      <c r="D56" s="5226"/>
      <c r="E56" s="5226"/>
      <c r="F56" s="5226"/>
      <c r="G56" s="5226"/>
      <c r="H56" s="5226"/>
      <c r="I56" s="5226"/>
      <c r="J56" s="5226"/>
      <c r="K56" s="5226"/>
      <c r="L56" s="5229"/>
      <c r="M56" s="2486"/>
      <c r="N56" s="3490"/>
      <c r="O56" s="3496" t="s">
        <v>1475</v>
      </c>
      <c r="P56" s="3496"/>
      <c r="Q56" s="2877">
        <f>IF(HLOOKUP(Sheele!$M$5,'Tablas Sheele'!$C$29:$K$86,'Tablas Sheele'!B76,FALSE)=0,"",HLOOKUP(Sheele!$M$5,'Tablas Sheele'!$C$29:$K$86,'Tablas Sheele'!B76,FALSE)+IF($X$8&gt;0,40+20*($X$8-1),0)+V56)</f>
        <v>20</v>
      </c>
      <c r="R56" s="2225"/>
      <c r="S56" s="463">
        <f>IF(W56,IF(OR(X56&lt;0,AND(Principal!Q68="-",$X$5)),"-",IF($X$5,MIN(Principal!Q68,X56),X56)),X56)</f>
        <v>20</v>
      </c>
      <c r="T56" s="2019"/>
      <c r="U56" s="2016"/>
      <c r="V56" s="3142"/>
      <c r="W56" s="3142"/>
      <c r="X56" s="3142">
        <f t="shared" si="1"/>
        <v>20</v>
      </c>
    </row>
    <row r="57" spans="1:24" ht="12" customHeight="1" x14ac:dyDescent="0.2">
      <c r="A57" s="330"/>
      <c r="B57" s="335"/>
      <c r="C57" s="5227"/>
      <c r="D57" s="5228"/>
      <c r="E57" s="5228"/>
      <c r="F57" s="5228"/>
      <c r="G57" s="5228"/>
      <c r="H57" s="5228"/>
      <c r="I57" s="5228"/>
      <c r="J57" s="5228"/>
      <c r="K57" s="5228"/>
      <c r="L57" s="5262"/>
      <c r="M57" s="2486"/>
      <c r="N57" s="3490"/>
      <c r="O57" s="3496" t="s">
        <v>6274</v>
      </c>
      <c r="P57" s="3496"/>
      <c r="Q57" s="2877" t="str">
        <f>IF(HLOOKUP(Sheele!$M$5,'Tablas Sheele'!$C$29:$K$86,'Tablas Sheele'!B77,FALSE)=0,"",HLOOKUP(Sheele!$M$5,'Tablas Sheele'!$C$29:$K$86,'Tablas Sheele'!B77,FALSE)+IF($X$8&gt;0,40+20*($X$8-1),0)+V57)</f>
        <v/>
      </c>
      <c r="R57" s="2225"/>
      <c r="S57" s="463">
        <f>IF(W57,IF(OR(X57&lt;0,AND(Principal!Q69="-",$X$5)),"-",IF($X$5,MIN(Principal!Q69,X57),X57)),X57)</f>
        <v>-30</v>
      </c>
      <c r="T57" s="2019"/>
      <c r="U57" s="2016"/>
      <c r="V57" s="3142"/>
      <c r="W57" s="3142"/>
      <c r="X57" s="3142">
        <f t="shared" si="1"/>
        <v>-30</v>
      </c>
    </row>
    <row r="58" spans="1:24" ht="12" customHeight="1" x14ac:dyDescent="0.2">
      <c r="A58" s="330"/>
      <c r="B58" s="335"/>
      <c r="C58" s="5054" t="s">
        <v>1402</v>
      </c>
      <c r="D58" s="5055"/>
      <c r="E58" s="5108" t="str">
        <f>IF('Tablas Sheele'!F98&gt;0,I4+'Tablas Sheele'!F101,"-")</f>
        <v>-</v>
      </c>
      <c r="F58" s="5109"/>
      <c r="G58" s="5256" t="s">
        <v>2800</v>
      </c>
      <c r="H58" s="5257"/>
      <c r="I58" s="5260" t="str">
        <f>IF('Tablas Sheele'!F98&gt;0,150,"-")</f>
        <v>-</v>
      </c>
      <c r="J58" s="5256" t="s">
        <v>2801</v>
      </c>
      <c r="K58" s="5257"/>
      <c r="L58" s="5254" t="str">
        <f>IF('Tablas Sheele'!F98&gt;0,MAX(10,25+E58*5-'Tablas Sheele'!F99*10)&amp;" / asalto","-")</f>
        <v>-</v>
      </c>
      <c r="M58" s="2486"/>
      <c r="N58" s="3490"/>
      <c r="O58" s="3496" t="s">
        <v>6275</v>
      </c>
      <c r="P58" s="3496"/>
      <c r="Q58" s="2877" t="str">
        <f>IF(HLOOKUP(Sheele!$M$5,'Tablas Sheele'!$C$29:$K$86,'Tablas Sheele'!B78,FALSE)=0,"",HLOOKUP(Sheele!$M$5,'Tablas Sheele'!$C$29:$K$86,'Tablas Sheele'!B78,FALSE)+IF($X$8&gt;0,40+20*($X$8-1),0)+V58)</f>
        <v/>
      </c>
      <c r="R58" s="2225"/>
      <c r="S58" s="463">
        <f>IF(W58,IF(OR(X58&lt;0,AND(Principal!Q70="-",$X$5)),"-",IF($X$5,MIN(Principal!Q70,X58),X58)),X58)</f>
        <v>-30</v>
      </c>
      <c r="T58" s="2019"/>
      <c r="U58" s="2016"/>
      <c r="V58" s="3142"/>
      <c r="W58" s="3142"/>
      <c r="X58" s="3142">
        <f t="shared" si="1"/>
        <v>-30</v>
      </c>
    </row>
    <row r="59" spans="1:24" ht="12" customHeight="1" thickBot="1" x14ac:dyDescent="0.25">
      <c r="A59" s="330"/>
      <c r="B59" s="335"/>
      <c r="C59" s="5056"/>
      <c r="D59" s="5057"/>
      <c r="E59" s="5110"/>
      <c r="F59" s="5111"/>
      <c r="G59" s="5258"/>
      <c r="H59" s="5259"/>
      <c r="I59" s="5261"/>
      <c r="J59" s="5258"/>
      <c r="K59" s="5259"/>
      <c r="L59" s="5255"/>
      <c r="M59" s="2486"/>
      <c r="N59" s="3490"/>
      <c r="O59" s="3496" t="s">
        <v>6276</v>
      </c>
      <c r="P59" s="3496"/>
      <c r="Q59" s="2877" t="str">
        <f>IF(HLOOKUP(Sheele!$M$5,'Tablas Sheele'!$C$29:$K$86,'Tablas Sheele'!B79,FALSE)=0,"",HLOOKUP(Sheele!$M$5,'Tablas Sheele'!$C$29:$K$86,'Tablas Sheele'!B79,FALSE)+IF($X$8&gt;0,40+20*($X$8-1),0)+V59)</f>
        <v/>
      </c>
      <c r="R59" s="2225"/>
      <c r="S59" s="463">
        <f>IF(W59,IF(OR(X59&lt;0,AND(Principal!Q71="-",$X$5)),"-",IF($X$5,MIN(Principal!Q71,X59),X59)),X59)</f>
        <v>-30</v>
      </c>
      <c r="T59" s="2316"/>
      <c r="U59" s="2016"/>
      <c r="V59" s="3142"/>
      <c r="W59" s="3142"/>
      <c r="X59" s="3142">
        <f t="shared" si="1"/>
        <v>-30</v>
      </c>
    </row>
    <row r="60" spans="1:24" ht="12" customHeight="1" x14ac:dyDescent="0.2">
      <c r="A60" s="330"/>
      <c r="B60" s="335"/>
      <c r="C60" s="5245" t="str">
        <f>"Crea una ficha independiente de criatura con Gnosis "&amp;IF('Tablas Sheele'!F100&gt;0,30,20)</f>
        <v>Crea una ficha independiente de criatura con Gnosis 20</v>
      </c>
      <c r="D60" s="5246"/>
      <c r="E60" s="5246"/>
      <c r="F60" s="5246"/>
      <c r="G60" s="5246"/>
      <c r="H60" s="5246"/>
      <c r="I60" s="5246"/>
      <c r="J60" s="5246"/>
      <c r="K60" s="5246"/>
      <c r="L60" s="5247"/>
      <c r="M60" s="2486"/>
      <c r="N60" s="3491"/>
      <c r="O60" s="5042" t="s">
        <v>6277</v>
      </c>
      <c r="P60" s="5043"/>
      <c r="Q60" s="2909" t="str">
        <f>IF(HLOOKUP(Sheele!$M$5,'Tablas Sheele'!$C$29:$K$86,'Tablas Sheele'!B80,FALSE)=0,"",HLOOKUP(Sheele!$M$5,'Tablas Sheele'!$C$29:$K$86,'Tablas Sheele'!B80,FALSE)+IF($X$8&gt;0,40+20*($X$8-1),0)+V60)</f>
        <v/>
      </c>
      <c r="R60" s="2226"/>
      <c r="S60" s="463">
        <f>IF(W60,IF(OR(X60&lt;0,AND(Principal!Q72="-",$X$5)),"-",IF($X$5,MIN(Principal!Q72,X60),X60)),X60)</f>
        <v>-30</v>
      </c>
      <c r="T60" s="2018"/>
      <c r="U60" s="2016"/>
      <c r="V60" s="3142"/>
      <c r="W60" s="3142"/>
      <c r="X60" s="3142">
        <f t="shared" si="1"/>
        <v>-30</v>
      </c>
    </row>
    <row r="61" spans="1:24" ht="12" customHeight="1" x14ac:dyDescent="0.2">
      <c r="A61" s="330"/>
      <c r="B61" s="335"/>
      <c r="C61" s="5248"/>
      <c r="D61" s="5249"/>
      <c r="E61" s="5249"/>
      <c r="F61" s="5249"/>
      <c r="G61" s="5249"/>
      <c r="H61" s="5249"/>
      <c r="I61" s="5249"/>
      <c r="J61" s="5249"/>
      <c r="K61" s="5249"/>
      <c r="L61" s="5250"/>
      <c r="M61" s="2486"/>
      <c r="N61" s="3490" t="s">
        <v>1476</v>
      </c>
      <c r="O61" s="3496" t="str">
        <f>IF(PDs!P183="","-",PDs!P183)</f>
        <v>-</v>
      </c>
      <c r="P61" s="3496"/>
      <c r="Q61" s="2877" t="str">
        <f>IF(HLOOKUP(Sheele!$M$5,'Tablas Sheele'!$C$29:$K$86,'Tablas Sheele'!B81,FALSE)=0,"",HLOOKUP(Sheele!$M$5,'Tablas Sheele'!$C$29:$K$86,'Tablas Sheele'!B81,FALSE)+IF($X$8&gt;0,40+20*($X$8-1),0)+V61)</f>
        <v/>
      </c>
      <c r="R61" s="2228"/>
      <c r="S61" s="2314">
        <f>IF(W61,IF(OR(X61&lt;0,AND(Principal!Q73="-",$X$5)),"-",IF($X$5,MIN(Principal!Q73,X61),X61)),X61)</f>
        <v>-30</v>
      </c>
      <c r="T61" s="2316"/>
      <c r="U61" s="2016"/>
      <c r="V61" s="3142"/>
      <c r="W61" s="3142"/>
      <c r="X61" s="3142">
        <f t="shared" si="1"/>
        <v>-30</v>
      </c>
    </row>
    <row r="62" spans="1:24" ht="12" customHeight="1" x14ac:dyDescent="0.2">
      <c r="A62" s="330"/>
      <c r="B62" s="335"/>
      <c r="C62" s="5248" t="s">
        <v>2806</v>
      </c>
      <c r="D62" s="5249"/>
      <c r="E62" s="5249"/>
      <c r="F62" s="5249"/>
      <c r="G62" s="5249"/>
      <c r="H62" s="5249"/>
      <c r="I62" s="5249"/>
      <c r="J62" s="5249"/>
      <c r="K62" s="5249"/>
      <c r="L62" s="5250"/>
      <c r="M62" s="2486"/>
      <c r="N62" s="3490"/>
      <c r="O62" s="3496" t="str">
        <f>IF(PDs!P184="","-",PDs!P184)</f>
        <v>-</v>
      </c>
      <c r="P62" s="3496"/>
      <c r="Q62" s="2877" t="str">
        <f>IF(HLOOKUP(Sheele!$M$5,'Tablas Sheele'!$C$29:$K$86,'Tablas Sheele'!B82,FALSE)=0,"",HLOOKUP(Sheele!$M$5,'Tablas Sheele'!$C$29:$K$86,'Tablas Sheele'!B82,FALSE)+IF($X$8&gt;0,40+20*($X$8-1),0)+V62)</f>
        <v/>
      </c>
      <c r="R62" s="2225"/>
      <c r="S62" s="463">
        <f>IF(W62,IF(OR(X62&lt;0,AND(Principal!Q74="-",$X$5)),"-",IF($X$5,MIN(Principal!Q74,X62),X62)),X62)</f>
        <v>-30</v>
      </c>
      <c r="T62" s="2018"/>
      <c r="U62" s="2016"/>
      <c r="V62" s="3142"/>
      <c r="W62" s="3142"/>
      <c r="X62" s="3142">
        <f t="shared" si="1"/>
        <v>-30</v>
      </c>
    </row>
    <row r="63" spans="1:24" ht="12" customHeight="1" x14ac:dyDescent="0.2">
      <c r="A63" s="330"/>
      <c r="B63" s="279"/>
      <c r="C63" s="5248"/>
      <c r="D63" s="5249"/>
      <c r="E63" s="5249"/>
      <c r="F63" s="5249"/>
      <c r="G63" s="5249"/>
      <c r="H63" s="5249"/>
      <c r="I63" s="5249"/>
      <c r="J63" s="5249"/>
      <c r="K63" s="5249"/>
      <c r="L63" s="5250"/>
      <c r="M63" s="2486"/>
      <c r="N63" s="3490"/>
      <c r="O63" s="3496" t="str">
        <f>IF(PDs!P185="","-",PDs!P185)</f>
        <v>-</v>
      </c>
      <c r="P63" s="3496"/>
      <c r="Q63" s="2877" t="str">
        <f>IF(HLOOKUP(Sheele!$M$5,'Tablas Sheele'!$C$29:$K$86,'Tablas Sheele'!B83,FALSE)=0,"",HLOOKUP(Sheele!$M$5,'Tablas Sheele'!$C$29:$K$86,'Tablas Sheele'!B83,FALSE)+IF($X$8&gt;0,40+20*($X$8-1),0)+V63)</f>
        <v/>
      </c>
      <c r="R63" s="2225"/>
      <c r="S63" s="463">
        <f>IF(W63,IF(OR(X63&lt;0,AND(Principal!Q75="-",$X$5)),"-",IF($X$5,MIN(Principal!Q75,X63),X63)),X63)</f>
        <v>-30</v>
      </c>
      <c r="T63" s="2018"/>
      <c r="U63" s="2016"/>
      <c r="V63" s="3142"/>
      <c r="W63" s="3142"/>
      <c r="X63" s="3142">
        <f t="shared" si="1"/>
        <v>-30</v>
      </c>
    </row>
    <row r="64" spans="1:24" ht="12" customHeight="1" x14ac:dyDescent="0.2">
      <c r="A64" s="330"/>
      <c r="B64" s="279"/>
      <c r="C64" s="5248" t="s">
        <v>10008</v>
      </c>
      <c r="D64" s="5249"/>
      <c r="E64" s="5249"/>
      <c r="F64" s="5249"/>
      <c r="G64" s="5249"/>
      <c r="H64" s="5249"/>
      <c r="I64" s="5249"/>
      <c r="J64" s="5249"/>
      <c r="K64" s="5249"/>
      <c r="L64" s="5250"/>
      <c r="M64" s="2486"/>
      <c r="N64" s="3490"/>
      <c r="O64" s="3496" t="str">
        <f>IF(PDs!P186="","-",PDs!P186)</f>
        <v>-</v>
      </c>
      <c r="P64" s="3496"/>
      <c r="Q64" s="2877" t="str">
        <f>IF(HLOOKUP(Sheele!$M$5,'Tablas Sheele'!$C$29:$K$86,'Tablas Sheele'!B84,FALSE)=0,"",HLOOKUP(Sheele!$M$5,'Tablas Sheele'!$C$29:$K$86,'Tablas Sheele'!B84,FALSE)+IF($X$8&gt;0,40+20*($X$8-1),0)+V64)</f>
        <v/>
      </c>
      <c r="R64" s="2225"/>
      <c r="S64" s="463">
        <f>IF(W64,IF(OR(X64&lt;0,AND(Principal!Q76="-",$X$5)),"-",IF($X$5,MIN(Principal!Q76,X64),X64)),X64)</f>
        <v>-30</v>
      </c>
      <c r="T64" s="2018"/>
      <c r="U64" s="2016"/>
      <c r="V64" s="3142"/>
      <c r="W64" s="3142"/>
      <c r="X64" s="3142">
        <f t="shared" si="1"/>
        <v>-30</v>
      </c>
    </row>
    <row r="65" spans="1:24" ht="12" customHeight="1" thickBot="1" x14ac:dyDescent="0.25">
      <c r="A65" s="330"/>
      <c r="B65" s="279"/>
      <c r="C65" s="5251"/>
      <c r="D65" s="5252"/>
      <c r="E65" s="5252"/>
      <c r="F65" s="5252"/>
      <c r="G65" s="5252"/>
      <c r="H65" s="5252"/>
      <c r="I65" s="5252"/>
      <c r="J65" s="5252"/>
      <c r="K65" s="5252"/>
      <c r="L65" s="5253"/>
      <c r="M65" s="2486"/>
      <c r="N65" s="3623"/>
      <c r="O65" s="3624" t="str">
        <f>IF(PDs!P187="","-",PDs!P187)</f>
        <v>-</v>
      </c>
      <c r="P65" s="3624"/>
      <c r="Q65" s="2878" t="str">
        <f>IF(HLOOKUP(Sheele!$M$5,'Tablas Sheele'!$C$29:$K$86,'Tablas Sheele'!B85,FALSE)=0,"",HLOOKUP(Sheele!$M$5,'Tablas Sheele'!$C$29:$K$86,'Tablas Sheele'!B85,FALSE)+IF($X$8&gt;0,40+20*($X$8-1),0)+V65)</f>
        <v/>
      </c>
      <c r="R65" s="2229"/>
      <c r="S65" s="464">
        <f>IF(W65,IF(OR(X65&lt;0,AND(Principal!Q77="-",$X$5)),"-",IF($X$5,MIN(Principal!Q77,X65),X65)),X65)</f>
        <v>-30</v>
      </c>
      <c r="T65" s="2018"/>
      <c r="U65" s="2016"/>
      <c r="V65" s="3142"/>
      <c r="W65" s="3142"/>
      <c r="X65" s="3142">
        <f t="shared" si="1"/>
        <v>-30</v>
      </c>
    </row>
    <row r="66" spans="1:24" ht="12" customHeight="1" thickBot="1" x14ac:dyDescent="0.25">
      <c r="A66" s="330"/>
      <c r="B66" s="279"/>
      <c r="C66" s="2486"/>
      <c r="D66" s="2486"/>
      <c r="E66" s="2486"/>
      <c r="F66" s="2486"/>
      <c r="G66" s="2486"/>
      <c r="H66" s="2486"/>
      <c r="I66" s="2486"/>
      <c r="J66" s="2486"/>
      <c r="K66" s="2486"/>
      <c r="L66" s="2486"/>
      <c r="M66" s="2486"/>
      <c r="N66" s="2486"/>
      <c r="O66" s="2486"/>
      <c r="P66" s="2486"/>
      <c r="Q66" s="2486"/>
      <c r="R66" s="2486"/>
      <c r="S66" s="2901"/>
      <c r="T66" s="2018"/>
      <c r="U66" s="2016"/>
      <c r="V66" s="3127"/>
      <c r="W66" s="3127"/>
      <c r="X66" s="3127"/>
    </row>
    <row r="67" spans="1:24" ht="12" customHeight="1" x14ac:dyDescent="0.2">
      <c r="A67" s="2885"/>
      <c r="B67" s="279"/>
      <c r="C67" s="5119" t="s">
        <v>2814</v>
      </c>
      <c r="D67" s="5120"/>
      <c r="E67" s="5120"/>
      <c r="F67" s="5120"/>
      <c r="G67" s="5120"/>
      <c r="H67" s="5120"/>
      <c r="I67" s="5120"/>
      <c r="J67" s="5120"/>
      <c r="K67" s="5120"/>
      <c r="L67" s="5120"/>
      <c r="M67" s="5120"/>
      <c r="N67" s="5120"/>
      <c r="O67" s="5120"/>
      <c r="P67" s="5120"/>
      <c r="Q67" s="5120"/>
      <c r="R67" s="5120"/>
      <c r="S67" s="5121"/>
      <c r="T67" s="2018"/>
      <c r="U67" s="2016"/>
      <c r="V67" s="3142"/>
      <c r="W67" s="3142"/>
      <c r="X67" s="3142"/>
    </row>
    <row r="68" spans="1:24" ht="12" customHeight="1" x14ac:dyDescent="0.2">
      <c r="A68" s="330"/>
      <c r="B68" s="279"/>
      <c r="C68" s="5052" t="s">
        <v>2815</v>
      </c>
      <c r="D68" s="5053"/>
      <c r="E68" s="2456" t="s">
        <v>2661</v>
      </c>
      <c r="F68" s="2883" t="s">
        <v>2816</v>
      </c>
      <c r="G68" s="2456" t="s">
        <v>1565</v>
      </c>
      <c r="H68" s="5102" t="s">
        <v>1548</v>
      </c>
      <c r="I68" s="5103"/>
      <c r="J68" s="5103"/>
      <c r="K68" s="5103"/>
      <c r="L68" s="5103"/>
      <c r="M68" s="5103"/>
      <c r="N68" s="5103"/>
      <c r="O68" s="5103"/>
      <c r="P68" s="5103"/>
      <c r="Q68" s="5103"/>
      <c r="R68" s="5103"/>
      <c r="S68" s="5104"/>
      <c r="T68" s="2018"/>
      <c r="U68" s="2016"/>
      <c r="V68" s="3127"/>
      <c r="W68" s="3127"/>
      <c r="X68" s="3127"/>
    </row>
    <row r="69" spans="1:24" ht="12" customHeight="1" x14ac:dyDescent="0.2">
      <c r="A69" s="2885"/>
      <c r="B69" s="279"/>
      <c r="C69" s="5122" t="str">
        <f>INDEX('Tablas Sheele'!$C$203:$C$242,MATCH(Sheele!$M$5,'Tablas Sheele'!$C$203:$C$242,0)+'Tablas Sheele'!A1)</f>
        <v>Vuelo Místico 10</v>
      </c>
      <c r="D69" s="5123"/>
      <c r="E69" s="2884" t="str">
        <f>IF($C69=" ","","-")</f>
        <v>-</v>
      </c>
      <c r="F69" s="2884" t="str">
        <f>IF($C69=" ","","-")</f>
        <v>-</v>
      </c>
      <c r="G69" s="2457" t="str">
        <f>IF($C69=" ","","-")</f>
        <v>-</v>
      </c>
      <c r="H69" s="5105" t="str">
        <f>IF(C69=" ","",VLOOKUP(C69,'Tablas Sheele'!$C$203:$J$242,3,FALSE))</f>
        <v>Puede volar con Tipo de Movimiento 10</v>
      </c>
      <c r="I69" s="5106"/>
      <c r="J69" s="5106"/>
      <c r="K69" s="5106"/>
      <c r="L69" s="5106"/>
      <c r="M69" s="5106"/>
      <c r="N69" s="5106"/>
      <c r="O69" s="5106"/>
      <c r="P69" s="5106"/>
      <c r="Q69" s="5106"/>
      <c r="R69" s="5106"/>
      <c r="S69" s="5107"/>
      <c r="T69" s="2018"/>
      <c r="U69" s="2016"/>
      <c r="V69" s="3127"/>
      <c r="W69" s="3127"/>
      <c r="X69" s="3127"/>
    </row>
    <row r="70" spans="1:24" ht="12" customHeight="1" x14ac:dyDescent="0.2">
      <c r="A70" s="2885"/>
      <c r="B70" s="279"/>
      <c r="C70" s="5040" t="str">
        <f>INDEX('Tablas Sheele'!$C$203:$C$242,MATCH(Sheele!$M$5,'Tablas Sheele'!$C$203:$C$242,0)+'Tablas Sheele'!A2)</f>
        <v>Movimiento Defensivo</v>
      </c>
      <c r="D70" s="5041"/>
      <c r="E70" s="2458" t="str">
        <f>IF($C70=" ","","-")</f>
        <v>-</v>
      </c>
      <c r="F70" s="2458" t="str">
        <f>IF($C70=" ","",IF(C70='Tablas Sheele'!C215,Sheele!F45,"-"))</f>
        <v>-</v>
      </c>
      <c r="G70" s="347" t="str">
        <f>IF($C70=" ","","-")</f>
        <v>-</v>
      </c>
      <c r="H70" s="5044" t="str">
        <f>IF(C70=" ","",VLOOKUP(C70,'Tablas Sheele'!$C$203:$J$242,3,FALSE))</f>
        <v>Usa su Proyección Mágica como Esquiva.</v>
      </c>
      <c r="I70" s="5045"/>
      <c r="J70" s="5045"/>
      <c r="K70" s="5045"/>
      <c r="L70" s="5045"/>
      <c r="M70" s="5045"/>
      <c r="N70" s="5045"/>
      <c r="O70" s="5045"/>
      <c r="P70" s="5045"/>
      <c r="Q70" s="5045"/>
      <c r="R70" s="5045"/>
      <c r="S70" s="5046"/>
      <c r="T70" s="2018"/>
      <c r="U70" s="2016"/>
      <c r="V70" s="3127"/>
      <c r="W70" s="3127"/>
      <c r="X70" s="3127"/>
    </row>
    <row r="71" spans="1:24" ht="12" customHeight="1" x14ac:dyDescent="0.2">
      <c r="A71" s="2885"/>
      <c r="B71" s="279"/>
      <c r="C71" s="5040" t="str">
        <f>INDEX('Tablas Sheele'!$C$203:$C$242,MATCH(Sheele!$M$5,'Tablas Sheele'!$C$203:$C$242,0)+'Tablas Sheele'!A3)</f>
        <v xml:space="preserve"> </v>
      </c>
      <c r="D71" s="5041"/>
      <c r="E71" s="2458" t="str">
        <f>IF($C71=" ","","-")</f>
        <v/>
      </c>
      <c r="F71" s="2458" t="str">
        <f>IF($C71=" ","","-")</f>
        <v/>
      </c>
      <c r="G71" s="347" t="str">
        <f>IF($C71=" ","","-")</f>
        <v/>
      </c>
      <c r="H71" s="5044" t="str">
        <f>IF(C71=" ","",VLOOKUP(C71,'Tablas Sheele'!$C$203:$J$242,3,FALSE))</f>
        <v/>
      </c>
      <c r="I71" s="5045"/>
      <c r="J71" s="5045"/>
      <c r="K71" s="5045"/>
      <c r="L71" s="5045"/>
      <c r="M71" s="5045"/>
      <c r="N71" s="5045"/>
      <c r="O71" s="5045"/>
      <c r="P71" s="5045"/>
      <c r="Q71" s="5045"/>
      <c r="R71" s="5045"/>
      <c r="S71" s="5046"/>
      <c r="T71" s="2018"/>
      <c r="U71" s="2016"/>
      <c r="V71" s="3127"/>
      <c r="W71" s="3127"/>
      <c r="X71" s="3127"/>
    </row>
    <row r="72" spans="1:24" ht="12" customHeight="1" x14ac:dyDescent="0.2">
      <c r="A72" s="2885"/>
      <c r="B72" s="279"/>
      <c r="C72" s="5265" t="str">
        <f>INDEX('Tablas Sheele'!$C$203:$C$242,MATCH(Sheele!$M$5,'Tablas Sheele'!$C$203:$C$242,0)+'Tablas Sheele'!A4)</f>
        <v xml:space="preserve"> </v>
      </c>
      <c r="D72" s="5266"/>
      <c r="E72" s="2913" t="str">
        <f>IF($C72=" ","","-")</f>
        <v/>
      </c>
      <c r="F72" s="2913" t="str">
        <f>IF($C72=" ","","-")</f>
        <v/>
      </c>
      <c r="G72" s="2914" t="str">
        <f>IF($C72=" ","","-")</f>
        <v/>
      </c>
      <c r="H72" s="5099" t="str">
        <f>IF(C72=" ","",VLOOKUP(C72,'Tablas Sheele'!$C$203:$J$242,3,FALSE))</f>
        <v/>
      </c>
      <c r="I72" s="5100"/>
      <c r="J72" s="5100"/>
      <c r="K72" s="5100"/>
      <c r="L72" s="5100"/>
      <c r="M72" s="5100"/>
      <c r="N72" s="5100"/>
      <c r="O72" s="5100"/>
      <c r="P72" s="5100"/>
      <c r="Q72" s="5100"/>
      <c r="R72" s="5100"/>
      <c r="S72" s="5101"/>
      <c r="T72" s="2018"/>
      <c r="U72" s="2016"/>
      <c r="V72" s="3127"/>
      <c r="W72" s="3127"/>
      <c r="X72" s="3127"/>
    </row>
    <row r="73" spans="1:24" ht="12" customHeight="1" x14ac:dyDescent="0.2">
      <c r="A73" s="2885"/>
      <c r="B73" s="279"/>
      <c r="C73" s="5122" t="str">
        <f>IF(COUNTA($C$72:C72)&lt;='Tablas Sheele'!$H$198,VLOOKUP('Tablas Sheele'!A1,'Tablas Sheele'!$B$110:$R$197,3,FALSE),"")</f>
        <v/>
      </c>
      <c r="D73" s="5123"/>
      <c r="E73" s="2884" t="str">
        <f>IF($C73="","",VLOOKUP('Tablas Sheele'!$A1,'Tablas Sheele'!$B$110:$R197,8,FALSE))</f>
        <v/>
      </c>
      <c r="F73" s="2884" t="str">
        <f>IF($C73="","",VLOOKUP('Tablas Sheele'!$A1,'Tablas Sheele'!$B$110:$R197,9,FALSE))</f>
        <v/>
      </c>
      <c r="G73" s="2457" t="str">
        <f>IF($C73="","",VLOOKUP('Tablas Sheele'!$A1,'Tablas Sheele'!$B$110:$R197,10,FALSE))</f>
        <v/>
      </c>
      <c r="H73" s="5124" t="str">
        <f>IF($C73="","",VLOOKUP('Tablas Sheele'!$A1,'Tablas Sheele'!$B$110:$R197,11,FALSE))</f>
        <v/>
      </c>
      <c r="I73" s="5097"/>
      <c r="J73" s="5097"/>
      <c r="K73" s="5097"/>
      <c r="L73" s="5097"/>
      <c r="M73" s="5097"/>
      <c r="N73" s="5097"/>
      <c r="O73" s="5097"/>
      <c r="P73" s="5097"/>
      <c r="Q73" s="5097"/>
      <c r="R73" s="5097"/>
      <c r="S73" s="5098"/>
      <c r="T73" s="2018"/>
      <c r="U73" s="2016"/>
      <c r="V73" s="3127"/>
      <c r="W73" s="3127"/>
      <c r="X73" s="3127"/>
    </row>
    <row r="74" spans="1:24" ht="12" customHeight="1" x14ac:dyDescent="0.2">
      <c r="A74" s="2885"/>
      <c r="B74" s="279"/>
      <c r="C74" s="5040" t="str">
        <f>IF(COUNTA($C$72:C73)&lt;='Tablas Sheele'!$H$198,VLOOKUP('Tablas Sheele'!A2,'Tablas Sheele'!$B$110:$R$197,3,FALSE),"")</f>
        <v/>
      </c>
      <c r="D74" s="5041"/>
      <c r="E74" s="2458" t="str">
        <f>IF($C74="","",VLOOKUP('Tablas Sheele'!$A2,'Tablas Sheele'!$B$110:$R198,8,FALSE))</f>
        <v/>
      </c>
      <c r="F74" s="2458" t="str">
        <f>IF($C74="","",VLOOKUP('Tablas Sheele'!$A2,'Tablas Sheele'!$B$110:$R198,9,FALSE))</f>
        <v/>
      </c>
      <c r="G74" s="347" t="str">
        <f>IF($C74="","",VLOOKUP('Tablas Sheele'!$A2,'Tablas Sheele'!$B$110:$R198,10,FALSE))</f>
        <v/>
      </c>
      <c r="H74" s="5047" t="str">
        <f>IF($C74="","",VLOOKUP('Tablas Sheele'!$A2,'Tablas Sheele'!$B$110:$R198,11,FALSE))</f>
        <v/>
      </c>
      <c r="I74" s="5048"/>
      <c r="J74" s="5048"/>
      <c r="K74" s="5048"/>
      <c r="L74" s="5048"/>
      <c r="M74" s="5048"/>
      <c r="N74" s="5048"/>
      <c r="O74" s="5048"/>
      <c r="P74" s="5048"/>
      <c r="Q74" s="5048"/>
      <c r="R74" s="5048"/>
      <c r="S74" s="5049"/>
      <c r="T74" s="2018"/>
      <c r="U74" s="2016"/>
      <c r="V74" s="3127"/>
      <c r="W74" s="3127"/>
      <c r="X74" s="3127"/>
    </row>
    <row r="75" spans="1:24" ht="12" customHeight="1" x14ac:dyDescent="0.2">
      <c r="A75" s="2885"/>
      <c r="B75" s="279"/>
      <c r="C75" s="5040" t="str">
        <f>IF(COUNTA($C$72:C74)&lt;='Tablas Sheele'!$H$198,VLOOKUP('Tablas Sheele'!A3,'Tablas Sheele'!$B$110:$R$197,3,FALSE),"")</f>
        <v/>
      </c>
      <c r="D75" s="5041"/>
      <c r="E75" s="2458" t="str">
        <f>IF($C75="","",VLOOKUP('Tablas Sheele'!$A3,'Tablas Sheele'!$B$110:$R199,8,FALSE))</f>
        <v/>
      </c>
      <c r="F75" s="2458" t="str">
        <f>IF($C75="","",VLOOKUP('Tablas Sheele'!$A3,'Tablas Sheele'!$B$110:$R199,9,FALSE))</f>
        <v/>
      </c>
      <c r="G75" s="347" t="str">
        <f>IF($C75="","",VLOOKUP('Tablas Sheele'!$A3,'Tablas Sheele'!$B$110:$R199,10,FALSE))</f>
        <v/>
      </c>
      <c r="H75" s="5047" t="str">
        <f>IF($C75="","",VLOOKUP('Tablas Sheele'!$A3,'Tablas Sheele'!$B$110:$R199,11,FALSE))</f>
        <v/>
      </c>
      <c r="I75" s="5048"/>
      <c r="J75" s="5048"/>
      <c r="K75" s="5048"/>
      <c r="L75" s="5048"/>
      <c r="M75" s="5048"/>
      <c r="N75" s="5048"/>
      <c r="O75" s="5048"/>
      <c r="P75" s="5048"/>
      <c r="Q75" s="5048"/>
      <c r="R75" s="5048"/>
      <c r="S75" s="5049"/>
      <c r="T75" s="2018"/>
      <c r="U75" s="2016"/>
      <c r="V75" s="3127"/>
      <c r="W75" s="3127"/>
      <c r="X75" s="3127"/>
    </row>
    <row r="76" spans="1:24" ht="12" customHeight="1" x14ac:dyDescent="0.2">
      <c r="A76" s="2885"/>
      <c r="B76" s="279"/>
      <c r="C76" s="5040" t="str">
        <f>IF(COUNTA($C$72:C75)&lt;='Tablas Sheele'!$H$198,VLOOKUP('Tablas Sheele'!A4,'Tablas Sheele'!$B$110:$R$197,3,FALSE),"")</f>
        <v/>
      </c>
      <c r="D76" s="5041"/>
      <c r="E76" s="2458" t="str">
        <f>IF($C76="","",VLOOKUP('Tablas Sheele'!$A4,'Tablas Sheele'!$B$110:$R200,8,FALSE))</f>
        <v/>
      </c>
      <c r="F76" s="2458" t="str">
        <f>IF($C76="","",VLOOKUP('Tablas Sheele'!$A4,'Tablas Sheele'!$B$110:$R200,9,FALSE))</f>
        <v/>
      </c>
      <c r="G76" s="347" t="str">
        <f>IF($C76="","",VLOOKUP('Tablas Sheele'!$A4,'Tablas Sheele'!$B$110:$R200,10,FALSE))</f>
        <v/>
      </c>
      <c r="H76" s="5047" t="str">
        <f>IF($C76="","",VLOOKUP('Tablas Sheele'!$A4,'Tablas Sheele'!$B$110:$R200,11,FALSE))</f>
        <v/>
      </c>
      <c r="I76" s="5048"/>
      <c r="J76" s="5048"/>
      <c r="K76" s="5048"/>
      <c r="L76" s="5048"/>
      <c r="M76" s="5048"/>
      <c r="N76" s="5048"/>
      <c r="O76" s="5048"/>
      <c r="P76" s="5048"/>
      <c r="Q76" s="5048"/>
      <c r="R76" s="5048"/>
      <c r="S76" s="5049"/>
      <c r="T76" s="2018"/>
      <c r="U76" s="2016"/>
      <c r="V76" s="3127"/>
      <c r="W76" s="3127"/>
      <c r="X76" s="3127"/>
    </row>
    <row r="77" spans="1:24" ht="12" customHeight="1" x14ac:dyDescent="0.2">
      <c r="A77" s="2885"/>
      <c r="B77" s="279"/>
      <c r="C77" s="5040" t="str">
        <f>IF(COUNTA($C$72:C76)&lt;='Tablas Sheele'!$H$198,VLOOKUP('Tablas Sheele'!A5,'Tablas Sheele'!$B$110:$R$197,3,FALSE),"")</f>
        <v/>
      </c>
      <c r="D77" s="5041"/>
      <c r="E77" s="2458" t="str">
        <f>IF($C77="","",VLOOKUP('Tablas Sheele'!$A5,'Tablas Sheele'!$B$110:$R201,8,FALSE))</f>
        <v/>
      </c>
      <c r="F77" s="2458" t="str">
        <f>IF($C77="","",VLOOKUP('Tablas Sheele'!$A5,'Tablas Sheele'!$B$110:$R201,9,FALSE))</f>
        <v/>
      </c>
      <c r="G77" s="347" t="str">
        <f>IF($C77="","",VLOOKUP('Tablas Sheele'!$A5,'Tablas Sheele'!$B$110:$R201,10,FALSE))</f>
        <v/>
      </c>
      <c r="H77" s="5047" t="str">
        <f>IF($C77="","",VLOOKUP('Tablas Sheele'!$A5,'Tablas Sheele'!$B$110:$R201,11,FALSE))</f>
        <v/>
      </c>
      <c r="I77" s="5048"/>
      <c r="J77" s="5048"/>
      <c r="K77" s="5048"/>
      <c r="L77" s="5048"/>
      <c r="M77" s="5048"/>
      <c r="N77" s="5048"/>
      <c r="O77" s="5048"/>
      <c r="P77" s="5048"/>
      <c r="Q77" s="5048"/>
      <c r="R77" s="5048"/>
      <c r="S77" s="5049"/>
      <c r="T77" s="2018"/>
      <c r="U77" s="2016"/>
      <c r="V77" s="3127"/>
      <c r="W77" s="3127"/>
      <c r="X77" s="3127"/>
    </row>
    <row r="78" spans="1:24" ht="12" customHeight="1" x14ac:dyDescent="0.2">
      <c r="A78" s="2885"/>
      <c r="B78" s="279"/>
      <c r="C78" s="5040" t="str">
        <f>IF(COUNTA($C$72:C77)&lt;='Tablas Sheele'!$H$198,VLOOKUP('Tablas Sheele'!A6,'Tablas Sheele'!$B$110:$R$197,3,FALSE),"")</f>
        <v/>
      </c>
      <c r="D78" s="5041"/>
      <c r="E78" s="2458" t="str">
        <f>IF($C78="","",VLOOKUP('Tablas Sheele'!$A6,'Tablas Sheele'!$B$110:$R202,8,FALSE))</f>
        <v/>
      </c>
      <c r="F78" s="2458" t="str">
        <f>IF($C78="","",VLOOKUP('Tablas Sheele'!$A6,'Tablas Sheele'!$B$110:$R202,9,FALSE))</f>
        <v/>
      </c>
      <c r="G78" s="347" t="str">
        <f>IF($C78="","",VLOOKUP('Tablas Sheele'!$A6,'Tablas Sheele'!$B$110:$R202,10,FALSE))</f>
        <v/>
      </c>
      <c r="H78" s="5047" t="str">
        <f>IF($C78="","",VLOOKUP('Tablas Sheele'!$A6,'Tablas Sheele'!$B$110:$R202,11,FALSE))</f>
        <v/>
      </c>
      <c r="I78" s="5048"/>
      <c r="J78" s="5048"/>
      <c r="K78" s="5048"/>
      <c r="L78" s="5048"/>
      <c r="M78" s="5048"/>
      <c r="N78" s="5048"/>
      <c r="O78" s="5048"/>
      <c r="P78" s="5048"/>
      <c r="Q78" s="5048"/>
      <c r="R78" s="5048"/>
      <c r="S78" s="5049"/>
      <c r="T78" s="2018"/>
      <c r="U78" s="2016"/>
      <c r="V78" s="3127"/>
      <c r="W78" s="3127"/>
      <c r="X78" s="3127"/>
    </row>
    <row r="79" spans="1:24" ht="12" customHeight="1" x14ac:dyDescent="0.2">
      <c r="A79" s="2885"/>
      <c r="B79" s="279"/>
      <c r="C79" s="5040" t="str">
        <f>IF(COUNTA($C$72:C78)&lt;='Tablas Sheele'!$H$198,VLOOKUP('Tablas Sheele'!A7,'Tablas Sheele'!$B$110:$R$197,3,FALSE),"")</f>
        <v/>
      </c>
      <c r="D79" s="5041"/>
      <c r="E79" s="2458" t="str">
        <f>IF($C79="","",VLOOKUP('Tablas Sheele'!$A7,'Tablas Sheele'!$B$110:$R203,8,FALSE))</f>
        <v/>
      </c>
      <c r="F79" s="2458" t="str">
        <f>IF($C79="","",VLOOKUP('Tablas Sheele'!$A7,'Tablas Sheele'!$B$110:$R203,9,FALSE))</f>
        <v/>
      </c>
      <c r="G79" s="347" t="str">
        <f>IF($C79="","",VLOOKUP('Tablas Sheele'!$A7,'Tablas Sheele'!$B$110:$R203,10,FALSE))</f>
        <v/>
      </c>
      <c r="H79" s="5047" t="str">
        <f>IF($C79="","",VLOOKUP('Tablas Sheele'!$A7,'Tablas Sheele'!$B$110:$R203,11,FALSE))</f>
        <v/>
      </c>
      <c r="I79" s="5048"/>
      <c r="J79" s="5048"/>
      <c r="K79" s="5048"/>
      <c r="L79" s="5048"/>
      <c r="M79" s="5048"/>
      <c r="N79" s="5048"/>
      <c r="O79" s="5048"/>
      <c r="P79" s="5048"/>
      <c r="Q79" s="5048"/>
      <c r="R79" s="5048"/>
      <c r="S79" s="5049"/>
      <c r="T79" s="2018"/>
      <c r="U79" s="2016"/>
      <c r="V79" s="3127"/>
      <c r="W79" s="3127"/>
      <c r="X79" s="3127"/>
    </row>
    <row r="80" spans="1:24" ht="12" customHeight="1" x14ac:dyDescent="0.2">
      <c r="A80" s="2885"/>
      <c r="B80" s="279"/>
      <c r="C80" s="5040" t="str">
        <f>IF(COUNTA($C$72:C79)&lt;='Tablas Sheele'!$H$198,VLOOKUP('Tablas Sheele'!A8,'Tablas Sheele'!$B$110:$R$197,3,FALSE),"")</f>
        <v/>
      </c>
      <c r="D80" s="5041"/>
      <c r="E80" s="2458" t="str">
        <f>IF($C80="","",VLOOKUP('Tablas Sheele'!$A8,'Tablas Sheele'!$B$110:$R204,8,FALSE))</f>
        <v/>
      </c>
      <c r="F80" s="2458" t="str">
        <f>IF($C80="","",VLOOKUP('Tablas Sheele'!$A8,'Tablas Sheele'!$B$110:$R204,9,FALSE))</f>
        <v/>
      </c>
      <c r="G80" s="347" t="str">
        <f>IF($C80="","",VLOOKUP('Tablas Sheele'!$A8,'Tablas Sheele'!$B$110:$R204,10,FALSE))</f>
        <v/>
      </c>
      <c r="H80" s="5047" t="str">
        <f>IF($C80="","",VLOOKUP('Tablas Sheele'!$A8,'Tablas Sheele'!$B$110:$R204,11,FALSE))</f>
        <v/>
      </c>
      <c r="I80" s="5048"/>
      <c r="J80" s="5048"/>
      <c r="K80" s="5048"/>
      <c r="L80" s="5048"/>
      <c r="M80" s="5048"/>
      <c r="N80" s="5048"/>
      <c r="O80" s="5048"/>
      <c r="P80" s="5048"/>
      <c r="Q80" s="5048"/>
      <c r="R80" s="5048"/>
      <c r="S80" s="5049"/>
      <c r="T80" s="2018"/>
      <c r="U80" s="2016"/>
      <c r="V80" s="3127"/>
      <c r="W80" s="3127"/>
      <c r="X80" s="3127"/>
    </row>
    <row r="81" spans="1:24" ht="12" customHeight="1" x14ac:dyDescent="0.2">
      <c r="A81" s="2885"/>
      <c r="B81" s="279"/>
      <c r="C81" s="5040" t="str">
        <f>IF(COUNTA($C$72:C80)&lt;='Tablas Sheele'!$H$198,VLOOKUP('Tablas Sheele'!A9,'Tablas Sheele'!$B$110:$R$197,3,FALSE),"")</f>
        <v/>
      </c>
      <c r="D81" s="5041"/>
      <c r="E81" s="2458" t="str">
        <f>IF($C81="","",VLOOKUP('Tablas Sheele'!$A9,'Tablas Sheele'!$B$110:$R205,8,FALSE))</f>
        <v/>
      </c>
      <c r="F81" s="2458" t="str">
        <f>IF($C81="","",VLOOKUP('Tablas Sheele'!$A9,'Tablas Sheele'!$B$110:$R205,9,FALSE))</f>
        <v/>
      </c>
      <c r="G81" s="347" t="str">
        <f>IF($C81="","",VLOOKUP('Tablas Sheele'!$A9,'Tablas Sheele'!$B$110:$R205,10,FALSE))</f>
        <v/>
      </c>
      <c r="H81" s="5047" t="str">
        <f>IF($C81="","",VLOOKUP('Tablas Sheele'!$A9,'Tablas Sheele'!$B$110:$R205,11,FALSE))</f>
        <v/>
      </c>
      <c r="I81" s="5048"/>
      <c r="J81" s="5048"/>
      <c r="K81" s="5048"/>
      <c r="L81" s="5048"/>
      <c r="M81" s="5048"/>
      <c r="N81" s="5048"/>
      <c r="O81" s="5048"/>
      <c r="P81" s="5048"/>
      <c r="Q81" s="5048"/>
      <c r="R81" s="5048"/>
      <c r="S81" s="5049"/>
      <c r="T81" s="2018"/>
      <c r="U81" s="2016"/>
      <c r="V81" s="3127"/>
      <c r="W81" s="3127"/>
      <c r="X81" s="3127"/>
    </row>
    <row r="82" spans="1:24" ht="12" customHeight="1" x14ac:dyDescent="0.2">
      <c r="A82" s="2885"/>
      <c r="B82" s="279"/>
      <c r="C82" s="5087" t="s">
        <v>2634</v>
      </c>
      <c r="D82" s="5088"/>
      <c r="E82" s="5094" t="s">
        <v>1548</v>
      </c>
      <c r="F82" s="5095"/>
      <c r="G82" s="5095"/>
      <c r="H82" s="5095"/>
      <c r="I82" s="5095"/>
      <c r="J82" s="5095"/>
      <c r="K82" s="5095"/>
      <c r="L82" s="5095"/>
      <c r="M82" s="5095"/>
      <c r="N82" s="5095"/>
      <c r="O82" s="5095"/>
      <c r="P82" s="5095"/>
      <c r="Q82" s="5095"/>
      <c r="R82" s="5095"/>
      <c r="S82" s="5096"/>
      <c r="T82" s="2018"/>
      <c r="U82" s="2016"/>
      <c r="V82" s="3127"/>
      <c r="W82" s="3127"/>
      <c r="X82" s="3127"/>
    </row>
    <row r="83" spans="1:24" ht="12" customHeight="1" x14ac:dyDescent="0.2">
      <c r="A83" s="2885"/>
      <c r="B83" s="279"/>
      <c r="C83" s="5089" t="str">
        <f>IF(COUNTA($C$82:C82)&lt;='Tablas Sheele'!$H$109,VLOOKUP('Tablas Sheele'!A1,'Tablas Sheele'!$B$91:$D$108,3,FALSE),"")</f>
        <v/>
      </c>
      <c r="D83" s="5090"/>
      <c r="E83" s="5097" t="str">
        <f>IF($C83="","",VLOOKUP(C83,'Tablas Sheele'!D92:Q108,9,FALSE))</f>
        <v/>
      </c>
      <c r="F83" s="5097"/>
      <c r="G83" s="5097"/>
      <c r="H83" s="5097"/>
      <c r="I83" s="5097"/>
      <c r="J83" s="5097"/>
      <c r="K83" s="5097"/>
      <c r="L83" s="5097"/>
      <c r="M83" s="5097"/>
      <c r="N83" s="5097"/>
      <c r="O83" s="5097"/>
      <c r="P83" s="5097"/>
      <c r="Q83" s="5097"/>
      <c r="R83" s="5097"/>
      <c r="S83" s="5098"/>
      <c r="T83" s="2018"/>
      <c r="U83" s="2016"/>
      <c r="V83" s="3127"/>
      <c r="W83" s="3127"/>
      <c r="X83" s="3127"/>
    </row>
    <row r="84" spans="1:24" ht="12" customHeight="1" x14ac:dyDescent="0.2">
      <c r="A84" s="2885"/>
      <c r="B84" s="279"/>
      <c r="C84" s="5085" t="str">
        <f>IF(COUNTA($C$82:C83)&lt;='Tablas Sheele'!$H$109,VLOOKUP('Tablas Sheele'!A2,'Tablas Sheele'!$B$91:$D$108,3,FALSE),"")</f>
        <v/>
      </c>
      <c r="D84" s="5086"/>
      <c r="E84" s="5047" t="str">
        <f>IF($C84="","",VLOOKUP(C84,'Tablas Sheele'!D93:Q109,9,FALSE))</f>
        <v/>
      </c>
      <c r="F84" s="5048"/>
      <c r="G84" s="5048"/>
      <c r="H84" s="5048"/>
      <c r="I84" s="5048"/>
      <c r="J84" s="5048"/>
      <c r="K84" s="5048"/>
      <c r="L84" s="5048"/>
      <c r="M84" s="5048"/>
      <c r="N84" s="5048"/>
      <c r="O84" s="5048"/>
      <c r="P84" s="5048"/>
      <c r="Q84" s="5048"/>
      <c r="R84" s="5048"/>
      <c r="S84" s="5049"/>
      <c r="T84" s="2018"/>
      <c r="U84" s="2016"/>
      <c r="V84" s="3127"/>
      <c r="W84" s="3127"/>
      <c r="X84" s="3127"/>
    </row>
    <row r="85" spans="1:24" ht="12" customHeight="1" x14ac:dyDescent="0.2">
      <c r="A85" s="2885"/>
      <c r="B85" s="279"/>
      <c r="C85" s="5085" t="str">
        <f>IF(COUNTA($C$82:C84)&lt;='Tablas Sheele'!$H$109,VLOOKUP('Tablas Sheele'!A3,'Tablas Sheele'!$B$91:$D$108,3,FALSE),"")</f>
        <v/>
      </c>
      <c r="D85" s="5086"/>
      <c r="E85" s="5047" t="str">
        <f>IF($C85="","",VLOOKUP(C85,'Tablas Sheele'!D94:Q110,9,FALSE))</f>
        <v/>
      </c>
      <c r="F85" s="5048"/>
      <c r="G85" s="5048"/>
      <c r="H85" s="5048"/>
      <c r="I85" s="5048"/>
      <c r="J85" s="5048"/>
      <c r="K85" s="5048"/>
      <c r="L85" s="5048"/>
      <c r="M85" s="5048"/>
      <c r="N85" s="5048"/>
      <c r="O85" s="5048"/>
      <c r="P85" s="5048"/>
      <c r="Q85" s="5048"/>
      <c r="R85" s="5048"/>
      <c r="S85" s="5049"/>
      <c r="T85" s="2018"/>
      <c r="U85" s="2016"/>
      <c r="V85" s="3127"/>
      <c r="W85" s="3127"/>
      <c r="X85" s="3127"/>
    </row>
    <row r="86" spans="1:24" ht="12" customHeight="1" x14ac:dyDescent="0.2">
      <c r="A86" s="2885"/>
      <c r="B86" s="279"/>
      <c r="C86" s="5085" t="str">
        <f>IF(COUNTA($C$82:C85)&lt;='Tablas Sheele'!$H$109,VLOOKUP('Tablas Sheele'!A4,'Tablas Sheele'!$B$91:$D$108,3,FALSE),"")</f>
        <v/>
      </c>
      <c r="D86" s="5086"/>
      <c r="E86" s="5047" t="str">
        <f>IF($C86="","",VLOOKUP(C86,'Tablas Sheele'!D95:Q111,9,FALSE))</f>
        <v/>
      </c>
      <c r="F86" s="5048"/>
      <c r="G86" s="5048"/>
      <c r="H86" s="5048"/>
      <c r="I86" s="5048"/>
      <c r="J86" s="5048"/>
      <c r="K86" s="5048"/>
      <c r="L86" s="5048"/>
      <c r="M86" s="5048"/>
      <c r="N86" s="5048"/>
      <c r="O86" s="5048"/>
      <c r="P86" s="5048"/>
      <c r="Q86" s="5048"/>
      <c r="R86" s="5048"/>
      <c r="S86" s="5049"/>
      <c r="T86" s="2018"/>
      <c r="U86" s="2016"/>
      <c r="V86" s="3127"/>
      <c r="W86" s="3127"/>
      <c r="X86" s="3127"/>
    </row>
    <row r="87" spans="1:24" ht="12" customHeight="1" thickBot="1" x14ac:dyDescent="0.25">
      <c r="A87" s="2885"/>
      <c r="B87" s="279"/>
      <c r="C87" s="5263" t="str">
        <f>IF(COUNTA($C$82:C86)&lt;='Tablas Sheele'!$H$109,VLOOKUP('Tablas Sheele'!A5,'Tablas Sheele'!$B$91:$D$108,3,FALSE),"")</f>
        <v/>
      </c>
      <c r="D87" s="5264"/>
      <c r="E87" s="5091" t="str">
        <f>IF($C87="","",VLOOKUP(C87,'Tablas Sheele'!D96:Q112,9,FALSE))</f>
        <v/>
      </c>
      <c r="F87" s="5092"/>
      <c r="G87" s="5092"/>
      <c r="H87" s="5092"/>
      <c r="I87" s="5092"/>
      <c r="J87" s="5092"/>
      <c r="K87" s="5092"/>
      <c r="L87" s="5092"/>
      <c r="M87" s="5092"/>
      <c r="N87" s="5092"/>
      <c r="O87" s="5092"/>
      <c r="P87" s="5092"/>
      <c r="Q87" s="5092"/>
      <c r="R87" s="5092"/>
      <c r="S87" s="5093"/>
      <c r="T87" s="2018"/>
      <c r="U87" s="2016"/>
      <c r="V87" s="3127"/>
      <c r="W87" s="3127"/>
      <c r="X87" s="3127"/>
    </row>
    <row r="88" spans="1:24" ht="12" customHeight="1" thickBot="1" x14ac:dyDescent="0.25">
      <c r="A88" s="2885"/>
      <c r="B88" s="280"/>
      <c r="C88" s="420"/>
      <c r="D88" s="420"/>
      <c r="E88" s="420"/>
      <c r="F88" s="420"/>
      <c r="G88" s="420"/>
      <c r="H88" s="420"/>
      <c r="I88" s="420"/>
      <c r="J88" s="420"/>
      <c r="K88" s="420"/>
      <c r="L88" s="420"/>
      <c r="M88" s="420"/>
      <c r="N88" s="420"/>
      <c r="O88" s="420"/>
      <c r="P88" s="420"/>
      <c r="Q88" s="420"/>
      <c r="R88" s="420"/>
      <c r="S88" s="2917"/>
      <c r="T88" s="2918"/>
      <c r="U88" s="2016"/>
      <c r="V88" s="3127"/>
      <c r="W88" s="3127"/>
      <c r="X88" s="3127"/>
    </row>
    <row r="89" spans="1:24" ht="9" customHeight="1" thickBot="1" x14ac:dyDescent="0.25">
      <c r="A89" s="2885"/>
      <c r="B89" s="2503"/>
      <c r="C89" s="1420"/>
      <c r="D89" s="1420"/>
      <c r="E89" s="1420"/>
      <c r="F89" s="1420"/>
      <c r="G89" s="1420"/>
      <c r="H89" s="1420"/>
      <c r="I89" s="1420"/>
      <c r="J89" s="1420"/>
      <c r="K89" s="1420"/>
      <c r="L89" s="1420"/>
      <c r="M89" s="1420"/>
      <c r="N89" s="1420"/>
      <c r="O89" s="1420"/>
      <c r="P89" s="1420"/>
      <c r="Q89" s="1420"/>
      <c r="R89" s="1420"/>
      <c r="S89" s="1702"/>
      <c r="T89" s="2915"/>
      <c r="U89" s="2916"/>
      <c r="V89" s="3127"/>
      <c r="W89" s="3127"/>
      <c r="X89" s="3127"/>
    </row>
    <row r="90" spans="1:24" ht="12" customHeight="1" thickBot="1" x14ac:dyDescent="0.25">
      <c r="A90" s="2885"/>
      <c r="B90" s="393"/>
      <c r="C90" s="394"/>
      <c r="D90" s="394"/>
      <c r="E90" s="394"/>
      <c r="F90" s="394"/>
      <c r="G90" s="394"/>
      <c r="H90" s="394"/>
      <c r="I90" s="394"/>
      <c r="J90" s="394"/>
      <c r="K90" s="394"/>
      <c r="L90" s="394"/>
      <c r="M90" s="394"/>
      <c r="N90" s="394"/>
      <c r="O90" s="394"/>
      <c r="P90" s="394"/>
      <c r="Q90" s="394"/>
      <c r="R90" s="394"/>
      <c r="S90" s="394"/>
      <c r="T90" s="2017"/>
      <c r="U90" s="2016"/>
      <c r="V90" s="3127"/>
      <c r="W90" s="3127"/>
      <c r="X90" s="3127"/>
    </row>
    <row r="91" spans="1:24" ht="12" customHeight="1" thickBot="1" x14ac:dyDescent="0.25">
      <c r="A91" s="330"/>
      <c r="B91" s="279"/>
      <c r="C91" s="4461" t="s">
        <v>9602</v>
      </c>
      <c r="D91" s="4462"/>
      <c r="E91" s="4462"/>
      <c r="F91" s="4462"/>
      <c r="G91" s="4462"/>
      <c r="H91" s="4462"/>
      <c r="I91" s="4462"/>
      <c r="J91" s="4462"/>
      <c r="K91" s="4462"/>
      <c r="L91" s="4462"/>
      <c r="M91" s="4462"/>
      <c r="N91" s="4462"/>
      <c r="O91" s="4462"/>
      <c r="P91" s="4462"/>
      <c r="Q91" s="4462"/>
      <c r="R91" s="4462"/>
      <c r="S91" s="4463"/>
      <c r="T91" s="2018"/>
      <c r="U91" s="2016"/>
      <c r="V91" s="3127"/>
      <c r="W91" s="3127"/>
      <c r="X91" s="3127"/>
    </row>
    <row r="92" spans="1:24" ht="12" customHeight="1" x14ac:dyDescent="0.2">
      <c r="A92" s="330"/>
      <c r="B92" s="279"/>
      <c r="C92" s="5241"/>
      <c r="D92" s="5242"/>
      <c r="E92" s="5242"/>
      <c r="F92" s="5242"/>
      <c r="G92" s="5242"/>
      <c r="H92" s="5242"/>
      <c r="I92" s="5242"/>
      <c r="J92" s="5242"/>
      <c r="K92" s="5242"/>
      <c r="L92" s="5242"/>
      <c r="M92" s="5242"/>
      <c r="N92" s="5242"/>
      <c r="O92" s="5242"/>
      <c r="P92" s="5242"/>
      <c r="Q92" s="5242"/>
      <c r="R92" s="5242"/>
      <c r="S92" s="5243"/>
      <c r="T92" s="2019"/>
      <c r="U92" s="2016"/>
      <c r="V92" s="3127"/>
      <c r="W92" s="3127"/>
      <c r="X92" s="3127"/>
    </row>
    <row r="93" spans="1:24" ht="12" customHeight="1" x14ac:dyDescent="0.2">
      <c r="A93" s="2885"/>
      <c r="B93" s="279"/>
      <c r="C93" s="4418"/>
      <c r="D93" s="5244"/>
      <c r="E93" s="5244"/>
      <c r="F93" s="5244"/>
      <c r="G93" s="5244"/>
      <c r="H93" s="5244"/>
      <c r="I93" s="5244"/>
      <c r="J93" s="5244"/>
      <c r="K93" s="5244"/>
      <c r="L93" s="5244"/>
      <c r="M93" s="5244"/>
      <c r="N93" s="5244"/>
      <c r="O93" s="5244"/>
      <c r="P93" s="5244"/>
      <c r="Q93" s="5244"/>
      <c r="R93" s="5244"/>
      <c r="S93" s="4420"/>
      <c r="T93" s="2019"/>
      <c r="U93" s="2016"/>
      <c r="V93" s="3127"/>
      <c r="W93" s="3127"/>
      <c r="X93" s="3127"/>
    </row>
    <row r="94" spans="1:24" ht="12" customHeight="1" x14ac:dyDescent="0.2">
      <c r="A94" s="2885"/>
      <c r="B94" s="279"/>
      <c r="C94" s="4418"/>
      <c r="D94" s="5244"/>
      <c r="E94" s="5244"/>
      <c r="F94" s="5244"/>
      <c r="G94" s="5244"/>
      <c r="H94" s="5244"/>
      <c r="I94" s="5244"/>
      <c r="J94" s="5244"/>
      <c r="K94" s="5244"/>
      <c r="L94" s="5244"/>
      <c r="M94" s="5244"/>
      <c r="N94" s="5244"/>
      <c r="O94" s="5244"/>
      <c r="P94" s="5244"/>
      <c r="Q94" s="5244"/>
      <c r="R94" s="5244"/>
      <c r="S94" s="4420"/>
      <c r="T94" s="2019"/>
      <c r="U94" s="2016"/>
      <c r="V94" s="3127"/>
      <c r="W94" s="3127"/>
      <c r="X94" s="3127"/>
    </row>
    <row r="95" spans="1:24" ht="12" customHeight="1" x14ac:dyDescent="0.2">
      <c r="A95" s="2885"/>
      <c r="B95" s="279"/>
      <c r="C95" s="4418"/>
      <c r="D95" s="5244"/>
      <c r="E95" s="5244"/>
      <c r="F95" s="5244"/>
      <c r="G95" s="5244"/>
      <c r="H95" s="5244"/>
      <c r="I95" s="5244"/>
      <c r="J95" s="5244"/>
      <c r="K95" s="5244"/>
      <c r="L95" s="5244"/>
      <c r="M95" s="5244"/>
      <c r="N95" s="5244"/>
      <c r="O95" s="5244"/>
      <c r="P95" s="5244"/>
      <c r="Q95" s="5244"/>
      <c r="R95" s="5244"/>
      <c r="S95" s="4420"/>
      <c r="T95" s="2019"/>
      <c r="U95" s="2016"/>
      <c r="V95" s="3127"/>
      <c r="W95" s="3127"/>
      <c r="X95" s="3127"/>
    </row>
    <row r="96" spans="1:24" ht="12" customHeight="1" x14ac:dyDescent="0.2">
      <c r="A96" s="2885"/>
      <c r="B96" s="279"/>
      <c r="C96" s="4418"/>
      <c r="D96" s="5244"/>
      <c r="E96" s="5244"/>
      <c r="F96" s="5244"/>
      <c r="G96" s="5244"/>
      <c r="H96" s="5244"/>
      <c r="I96" s="5244"/>
      <c r="J96" s="5244"/>
      <c r="K96" s="5244"/>
      <c r="L96" s="5244"/>
      <c r="M96" s="5244"/>
      <c r="N96" s="5244"/>
      <c r="O96" s="5244"/>
      <c r="P96" s="5244"/>
      <c r="Q96" s="5244"/>
      <c r="R96" s="5244"/>
      <c r="S96" s="4420"/>
      <c r="T96" s="2019"/>
      <c r="U96" s="2016"/>
      <c r="V96" s="3127"/>
      <c r="W96" s="3127"/>
      <c r="X96" s="3127"/>
    </row>
    <row r="97" spans="1:24" ht="12" customHeight="1" x14ac:dyDescent="0.2">
      <c r="A97" s="2885"/>
      <c r="B97" s="279"/>
      <c r="C97" s="4418"/>
      <c r="D97" s="5244"/>
      <c r="E97" s="5244"/>
      <c r="F97" s="5244"/>
      <c r="G97" s="5244"/>
      <c r="H97" s="5244"/>
      <c r="I97" s="5244"/>
      <c r="J97" s="5244"/>
      <c r="K97" s="5244"/>
      <c r="L97" s="5244"/>
      <c r="M97" s="5244"/>
      <c r="N97" s="5244"/>
      <c r="O97" s="5244"/>
      <c r="P97" s="5244"/>
      <c r="Q97" s="5244"/>
      <c r="R97" s="5244"/>
      <c r="S97" s="4420"/>
      <c r="T97" s="2019"/>
      <c r="U97" s="2016"/>
      <c r="V97" s="3127"/>
      <c r="W97" s="3127"/>
      <c r="X97" s="3127"/>
    </row>
    <row r="98" spans="1:24" ht="12" customHeight="1" x14ac:dyDescent="0.2">
      <c r="A98" s="2885"/>
      <c r="B98" s="279"/>
      <c r="C98" s="4418"/>
      <c r="D98" s="5244"/>
      <c r="E98" s="5244"/>
      <c r="F98" s="5244"/>
      <c r="G98" s="5244"/>
      <c r="H98" s="5244"/>
      <c r="I98" s="5244"/>
      <c r="J98" s="5244"/>
      <c r="K98" s="5244"/>
      <c r="L98" s="5244"/>
      <c r="M98" s="5244"/>
      <c r="N98" s="5244"/>
      <c r="O98" s="5244"/>
      <c r="P98" s="5244"/>
      <c r="Q98" s="5244"/>
      <c r="R98" s="5244"/>
      <c r="S98" s="4420"/>
      <c r="T98" s="2019"/>
      <c r="U98" s="2016"/>
      <c r="V98" s="3127"/>
      <c r="W98" s="3127"/>
      <c r="X98" s="3127"/>
    </row>
    <row r="99" spans="1:24" ht="12" customHeight="1" thickBot="1" x14ac:dyDescent="0.25">
      <c r="A99" s="2885"/>
      <c r="B99" s="279"/>
      <c r="C99" s="4421"/>
      <c r="D99" s="4422"/>
      <c r="E99" s="4422"/>
      <c r="F99" s="4422"/>
      <c r="G99" s="4422"/>
      <c r="H99" s="4422"/>
      <c r="I99" s="4422"/>
      <c r="J99" s="4422"/>
      <c r="K99" s="4422"/>
      <c r="L99" s="4422"/>
      <c r="M99" s="4422"/>
      <c r="N99" s="4422"/>
      <c r="O99" s="4422"/>
      <c r="P99" s="4422"/>
      <c r="Q99" s="4422"/>
      <c r="R99" s="4422"/>
      <c r="S99" s="4423"/>
      <c r="T99" s="2019"/>
      <c r="U99" s="2016"/>
      <c r="V99" s="3127"/>
      <c r="W99" s="3127"/>
      <c r="X99" s="3127"/>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7"/>
      <c r="W100" s="3127"/>
      <c r="X100" s="3127"/>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5"/>
      <c r="W101" s="3127"/>
      <c r="X101" s="3127"/>
    </row>
  </sheetData>
  <sheetProtection sheet="1" scenarios="1" selectLockedCells="1"/>
  <protectedRanges>
    <protectedRange sqref="P5 E9:E16 N5 R5" name="Características"/>
    <protectedRange sqref="C24:E33 F24:H35 I25:I39" name="Ventajas_2"/>
  </protectedRanges>
  <mergeCells count="208">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4" t="s">
        <v>8736</v>
      </c>
      <c r="AS1" s="3085"/>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85"/>
      <c r="AS2" s="3085"/>
    </row>
    <row r="3" spans="1:45" ht="12" customHeight="1" thickBot="1" x14ac:dyDescent="0.25">
      <c r="A3" s="29"/>
      <c r="B3" s="485"/>
      <c r="C3" s="3341" t="s">
        <v>10159</v>
      </c>
      <c r="D3" s="3341"/>
      <c r="E3" s="3341"/>
      <c r="F3" s="3341"/>
      <c r="G3" s="3341"/>
      <c r="H3" s="3341"/>
      <c r="I3" s="6"/>
      <c r="J3" s="6"/>
      <c r="K3" s="6"/>
      <c r="L3" s="6"/>
      <c r="M3" s="6"/>
      <c r="N3" s="6"/>
      <c r="O3" s="6"/>
      <c r="P3" s="6"/>
      <c r="Q3" s="7"/>
      <c r="R3" s="36"/>
      <c r="S3" s="29"/>
      <c r="T3" s="29"/>
      <c r="U3" s="485"/>
      <c r="V3" s="5412" t="s">
        <v>10159</v>
      </c>
      <c r="W3" s="5413"/>
      <c r="X3" s="5413"/>
      <c r="Y3" s="5413"/>
      <c r="Z3" s="5413"/>
      <c r="AA3" s="5413"/>
      <c r="AB3" s="518"/>
      <c r="AC3" s="518"/>
      <c r="AD3" s="518"/>
      <c r="AE3" s="518"/>
      <c r="AF3" s="518"/>
      <c r="AG3" s="518"/>
      <c r="AH3" s="518"/>
      <c r="AI3" s="518"/>
      <c r="AJ3" s="518"/>
      <c r="AK3" s="520"/>
      <c r="AL3" s="737"/>
      <c r="AM3" s="29"/>
      <c r="AR3" s="3085"/>
      <c r="AS3" s="3085"/>
    </row>
    <row r="4" spans="1:45" ht="12" customHeight="1" thickBot="1" x14ac:dyDescent="0.25">
      <c r="A4" s="29"/>
      <c r="B4" s="485"/>
      <c r="C4" s="3341"/>
      <c r="D4" s="3341"/>
      <c r="E4" s="3341"/>
      <c r="F4" s="3341"/>
      <c r="G4" s="3341"/>
      <c r="H4" s="3341"/>
      <c r="I4" s="9"/>
      <c r="J4" s="4295" t="s">
        <v>1323</v>
      </c>
      <c r="K4" s="4295"/>
      <c r="L4" s="4353" t="str">
        <f>IF(OR(General!$F$22="",General!$F$22=0),"",General!$F$22)</f>
        <v/>
      </c>
      <c r="M4" s="4353"/>
      <c r="N4" s="4353"/>
      <c r="O4" s="4353"/>
      <c r="P4" s="4353"/>
      <c r="Q4" s="2244"/>
      <c r="R4" s="36"/>
      <c r="S4" s="29"/>
      <c r="T4" s="29"/>
      <c r="U4" s="485"/>
      <c r="V4" s="5414"/>
      <c r="W4" s="3341"/>
      <c r="X4" s="3341"/>
      <c r="Y4" s="3341"/>
      <c r="Z4" s="3341"/>
      <c r="AA4" s="3341"/>
      <c r="AB4" s="9"/>
      <c r="AC4" s="4295" t="s">
        <v>1323</v>
      </c>
      <c r="AD4" s="4295"/>
      <c r="AE4" s="4353" t="str">
        <f>IF(OR(General!$F$22="",General!$F$22=0),"",General!$F$22)</f>
        <v/>
      </c>
      <c r="AF4" s="4353"/>
      <c r="AG4" s="4353"/>
      <c r="AH4" s="4353"/>
      <c r="AI4" s="4353"/>
      <c r="AJ4" s="786"/>
      <c r="AK4" s="705"/>
      <c r="AL4" s="737"/>
      <c r="AM4" s="29"/>
      <c r="AP4" s="39"/>
      <c r="AQ4" s="39"/>
      <c r="AR4" s="3085"/>
      <c r="AS4" s="3085"/>
    </row>
    <row r="5" spans="1:45" ht="12" customHeight="1" thickBot="1" x14ac:dyDescent="0.25">
      <c r="A5" s="29"/>
      <c r="B5" s="485"/>
      <c r="C5" s="3341"/>
      <c r="D5" s="3341"/>
      <c r="E5" s="3341"/>
      <c r="F5" s="3341"/>
      <c r="G5" s="3341"/>
      <c r="H5" s="3341"/>
      <c r="I5" s="9"/>
      <c r="J5" s="4326" t="s">
        <v>1324</v>
      </c>
      <c r="K5" s="4326"/>
      <c r="L5" s="3184" t="str">
        <f>IF(LEN(PDs!$E$11)&lt;=General!$AO$5,PDs!$E$11,"… /"&amp;RIGHT(PDs!$E$11,General!$AO$5-FIND("/",RIGHT(PDs!$E$11,General!$AO$5))))</f>
        <v/>
      </c>
      <c r="M5" s="3184"/>
      <c r="N5" s="3184"/>
      <c r="O5" s="2245" t="s">
        <v>1325</v>
      </c>
      <c r="P5" s="2237" t="str">
        <f>Principal!$O$6</f>
        <v>0</v>
      </c>
      <c r="Q5" s="2254"/>
      <c r="R5" s="36"/>
      <c r="S5" s="29"/>
      <c r="T5" s="29"/>
      <c r="U5" s="485"/>
      <c r="V5" s="5414"/>
      <c r="W5" s="3341"/>
      <c r="X5" s="3341"/>
      <c r="Y5" s="3341"/>
      <c r="Z5" s="3341"/>
      <c r="AA5" s="3341"/>
      <c r="AB5" s="9"/>
      <c r="AC5" s="4326" t="s">
        <v>1324</v>
      </c>
      <c r="AD5" s="4326"/>
      <c r="AE5" s="3184" t="str">
        <f>IF(LEN(PDs!$E$11)&lt;=General!$AO$5,PDs!$E$11,"… /"&amp;RIGHT(PDs!$E$11,General!$AO$5-FIND("/",RIGHT(PDs!$E$11,General!$AO$5))))</f>
        <v/>
      </c>
      <c r="AF5" s="3184"/>
      <c r="AG5" s="3184"/>
      <c r="AH5" s="2245" t="s">
        <v>1325</v>
      </c>
      <c r="AI5" s="2237" t="str">
        <f>Principal!$O$6</f>
        <v>0</v>
      </c>
      <c r="AJ5" s="9"/>
      <c r="AK5" s="706"/>
      <c r="AL5" s="737"/>
      <c r="AM5" s="29"/>
      <c r="AN5" s="167"/>
      <c r="AO5" s="167"/>
      <c r="AP5" s="1451"/>
      <c r="AQ5" s="1451"/>
      <c r="AR5" s="3085"/>
      <c r="AS5" s="3085"/>
    </row>
    <row r="6" spans="1:45" ht="12" customHeight="1" thickBot="1" x14ac:dyDescent="0.25">
      <c r="A6" s="29"/>
      <c r="B6" s="485"/>
      <c r="C6" s="3341"/>
      <c r="D6" s="3341"/>
      <c r="E6" s="3341"/>
      <c r="F6" s="3341"/>
      <c r="G6" s="3341"/>
      <c r="H6" s="3341"/>
      <c r="I6" s="9"/>
      <c r="J6" s="4355" t="s">
        <v>1784</v>
      </c>
      <c r="K6" s="4355"/>
      <c r="L6" s="4355"/>
      <c r="M6" s="4355"/>
      <c r="N6" s="4355"/>
      <c r="O6" s="4355"/>
      <c r="P6" s="4355"/>
      <c r="Q6" s="11"/>
      <c r="R6" s="36"/>
      <c r="S6" s="29"/>
      <c r="T6" s="29"/>
      <c r="U6" s="485"/>
      <c r="V6" s="5414"/>
      <c r="W6" s="3341"/>
      <c r="X6" s="3341"/>
      <c r="Y6" s="3341"/>
      <c r="Z6" s="3341"/>
      <c r="AA6" s="3341"/>
      <c r="AB6" s="9"/>
      <c r="AC6" s="4355" t="s">
        <v>1785</v>
      </c>
      <c r="AD6" s="4355"/>
      <c r="AE6" s="4355"/>
      <c r="AF6" s="4355"/>
      <c r="AG6" s="4355"/>
      <c r="AH6" s="4355"/>
      <c r="AI6" s="4355"/>
      <c r="AJ6" s="9"/>
      <c r="AK6" s="706"/>
      <c r="AL6" s="737"/>
      <c r="AM6" s="29"/>
      <c r="AN6" s="58"/>
      <c r="AO6" s="58"/>
      <c r="AP6" s="1452"/>
      <c r="AQ6" s="1452"/>
      <c r="AR6" s="3085"/>
      <c r="AS6" s="3085"/>
    </row>
    <row r="7" spans="1:45" ht="12" customHeight="1" thickBot="1" x14ac:dyDescent="0.25">
      <c r="A7" s="29"/>
      <c r="B7" s="485"/>
      <c r="C7" s="3341"/>
      <c r="D7" s="3341"/>
      <c r="E7" s="3341"/>
      <c r="F7" s="3341"/>
      <c r="G7" s="3341"/>
      <c r="H7" s="3341"/>
      <c r="I7" s="9"/>
      <c r="J7" s="4355"/>
      <c r="K7" s="4355"/>
      <c r="L7" s="4355"/>
      <c r="M7" s="4355"/>
      <c r="N7" s="4355"/>
      <c r="O7" s="4355"/>
      <c r="P7" s="4355"/>
      <c r="Q7" s="11"/>
      <c r="R7" s="36"/>
      <c r="S7" s="29"/>
      <c r="T7" s="29"/>
      <c r="U7" s="485"/>
      <c r="V7" s="5414"/>
      <c r="W7" s="3341"/>
      <c r="X7" s="3341"/>
      <c r="Y7" s="3341"/>
      <c r="Z7" s="3341"/>
      <c r="AA7" s="3341"/>
      <c r="AB7" s="9"/>
      <c r="AC7" s="4355"/>
      <c r="AD7" s="4355"/>
      <c r="AE7" s="4355"/>
      <c r="AF7" s="4355"/>
      <c r="AG7" s="4355"/>
      <c r="AH7" s="4355"/>
      <c r="AI7" s="4355"/>
      <c r="AJ7" s="9"/>
      <c r="AK7" s="706"/>
      <c r="AL7" s="737"/>
      <c r="AM7" s="29"/>
      <c r="AN7" s="167"/>
      <c r="AO7" s="167"/>
      <c r="AP7" s="1451"/>
      <c r="AQ7" s="1451"/>
      <c r="AR7" s="3145" t="s">
        <v>9613</v>
      </c>
      <c r="AS7" s="3145" t="b">
        <f>COUNTIF($AD$17:$AH$62,"Incrementar Habilidad")=0</f>
        <v>1</v>
      </c>
    </row>
    <row r="8" spans="1:45" ht="12" customHeight="1" thickBot="1" x14ac:dyDescent="0.25">
      <c r="A8" s="29"/>
      <c r="B8" s="485"/>
      <c r="C8" s="3341"/>
      <c r="D8" s="3341"/>
      <c r="E8" s="3341"/>
      <c r="F8" s="3341"/>
      <c r="G8" s="3341"/>
      <c r="H8" s="3341"/>
      <c r="I8" s="12"/>
      <c r="J8" s="12"/>
      <c r="K8" s="12"/>
      <c r="L8" s="12"/>
      <c r="M8" s="12"/>
      <c r="N8" s="12"/>
      <c r="O8" s="12"/>
      <c r="P8" s="12"/>
      <c r="Q8" s="13"/>
      <c r="R8" s="36"/>
      <c r="S8" s="29"/>
      <c r="T8" s="29"/>
      <c r="U8" s="485"/>
      <c r="V8" s="5415"/>
      <c r="W8" s="5416"/>
      <c r="X8" s="5416"/>
      <c r="Y8" s="5416"/>
      <c r="Z8" s="5416"/>
      <c r="AA8" s="5416"/>
      <c r="AB8" s="707"/>
      <c r="AC8" s="707"/>
      <c r="AD8" s="707"/>
      <c r="AE8" s="707"/>
      <c r="AF8" s="707"/>
      <c r="AG8" s="707"/>
      <c r="AH8" s="707"/>
      <c r="AI8" s="707"/>
      <c r="AJ8" s="707"/>
      <c r="AK8" s="708"/>
      <c r="AL8" s="737"/>
      <c r="AM8" s="29"/>
      <c r="AN8" s="58"/>
      <c r="AO8" s="58"/>
      <c r="AP8" s="1452"/>
      <c r="AQ8" s="1452"/>
      <c r="AR8" s="3085"/>
      <c r="AS8" s="3085"/>
    </row>
    <row r="9" spans="1:45" ht="12" customHeight="1" thickBot="1" x14ac:dyDescent="0.25">
      <c r="A9" s="29"/>
      <c r="B9" s="485"/>
      <c r="R9" s="36"/>
      <c r="S9" s="29"/>
      <c r="T9" s="29"/>
      <c r="U9" s="485"/>
      <c r="AL9" s="737"/>
      <c r="AM9" s="29"/>
      <c r="AN9" s="1453"/>
      <c r="AO9" s="1453"/>
      <c r="AP9" s="1454"/>
      <c r="AQ9" s="1454"/>
      <c r="AR9" s="3139" t="str">
        <f>IF(COUNTIF(AD17:AH62,"Incrementar Habilidad")&gt;1,"AGI_DES_AMBOS","AGI_DES")</f>
        <v>AGI_DES</v>
      </c>
      <c r="AS9" s="3085"/>
    </row>
    <row r="10" spans="1:45" ht="12" customHeight="1" thickBot="1" x14ac:dyDescent="0.25">
      <c r="A10" s="29"/>
      <c r="B10" s="485"/>
      <c r="C10" s="5417" t="s">
        <v>1786</v>
      </c>
      <c r="D10" s="5417"/>
      <c r="E10" s="5417"/>
      <c r="F10" s="5417"/>
      <c r="G10" s="17"/>
      <c r="H10" s="3684" t="s">
        <v>1787</v>
      </c>
      <c r="I10" s="3685"/>
      <c r="J10" s="3503"/>
      <c r="K10" s="3606"/>
      <c r="L10" s="1601" t="s">
        <v>1788</v>
      </c>
      <c r="M10" s="1602"/>
      <c r="O10" s="3676" t="s">
        <v>1789</v>
      </c>
      <c r="P10" s="3676"/>
      <c r="Q10" s="3676"/>
      <c r="R10" s="36"/>
      <c r="S10" s="29"/>
      <c r="T10" s="29"/>
      <c r="U10" s="485"/>
      <c r="V10" s="3684" t="s">
        <v>1790</v>
      </c>
      <c r="W10" s="3685"/>
      <c r="X10" s="3685"/>
      <c r="Y10" s="3685"/>
      <c r="Z10" s="3685"/>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418" t="s">
        <v>8287</v>
      </c>
      <c r="AE10" s="5419"/>
      <c r="AF10" s="5419"/>
      <c r="AG10" s="5419"/>
      <c r="AH10" s="5420"/>
      <c r="AI10" s="5430" t="s">
        <v>1238</v>
      </c>
      <c r="AJ10" s="5431"/>
      <c r="AK10" s="5432"/>
      <c r="AL10" s="737"/>
      <c r="AM10" s="29"/>
      <c r="AN10" s="949"/>
      <c r="AO10" s="5439" t="s">
        <v>8710</v>
      </c>
      <c r="AP10" s="5440"/>
      <c r="AQ10" s="1455"/>
      <c r="AR10" s="3146" t="s">
        <v>1378</v>
      </c>
      <c r="AS10" s="3085"/>
    </row>
    <row r="11" spans="1:45" ht="12" customHeight="1" x14ac:dyDescent="0.2">
      <c r="A11" s="29"/>
      <c r="B11" s="485"/>
      <c r="C11" s="5406" t="s">
        <v>1792</v>
      </c>
      <c r="D11" s="5406"/>
      <c r="E11" s="5407" t="s">
        <v>1793</v>
      </c>
      <c r="F11" s="5407"/>
      <c r="H11" s="5400">
        <f>IF(VOL=0,0,VLOOKUP(VOL,Tabla_PotPsi,2))+IF(M10=0,0,VLOOKUP(M10,Tabla_PotPsitporCV,2))+J13+MIN(0,Mod_ATA)</f>
        <v>0</v>
      </c>
      <c r="I11" s="5401"/>
      <c r="J11" s="1599" t="str">
        <f>IF(J13=0,"","Sumar")</f>
        <v/>
      </c>
      <c r="K11" s="1600" t="str">
        <f>IF(J13=0,"",TRUNC(J13/5,0))</f>
        <v/>
      </c>
      <c r="L11" s="5426" t="str">
        <f>IF(J13=0,"","a la Fatiga")</f>
        <v/>
      </c>
      <c r="M11" s="5427"/>
      <c r="O11" s="154" t="s">
        <v>1392</v>
      </c>
      <c r="P11" s="1099" t="s">
        <v>1563</v>
      </c>
      <c r="Q11" s="15" t="s">
        <v>1692</v>
      </c>
      <c r="R11" s="36"/>
      <c r="S11" s="29"/>
      <c r="T11" s="29"/>
      <c r="U11" s="671">
        <f>IF(V11=0,0,1)</f>
        <v>0</v>
      </c>
      <c r="V11" s="5421"/>
      <c r="W11" s="5422"/>
      <c r="X11" s="5422"/>
      <c r="Y11" s="5422"/>
      <c r="Z11" s="5422"/>
      <c r="AA11" s="5277"/>
      <c r="AB11" s="5394" t="str">
        <f>IF(AA11=0,"",IF(AA11*10&lt;100,AA11*10,100))</f>
        <v/>
      </c>
      <c r="AD11" s="5421"/>
      <c r="AE11" s="5422"/>
      <c r="AF11" s="5422"/>
      <c r="AG11" s="5422"/>
      <c r="AH11" s="5422"/>
      <c r="AI11" s="5433" t="str">
        <f>IF(AD11="","-",IF(AL11="-","Ventaja no escogida",IF(INDEX(Tabla_Dificultades,MATCH(AL11,INDEX(Tabla_Dificultades,,2),0),1)&lt;INDEX(Tabla_Dificultades,MATCH(AL12,INDEX(Tabla_Dificultades,,2),0),1),"Poder no válido",AL11)))</f>
        <v>-</v>
      </c>
      <c r="AJ11" s="5434"/>
      <c r="AK11" s="5435"/>
      <c r="AL11" s="1068" t="str">
        <f>IF(Tablas!$G$331&gt;0,"DIF",IF(Tablas!$G$332&gt;0,"MDF",IF(Tablas!$G$333&gt;0,"ABS","-")))</f>
        <v>-</v>
      </c>
      <c r="AM11" s="29"/>
      <c r="AN11" s="949"/>
      <c r="AO11" s="5441"/>
      <c r="AP11" s="5442"/>
      <c r="AQ11" s="1454"/>
      <c r="AR11" s="3147" t="s">
        <v>1373</v>
      </c>
      <c r="AS11" s="3085"/>
    </row>
    <row r="12" spans="1:45" ht="12" customHeight="1" thickBot="1" x14ac:dyDescent="0.25">
      <c r="A12" s="29"/>
      <c r="B12" s="485"/>
      <c r="C12" s="5397">
        <f>CV_final</f>
        <v>0</v>
      </c>
      <c r="D12" s="5397"/>
      <c r="E12" s="5398">
        <f>F18+F15+F16+F17+F19</f>
        <v>0</v>
      </c>
      <c r="F12" s="5398"/>
      <c r="H12" s="5400"/>
      <c r="I12" s="5401"/>
      <c r="J12" s="5402" t="str">
        <f>IF(SUM(Tablas!$G$458:$G$470)+SUM(Tablas!$H$1398:$H$1410),"+1 grado: Des. Psíquico.","")</f>
        <v/>
      </c>
      <c r="K12" s="5403"/>
      <c r="L12" s="5403"/>
      <c r="M12" s="5404"/>
      <c r="O12" s="5405">
        <f>Turno_Nat_final</f>
        <v>40</v>
      </c>
      <c r="P12" s="5399">
        <f>IF(PDs!E113="Tabla de Proyección Psíquica",Proyecciónpsíquica_final-PDs!V112+PDs!V25,Proyecciónpsíquica_final)</f>
        <v>0</v>
      </c>
      <c r="Q12" s="5408">
        <f>IF(PDs!E113="Tabla de Proyección Psíquica",Proyecciónpsíquica_final-PDs!V112+MAX(PDs!V26,PDs!V27),Proyecciónpsíquica_final)</f>
        <v>0</v>
      </c>
      <c r="R12" s="36"/>
      <c r="S12" s="29"/>
      <c r="T12" s="29"/>
      <c r="U12" s="671"/>
      <c r="V12" s="5377" t="str">
        <f>IF(V11=0,"",VLOOKUP(V11,Tabla_PoderesPsi,2,FALSE))</f>
        <v/>
      </c>
      <c r="W12" s="5378"/>
      <c r="X12" s="5378"/>
      <c r="Y12" s="1652" t="s">
        <v>1325</v>
      </c>
      <c r="Z12" s="1653" t="str">
        <f>IF(V11=0,"",VLOOKUP(V11,Tabla_PoderesPsi,3,FALSE))</f>
        <v/>
      </c>
      <c r="AA12" s="5277"/>
      <c r="AB12" s="5279"/>
      <c r="AD12" s="5304" t="str">
        <f>IF(AD11=0,"",VLOOKUP(AD11,Tabla_PoderesPsi,2,FALSE))</f>
        <v/>
      </c>
      <c r="AE12" s="3672"/>
      <c r="AF12" s="3672"/>
      <c r="AG12" s="1098" t="s">
        <v>1325</v>
      </c>
      <c r="AH12" s="453" t="str">
        <f>IF(AD11=0,"",VLOOKUP(AD11,Tabla_PoderesPsi,3,FALSE))</f>
        <v/>
      </c>
      <c r="AI12" s="5436"/>
      <c r="AJ12" s="5437"/>
      <c r="AK12" s="5438"/>
      <c r="AL12" s="1068" t="e">
        <f>INDEX(Lista_Dificultades,1+COUNTIF(INDEX('Tablas psiquica'!$I$7:$R$145,MATCH(AD11,Poderes_psi,0),),"*Fatiga*"))</f>
        <v>#N/A</v>
      </c>
      <c r="AM12" s="29"/>
      <c r="AN12" s="1456"/>
      <c r="AO12" s="5443"/>
      <c r="AP12" s="5444"/>
      <c r="AQ12" s="1455"/>
      <c r="AR12" s="3147" t="s">
        <v>7186</v>
      </c>
      <c r="AS12" s="3085"/>
    </row>
    <row r="13" spans="1:45" ht="12" customHeight="1" thickBot="1" x14ac:dyDescent="0.25">
      <c r="A13" s="29"/>
      <c r="B13" s="485"/>
      <c r="C13" s="5397"/>
      <c r="D13" s="5397"/>
      <c r="E13" s="5398"/>
      <c r="F13" s="5398"/>
      <c r="H13" s="3534" t="s">
        <v>1794</v>
      </c>
      <c r="I13" s="3535"/>
      <c r="J13" s="2230"/>
      <c r="K13" s="5409" t="s">
        <v>1795</v>
      </c>
      <c r="L13" s="5410"/>
      <c r="M13" s="1603"/>
      <c r="O13" s="5405"/>
      <c r="P13" s="5399"/>
      <c r="Q13" s="5408"/>
      <c r="R13" s="36"/>
      <c r="S13" s="29"/>
      <c r="T13" s="29"/>
      <c r="U13" s="671">
        <f>IF(V13=0,0,1)</f>
        <v>0</v>
      </c>
      <c r="V13" s="5380"/>
      <c r="W13" s="5381"/>
      <c r="X13" s="5381"/>
      <c r="Y13" s="5381"/>
      <c r="Z13" s="5381"/>
      <c r="AA13" s="5382"/>
      <c r="AB13" s="5384" t="str">
        <f>IF(AA13=0,"",IF(AA13*10&lt;100,AA13*10,100))</f>
        <v/>
      </c>
      <c r="AL13" s="737"/>
      <c r="AM13" s="29"/>
      <c r="AN13" s="1453"/>
      <c r="AO13" s="1453"/>
      <c r="AP13" s="1454"/>
      <c r="AQ13" s="1454"/>
      <c r="AR13" s="3085"/>
      <c r="AS13" s="3085"/>
    </row>
    <row r="14" spans="1:45" ht="12" customHeight="1" thickBot="1" x14ac:dyDescent="0.25">
      <c r="A14" s="29"/>
      <c r="B14" s="485"/>
      <c r="C14" s="5423" t="s">
        <v>1796</v>
      </c>
      <c r="D14" s="5423"/>
      <c r="E14" s="5423"/>
      <c r="F14" s="155" t="s">
        <v>1791</v>
      </c>
      <c r="R14" s="36"/>
      <c r="S14" s="29"/>
      <c r="T14" s="29"/>
      <c r="U14" s="671"/>
      <c r="V14" s="5424" t="str">
        <f>IF(V13=0,"",VLOOKUP(V13,Tabla_PoderesPsi,2,FALSE))</f>
        <v/>
      </c>
      <c r="W14" s="5425"/>
      <c r="X14" s="5425"/>
      <c r="Y14" s="1758" t="s">
        <v>1325</v>
      </c>
      <c r="Z14" s="1759" t="str">
        <f>IF(V13=0,"",VLOOKUP(V13,Tabla_PoderesPsi,3,FALSE))</f>
        <v/>
      </c>
      <c r="AA14" s="5383"/>
      <c r="AB14" s="5385"/>
      <c r="AL14" s="737"/>
      <c r="AM14" s="29"/>
      <c r="AN14" s="58"/>
      <c r="AO14" s="1719"/>
      <c r="AP14" s="1720"/>
      <c r="AQ14" s="1720"/>
      <c r="AR14" s="3085" t="s">
        <v>9618</v>
      </c>
      <c r="AS14" s="3085"/>
    </row>
    <row r="15" spans="1:45" ht="12" customHeight="1" thickBot="1" x14ac:dyDescent="0.25">
      <c r="A15" s="29"/>
      <c r="B15" s="485"/>
      <c r="C15" s="3699" t="s">
        <v>1784</v>
      </c>
      <c r="D15" s="3699"/>
      <c r="E15" s="3699"/>
      <c r="F15" s="81">
        <f>IF(C25=0,0,1)+IF(C27=0,0,1)+IF(C29=0,0,1)+IF(C31=0,0,1)+IF(C33=0,0,1)+IF(C35=0,0,1)</f>
        <v>0</v>
      </c>
      <c r="H15" s="3676" t="s">
        <v>1797</v>
      </c>
      <c r="I15" s="3676"/>
      <c r="J15" s="3676"/>
      <c r="K15" s="3676"/>
      <c r="L15" s="3676"/>
      <c r="M15" s="3676"/>
      <c r="O15" s="3676" t="s">
        <v>1798</v>
      </c>
      <c r="P15" s="3676"/>
      <c r="Q15" s="3676"/>
      <c r="R15" s="36"/>
      <c r="S15" s="29"/>
      <c r="T15" s="29"/>
      <c r="U15" s="671">
        <f>IF(V15=0,0,1)</f>
        <v>0</v>
      </c>
      <c r="V15" s="5275"/>
      <c r="W15" s="5276"/>
      <c r="X15" s="5276"/>
      <c r="Y15" s="5276"/>
      <c r="Z15" s="5276"/>
      <c r="AA15" s="5277"/>
      <c r="AB15" s="5279" t="str">
        <f>IF(AA15=0,"",IF(AA15*10&lt;100,AA15*10,100))</f>
        <v/>
      </c>
      <c r="AL15" s="1769" t="s">
        <v>7171</v>
      </c>
      <c r="AM15" s="29"/>
      <c r="AN15" s="58"/>
      <c r="AO15" s="1721"/>
      <c r="AP15" s="1722"/>
      <c r="AQ15" s="1722"/>
      <c r="AR15" s="3085"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85"/>
    </row>
    <row r="16" spans="1:45" ht="12" customHeight="1" thickBot="1" x14ac:dyDescent="0.25">
      <c r="A16" s="29"/>
      <c r="B16" s="485"/>
      <c r="C16" s="5386" t="s">
        <v>1785</v>
      </c>
      <c r="D16" s="5386"/>
      <c r="E16" s="5386"/>
      <c r="F16" s="156">
        <f>SUM(U11:U63)</f>
        <v>0</v>
      </c>
      <c r="G16" s="157"/>
      <c r="H16" s="5390" t="s">
        <v>7172</v>
      </c>
      <c r="I16" s="5391">
        <f>F20-SUM(AI11:AI64)</f>
        <v>0</v>
      </c>
      <c r="J16" s="5393"/>
      <c r="K16" s="5393"/>
      <c r="L16" s="5393"/>
      <c r="M16" s="5393"/>
      <c r="O16" s="3689" t="s">
        <v>1721</v>
      </c>
      <c r="P16" s="3689"/>
      <c r="Q16" s="153" t="s">
        <v>1367</v>
      </c>
      <c r="R16" s="36"/>
      <c r="S16" s="29"/>
      <c r="T16" s="29"/>
      <c r="U16" s="671"/>
      <c r="V16" s="5377" t="str">
        <f>IF(V15=0,"",VLOOKUP(V15,Tabla_PoderesPsi,2,FALSE))</f>
        <v/>
      </c>
      <c r="W16" s="5378"/>
      <c r="X16" s="5378"/>
      <c r="Y16" s="1652" t="s">
        <v>1325</v>
      </c>
      <c r="Z16" s="1653" t="str">
        <f>IF(V15=0,"",VLOOKUP(V15,Tabla_PoderesPsi,3,FALSE))</f>
        <v/>
      </c>
      <c r="AA16" s="5277"/>
      <c r="AB16" s="5279"/>
      <c r="AC16" s="884"/>
      <c r="AD16" s="3158" t="s">
        <v>7170</v>
      </c>
      <c r="AE16" s="3159"/>
      <c r="AF16" s="3159"/>
      <c r="AG16" s="3159"/>
      <c r="AH16" s="5411"/>
      <c r="AI16" s="2013" t="s">
        <v>1791</v>
      </c>
      <c r="AJ16" s="2013" t="s">
        <v>6398</v>
      </c>
      <c r="AK16" s="2014" t="s">
        <v>1238</v>
      </c>
      <c r="AL16" s="1770">
        <f>COUNTA(AD17,AD19,AD21,AD23,AD25,AD27,AD29,AD31,AD33,AD35,AD37,AD39,AD41,AD43,AD45,AD47,AD49,AD51,AD53,AD55,AD57,AD59,AD61)</f>
        <v>0</v>
      </c>
      <c r="AM16" s="29"/>
      <c r="AN16" s="58"/>
      <c r="AO16" s="1719"/>
      <c r="AP16" s="1720"/>
      <c r="AQ16" s="1720"/>
      <c r="AR16" s="3085"/>
      <c r="AS16" s="3085"/>
    </row>
    <row r="17" spans="1:45" ht="12" customHeight="1" x14ac:dyDescent="0.2">
      <c r="A17" s="29"/>
      <c r="B17" s="485"/>
      <c r="C17" s="5387" t="s">
        <v>1799</v>
      </c>
      <c r="D17" s="5387"/>
      <c r="E17" s="5387"/>
      <c r="F17" s="81">
        <f>SUM(AA11:AA64)</f>
        <v>0</v>
      </c>
      <c r="H17" s="5390"/>
      <c r="I17" s="5392"/>
      <c r="J17" s="5393"/>
      <c r="K17" s="5393"/>
      <c r="L17" s="5393"/>
      <c r="M17" s="5393"/>
      <c r="O17" s="5379" t="s">
        <v>1726</v>
      </c>
      <c r="P17" s="5379"/>
      <c r="Q17" s="158" t="str">
        <f>IF(OR(Tablas!G553&gt;0,Tablas!H1432&gt;0),"+0",IF(AND(Tablas!G451=0,Tablas!H1396=0),"+10","+20"))</f>
        <v>+10</v>
      </c>
      <c r="R17" s="36"/>
      <c r="S17" s="29"/>
      <c r="T17" s="29"/>
      <c r="U17" s="671">
        <f>IF(V17=0,0,1)</f>
        <v>0</v>
      </c>
      <c r="V17" s="5380"/>
      <c r="W17" s="5381"/>
      <c r="X17" s="5381"/>
      <c r="Y17" s="5381"/>
      <c r="Z17" s="5381"/>
      <c r="AA17" s="5382"/>
      <c r="AB17" s="5384" t="str">
        <f>IF(AA17=0,"",IF(AA17*10&lt;100,AA17*10,100))</f>
        <v/>
      </c>
      <c r="AD17" s="5267"/>
      <c r="AE17" s="5268"/>
      <c r="AF17" s="5268"/>
      <c r="AG17" s="5268"/>
      <c r="AH17" s="5269"/>
      <c r="AI17" s="5270"/>
      <c r="AJ17" s="5298"/>
      <c r="AK17" s="5395"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428">
        <f>$H$11+IF(ISNA(VLOOKUP(AD17,$V$11:$AB$64,7,FALSE)),0,IF(VLOOKUP(AD17,$V$11:$AB$64,7,FALSE)="",0,VLOOKUP(AD17,$V$11:$AB$64,7,FALSE)))+AI17*20+AJ17</f>
        <v>0</v>
      </c>
      <c r="AM17" s="29"/>
      <c r="AN17" s="58"/>
      <c r="AO17" s="1721"/>
      <c r="AP17" s="1722"/>
      <c r="AR17" s="3148">
        <v>1</v>
      </c>
      <c r="AS17" s="3085" t="str">
        <f>IF(INDEX($V$11:$Z$64,AR17,1)=0,"",INDEX($V$11:$Z$64,AR17,1))</f>
        <v/>
      </c>
    </row>
    <row r="18" spans="1:45" ht="12" customHeight="1" x14ac:dyDescent="0.2">
      <c r="A18" s="29"/>
      <c r="B18" s="485"/>
      <c r="C18" s="5373" t="s">
        <v>1800</v>
      </c>
      <c r="D18" s="5373"/>
      <c r="E18" s="5373"/>
      <c r="F18" s="156">
        <f>M10</f>
        <v>0</v>
      </c>
      <c r="H18" s="159" t="s">
        <v>1801</v>
      </c>
      <c r="I18" s="1102"/>
      <c r="J18" s="29"/>
      <c r="K18" s="160" t="str">
        <f>IF(AND(Tablas!G452=0,Tablas!H1397=0),"+10 / CV","+20 / CV")</f>
        <v>+10 / CV</v>
      </c>
      <c r="L18" s="5374" t="str">
        <f>IF(AND(Tablas!G452=0,Tablas!H1429=0),"(Max +50)","(Max +100)")</f>
        <v>(Max +50)</v>
      </c>
      <c r="M18" s="5374"/>
      <c r="O18" s="5369" t="s">
        <v>1729</v>
      </c>
      <c r="P18" s="5369"/>
      <c r="Q18" s="158" t="str">
        <f>IF(OR(Tablas!G553&gt;0,Tablas!H1432&gt;0),"+0",IF(AND(Tablas!G451=0,Tablas!H1396=0),"+20","+40"))</f>
        <v>+20</v>
      </c>
      <c r="R18" s="36"/>
      <c r="S18" s="29"/>
      <c r="T18" s="29"/>
      <c r="U18" s="671"/>
      <c r="V18" s="5375" t="str">
        <f>IF(V17=0,"",VLOOKUP(V17,Tabla_PoderesPsi,2,FALSE))</f>
        <v/>
      </c>
      <c r="W18" s="5376"/>
      <c r="X18" s="5376"/>
      <c r="Y18" s="1758" t="s">
        <v>1325</v>
      </c>
      <c r="Z18" s="1759" t="str">
        <f>IF(V17=0,"",VLOOKUP(V17,Tabla_PoderesPsi,3,FALSE))</f>
        <v/>
      </c>
      <c r="AA18" s="5383"/>
      <c r="AB18" s="5385"/>
      <c r="AD18" s="5296" t="str">
        <f>IF(AD17=0,"",VLOOKUP(AD17,Tabla_PoderesPsi,2,FALSE))</f>
        <v/>
      </c>
      <c r="AE18" s="5297"/>
      <c r="AF18" s="5297"/>
      <c r="AG18" s="2011" t="s">
        <v>1325</v>
      </c>
      <c r="AH18" s="2012" t="str">
        <f>IF(AD17=0,"",VLOOKUP(AD17,Tabla_PoderesPsi,3,FALSE))</f>
        <v/>
      </c>
      <c r="AI18" s="5271"/>
      <c r="AJ18" s="5299"/>
      <c r="AK18" s="5396"/>
      <c r="AL18" s="5428"/>
      <c r="AM18" s="29"/>
      <c r="AN18" s="58"/>
      <c r="AO18" s="1719"/>
      <c r="AP18" s="1720"/>
      <c r="AR18" s="3148">
        <v>3</v>
      </c>
      <c r="AS18" s="3085" t="str">
        <f t="shared" ref="AS18:AS42" si="0">IF(INDEX($V$11:$Z$64,AR18,1)=0,"",INDEX($V$11:$Z$64,AR18,1))</f>
        <v/>
      </c>
    </row>
    <row r="19" spans="1:45" ht="12" customHeight="1" x14ac:dyDescent="0.2">
      <c r="A19" s="29"/>
      <c r="B19" s="485"/>
      <c r="C19" s="3702" t="s">
        <v>1802</v>
      </c>
      <c r="D19" s="3702"/>
      <c r="E19" s="3702"/>
      <c r="F19" s="1040">
        <f>2*M13</f>
        <v>0</v>
      </c>
      <c r="H19" s="161" t="s">
        <v>1803</v>
      </c>
      <c r="I19" s="162"/>
      <c r="K19" s="163" t="s">
        <v>1804</v>
      </c>
      <c r="L19" s="5368" t="s">
        <v>1805</v>
      </c>
      <c r="M19" s="5368"/>
      <c r="O19" s="5369" t="s">
        <v>1731</v>
      </c>
      <c r="P19" s="5369"/>
      <c r="Q19" s="158" t="str">
        <f>IF(OR(Tablas!G553&gt;0,Tablas!H1432&gt;0),"+0",IF(AND(Tablas!G451=0,Tablas!H1396=0),"+30","+60"))</f>
        <v>+30</v>
      </c>
      <c r="R19" s="36"/>
      <c r="S19" s="29"/>
      <c r="T19" s="29"/>
      <c r="U19" s="671">
        <f>IF(V19=0,0,1)</f>
        <v>0</v>
      </c>
      <c r="V19" s="5287"/>
      <c r="W19" s="5288"/>
      <c r="X19" s="5288"/>
      <c r="Y19" s="5288"/>
      <c r="Z19" s="5289"/>
      <c r="AA19" s="5277"/>
      <c r="AB19" s="5279" t="str">
        <f>IF(AA19=0,"",IF(AA19*10&lt;100,AA19*10,100))</f>
        <v/>
      </c>
      <c r="AD19" s="5267"/>
      <c r="AE19" s="5268"/>
      <c r="AF19" s="5268"/>
      <c r="AG19" s="5268"/>
      <c r="AH19" s="5269"/>
      <c r="AI19" s="5270"/>
      <c r="AJ19" s="5298"/>
      <c r="AK19" s="5300"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428">
        <f>$H$11+IF(ISNA(VLOOKUP(AD19,$V$11:$AB$64,7,FALSE)),0,IF(VLOOKUP(AD19,$V$11:$AB$64,7,FALSE)="",0,VLOOKUP(AD19,$V$11:$AB$64,7,FALSE)))+AI19*20+AJ19</f>
        <v>0</v>
      </c>
      <c r="AM19" s="29"/>
      <c r="AN19" s="58"/>
      <c r="AO19" s="1721"/>
      <c r="AP19" s="1722"/>
      <c r="AR19" s="3148">
        <v>5</v>
      </c>
      <c r="AS19" s="3085" t="str">
        <f t="shared" si="0"/>
        <v/>
      </c>
    </row>
    <row r="20" spans="1:45" ht="12" customHeight="1" x14ac:dyDescent="0.2">
      <c r="A20" s="29"/>
      <c r="B20" s="485"/>
      <c r="C20" s="5388" t="s">
        <v>1797</v>
      </c>
      <c r="D20" s="5388"/>
      <c r="E20" s="5388"/>
      <c r="F20" s="5389">
        <f>C12-E12</f>
        <v>0</v>
      </c>
      <c r="H20" s="159" t="s">
        <v>1806</v>
      </c>
      <c r="I20" s="29"/>
      <c r="J20" s="29"/>
      <c r="K20" s="160" t="s">
        <v>1804</v>
      </c>
      <c r="L20" s="5374" t="s">
        <v>1805</v>
      </c>
      <c r="M20" s="5374"/>
      <c r="O20" s="5369" t="s">
        <v>1733</v>
      </c>
      <c r="P20" s="5369"/>
      <c r="Q20" s="158" t="str">
        <f>IF(OR(Tablas!G553&gt;0,Tablas!H1432&gt;0),"+0",IF(AND(Tablas!G451=0,Tablas!H1396=0),"+40","+80"))</f>
        <v>+40</v>
      </c>
      <c r="R20" s="36"/>
      <c r="S20" s="29"/>
      <c r="T20" s="29"/>
      <c r="U20" s="671"/>
      <c r="V20" s="5290" t="str">
        <f>IF(V19=0,"",VLOOKUP(V19,Tabla_PoderesPsi,2,FALSE))</f>
        <v/>
      </c>
      <c r="W20" s="5291"/>
      <c r="X20" s="5291"/>
      <c r="Y20" s="1652" t="s">
        <v>1325</v>
      </c>
      <c r="Z20" s="1653" t="str">
        <f>IF(V19=0,"",VLOOKUP(V19,Tabla_PoderesPsi,3,FALSE))</f>
        <v/>
      </c>
      <c r="AA20" s="5277"/>
      <c r="AB20" s="5279"/>
      <c r="AD20" s="5296" t="str">
        <f>IF(AD19=0,"",VLOOKUP(AD19,Tabla_PoderesPsi,2,FALSE))</f>
        <v/>
      </c>
      <c r="AE20" s="5297"/>
      <c r="AF20" s="5297"/>
      <c r="AG20" s="2011" t="s">
        <v>1325</v>
      </c>
      <c r="AH20" s="2012" t="str">
        <f>IF(AD19=0,"",VLOOKUP(AD19,Tabla_PoderesPsi,3,FALSE))</f>
        <v/>
      </c>
      <c r="AI20" s="5271"/>
      <c r="AJ20" s="5299"/>
      <c r="AK20" s="5301"/>
      <c r="AL20" s="5428"/>
      <c r="AM20" s="29"/>
      <c r="AN20" s="58"/>
      <c r="AO20" s="1719"/>
      <c r="AP20" s="1720"/>
      <c r="AR20" s="3148">
        <v>7</v>
      </c>
      <c r="AS20" s="3085" t="str">
        <f t="shared" si="0"/>
        <v/>
      </c>
    </row>
    <row r="21" spans="1:45" ht="12" customHeight="1" x14ac:dyDescent="0.2">
      <c r="A21" s="29"/>
      <c r="B21" s="485"/>
      <c r="C21" s="5388"/>
      <c r="D21" s="5388"/>
      <c r="E21" s="5388"/>
      <c r="F21" s="5389"/>
      <c r="H21" s="161" t="s">
        <v>1807</v>
      </c>
      <c r="I21" s="162"/>
      <c r="K21" s="163" t="s">
        <v>1808</v>
      </c>
      <c r="L21" s="5368" t="s">
        <v>1809</v>
      </c>
      <c r="M21" s="5368"/>
      <c r="O21" s="5370" t="s">
        <v>1735</v>
      </c>
      <c r="P21" s="5370"/>
      <c r="Q21" s="1041" t="str">
        <f>IF(OR(Tablas!G553&gt;0,Tablas!H1432&gt;0),"+0",IF(AND(Tablas!G451=0,Tablas!H1396=0),"+50","+100"))</f>
        <v>+50</v>
      </c>
      <c r="R21" s="36"/>
      <c r="S21" s="29"/>
      <c r="T21" s="29"/>
      <c r="U21" s="671">
        <f>IF(V21=0,0,1)</f>
        <v>0</v>
      </c>
      <c r="V21" s="5284"/>
      <c r="W21" s="5285"/>
      <c r="X21" s="5285"/>
      <c r="Y21" s="5285"/>
      <c r="Z21" s="5286"/>
      <c r="AA21" s="5305"/>
      <c r="AB21" s="5294" t="str">
        <f>IF(AA21=0,"",IF(AA21*10&lt;100,AA21*10,100))</f>
        <v/>
      </c>
      <c r="AD21" s="5267"/>
      <c r="AE21" s="5268"/>
      <c r="AF21" s="5268"/>
      <c r="AG21" s="5268"/>
      <c r="AH21" s="5269"/>
      <c r="AI21" s="5270"/>
      <c r="AJ21" s="5298"/>
      <c r="AK21" s="5300"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428">
        <f>$H$11+IF(ISNA(VLOOKUP(AD21,$V$11:$AB$64,7,FALSE)),0,IF(VLOOKUP(AD21,$V$11:$AB$64,7,FALSE)="",0,VLOOKUP(AD21,$V$11:$AB$64,7,FALSE)))+AI21*20+AJ21</f>
        <v>0</v>
      </c>
      <c r="AM21" s="29"/>
      <c r="AN21" s="58"/>
      <c r="AO21" s="1721"/>
      <c r="AP21" s="1722"/>
      <c r="AR21" s="3148">
        <v>9</v>
      </c>
      <c r="AS21" s="3085" t="str">
        <f t="shared" si="0"/>
        <v/>
      </c>
    </row>
    <row r="22" spans="1:45" ht="12" customHeight="1" thickBot="1" x14ac:dyDescent="0.25">
      <c r="A22" s="29"/>
      <c r="B22" s="485"/>
      <c r="C22" s="5371" t="str">
        <f>IF(F20&lt;0,"Exceso de CVs",IF(AL16&gt;M13,"Exceso de innatos activos",""))</f>
        <v/>
      </c>
      <c r="D22" s="5371"/>
      <c r="E22" s="5371"/>
      <c r="F22" s="5371"/>
      <c r="G22" s="164"/>
      <c r="H22" s="165" t="s">
        <v>1810</v>
      </c>
      <c r="I22" s="44"/>
      <c r="J22" s="44"/>
      <c r="K22" s="166" t="s">
        <v>1808</v>
      </c>
      <c r="L22" s="4230" t="s">
        <v>1811</v>
      </c>
      <c r="M22" s="4230"/>
      <c r="O22" s="5372" t="str">
        <f>IF(OR(Tablas!G553&gt;0,Tablas!H1432&gt;0),"Sin concentración",IF(AND(Tablas!G451=0,Tablas!H1396=0),"","Concentración extrema"))</f>
        <v/>
      </c>
      <c r="P22" s="5372"/>
      <c r="Q22" s="5372"/>
      <c r="R22" s="36"/>
      <c r="S22" s="29"/>
      <c r="T22" s="29"/>
      <c r="U22" s="671"/>
      <c r="V22" s="5292" t="str">
        <f>IF(V21=0,"",VLOOKUP(V21,Tabla_PoderesPsi,2,FALSE))</f>
        <v/>
      </c>
      <c r="W22" s="5293"/>
      <c r="X22" s="5293"/>
      <c r="Y22" s="1760" t="s">
        <v>1325</v>
      </c>
      <c r="Z22" s="1761" t="str">
        <f>IF(V21=0,"",VLOOKUP(V21,Tabla_PoderesPsi,3,FALSE))</f>
        <v/>
      </c>
      <c r="AA22" s="5306"/>
      <c r="AB22" s="5295"/>
      <c r="AD22" s="5296" t="str">
        <f>IF(AD21=0,"",VLOOKUP(AD21,Tabla_PoderesPsi,2,FALSE))</f>
        <v/>
      </c>
      <c r="AE22" s="5297"/>
      <c r="AF22" s="5297"/>
      <c r="AG22" s="2011" t="s">
        <v>1325</v>
      </c>
      <c r="AH22" s="2012" t="str">
        <f>IF(AD21=0,"",VLOOKUP(AD21,Tabla_PoderesPsi,3,FALSE))</f>
        <v/>
      </c>
      <c r="AI22" s="5271"/>
      <c r="AJ22" s="5299"/>
      <c r="AK22" s="5301"/>
      <c r="AL22" s="5428"/>
      <c r="AM22" s="29"/>
      <c r="AN22" s="58"/>
      <c r="AO22" s="1719"/>
      <c r="AP22" s="1720"/>
      <c r="AR22" s="3148">
        <v>11</v>
      </c>
      <c r="AS22" s="3085" t="str">
        <f t="shared" si="0"/>
        <v/>
      </c>
    </row>
    <row r="23" spans="1:45" ht="12" customHeight="1" thickBot="1" x14ac:dyDescent="0.25">
      <c r="A23" s="29"/>
      <c r="B23" s="485"/>
      <c r="M23" s="48"/>
      <c r="R23" s="36"/>
      <c r="S23" s="29"/>
      <c r="T23" s="29"/>
      <c r="U23" s="671">
        <f>IF(V23=0,0,1)</f>
        <v>0</v>
      </c>
      <c r="V23" s="5287"/>
      <c r="W23" s="5288"/>
      <c r="X23" s="5288"/>
      <c r="Y23" s="5288"/>
      <c r="Z23" s="5289"/>
      <c r="AA23" s="5277"/>
      <c r="AB23" s="5279" t="str">
        <f>IF(AA23=0,"",IF(AA23*10&lt;100,AA23*10,100))</f>
        <v/>
      </c>
      <c r="AD23" s="5267"/>
      <c r="AE23" s="5268"/>
      <c r="AF23" s="5268"/>
      <c r="AG23" s="5268"/>
      <c r="AH23" s="5269"/>
      <c r="AI23" s="5270"/>
      <c r="AJ23" s="5298"/>
      <c r="AK23" s="5300"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428">
        <f>$H$11+IF(ISNA(VLOOKUP(AD23,$V$11:$AB$64,7,FALSE)),0,IF(VLOOKUP(AD23,$V$11:$AB$64,7,FALSE)="",0,VLOOKUP(AD23,$V$11:$AB$64,7,FALSE)))+AI23*20+AJ23</f>
        <v>0</v>
      </c>
      <c r="AM23" s="29"/>
      <c r="AN23" s="167"/>
      <c r="AO23" s="1721"/>
      <c r="AP23" s="1722"/>
      <c r="AR23" s="3148">
        <v>13</v>
      </c>
      <c r="AS23" s="3085" t="str">
        <f t="shared" si="0"/>
        <v/>
      </c>
    </row>
    <row r="24" spans="1:45" ht="12" customHeight="1" x14ac:dyDescent="0.2">
      <c r="A24" s="29"/>
      <c r="B24" s="485"/>
      <c r="C24" s="3746" t="s">
        <v>1812</v>
      </c>
      <c r="D24" s="3503"/>
      <c r="E24" s="3503"/>
      <c r="F24" s="5334" t="s">
        <v>1813</v>
      </c>
      <c r="G24" s="5334"/>
      <c r="H24" s="5334"/>
      <c r="I24" s="5334"/>
      <c r="J24" s="5334"/>
      <c r="K24" s="5334"/>
      <c r="L24" s="5334"/>
      <c r="M24" s="5334"/>
      <c r="N24" s="5334"/>
      <c r="O24" s="5334"/>
      <c r="P24" s="5334"/>
      <c r="Q24" s="5335"/>
      <c r="R24" s="36"/>
      <c r="S24" s="29"/>
      <c r="T24" s="29"/>
      <c r="U24" s="671"/>
      <c r="V24" s="5290" t="str">
        <f>IF(V23=0,"",VLOOKUP(V23,Tabla_PoderesPsi,2,FALSE))</f>
        <v/>
      </c>
      <c r="W24" s="5291"/>
      <c r="X24" s="5291"/>
      <c r="Y24" s="1652" t="s">
        <v>1325</v>
      </c>
      <c r="Z24" s="1653" t="str">
        <f>IF(V23=0,"",VLOOKUP(V23,Tabla_PoderesPsi,3,FALSE))</f>
        <v/>
      </c>
      <c r="AA24" s="5277"/>
      <c r="AB24" s="5279"/>
      <c r="AD24" s="5296" t="str">
        <f>IF(AD23=0,"",VLOOKUP(AD23,Tabla_PoderesPsi,2,FALSE))</f>
        <v/>
      </c>
      <c r="AE24" s="5297"/>
      <c r="AF24" s="5297"/>
      <c r="AG24" s="2011" t="s">
        <v>1325</v>
      </c>
      <c r="AH24" s="2012" t="str">
        <f>IF(AD23=0,"",VLOOKUP(AD23,Tabla_PoderesPsi,3,FALSE))</f>
        <v/>
      </c>
      <c r="AI24" s="5271"/>
      <c r="AJ24" s="5299"/>
      <c r="AK24" s="5301"/>
      <c r="AL24" s="5428"/>
      <c r="AM24" s="29"/>
      <c r="AN24" s="58"/>
      <c r="AO24" s="1719"/>
      <c r="AP24" s="1720"/>
      <c r="AR24" s="3148">
        <v>15</v>
      </c>
      <c r="AS24" s="3085" t="str">
        <f t="shared" si="0"/>
        <v/>
      </c>
    </row>
    <row r="25" spans="1:45" ht="12" customHeight="1" x14ac:dyDescent="0.2">
      <c r="A25" s="29"/>
      <c r="B25" s="485"/>
      <c r="C25" s="5362"/>
      <c r="D25" s="5363"/>
      <c r="E25" s="5364"/>
      <c r="F25" s="4078" t="str">
        <f>IF(C25=0,"",VLOOKUP(C25,Tabla_DisciplinasPsi,2,FALSE))</f>
        <v/>
      </c>
      <c r="G25" s="5358"/>
      <c r="H25" s="5358"/>
      <c r="I25" s="5358"/>
      <c r="J25" s="5358"/>
      <c r="K25" s="5358"/>
      <c r="L25" s="5358"/>
      <c r="M25" s="5358"/>
      <c r="N25" s="5358"/>
      <c r="O25" s="5358"/>
      <c r="P25" s="5358"/>
      <c r="Q25" s="5359"/>
      <c r="R25" s="36"/>
      <c r="S25" s="29"/>
      <c r="T25" s="29"/>
      <c r="U25" s="671">
        <f>IF(V25=0,0,1)</f>
        <v>0</v>
      </c>
      <c r="V25" s="5284"/>
      <c r="W25" s="5285"/>
      <c r="X25" s="5285"/>
      <c r="Y25" s="5285"/>
      <c r="Z25" s="5286"/>
      <c r="AA25" s="5305"/>
      <c r="AB25" s="5294" t="str">
        <f>IF(AA25=0,"",IF(AA25*10&lt;100,AA25*10,100))</f>
        <v/>
      </c>
      <c r="AD25" s="5267"/>
      <c r="AE25" s="5268"/>
      <c r="AF25" s="5268"/>
      <c r="AG25" s="5268"/>
      <c r="AH25" s="5269"/>
      <c r="AI25" s="5270"/>
      <c r="AJ25" s="5298"/>
      <c r="AK25" s="5300"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428">
        <f>$H$11+IF(ISNA(VLOOKUP(AD25,$V$11:$AB$64,7,FALSE)),0,IF(VLOOKUP(AD25,$V$11:$AB$64,7,FALSE)="",0,VLOOKUP(AD25,$V$11:$AB$64,7,FALSE)))+AI25*20+AJ25</f>
        <v>0</v>
      </c>
      <c r="AM25" s="29"/>
      <c r="AN25" s="1457"/>
      <c r="AO25" s="575"/>
      <c r="AP25" s="575"/>
      <c r="AR25" s="3148">
        <v>17</v>
      </c>
      <c r="AS25" s="3085" t="str">
        <f t="shared" si="0"/>
        <v/>
      </c>
    </row>
    <row r="26" spans="1:45" ht="12" customHeight="1" x14ac:dyDescent="0.2">
      <c r="A26" s="29"/>
      <c r="B26" s="485"/>
      <c r="C26" s="5365"/>
      <c r="D26" s="5366"/>
      <c r="E26" s="5367"/>
      <c r="F26" s="4078"/>
      <c r="G26" s="5358"/>
      <c r="H26" s="5358"/>
      <c r="I26" s="5358"/>
      <c r="J26" s="5358"/>
      <c r="K26" s="5358"/>
      <c r="L26" s="5358"/>
      <c r="M26" s="5358"/>
      <c r="N26" s="5358"/>
      <c r="O26" s="5358"/>
      <c r="P26" s="5358"/>
      <c r="Q26" s="5359"/>
      <c r="R26" s="36"/>
      <c r="S26" s="29"/>
      <c r="T26" s="29"/>
      <c r="U26" s="671"/>
      <c r="V26" s="5292" t="str">
        <f>IF(V25=0,"",VLOOKUP(V25,Tabla_PoderesPsi,2,FALSE))</f>
        <v/>
      </c>
      <c r="W26" s="5293"/>
      <c r="X26" s="5293"/>
      <c r="Y26" s="1760" t="s">
        <v>1325</v>
      </c>
      <c r="Z26" s="1761" t="str">
        <f>IF(V25=0,"",VLOOKUP(V25,Tabla_PoderesPsi,3,FALSE))</f>
        <v/>
      </c>
      <c r="AA26" s="5306"/>
      <c r="AB26" s="5295"/>
      <c r="AC26" s="77"/>
      <c r="AD26" s="5296" t="str">
        <f>IF(AD25=0,"",VLOOKUP(AD25,Tabla_PoderesPsi,2,FALSE))</f>
        <v/>
      </c>
      <c r="AE26" s="5297"/>
      <c r="AF26" s="5297"/>
      <c r="AG26" s="2011" t="s">
        <v>1325</v>
      </c>
      <c r="AH26" s="2012" t="str">
        <f>IF(AD25=0,"",VLOOKUP(AD25,Tabla_PoderesPsi,3,FALSE))</f>
        <v/>
      </c>
      <c r="AI26" s="5271"/>
      <c r="AJ26" s="5299"/>
      <c r="AK26" s="5301"/>
      <c r="AL26" s="5428"/>
      <c r="AM26" s="29"/>
      <c r="AO26" s="678"/>
      <c r="AP26" s="678"/>
      <c r="AR26" s="3148">
        <v>19</v>
      </c>
      <c r="AS26" s="3085" t="str">
        <f t="shared" si="0"/>
        <v/>
      </c>
    </row>
    <row r="27" spans="1:45" ht="12" customHeight="1" x14ac:dyDescent="0.2">
      <c r="A27" s="29"/>
      <c r="B27" s="485"/>
      <c r="C27" s="5344"/>
      <c r="D27" s="5345"/>
      <c r="E27" s="5346"/>
      <c r="F27" s="5316" t="str">
        <f>IF(C27=0,"",VLOOKUP(C27,Tabla_DisciplinasPsi,2,FALSE))</f>
        <v/>
      </c>
      <c r="G27" s="5360"/>
      <c r="H27" s="5360"/>
      <c r="I27" s="5360"/>
      <c r="J27" s="5360"/>
      <c r="K27" s="5360"/>
      <c r="L27" s="5360"/>
      <c r="M27" s="5360"/>
      <c r="N27" s="5360"/>
      <c r="O27" s="5360"/>
      <c r="P27" s="5360"/>
      <c r="Q27" s="5361"/>
      <c r="R27" s="36"/>
      <c r="S27" s="29"/>
      <c r="T27" s="29"/>
      <c r="U27" s="671">
        <f>IF(V27=0,0,1)</f>
        <v>0</v>
      </c>
      <c r="V27" s="5287"/>
      <c r="W27" s="5288"/>
      <c r="X27" s="5288"/>
      <c r="Y27" s="5288"/>
      <c r="Z27" s="5289"/>
      <c r="AA27" s="5277"/>
      <c r="AB27" s="5279" t="str">
        <f>IF(AA27=0,"",IF(AA27*10&lt;100,AA27*10,100))</f>
        <v/>
      </c>
      <c r="AC27" s="77"/>
      <c r="AD27" s="5267"/>
      <c r="AE27" s="5268"/>
      <c r="AF27" s="5268"/>
      <c r="AG27" s="5268"/>
      <c r="AH27" s="5269"/>
      <c r="AI27" s="5270"/>
      <c r="AJ27" s="5298"/>
      <c r="AK27" s="5300"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428">
        <f>$H$11+IF(ISNA(VLOOKUP(AD27,$V$11:$AB$64,7,FALSE)),0,IF(VLOOKUP(AD27,$V$11:$AB$64,7,FALSE)="",0,VLOOKUP(AD27,$V$11:$AB$64,7,FALSE)))+AI27*20+AJ27</f>
        <v>0</v>
      </c>
      <c r="AM27" s="29"/>
      <c r="AO27" s="575"/>
      <c r="AP27" s="575"/>
      <c r="AR27" s="3148">
        <v>21</v>
      </c>
      <c r="AS27" s="3085" t="str">
        <f t="shared" si="0"/>
        <v/>
      </c>
    </row>
    <row r="28" spans="1:45" ht="12" customHeight="1" x14ac:dyDescent="0.2">
      <c r="A28" s="29"/>
      <c r="B28" s="485"/>
      <c r="C28" s="5344"/>
      <c r="D28" s="5345"/>
      <c r="E28" s="5346"/>
      <c r="F28" s="5316"/>
      <c r="G28" s="5360"/>
      <c r="H28" s="5360"/>
      <c r="I28" s="5360"/>
      <c r="J28" s="5360"/>
      <c r="K28" s="5360"/>
      <c r="L28" s="5360"/>
      <c r="M28" s="5360"/>
      <c r="N28" s="5360"/>
      <c r="O28" s="5360"/>
      <c r="P28" s="5360"/>
      <c r="Q28" s="5361"/>
      <c r="R28" s="36"/>
      <c r="S28" s="29"/>
      <c r="T28" s="29"/>
      <c r="U28" s="671"/>
      <c r="V28" s="5290" t="str">
        <f>IF(V27=0,"",VLOOKUP(V27,Tabla_PoderesPsi,2,FALSE))</f>
        <v/>
      </c>
      <c r="W28" s="5291"/>
      <c r="X28" s="5291"/>
      <c r="Y28" s="1652" t="s">
        <v>1325</v>
      </c>
      <c r="Z28" s="1653" t="str">
        <f>IF(V27=0,"",VLOOKUP(V27,Tabla_PoderesPsi,3,FALSE))</f>
        <v/>
      </c>
      <c r="AA28" s="5277"/>
      <c r="AB28" s="5279"/>
      <c r="AC28" s="72"/>
      <c r="AD28" s="5296" t="str">
        <f>IF(AD27=0,"",VLOOKUP(AD27,Tabla_PoderesPsi,2,FALSE))</f>
        <v/>
      </c>
      <c r="AE28" s="5297"/>
      <c r="AF28" s="5297"/>
      <c r="AG28" s="2011" t="s">
        <v>1325</v>
      </c>
      <c r="AH28" s="2012" t="str">
        <f>IF(AD27=0,"",VLOOKUP(AD27,Tabla_PoderesPsi,3,FALSE))</f>
        <v/>
      </c>
      <c r="AI28" s="5271"/>
      <c r="AJ28" s="5299"/>
      <c r="AK28" s="5301"/>
      <c r="AL28" s="5428"/>
      <c r="AM28" s="29"/>
      <c r="AO28" s="575"/>
      <c r="AP28" s="575"/>
      <c r="AR28" s="3148">
        <v>23</v>
      </c>
      <c r="AS28" s="3085" t="str">
        <f t="shared" si="0"/>
        <v/>
      </c>
    </row>
    <row r="29" spans="1:45" ht="12" customHeight="1" x14ac:dyDescent="0.2">
      <c r="A29" s="29"/>
      <c r="B29" s="485"/>
      <c r="C29" s="5355"/>
      <c r="D29" s="5356"/>
      <c r="E29" s="5357"/>
      <c r="F29" s="4078" t="str">
        <f>IF(C29=0,"",VLOOKUP(C29,Tabla_DisciplinasPsi,2,FALSE))</f>
        <v/>
      </c>
      <c r="G29" s="5358"/>
      <c r="H29" s="5358"/>
      <c r="I29" s="5358"/>
      <c r="J29" s="5358"/>
      <c r="K29" s="5358"/>
      <c r="L29" s="5358"/>
      <c r="M29" s="5358"/>
      <c r="N29" s="5358"/>
      <c r="O29" s="5358"/>
      <c r="P29" s="5358"/>
      <c r="Q29" s="5359"/>
      <c r="R29" s="36"/>
      <c r="S29" s="29"/>
      <c r="T29" s="29"/>
      <c r="U29" s="671">
        <f>IF(V29=0,0,1)</f>
        <v>0</v>
      </c>
      <c r="V29" s="5284"/>
      <c r="W29" s="5285"/>
      <c r="X29" s="5285"/>
      <c r="Y29" s="5285"/>
      <c r="Z29" s="5286"/>
      <c r="AA29" s="5305"/>
      <c r="AB29" s="5294" t="str">
        <f>IF(AA29=0,"",IF(AA29*10&lt;100,AA29*10,100))</f>
        <v/>
      </c>
      <c r="AC29" s="86"/>
      <c r="AD29" s="5267"/>
      <c r="AE29" s="5268"/>
      <c r="AF29" s="5268"/>
      <c r="AG29" s="5268"/>
      <c r="AH29" s="5269"/>
      <c r="AI29" s="5270"/>
      <c r="AJ29" s="5298"/>
      <c r="AK29" s="5300"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428">
        <f>$H$11+IF(ISNA(VLOOKUP(AD29,$V$11:$AB$64,7,FALSE)),0,IF(VLOOKUP(AD29,$V$11:$AB$64,7,FALSE)="",0,VLOOKUP(AD29,$V$11:$AB$64,7,FALSE)))+AI29*20+AJ29</f>
        <v>0</v>
      </c>
      <c r="AM29" s="29"/>
      <c r="AO29" s="575"/>
      <c r="AP29" s="575"/>
      <c r="AR29" s="3148">
        <v>25</v>
      </c>
      <c r="AS29" s="3085" t="str">
        <f t="shared" si="0"/>
        <v/>
      </c>
    </row>
    <row r="30" spans="1:45" ht="12" customHeight="1" x14ac:dyDescent="0.2">
      <c r="A30" s="29"/>
      <c r="B30" s="485"/>
      <c r="C30" s="5355"/>
      <c r="D30" s="5356"/>
      <c r="E30" s="5357"/>
      <c r="F30" s="4078"/>
      <c r="G30" s="5358"/>
      <c r="H30" s="5358"/>
      <c r="I30" s="5358"/>
      <c r="J30" s="5358"/>
      <c r="K30" s="5358"/>
      <c r="L30" s="5358"/>
      <c r="M30" s="5358"/>
      <c r="N30" s="5358"/>
      <c r="O30" s="5358"/>
      <c r="P30" s="5358"/>
      <c r="Q30" s="5359"/>
      <c r="R30" s="36"/>
      <c r="S30" s="29"/>
      <c r="T30" s="29"/>
      <c r="U30" s="671"/>
      <c r="V30" s="5292" t="str">
        <f>IF(V29=0,"",VLOOKUP(V29,Tabla_PoderesPsi,2,FALSE))</f>
        <v/>
      </c>
      <c r="W30" s="5293"/>
      <c r="X30" s="5293"/>
      <c r="Y30" s="1760" t="s">
        <v>1325</v>
      </c>
      <c r="Z30" s="1761" t="str">
        <f>IF(V29=0,"",VLOOKUP(V29,Tabla_PoderesPsi,3,FALSE))</f>
        <v/>
      </c>
      <c r="AA30" s="5306"/>
      <c r="AB30" s="5295"/>
      <c r="AC30" s="77"/>
      <c r="AD30" s="5296" t="str">
        <f>IF(AD29=0,"",VLOOKUP(AD29,Tabla_PoderesPsi,2,FALSE))</f>
        <v/>
      </c>
      <c r="AE30" s="5297"/>
      <c r="AF30" s="5297"/>
      <c r="AG30" s="2011" t="s">
        <v>1325</v>
      </c>
      <c r="AH30" s="2012" t="str">
        <f>IF(AD29=0,"",VLOOKUP(AD29,Tabla_PoderesPsi,3,FALSE))</f>
        <v/>
      </c>
      <c r="AI30" s="5271"/>
      <c r="AJ30" s="5299"/>
      <c r="AK30" s="5301"/>
      <c r="AL30" s="5428"/>
      <c r="AM30" s="29"/>
      <c r="AO30" s="575"/>
      <c r="AP30" s="575"/>
      <c r="AR30" s="3148">
        <v>27</v>
      </c>
      <c r="AS30" s="3085" t="str">
        <f t="shared" si="0"/>
        <v/>
      </c>
    </row>
    <row r="31" spans="1:45" ht="12" customHeight="1" x14ac:dyDescent="0.2">
      <c r="A31" s="29"/>
      <c r="B31" s="485"/>
      <c r="C31" s="5344"/>
      <c r="D31" s="5345"/>
      <c r="E31" s="5346"/>
      <c r="F31" s="5316" t="str">
        <f>IF(C31=0,"",VLOOKUP(C31,Tabla_DisciplinasPsi,2,FALSE))</f>
        <v/>
      </c>
      <c r="G31" s="5360"/>
      <c r="H31" s="5360"/>
      <c r="I31" s="5360"/>
      <c r="J31" s="5360"/>
      <c r="K31" s="5360"/>
      <c r="L31" s="5360"/>
      <c r="M31" s="5360"/>
      <c r="N31" s="5360"/>
      <c r="O31" s="5360"/>
      <c r="P31" s="5360"/>
      <c r="Q31" s="5361"/>
      <c r="R31" s="36"/>
      <c r="S31" s="29"/>
      <c r="T31" s="29"/>
      <c r="U31" s="671">
        <f>IF(V31=0,0,1)</f>
        <v>0</v>
      </c>
      <c r="V31" s="5287"/>
      <c r="W31" s="5288"/>
      <c r="X31" s="5288"/>
      <c r="Y31" s="5288"/>
      <c r="Z31" s="5289"/>
      <c r="AA31" s="5277"/>
      <c r="AB31" s="5279" t="str">
        <f>IF(AA31=0,"",IF(AA31*10&lt;100,AA31*10,100))</f>
        <v/>
      </c>
      <c r="AC31" s="77"/>
      <c r="AD31" s="5267"/>
      <c r="AE31" s="5268"/>
      <c r="AF31" s="5268"/>
      <c r="AG31" s="5268"/>
      <c r="AH31" s="5269"/>
      <c r="AI31" s="5270"/>
      <c r="AJ31" s="5298"/>
      <c r="AK31" s="5300"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428">
        <f>$H$11+IF(ISNA(VLOOKUP(AD31,$V$11:$AB$64,7,FALSE)),0,IF(VLOOKUP(AD31,$V$11:$AB$64,7,FALSE)="",0,VLOOKUP(AD31,$V$11:$AB$64,7,FALSE)))+AI31*20+AJ31</f>
        <v>0</v>
      </c>
      <c r="AM31" s="29"/>
      <c r="AO31" s="575"/>
      <c r="AP31" s="575"/>
      <c r="AR31" s="3148">
        <v>29</v>
      </c>
      <c r="AS31" s="3085" t="str">
        <f t="shared" si="0"/>
        <v/>
      </c>
    </row>
    <row r="32" spans="1:45" ht="12" customHeight="1" x14ac:dyDescent="0.2">
      <c r="A32" s="29"/>
      <c r="B32" s="485"/>
      <c r="C32" s="5344"/>
      <c r="D32" s="5345"/>
      <c r="E32" s="5346"/>
      <c r="F32" s="5316"/>
      <c r="G32" s="5360"/>
      <c r="H32" s="5360"/>
      <c r="I32" s="5360"/>
      <c r="J32" s="5360"/>
      <c r="K32" s="5360"/>
      <c r="L32" s="5360"/>
      <c r="M32" s="5360"/>
      <c r="N32" s="5360"/>
      <c r="O32" s="5360"/>
      <c r="P32" s="5360"/>
      <c r="Q32" s="5361"/>
      <c r="R32" s="36"/>
      <c r="S32" s="29"/>
      <c r="T32" s="29"/>
      <c r="U32" s="671"/>
      <c r="V32" s="5290" t="str">
        <f>IF(V31=0,"",VLOOKUP(V31,Tabla_PoderesPsi,2,FALSE))</f>
        <v/>
      </c>
      <c r="W32" s="5291"/>
      <c r="X32" s="5291"/>
      <c r="Y32" s="1652" t="s">
        <v>1325</v>
      </c>
      <c r="Z32" s="1653" t="str">
        <f>IF(V31=0,"",VLOOKUP(V31,Tabla_PoderesPsi,3,FALSE))</f>
        <v/>
      </c>
      <c r="AA32" s="5277"/>
      <c r="AB32" s="5279"/>
      <c r="AC32" s="87"/>
      <c r="AD32" s="5296" t="str">
        <f>IF(AD31=0,"",VLOOKUP(AD31,Tabla_PoderesPsi,2,FALSE))</f>
        <v/>
      </c>
      <c r="AE32" s="5297"/>
      <c r="AF32" s="5297"/>
      <c r="AG32" s="2011" t="s">
        <v>1325</v>
      </c>
      <c r="AH32" s="2012" t="str">
        <f>IF(AD31=0,"",VLOOKUP(AD31,Tabla_PoderesPsi,3,FALSE))</f>
        <v/>
      </c>
      <c r="AI32" s="5271"/>
      <c r="AJ32" s="5299"/>
      <c r="AK32" s="5301"/>
      <c r="AL32" s="5428"/>
      <c r="AM32" s="29"/>
      <c r="AO32" s="575"/>
      <c r="AP32" s="575"/>
      <c r="AR32" s="3148">
        <v>31</v>
      </c>
      <c r="AS32" s="3085" t="str">
        <f t="shared" si="0"/>
        <v/>
      </c>
    </row>
    <row r="33" spans="1:45" ht="12" customHeight="1" x14ac:dyDescent="0.2">
      <c r="A33" s="29"/>
      <c r="B33" s="485"/>
      <c r="C33" s="5355"/>
      <c r="D33" s="5356"/>
      <c r="E33" s="5357"/>
      <c r="F33" s="4078" t="str">
        <f>IF(C33=0,"",VLOOKUP(C33,Tabla_DisciplinasPsi,2,FALSE))</f>
        <v/>
      </c>
      <c r="G33" s="5358"/>
      <c r="H33" s="5358"/>
      <c r="I33" s="5358"/>
      <c r="J33" s="5358"/>
      <c r="K33" s="5358"/>
      <c r="L33" s="5358"/>
      <c r="M33" s="5358"/>
      <c r="N33" s="5358"/>
      <c r="O33" s="5358"/>
      <c r="P33" s="5358"/>
      <c r="Q33" s="5359"/>
      <c r="R33" s="36"/>
      <c r="S33" s="29"/>
      <c r="T33" s="29"/>
      <c r="U33" s="671">
        <f>IF(V33=0,0,1)</f>
        <v>0</v>
      </c>
      <c r="V33" s="5284"/>
      <c r="W33" s="5285"/>
      <c r="X33" s="5285"/>
      <c r="Y33" s="5285"/>
      <c r="Z33" s="5286"/>
      <c r="AA33" s="5305"/>
      <c r="AB33" s="5294" t="str">
        <f>IF(AA33=0,"",IF(AA33*10&lt;100,AA33*10,100))</f>
        <v/>
      </c>
      <c r="AC33" s="87"/>
      <c r="AD33" s="5267"/>
      <c r="AE33" s="5268"/>
      <c r="AF33" s="5268"/>
      <c r="AG33" s="5268"/>
      <c r="AH33" s="5269"/>
      <c r="AI33" s="5270"/>
      <c r="AJ33" s="5298"/>
      <c r="AK33" s="5300"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428">
        <f>$H$11+IF(ISNA(VLOOKUP(AD33,$V$11:$AB$64,7,FALSE)),0,IF(VLOOKUP(AD33,$V$11:$AB$64,7,FALSE)="",0,VLOOKUP(AD33,$V$11:$AB$64,7,FALSE)))+AI33*20+AJ33</f>
        <v>0</v>
      </c>
      <c r="AM33" s="29"/>
      <c r="AO33" s="575"/>
      <c r="AP33" s="575"/>
      <c r="AR33" s="3148">
        <v>33</v>
      </c>
      <c r="AS33" s="3085" t="str">
        <f t="shared" si="0"/>
        <v/>
      </c>
    </row>
    <row r="34" spans="1:45" ht="12" customHeight="1" x14ac:dyDescent="0.2">
      <c r="A34" s="29"/>
      <c r="B34" s="485"/>
      <c r="C34" s="5355"/>
      <c r="D34" s="5356"/>
      <c r="E34" s="5357"/>
      <c r="F34" s="4078"/>
      <c r="G34" s="5358"/>
      <c r="H34" s="5358"/>
      <c r="I34" s="5358"/>
      <c r="J34" s="5358"/>
      <c r="K34" s="5358"/>
      <c r="L34" s="5358"/>
      <c r="M34" s="5358"/>
      <c r="N34" s="5358"/>
      <c r="O34" s="5358"/>
      <c r="P34" s="5358"/>
      <c r="Q34" s="5359"/>
      <c r="R34" s="36"/>
      <c r="S34" s="29"/>
      <c r="T34" s="29"/>
      <c r="U34" s="671"/>
      <c r="V34" s="5292" t="str">
        <f>IF(V33=0,"",VLOOKUP(V33,Tabla_PoderesPsi,2,FALSE))</f>
        <v/>
      </c>
      <c r="W34" s="5293"/>
      <c r="X34" s="5293"/>
      <c r="Y34" s="1760" t="s">
        <v>1325</v>
      </c>
      <c r="Z34" s="1761" t="str">
        <f>IF(V33=0,"",VLOOKUP(V33,Tabla_PoderesPsi,3,FALSE))</f>
        <v/>
      </c>
      <c r="AA34" s="5306"/>
      <c r="AB34" s="5295"/>
      <c r="AD34" s="5296" t="str">
        <f>IF(AD33=0,"",VLOOKUP(AD33,Tabla_PoderesPsi,2,FALSE))</f>
        <v/>
      </c>
      <c r="AE34" s="5297"/>
      <c r="AF34" s="5297"/>
      <c r="AG34" s="2011" t="s">
        <v>1325</v>
      </c>
      <c r="AH34" s="2012" t="str">
        <f>IF(AD33=0,"",VLOOKUP(AD33,Tabla_PoderesPsi,3,FALSE))</f>
        <v/>
      </c>
      <c r="AI34" s="5271"/>
      <c r="AJ34" s="5299"/>
      <c r="AK34" s="5301"/>
      <c r="AL34" s="5428"/>
      <c r="AM34" s="29"/>
      <c r="AO34" s="575"/>
      <c r="AP34" s="575"/>
      <c r="AR34" s="3148">
        <v>35</v>
      </c>
      <c r="AS34" s="3085" t="str">
        <f t="shared" si="0"/>
        <v/>
      </c>
    </row>
    <row r="35" spans="1:45" ht="12" customHeight="1" thickBot="1" x14ac:dyDescent="0.25">
      <c r="A35" s="29"/>
      <c r="B35" s="485"/>
      <c r="C35" s="5344"/>
      <c r="D35" s="5345"/>
      <c r="E35" s="5346"/>
      <c r="F35" s="5350" t="str">
        <f>IF(C35=0,"",VLOOKUP(C35,Tabla_DisciplinasPsi,2,FALSE))</f>
        <v/>
      </c>
      <c r="G35" s="5351"/>
      <c r="H35" s="5351"/>
      <c r="I35" s="5351"/>
      <c r="J35" s="5351"/>
      <c r="K35" s="5351"/>
      <c r="L35" s="5351"/>
      <c r="M35" s="5351"/>
      <c r="N35" s="5351"/>
      <c r="O35" s="5351"/>
      <c r="P35" s="5351"/>
      <c r="Q35" s="5352"/>
      <c r="R35" s="36"/>
      <c r="S35" s="29"/>
      <c r="T35" s="29"/>
      <c r="U35" s="671">
        <f>IF(V35=0,0,1)</f>
        <v>0</v>
      </c>
      <c r="V35" s="5287"/>
      <c r="W35" s="5288"/>
      <c r="X35" s="5288"/>
      <c r="Y35" s="5288"/>
      <c r="Z35" s="5289"/>
      <c r="AA35" s="5277"/>
      <c r="AB35" s="5279" t="str">
        <f>IF(AA35=0,"",IF(AA35*10&lt;100,AA35*10,100))</f>
        <v/>
      </c>
      <c r="AC35" s="77"/>
      <c r="AD35" s="5267"/>
      <c r="AE35" s="5268"/>
      <c r="AF35" s="5268"/>
      <c r="AG35" s="5268"/>
      <c r="AH35" s="5269"/>
      <c r="AI35" s="5270"/>
      <c r="AJ35" s="5298"/>
      <c r="AK35" s="5300"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428">
        <f>$H$11+IF(ISNA(VLOOKUP(AD35,$V$11:$AB$64,7,FALSE)),0,IF(VLOOKUP(AD35,$V$11:$AB$64,7,FALSE)="",0,VLOOKUP(AD35,$V$11:$AB$64,7,FALSE)))+AI35*20+AJ35</f>
        <v>0</v>
      </c>
      <c r="AM35" s="29"/>
      <c r="AO35" s="575"/>
      <c r="AP35" s="575"/>
      <c r="AR35" s="3148">
        <v>37</v>
      </c>
      <c r="AS35" s="3085" t="str">
        <f t="shared" si="0"/>
        <v/>
      </c>
    </row>
    <row r="36" spans="1:45" ht="12" customHeight="1" thickBot="1" x14ac:dyDescent="0.25">
      <c r="A36" s="29"/>
      <c r="B36" s="485"/>
      <c r="C36" s="5347"/>
      <c r="D36" s="5348"/>
      <c r="E36" s="5349"/>
      <c r="F36" s="5325"/>
      <c r="G36" s="5353"/>
      <c r="H36" s="5353"/>
      <c r="I36" s="5353"/>
      <c r="J36" s="5353"/>
      <c r="K36" s="5353"/>
      <c r="L36" s="5353"/>
      <c r="M36" s="5353"/>
      <c r="N36" s="5353"/>
      <c r="O36" s="5353"/>
      <c r="P36" s="5353"/>
      <c r="Q36" s="5354"/>
      <c r="R36" s="36"/>
      <c r="S36" s="29"/>
      <c r="T36" s="29"/>
      <c r="U36" s="671"/>
      <c r="V36" s="5290" t="str">
        <f>IF(V35=0,"",VLOOKUP(V35,Tabla_PoderesPsi,2,FALSE))</f>
        <v/>
      </c>
      <c r="W36" s="5291"/>
      <c r="X36" s="5291"/>
      <c r="Y36" s="1652" t="s">
        <v>1325</v>
      </c>
      <c r="Z36" s="1653" t="str">
        <f>IF(V35=0,"",VLOOKUP(V35,Tabla_PoderesPsi,3,FALSE))</f>
        <v/>
      </c>
      <c r="AA36" s="5277"/>
      <c r="AB36" s="5279"/>
      <c r="AC36" s="77"/>
      <c r="AD36" s="5296" t="str">
        <f>IF(AD35=0,"",VLOOKUP(AD35,Tabla_PoderesPsi,2,FALSE))</f>
        <v/>
      </c>
      <c r="AE36" s="5297"/>
      <c r="AF36" s="5297"/>
      <c r="AG36" s="2011" t="s">
        <v>1325</v>
      </c>
      <c r="AH36" s="2012" t="str">
        <f>IF(AD35=0,"",VLOOKUP(AD35,Tabla_PoderesPsi,3,FALSE))</f>
        <v/>
      </c>
      <c r="AI36" s="5271"/>
      <c r="AJ36" s="5299"/>
      <c r="AK36" s="5301"/>
      <c r="AL36" s="5428"/>
      <c r="AM36" s="29"/>
      <c r="AO36" s="575"/>
      <c r="AP36" s="575"/>
      <c r="AR36" s="3148">
        <v>39</v>
      </c>
      <c r="AS36" s="3085" t="str">
        <f t="shared" si="0"/>
        <v/>
      </c>
    </row>
    <row r="37" spans="1:45" ht="12" customHeight="1" thickBot="1" x14ac:dyDescent="0.25">
      <c r="A37" s="29"/>
      <c r="B37" s="485"/>
      <c r="R37" s="36"/>
      <c r="S37" s="29"/>
      <c r="T37" s="29"/>
      <c r="U37" s="671">
        <f>IF(V37=0,0,1)</f>
        <v>0</v>
      </c>
      <c r="V37" s="5284"/>
      <c r="W37" s="5285"/>
      <c r="X37" s="5285"/>
      <c r="Y37" s="5285"/>
      <c r="Z37" s="5286"/>
      <c r="AA37" s="5305"/>
      <c r="AB37" s="5294" t="str">
        <f>IF(AA37=0,"",IF(AA37*10&lt;100,AA37*10,100))</f>
        <v/>
      </c>
      <c r="AC37" s="72"/>
      <c r="AD37" s="5267"/>
      <c r="AE37" s="5268"/>
      <c r="AF37" s="5268"/>
      <c r="AG37" s="5268"/>
      <c r="AH37" s="5269"/>
      <c r="AI37" s="5270"/>
      <c r="AJ37" s="5298"/>
      <c r="AK37" s="5300"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428">
        <f>$H$11+IF(ISNA(VLOOKUP(AD37,$V$11:$AB$64,7,FALSE)),0,IF(VLOOKUP(AD37,$V$11:$AB$64,7,FALSE)="",0,VLOOKUP(AD37,$V$11:$AB$64,7,FALSE)))+AI37*20+AJ37</f>
        <v>0</v>
      </c>
      <c r="AM37" s="29"/>
      <c r="AO37" s="575"/>
      <c r="AP37" s="575"/>
      <c r="AR37" s="3148">
        <v>41</v>
      </c>
      <c r="AS37" s="3085" t="str">
        <f t="shared" si="0"/>
        <v/>
      </c>
    </row>
    <row r="38" spans="1:45" ht="12" customHeight="1" x14ac:dyDescent="0.2">
      <c r="A38" s="29"/>
      <c r="B38" s="485"/>
      <c r="C38" s="3746" t="s">
        <v>1523</v>
      </c>
      <c r="D38" s="3503"/>
      <c r="E38" s="3503"/>
      <c r="F38" s="5334" t="s">
        <v>1813</v>
      </c>
      <c r="G38" s="5334"/>
      <c r="H38" s="5334"/>
      <c r="I38" s="5334"/>
      <c r="J38" s="5334"/>
      <c r="K38" s="5334"/>
      <c r="L38" s="5334"/>
      <c r="M38" s="5334"/>
      <c r="N38" s="5334"/>
      <c r="O38" s="5334"/>
      <c r="P38" s="5334"/>
      <c r="Q38" s="5335"/>
      <c r="R38" s="36"/>
      <c r="S38" s="29"/>
      <c r="T38" s="29"/>
      <c r="U38" s="671"/>
      <c r="V38" s="5292" t="str">
        <f>IF(V37=0,"",VLOOKUP(V37,Tabla_PoderesPsi,2,FALSE))</f>
        <v/>
      </c>
      <c r="W38" s="5293"/>
      <c r="X38" s="5293"/>
      <c r="Y38" s="1760" t="s">
        <v>1325</v>
      </c>
      <c r="Z38" s="1761" t="str">
        <f>IF(V37=0,"",VLOOKUP(V37,Tabla_PoderesPsi,3,FALSE))</f>
        <v/>
      </c>
      <c r="AA38" s="5306"/>
      <c r="AB38" s="5295"/>
      <c r="AC38" s="86"/>
      <c r="AD38" s="5296" t="str">
        <f>IF(AD37=0,"",VLOOKUP(AD37,Tabla_PoderesPsi,2,FALSE))</f>
        <v/>
      </c>
      <c r="AE38" s="5297"/>
      <c r="AF38" s="5297"/>
      <c r="AG38" s="2011" t="s">
        <v>1325</v>
      </c>
      <c r="AH38" s="2012" t="str">
        <f>IF(AD37=0,"",VLOOKUP(AD37,Tabla_PoderesPsi,3,FALSE))</f>
        <v/>
      </c>
      <c r="AI38" s="5271"/>
      <c r="AJ38" s="5299"/>
      <c r="AK38" s="5301"/>
      <c r="AL38" s="5428"/>
      <c r="AM38" s="29"/>
      <c r="AO38" s="575"/>
      <c r="AP38" s="575"/>
      <c r="AR38" s="3148">
        <v>43</v>
      </c>
      <c r="AS38" s="3085" t="str">
        <f t="shared" si="0"/>
        <v/>
      </c>
    </row>
    <row r="39" spans="1:45" ht="12" customHeight="1" x14ac:dyDescent="0.2">
      <c r="A39" s="29"/>
      <c r="B39" s="485"/>
      <c r="C39" s="5336" t="str">
        <f>IF(PDs!E114=0,"",PDs!E114)</f>
        <v/>
      </c>
      <c r="D39" s="5337"/>
      <c r="E39" s="5338"/>
      <c r="F39" s="5339" t="str">
        <f>IF(C39="","",VLOOKUP(C39,Tablas!$D$1210:$R$1225,15,FALSE))</f>
        <v/>
      </c>
      <c r="G39" s="5339"/>
      <c r="H39" s="5339"/>
      <c r="I39" s="5339"/>
      <c r="J39" s="5339"/>
      <c r="K39" s="5339"/>
      <c r="L39" s="5339"/>
      <c r="M39" s="5339"/>
      <c r="N39" s="5339"/>
      <c r="O39" s="5339"/>
      <c r="P39" s="5339"/>
      <c r="Q39" s="5340"/>
      <c r="R39" s="36"/>
      <c r="S39" s="29"/>
      <c r="T39" s="29"/>
      <c r="U39" s="671">
        <f>IF(V39=0,0,1)</f>
        <v>0</v>
      </c>
      <c r="V39" s="5287"/>
      <c r="W39" s="5288"/>
      <c r="X39" s="5288"/>
      <c r="Y39" s="5288"/>
      <c r="Z39" s="5289"/>
      <c r="AA39" s="5277"/>
      <c r="AB39" s="5279" t="str">
        <f>IF(AA39=0,"",IF(AA39*10&lt;100,AA39*10,100))</f>
        <v/>
      </c>
      <c r="AC39" s="77"/>
      <c r="AD39" s="5267"/>
      <c r="AE39" s="5268"/>
      <c r="AF39" s="5268"/>
      <c r="AG39" s="5268"/>
      <c r="AH39" s="5269"/>
      <c r="AI39" s="5270"/>
      <c r="AJ39" s="5298"/>
      <c r="AK39" s="5300"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428">
        <f>$H$11+IF(ISNA(VLOOKUP(AD39,$V$11:$AB$64,7,FALSE)),0,IF(VLOOKUP(AD39,$V$11:$AB$64,7,FALSE)="",0,VLOOKUP(AD39,$V$11:$AB$64,7,FALSE)))+AI39*20+AJ39</f>
        <v>0</v>
      </c>
      <c r="AM39" s="29"/>
      <c r="AO39" s="575"/>
      <c r="AP39" s="575"/>
      <c r="AR39" s="3148">
        <v>45</v>
      </c>
      <c r="AS39" s="3085" t="str">
        <f t="shared" si="0"/>
        <v/>
      </c>
    </row>
    <row r="40" spans="1:45" ht="12" customHeight="1" x14ac:dyDescent="0.2">
      <c r="A40" s="29"/>
      <c r="B40" s="485"/>
      <c r="C40" s="5321"/>
      <c r="D40" s="5322"/>
      <c r="E40" s="5323"/>
      <c r="F40" s="4078" t="str">
        <f>IF(C39="","",VLOOKUP(C39,Tablas!$D$1210:$R$1225,7,FALSE))</f>
        <v/>
      </c>
      <c r="G40" s="4078"/>
      <c r="H40" s="4078"/>
      <c r="I40" s="4078"/>
      <c r="J40" s="4078"/>
      <c r="K40" s="4078"/>
      <c r="L40" s="4078"/>
      <c r="M40" s="4078"/>
      <c r="N40" s="4078"/>
      <c r="O40" s="4078"/>
      <c r="P40" s="4078"/>
      <c r="Q40" s="5324"/>
      <c r="R40" s="36"/>
      <c r="S40" s="29"/>
      <c r="T40" s="29"/>
      <c r="U40" s="671"/>
      <c r="V40" s="5290" t="str">
        <f>IF(V39=0,"",VLOOKUP(V39,Tabla_PoderesPsi,2,FALSE))</f>
        <v/>
      </c>
      <c r="W40" s="5291"/>
      <c r="X40" s="5291"/>
      <c r="Y40" s="1652" t="s">
        <v>1325</v>
      </c>
      <c r="Z40" s="1653" t="str">
        <f>IF(V39=0,"",VLOOKUP(V39,Tabla_PoderesPsi,3,FALSE))</f>
        <v/>
      </c>
      <c r="AA40" s="5277"/>
      <c r="AB40" s="5279"/>
      <c r="AC40" s="77"/>
      <c r="AD40" s="5296" t="str">
        <f>IF(AD39=0,"",VLOOKUP(AD39,Tabla_PoderesPsi,2,FALSE))</f>
        <v/>
      </c>
      <c r="AE40" s="5297"/>
      <c r="AF40" s="5297"/>
      <c r="AG40" s="2011" t="s">
        <v>1325</v>
      </c>
      <c r="AH40" s="2012" t="str">
        <f>IF(AD39=0,"",VLOOKUP(AD39,Tabla_PoderesPsi,3,FALSE))</f>
        <v/>
      </c>
      <c r="AI40" s="5271"/>
      <c r="AJ40" s="5299"/>
      <c r="AK40" s="5301"/>
      <c r="AL40" s="5428"/>
      <c r="AM40" s="29"/>
      <c r="AO40" s="575"/>
      <c r="AP40" s="575"/>
      <c r="AR40" s="3148">
        <v>47</v>
      </c>
      <c r="AS40" s="3085" t="str">
        <f t="shared" si="0"/>
        <v/>
      </c>
    </row>
    <row r="41" spans="1:45" ht="12" customHeight="1" x14ac:dyDescent="0.2">
      <c r="A41" s="29"/>
      <c r="B41" s="485"/>
      <c r="C41" s="5310" t="str">
        <f>IF(PDs!E115=0,"",PDs!E115)</f>
        <v/>
      </c>
      <c r="D41" s="5311"/>
      <c r="E41" s="5312"/>
      <c r="F41" s="5316" t="str">
        <f>IF(C41="","",VLOOKUP(C41,Tablas!$D$1210:$R$1225,15,FALSE))</f>
        <v/>
      </c>
      <c r="G41" s="5316"/>
      <c r="H41" s="5316"/>
      <c r="I41" s="5316"/>
      <c r="J41" s="5316"/>
      <c r="K41" s="5316"/>
      <c r="L41" s="5316"/>
      <c r="M41" s="5316"/>
      <c r="N41" s="5316"/>
      <c r="O41" s="5316"/>
      <c r="P41" s="5316"/>
      <c r="Q41" s="5317"/>
      <c r="R41" s="36"/>
      <c r="S41" s="29"/>
      <c r="T41" s="29"/>
      <c r="U41" s="671">
        <f>IF(V41=0,0,1)</f>
        <v>0</v>
      </c>
      <c r="V41" s="5341"/>
      <c r="W41" s="5342"/>
      <c r="X41" s="5342"/>
      <c r="Y41" s="5342"/>
      <c r="Z41" s="5343"/>
      <c r="AA41" s="5305"/>
      <c r="AB41" s="5294" t="str">
        <f>IF(AA41=0,"",IF(AA41*10&lt;100,AA41*10,100))</f>
        <v/>
      </c>
      <c r="AC41" s="87"/>
      <c r="AD41" s="5267"/>
      <c r="AE41" s="5268"/>
      <c r="AF41" s="5268"/>
      <c r="AG41" s="5268"/>
      <c r="AH41" s="5269"/>
      <c r="AI41" s="5270"/>
      <c r="AJ41" s="5298"/>
      <c r="AK41" s="5300"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428">
        <f>$H$11+IF(ISNA(VLOOKUP(AD41,$V$11:$AB$64,7,FALSE)),0,IF(VLOOKUP(AD41,$V$11:$AB$64,7,FALSE)="",0,VLOOKUP(AD41,$V$11:$AB$64,7,FALSE)))+AI41*20+AJ41</f>
        <v>0</v>
      </c>
      <c r="AM41" s="29"/>
      <c r="AO41" s="575"/>
      <c r="AP41" s="575"/>
      <c r="AR41" s="3148">
        <v>49</v>
      </c>
      <c r="AS41" s="3085" t="str">
        <f t="shared" si="0"/>
        <v/>
      </c>
    </row>
    <row r="42" spans="1:45" ht="12" customHeight="1" x14ac:dyDescent="0.2">
      <c r="A42" s="29"/>
      <c r="B42" s="485"/>
      <c r="C42" s="5328"/>
      <c r="D42" s="5329"/>
      <c r="E42" s="5330"/>
      <c r="F42" s="5316" t="str">
        <f>IF(C41="","",VLOOKUP(C41,Tablas!$D$1210:$R$1225,7,FALSE))</f>
        <v/>
      </c>
      <c r="G42" s="5316"/>
      <c r="H42" s="5316"/>
      <c r="I42" s="5316"/>
      <c r="J42" s="5316"/>
      <c r="K42" s="5316"/>
      <c r="L42" s="5316"/>
      <c r="M42" s="5316"/>
      <c r="N42" s="5316"/>
      <c r="O42" s="5316"/>
      <c r="P42" s="5316"/>
      <c r="Q42" s="5317"/>
      <c r="R42" s="36"/>
      <c r="S42" s="29"/>
      <c r="T42" s="29"/>
      <c r="U42" s="671"/>
      <c r="V42" s="5332" t="str">
        <f>IF(V41=0,"",VLOOKUP(V41,Tabla_PoderesPsi,2,FALSE))</f>
        <v/>
      </c>
      <c r="W42" s="5333"/>
      <c r="X42" s="5333"/>
      <c r="Y42" s="3019" t="s">
        <v>1325</v>
      </c>
      <c r="Z42" s="3018" t="str">
        <f>IF(V41=0,"",VLOOKUP(V41,Tabla_PoderesPsi,3,FALSE))</f>
        <v/>
      </c>
      <c r="AA42" s="5306"/>
      <c r="AB42" s="5295"/>
      <c r="AC42" s="87"/>
      <c r="AD42" s="5296" t="str">
        <f>IF(AD41=0,"",VLOOKUP(AD41,Tabla_PoderesPsi,2,FALSE))</f>
        <v/>
      </c>
      <c r="AE42" s="5297"/>
      <c r="AF42" s="5297"/>
      <c r="AG42" s="2011" t="s">
        <v>1325</v>
      </c>
      <c r="AH42" s="2012" t="str">
        <f>IF(AD41=0,"",VLOOKUP(AD41,Tabla_PoderesPsi,3,FALSE))</f>
        <v/>
      </c>
      <c r="AI42" s="5271"/>
      <c r="AJ42" s="5299"/>
      <c r="AK42" s="5301"/>
      <c r="AL42" s="5428"/>
      <c r="AM42" s="29"/>
      <c r="AO42" s="575"/>
      <c r="AP42" s="575"/>
      <c r="AR42" s="3148">
        <v>51</v>
      </c>
      <c r="AS42" s="3085" t="str">
        <f t="shared" si="0"/>
        <v/>
      </c>
    </row>
    <row r="43" spans="1:45" ht="12" customHeight="1" x14ac:dyDescent="0.2">
      <c r="A43" s="29"/>
      <c r="B43" s="485"/>
      <c r="C43" s="5318" t="str">
        <f>IF(PDs!E116=0,"",PDs!E116)</f>
        <v/>
      </c>
      <c r="D43" s="5319"/>
      <c r="E43" s="5320"/>
      <c r="F43" s="4078" t="str">
        <f>IF(C43="","",VLOOKUP(C43,Tablas!$D$1210:$R$1225,15,FALSE))</f>
        <v/>
      </c>
      <c r="G43" s="4078"/>
      <c r="H43" s="4078"/>
      <c r="I43" s="4078"/>
      <c r="J43" s="4078"/>
      <c r="K43" s="4078"/>
      <c r="L43" s="4078"/>
      <c r="M43" s="4078"/>
      <c r="N43" s="4078"/>
      <c r="O43" s="4078"/>
      <c r="P43" s="4078"/>
      <c r="Q43" s="5324"/>
      <c r="R43" s="36"/>
      <c r="S43" s="29"/>
      <c r="T43" s="29"/>
      <c r="U43" s="671">
        <f>IF(V43=0,0,1)</f>
        <v>0</v>
      </c>
      <c r="V43" s="5287"/>
      <c r="W43" s="5288"/>
      <c r="X43" s="5288"/>
      <c r="Y43" s="5288"/>
      <c r="Z43" s="5289"/>
      <c r="AA43" s="5277"/>
      <c r="AB43" s="5279" t="str">
        <f>IF(AA43=0,"",IF(AA43*10&lt;100,AA43*10,100))</f>
        <v/>
      </c>
      <c r="AD43" s="5267"/>
      <c r="AE43" s="5268"/>
      <c r="AF43" s="5268"/>
      <c r="AG43" s="5268"/>
      <c r="AH43" s="5269"/>
      <c r="AI43" s="5270"/>
      <c r="AJ43" s="5298"/>
      <c r="AK43" s="5300"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428">
        <f>$H$11+IF(ISNA(VLOOKUP(AD43,$V$11:$AB$64,7,FALSE)),0,IF(VLOOKUP(AD43,$V$11:$AB$64,7,FALSE)="",0,VLOOKUP(AD43,$V$11:$AB$64,7,FALSE)))+AI43*20+AJ43</f>
        <v>0</v>
      </c>
      <c r="AM43" s="29"/>
      <c r="AO43" s="575"/>
      <c r="AP43" s="575"/>
      <c r="AR43" s="3148">
        <v>53</v>
      </c>
      <c r="AS43" s="3085" t="str">
        <f>IF(INDEX($V$11:$Z$64,AR43,1)=0,"",INDEX($V$11:$Z$64,AR43,1))</f>
        <v/>
      </c>
    </row>
    <row r="44" spans="1:45" ht="12" customHeight="1" x14ac:dyDescent="0.2">
      <c r="A44" s="29"/>
      <c r="B44" s="485"/>
      <c r="C44" s="5321"/>
      <c r="D44" s="5322"/>
      <c r="E44" s="5323"/>
      <c r="F44" s="4078" t="str">
        <f>IF(C43="","",VLOOKUP(C43,Tablas!$D$1210:$R$1225,7,FALSE))</f>
        <v/>
      </c>
      <c r="G44" s="4078"/>
      <c r="H44" s="4078"/>
      <c r="I44" s="4078"/>
      <c r="J44" s="4078"/>
      <c r="K44" s="4078"/>
      <c r="L44" s="4078"/>
      <c r="M44" s="4078"/>
      <c r="N44" s="4078"/>
      <c r="O44" s="4078"/>
      <c r="P44" s="4078"/>
      <c r="Q44" s="5324"/>
      <c r="R44" s="36"/>
      <c r="S44" s="29"/>
      <c r="T44" s="29"/>
      <c r="U44" s="671"/>
      <c r="V44" s="5290" t="str">
        <f>IF(V43=0,"",VLOOKUP(V43,Tabla_PoderesPsi,2,FALSE))</f>
        <v/>
      </c>
      <c r="W44" s="5291"/>
      <c r="X44" s="5291"/>
      <c r="Y44" s="1652" t="s">
        <v>1325</v>
      </c>
      <c r="Z44" s="1653" t="str">
        <f>IF(V43=0,"",VLOOKUP(V43,Tabla_PoderesPsi,3,FALSE))</f>
        <v/>
      </c>
      <c r="AA44" s="5277"/>
      <c r="AB44" s="5279"/>
      <c r="AD44" s="5296" t="str">
        <f>IF(AD43=0,"",VLOOKUP(AD43,Tabla_PoderesPsi,2,FALSE))</f>
        <v/>
      </c>
      <c r="AE44" s="5297"/>
      <c r="AF44" s="5297"/>
      <c r="AG44" s="2011" t="s">
        <v>1325</v>
      </c>
      <c r="AH44" s="2012" t="str">
        <f>IF(AD43=0,"",VLOOKUP(AD43,Tabla_PoderesPsi,3,FALSE))</f>
        <v/>
      </c>
      <c r="AI44" s="5271"/>
      <c r="AJ44" s="5299"/>
      <c r="AK44" s="5301"/>
      <c r="AL44" s="5428"/>
      <c r="AM44" s="29"/>
      <c r="AO44" s="575"/>
      <c r="AP44" s="575"/>
      <c r="AR44" s="3085"/>
      <c r="AS44" s="3085"/>
    </row>
    <row r="45" spans="1:45" ht="12" customHeight="1" x14ac:dyDescent="0.2">
      <c r="A45" s="29"/>
      <c r="B45" s="485"/>
      <c r="C45" s="5310" t="str">
        <f>IF(PDs!E117=0,"",PDs!E117)</f>
        <v/>
      </c>
      <c r="D45" s="5311"/>
      <c r="E45" s="5312"/>
      <c r="F45" s="5316" t="str">
        <f>IF(C45="","",VLOOKUP(C45,Tablas!$D$1210:$R$1225,15,FALSE))</f>
        <v/>
      </c>
      <c r="G45" s="5316"/>
      <c r="H45" s="5316"/>
      <c r="I45" s="5316"/>
      <c r="J45" s="5316"/>
      <c r="K45" s="5316"/>
      <c r="L45" s="5316"/>
      <c r="M45" s="5316"/>
      <c r="N45" s="5316"/>
      <c r="O45" s="5316"/>
      <c r="P45" s="5316"/>
      <c r="Q45" s="5317"/>
      <c r="R45" s="36"/>
      <c r="S45" s="29"/>
      <c r="T45" s="29"/>
      <c r="U45" s="671">
        <f>IF(V45=0,0,1)</f>
        <v>0</v>
      </c>
      <c r="V45" s="5284"/>
      <c r="W45" s="5285"/>
      <c r="X45" s="5285"/>
      <c r="Y45" s="5285"/>
      <c r="Z45" s="5286"/>
      <c r="AA45" s="5305"/>
      <c r="AB45" s="5294" t="str">
        <f>IF(AA45=0,"",IF(AA45*10&lt;100,AA45*10,100))</f>
        <v/>
      </c>
      <c r="AD45" s="5267"/>
      <c r="AE45" s="5268"/>
      <c r="AF45" s="5268"/>
      <c r="AG45" s="5268"/>
      <c r="AH45" s="5269"/>
      <c r="AI45" s="5270"/>
      <c r="AJ45" s="5298"/>
      <c r="AK45" s="5300"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428">
        <f>$H$11+IF(ISNA(VLOOKUP(AD45,$V$11:$AB$64,7,FALSE)),0,IF(VLOOKUP(AD45,$V$11:$AB$64,7,FALSE)="",0,VLOOKUP(AD45,$V$11:$AB$64,7,FALSE)))+AI45*20+AJ45</f>
        <v>0</v>
      </c>
      <c r="AM45" s="29"/>
      <c r="AO45" s="575"/>
      <c r="AP45" s="575"/>
      <c r="AR45" s="3085"/>
      <c r="AS45" s="3085"/>
    </row>
    <row r="46" spans="1:45" ht="12" customHeight="1" x14ac:dyDescent="0.2">
      <c r="A46" s="29"/>
      <c r="B46" s="485"/>
      <c r="C46" s="5328"/>
      <c r="D46" s="5329"/>
      <c r="E46" s="5330"/>
      <c r="F46" s="5316" t="str">
        <f>IF(C45="","",VLOOKUP(C45,Tablas!$D$1210:$R$1225,7,FALSE))</f>
        <v/>
      </c>
      <c r="G46" s="5316"/>
      <c r="H46" s="5316"/>
      <c r="I46" s="5316"/>
      <c r="J46" s="5316"/>
      <c r="K46" s="5316"/>
      <c r="L46" s="5316"/>
      <c r="M46" s="5316"/>
      <c r="N46" s="5316"/>
      <c r="O46" s="5316"/>
      <c r="P46" s="5316"/>
      <c r="Q46" s="5317"/>
      <c r="R46" s="36"/>
      <c r="S46" s="29"/>
      <c r="T46" s="29"/>
      <c r="U46" s="671"/>
      <c r="V46" s="5292" t="str">
        <f>IF(V45=0,"",VLOOKUP(V45,Tabla_PoderesPsi,2,FALSE))</f>
        <v/>
      </c>
      <c r="W46" s="5293"/>
      <c r="X46" s="5293"/>
      <c r="Y46" s="1760" t="s">
        <v>1325</v>
      </c>
      <c r="Z46" s="1761" t="str">
        <f>IF(V45=0,"",VLOOKUP(V45,Tabla_PoderesPsi,3,FALSE))</f>
        <v/>
      </c>
      <c r="AA46" s="5306"/>
      <c r="AB46" s="5295"/>
      <c r="AD46" s="5296" t="str">
        <f>IF(AD45=0,"",VLOOKUP(AD45,Tabla_PoderesPsi,2,FALSE))</f>
        <v/>
      </c>
      <c r="AE46" s="5297"/>
      <c r="AF46" s="5297"/>
      <c r="AG46" s="2011" t="s">
        <v>1325</v>
      </c>
      <c r="AH46" s="2012" t="str">
        <f>IF(AD45=0,"",VLOOKUP(AD45,Tabla_PoderesPsi,3,FALSE))</f>
        <v/>
      </c>
      <c r="AI46" s="5271"/>
      <c r="AJ46" s="5299"/>
      <c r="AK46" s="5301"/>
      <c r="AL46" s="5428"/>
      <c r="AM46" s="29"/>
      <c r="AO46" s="575"/>
      <c r="AP46" s="575"/>
      <c r="AR46" s="3085"/>
      <c r="AS46" s="3085"/>
    </row>
    <row r="47" spans="1:45" ht="12" customHeight="1" x14ac:dyDescent="0.2">
      <c r="A47" s="29"/>
      <c r="B47" s="485"/>
      <c r="C47" s="5318" t="str">
        <f>IF(PDs!E118=0,"",PDs!E118)</f>
        <v/>
      </c>
      <c r="D47" s="5319"/>
      <c r="E47" s="5320"/>
      <c r="F47" s="4078" t="str">
        <f>IF(C47="","",VLOOKUP(C47,Tablas!$D$1210:$R$1225,15,FALSE))</f>
        <v/>
      </c>
      <c r="G47" s="4078"/>
      <c r="H47" s="4078"/>
      <c r="I47" s="4078"/>
      <c r="J47" s="4078"/>
      <c r="K47" s="4078"/>
      <c r="L47" s="4078"/>
      <c r="M47" s="4078"/>
      <c r="N47" s="4078"/>
      <c r="O47" s="4078"/>
      <c r="P47" s="4078"/>
      <c r="Q47" s="5324"/>
      <c r="R47" s="36"/>
      <c r="S47" s="29"/>
      <c r="T47" s="29"/>
      <c r="U47" s="671">
        <f>IF(V47=0,0,1)</f>
        <v>0</v>
      </c>
      <c r="V47" s="5287"/>
      <c r="W47" s="5288"/>
      <c r="X47" s="5288"/>
      <c r="Y47" s="5288"/>
      <c r="Z47" s="5289"/>
      <c r="AA47" s="5277"/>
      <c r="AB47" s="5279" t="str">
        <f>IF(AA47=0,"",IF(AA47*10&lt;100,AA47*10,100))</f>
        <v/>
      </c>
      <c r="AD47" s="5267"/>
      <c r="AE47" s="5268"/>
      <c r="AF47" s="5268"/>
      <c r="AG47" s="5268"/>
      <c r="AH47" s="5269"/>
      <c r="AI47" s="5270"/>
      <c r="AJ47" s="5298"/>
      <c r="AK47" s="5300"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428">
        <f>$H$11+IF(ISNA(VLOOKUP(AD47,$V$11:$AB$64,7,FALSE)),0,IF(VLOOKUP(AD47,$V$11:$AB$64,7,FALSE)="",0,VLOOKUP(AD47,$V$11:$AB$64,7,FALSE)))+AI47*20+AJ47</f>
        <v>0</v>
      </c>
      <c r="AM47" s="29"/>
      <c r="AO47" s="575"/>
      <c r="AP47" s="575"/>
      <c r="AR47" s="3085"/>
      <c r="AS47" s="3085"/>
    </row>
    <row r="48" spans="1:45" ht="12" customHeight="1" x14ac:dyDescent="0.2">
      <c r="A48" s="29"/>
      <c r="B48" s="485"/>
      <c r="C48" s="5321"/>
      <c r="D48" s="5322"/>
      <c r="E48" s="5323"/>
      <c r="F48" s="4078" t="str">
        <f>IF(C47="","",VLOOKUP(C47,Tablas!$D$1210:$R$1225,7,FALSE))</f>
        <v/>
      </c>
      <c r="G48" s="4078"/>
      <c r="H48" s="4078"/>
      <c r="I48" s="4078"/>
      <c r="J48" s="4078"/>
      <c r="K48" s="4078"/>
      <c r="L48" s="4078"/>
      <c r="M48" s="4078"/>
      <c r="N48" s="4078"/>
      <c r="O48" s="4078"/>
      <c r="P48" s="4078"/>
      <c r="Q48" s="5324"/>
      <c r="R48" s="36"/>
      <c r="S48" s="29"/>
      <c r="T48" s="29"/>
      <c r="U48" s="671"/>
      <c r="V48" s="5290" t="str">
        <f>IF(V47=0,"",VLOOKUP(V47,Tabla_PoderesPsi,2,FALSE))</f>
        <v/>
      </c>
      <c r="W48" s="5291"/>
      <c r="X48" s="5291"/>
      <c r="Y48" s="1652" t="s">
        <v>1325</v>
      </c>
      <c r="Z48" s="1653" t="str">
        <f>IF(V47=0,"",VLOOKUP(V47,Tabla_PoderesPsi,3,FALSE))</f>
        <v/>
      </c>
      <c r="AA48" s="5277"/>
      <c r="AB48" s="5279"/>
      <c r="AD48" s="5296" t="str">
        <f>IF(AD47=0,"",VLOOKUP(AD47,Tabla_PoderesPsi,2,FALSE))</f>
        <v/>
      </c>
      <c r="AE48" s="5297"/>
      <c r="AF48" s="5297"/>
      <c r="AG48" s="2011" t="s">
        <v>1325</v>
      </c>
      <c r="AH48" s="2012" t="str">
        <f>IF(AD47=0,"",VLOOKUP(AD47,Tabla_PoderesPsi,3,FALSE))</f>
        <v/>
      </c>
      <c r="AI48" s="5271"/>
      <c r="AJ48" s="5299"/>
      <c r="AK48" s="5301"/>
      <c r="AL48" s="5428"/>
      <c r="AM48" s="29"/>
      <c r="AO48" s="575"/>
      <c r="AP48" s="575"/>
      <c r="AR48" s="3085"/>
      <c r="AS48" s="3085"/>
    </row>
    <row r="49" spans="1:45" ht="12" customHeight="1" x14ac:dyDescent="0.2">
      <c r="A49" s="29"/>
      <c r="B49" s="485"/>
      <c r="C49" s="5310" t="str">
        <f>IF(PDs!E119=0,"",PDs!E119)</f>
        <v/>
      </c>
      <c r="D49" s="5311"/>
      <c r="E49" s="5312"/>
      <c r="F49" s="5316" t="str">
        <f>IF(C49="","",VLOOKUP(C49,Tablas!$D$1210:$R$1225,15,FALSE))</f>
        <v/>
      </c>
      <c r="G49" s="5316"/>
      <c r="H49" s="5316"/>
      <c r="I49" s="5316"/>
      <c r="J49" s="5316"/>
      <c r="K49" s="5316"/>
      <c r="L49" s="5316"/>
      <c r="M49" s="5316"/>
      <c r="N49" s="5316"/>
      <c r="O49" s="5316"/>
      <c r="P49" s="5316"/>
      <c r="Q49" s="5317"/>
      <c r="R49" s="36"/>
      <c r="S49" s="29"/>
      <c r="T49" s="29"/>
      <c r="U49" s="671">
        <f>IF(V49=0,0,1)</f>
        <v>0</v>
      </c>
      <c r="V49" s="5284"/>
      <c r="W49" s="5285"/>
      <c r="X49" s="5285"/>
      <c r="Y49" s="5285"/>
      <c r="Z49" s="5286"/>
      <c r="AA49" s="5305"/>
      <c r="AB49" s="5294" t="str">
        <f>IF(AA49=0,"",IF(AA49*10&lt;100,AA49*10,100))</f>
        <v/>
      </c>
      <c r="AD49" s="5267"/>
      <c r="AE49" s="5268"/>
      <c r="AF49" s="5268"/>
      <c r="AG49" s="5268"/>
      <c r="AH49" s="5269"/>
      <c r="AI49" s="5270"/>
      <c r="AJ49" s="5298"/>
      <c r="AK49" s="5300"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428">
        <f>$H$11+IF(ISNA(VLOOKUP(AD49,$V$11:$AB$64,7,FALSE)),0,IF(VLOOKUP(AD49,$V$11:$AB$64,7,FALSE)="",0,VLOOKUP(AD49,$V$11:$AB$64,7,FALSE)))+AI49*20+AJ49</f>
        <v>0</v>
      </c>
      <c r="AM49" s="29"/>
      <c r="AO49" s="575"/>
      <c r="AP49" s="575"/>
      <c r="AR49" s="3085"/>
      <c r="AS49" s="3085"/>
    </row>
    <row r="50" spans="1:45" ht="12" customHeight="1" thickBot="1" x14ac:dyDescent="0.25">
      <c r="A50" s="29"/>
      <c r="B50" s="485"/>
      <c r="C50" s="5313"/>
      <c r="D50" s="5314"/>
      <c r="E50" s="5315"/>
      <c r="F50" s="5325" t="str">
        <f>IF(C49="","",VLOOKUP(C49,Tablas!$D$1210:$R$1225,7,FALSE))</f>
        <v/>
      </c>
      <c r="G50" s="5325"/>
      <c r="H50" s="5325"/>
      <c r="I50" s="5325"/>
      <c r="J50" s="5325"/>
      <c r="K50" s="5325"/>
      <c r="L50" s="5325"/>
      <c r="M50" s="5325"/>
      <c r="N50" s="5325"/>
      <c r="O50" s="5325"/>
      <c r="P50" s="5325"/>
      <c r="Q50" s="5326"/>
      <c r="R50" s="36"/>
      <c r="S50" s="29"/>
      <c r="T50" s="29"/>
      <c r="U50" s="671"/>
      <c r="V50" s="5292" t="str">
        <f>IF(V49=0,"",VLOOKUP(V49,Tabla_PoderesPsi,2,FALSE))</f>
        <v/>
      </c>
      <c r="W50" s="5293"/>
      <c r="X50" s="5293"/>
      <c r="Y50" s="1760" t="s">
        <v>1325</v>
      </c>
      <c r="Z50" s="1761" t="str">
        <f>IF(V49=0,"",VLOOKUP(V49,Tabla_PoderesPsi,3,FALSE))</f>
        <v/>
      </c>
      <c r="AA50" s="5306"/>
      <c r="AB50" s="5295"/>
      <c r="AD50" s="5296" t="str">
        <f>IF(AD49=0,"",VLOOKUP(AD49,Tabla_PoderesPsi,2,FALSE))</f>
        <v/>
      </c>
      <c r="AE50" s="5297"/>
      <c r="AF50" s="5297"/>
      <c r="AG50" s="2011" t="s">
        <v>1325</v>
      </c>
      <c r="AH50" s="2012" t="str">
        <f>IF(AD49=0,"",VLOOKUP(AD49,Tabla_PoderesPsi,3,FALSE))</f>
        <v/>
      </c>
      <c r="AI50" s="5271"/>
      <c r="AJ50" s="5299"/>
      <c r="AK50" s="5301"/>
      <c r="AL50" s="5428"/>
      <c r="AM50" s="29"/>
      <c r="AO50" s="575"/>
      <c r="AP50" s="575"/>
      <c r="AR50" s="3085"/>
      <c r="AS50" s="3085"/>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287"/>
      <c r="W51" s="5288"/>
      <c r="X51" s="5288"/>
      <c r="Y51" s="5288"/>
      <c r="Z51" s="5289"/>
      <c r="AA51" s="5277"/>
      <c r="AB51" s="5279" t="str">
        <f>IF(AA51=0,"",IF(AA51*10&lt;100,AA51*10,100))</f>
        <v/>
      </c>
      <c r="AD51" s="5267"/>
      <c r="AE51" s="5268"/>
      <c r="AF51" s="5268"/>
      <c r="AG51" s="5268"/>
      <c r="AH51" s="5269"/>
      <c r="AI51" s="5270"/>
      <c r="AJ51" s="5298"/>
      <c r="AK51" s="5300"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428">
        <f>$H$11+IF(ISNA(VLOOKUP(AD51,$V$11:$AB$64,7,FALSE)),0,IF(VLOOKUP(AD51,$V$11:$AB$64,7,FALSE)="",0,VLOOKUP(AD51,$V$11:$AB$64,7,FALSE)))+AI51*20+AJ51</f>
        <v>0</v>
      </c>
      <c r="AM51" s="29"/>
      <c r="AO51" s="575"/>
      <c r="AP51" s="575"/>
      <c r="AR51" s="3085"/>
      <c r="AS51" s="3085"/>
    </row>
    <row r="52" spans="1:45" ht="12" customHeight="1" thickBot="1" x14ac:dyDescent="0.25">
      <c r="A52" s="29"/>
      <c r="B52" s="671"/>
      <c r="C52" s="3676" t="s">
        <v>9603</v>
      </c>
      <c r="D52" s="3676"/>
      <c r="E52" s="3676"/>
      <c r="F52" s="3676"/>
      <c r="G52" s="3676"/>
      <c r="H52" s="3676"/>
      <c r="J52" s="5308" t="s">
        <v>1719</v>
      </c>
      <c r="K52" s="5308"/>
      <c r="L52" s="5308"/>
      <c r="M52" s="5309" t="s">
        <v>1789</v>
      </c>
      <c r="N52" s="5309"/>
      <c r="O52" s="5309"/>
      <c r="P52" s="5309"/>
      <c r="Q52" s="5309"/>
      <c r="R52" s="38"/>
      <c r="S52" s="169"/>
      <c r="T52" s="169"/>
      <c r="U52" s="671"/>
      <c r="V52" s="5290" t="str">
        <f>IF(V51=0,"",VLOOKUP(V51,Tabla_PoderesPsi,2,FALSE))</f>
        <v/>
      </c>
      <c r="W52" s="5291"/>
      <c r="X52" s="5291"/>
      <c r="Y52" s="1652" t="s">
        <v>1325</v>
      </c>
      <c r="Z52" s="1653" t="str">
        <f>IF(V51=0,"",VLOOKUP(V51,Tabla_PoderesPsi,3,FALSE))</f>
        <v/>
      </c>
      <c r="AA52" s="5277"/>
      <c r="AB52" s="5279"/>
      <c r="AD52" s="5296" t="str">
        <f>IF(AD51=0,"",VLOOKUP(AD51,Tabla_PoderesPsi,2,FALSE))</f>
        <v/>
      </c>
      <c r="AE52" s="5297"/>
      <c r="AF52" s="5297"/>
      <c r="AG52" s="2011" t="s">
        <v>1325</v>
      </c>
      <c r="AH52" s="2012" t="str">
        <f>IF(AD51=0,"",VLOOKUP(AD51,Tabla_PoderesPsi,3,FALSE))</f>
        <v/>
      </c>
      <c r="AI52" s="5271"/>
      <c r="AJ52" s="5299"/>
      <c r="AK52" s="5301"/>
      <c r="AL52" s="5428"/>
      <c r="AM52" s="29"/>
      <c r="AO52" s="575"/>
      <c r="AP52" s="575"/>
      <c r="AR52" s="3085"/>
      <c r="AS52" s="3085"/>
    </row>
    <row r="53" spans="1:45" ht="12" customHeight="1" thickBot="1" x14ac:dyDescent="0.25">
      <c r="A53" s="29"/>
      <c r="B53" s="671"/>
      <c r="C53" s="5331"/>
      <c r="D53" s="5331"/>
      <c r="E53" s="5331"/>
      <c r="F53" s="5331"/>
      <c r="G53" s="5331"/>
      <c r="H53" s="5331"/>
      <c r="J53" s="93">
        <v>20</v>
      </c>
      <c r="K53" s="5282" t="s">
        <v>1722</v>
      </c>
      <c r="L53" s="5282"/>
      <c r="M53" s="5327" t="s">
        <v>1723</v>
      </c>
      <c r="N53" s="5327"/>
      <c r="O53" s="5327"/>
      <c r="P53" s="5327"/>
      <c r="Q53" s="5327"/>
      <c r="R53" s="38"/>
      <c r="S53" s="169"/>
      <c r="T53" s="169"/>
      <c r="U53" s="671">
        <f>IF(V53=0,0,1)</f>
        <v>0</v>
      </c>
      <c r="V53" s="5284"/>
      <c r="W53" s="5285"/>
      <c r="X53" s="5285"/>
      <c r="Y53" s="5285"/>
      <c r="Z53" s="5286"/>
      <c r="AA53" s="5305"/>
      <c r="AB53" s="5294" t="str">
        <f>IF(AA53=0,"",IF(AA53*10&lt;100,AA53*10,100))</f>
        <v/>
      </c>
      <c r="AD53" s="5267"/>
      <c r="AE53" s="5268"/>
      <c r="AF53" s="5268"/>
      <c r="AG53" s="5268"/>
      <c r="AH53" s="5269"/>
      <c r="AI53" s="5270"/>
      <c r="AJ53" s="5298"/>
      <c r="AK53" s="5300"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428">
        <f>$H$11+IF(ISNA(VLOOKUP(AD53,$V$11:$AB$64,7,FALSE)),0,IF(VLOOKUP(AD53,$V$11:$AB$64,7,FALSE)="",0,VLOOKUP(AD53,$V$11:$AB$64,7,FALSE)))+AI53*20+AJ53</f>
        <v>0</v>
      </c>
      <c r="AM53" s="29"/>
      <c r="AO53" s="575"/>
      <c r="AP53" s="575"/>
      <c r="AR53" s="3085"/>
      <c r="AS53" s="3085"/>
    </row>
    <row r="54" spans="1:45" ht="12" customHeight="1" thickBot="1" x14ac:dyDescent="0.25">
      <c r="A54" s="29"/>
      <c r="B54" s="671"/>
      <c r="C54" s="5331"/>
      <c r="D54" s="5331"/>
      <c r="E54" s="5331"/>
      <c r="F54" s="5331"/>
      <c r="G54" s="5331"/>
      <c r="H54" s="5331"/>
      <c r="J54" s="93">
        <v>40</v>
      </c>
      <c r="K54" s="5282" t="s">
        <v>1724</v>
      </c>
      <c r="L54" s="5282"/>
      <c r="M54" s="5283" t="s">
        <v>1725</v>
      </c>
      <c r="N54" s="5283"/>
      <c r="O54" s="5283"/>
      <c r="P54" s="5283"/>
      <c r="Q54" s="5283"/>
      <c r="R54" s="38"/>
      <c r="S54" s="169"/>
      <c r="T54" s="169"/>
      <c r="U54" s="671"/>
      <c r="V54" s="5292" t="str">
        <f>IF(V53=0,"",VLOOKUP(V53,Tabla_PoderesPsi,2,FALSE))</f>
        <v/>
      </c>
      <c r="W54" s="5293"/>
      <c r="X54" s="5293"/>
      <c r="Y54" s="1760" t="s">
        <v>1325</v>
      </c>
      <c r="Z54" s="1761" t="str">
        <f>IF(V53=0,"",VLOOKUP(V53,Tabla_PoderesPsi,3,FALSE))</f>
        <v/>
      </c>
      <c r="AA54" s="5306"/>
      <c r="AB54" s="5295"/>
      <c r="AD54" s="5296" t="str">
        <f>IF(AD53=0,"",VLOOKUP(AD53,Tabla_PoderesPsi,2,FALSE))</f>
        <v/>
      </c>
      <c r="AE54" s="5297"/>
      <c r="AF54" s="5297"/>
      <c r="AG54" s="2011" t="s">
        <v>1325</v>
      </c>
      <c r="AH54" s="2012" t="str">
        <f>IF(AD53=0,"",VLOOKUP(AD53,Tabla_PoderesPsi,3,FALSE))</f>
        <v/>
      </c>
      <c r="AI54" s="5271"/>
      <c r="AJ54" s="5299"/>
      <c r="AK54" s="5301"/>
      <c r="AL54" s="5428"/>
      <c r="AM54" s="29"/>
      <c r="AO54" s="575"/>
      <c r="AP54" s="575"/>
      <c r="AQ54" s="575"/>
      <c r="AR54" s="3085"/>
      <c r="AS54" s="3085"/>
    </row>
    <row r="55" spans="1:45" ht="12" customHeight="1" thickBot="1" x14ac:dyDescent="0.25">
      <c r="A55" s="29"/>
      <c r="B55" s="671"/>
      <c r="C55" s="5331"/>
      <c r="D55" s="5331"/>
      <c r="E55" s="5331"/>
      <c r="F55" s="5331"/>
      <c r="G55" s="5331"/>
      <c r="H55" s="5331"/>
      <c r="J55" s="93">
        <v>80</v>
      </c>
      <c r="K55" s="5282" t="s">
        <v>1727</v>
      </c>
      <c r="L55" s="5282"/>
      <c r="M55" s="5283" t="s">
        <v>1728</v>
      </c>
      <c r="N55" s="5283"/>
      <c r="O55" s="5283"/>
      <c r="P55" s="5283"/>
      <c r="Q55" s="5283"/>
      <c r="R55" s="38"/>
      <c r="S55" s="169"/>
      <c r="T55" s="169"/>
      <c r="U55" s="671">
        <f>IF(V55=0,0,1)</f>
        <v>0</v>
      </c>
      <c r="V55" s="5287"/>
      <c r="W55" s="5288"/>
      <c r="X55" s="5288"/>
      <c r="Y55" s="5288"/>
      <c r="Z55" s="5289"/>
      <c r="AA55" s="5277"/>
      <c r="AB55" s="5279" t="str">
        <f>IF(AA55=0,"",IF(AA55*10&lt;100,AA55*10,100))</f>
        <v/>
      </c>
      <c r="AD55" s="5267"/>
      <c r="AE55" s="5268"/>
      <c r="AF55" s="5268"/>
      <c r="AG55" s="5268"/>
      <c r="AH55" s="5269"/>
      <c r="AI55" s="5270"/>
      <c r="AJ55" s="5298"/>
      <c r="AK55" s="5300"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428">
        <f>$H$11+IF(ISNA(VLOOKUP(AD55,$V$11:$AB$64,7,FALSE)),0,IF(VLOOKUP(AD55,$V$11:$AB$64,7,FALSE)="",0,VLOOKUP(AD55,$V$11:$AB$64,7,FALSE)))+AI55*20+AJ55</f>
        <v>0</v>
      </c>
      <c r="AM55" s="29"/>
      <c r="AO55" s="575"/>
      <c r="AP55" s="575"/>
      <c r="AQ55" s="575"/>
      <c r="AR55" s="3085"/>
      <c r="AS55" s="3085"/>
    </row>
    <row r="56" spans="1:45" ht="12" customHeight="1" thickBot="1" x14ac:dyDescent="0.25">
      <c r="A56" s="29"/>
      <c r="B56" s="671"/>
      <c r="C56" s="5331"/>
      <c r="D56" s="5331"/>
      <c r="E56" s="5331"/>
      <c r="F56" s="5331"/>
      <c r="G56" s="5331"/>
      <c r="H56" s="5331"/>
      <c r="J56" s="93">
        <v>120</v>
      </c>
      <c r="K56" s="5282" t="s">
        <v>1730</v>
      </c>
      <c r="L56" s="5282"/>
      <c r="M56" s="5283" t="s">
        <v>1814</v>
      </c>
      <c r="N56" s="5283"/>
      <c r="O56" s="5283"/>
      <c r="P56" s="5283"/>
      <c r="Q56" s="5283"/>
      <c r="R56" s="38"/>
      <c r="S56" s="169"/>
      <c r="T56" s="169"/>
      <c r="U56" s="671"/>
      <c r="V56" s="5290" t="str">
        <f>IF(V55=0,"",VLOOKUP(V55,Tabla_PoderesPsi,2,FALSE))</f>
        <v/>
      </c>
      <c r="W56" s="5291"/>
      <c r="X56" s="5291"/>
      <c r="Y56" s="1652" t="s">
        <v>1325</v>
      </c>
      <c r="Z56" s="1653" t="str">
        <f>IF(V55=0,"",VLOOKUP(V55,Tabla_PoderesPsi,3,FALSE))</f>
        <v/>
      </c>
      <c r="AA56" s="5277"/>
      <c r="AB56" s="5279"/>
      <c r="AD56" s="5296" t="str">
        <f>IF(AD55=0,"",VLOOKUP(AD55,Tabla_PoderesPsi,2,FALSE))</f>
        <v/>
      </c>
      <c r="AE56" s="5297"/>
      <c r="AF56" s="5297"/>
      <c r="AG56" s="2011" t="s">
        <v>1325</v>
      </c>
      <c r="AH56" s="2012" t="str">
        <f>IF(AD55=0,"",VLOOKUP(AD55,Tabla_PoderesPsi,3,FALSE))</f>
        <v/>
      </c>
      <c r="AI56" s="5271"/>
      <c r="AJ56" s="5299"/>
      <c r="AK56" s="5301"/>
      <c r="AL56" s="5428"/>
      <c r="AM56" s="29"/>
      <c r="AO56" s="575"/>
      <c r="AP56" s="575"/>
      <c r="AQ56" s="575"/>
      <c r="AR56" s="3085"/>
      <c r="AS56" s="3085"/>
    </row>
    <row r="57" spans="1:45" ht="12" customHeight="1" thickBot="1" x14ac:dyDescent="0.25">
      <c r="A57" s="29"/>
      <c r="B57" s="671"/>
      <c r="C57" s="5331"/>
      <c r="D57" s="5331"/>
      <c r="E57" s="5331"/>
      <c r="F57" s="5331"/>
      <c r="G57" s="5331"/>
      <c r="H57" s="5331"/>
      <c r="J57" s="93">
        <v>140</v>
      </c>
      <c r="K57" s="5282" t="s">
        <v>1732</v>
      </c>
      <c r="L57" s="5282"/>
      <c r="M57" s="5283" t="s">
        <v>1815</v>
      </c>
      <c r="N57" s="5283"/>
      <c r="O57" s="5283"/>
      <c r="P57" s="5283"/>
      <c r="Q57" s="5283"/>
      <c r="R57" s="38"/>
      <c r="S57" s="169"/>
      <c r="T57" s="169"/>
      <c r="U57" s="671">
        <f>IF(V57=0,0,1)</f>
        <v>0</v>
      </c>
      <c r="V57" s="5284"/>
      <c r="W57" s="5285"/>
      <c r="X57" s="5285"/>
      <c r="Y57" s="5285"/>
      <c r="Z57" s="5286"/>
      <c r="AA57" s="5305"/>
      <c r="AB57" s="5294" t="str">
        <f>IF(AA57=0,"",IF(AA57*10&lt;100,AA57*10,100))</f>
        <v/>
      </c>
      <c r="AD57" s="5267"/>
      <c r="AE57" s="5268"/>
      <c r="AF57" s="5268"/>
      <c r="AG57" s="5268"/>
      <c r="AH57" s="5269"/>
      <c r="AI57" s="5270"/>
      <c r="AJ57" s="5298"/>
      <c r="AK57" s="5300"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428">
        <f>$H$11+IF(ISNA(VLOOKUP(AD57,$V$11:$AB$64,7,FALSE)),0,IF(VLOOKUP(AD57,$V$11:$AB$64,7,FALSE)="",0,VLOOKUP(AD57,$V$11:$AB$64,7,FALSE)))+AI57*20+AJ57</f>
        <v>0</v>
      </c>
      <c r="AM57" s="29"/>
      <c r="AO57" s="575"/>
      <c r="AP57" s="575"/>
      <c r="AQ57" s="575"/>
      <c r="AR57" s="3085"/>
      <c r="AS57" s="3085"/>
    </row>
    <row r="58" spans="1:45" ht="12" customHeight="1" thickBot="1" x14ac:dyDescent="0.25">
      <c r="A58" s="29"/>
      <c r="B58" s="671"/>
      <c r="C58" s="5331"/>
      <c r="D58" s="5331"/>
      <c r="E58" s="5331"/>
      <c r="F58" s="5331"/>
      <c r="G58" s="5331"/>
      <c r="H58" s="5331"/>
      <c r="J58" s="93">
        <v>180</v>
      </c>
      <c r="K58" s="5282" t="s">
        <v>1734</v>
      </c>
      <c r="L58" s="5282"/>
      <c r="M58" s="5283" t="s">
        <v>1816</v>
      </c>
      <c r="N58" s="5283"/>
      <c r="O58" s="5283"/>
      <c r="P58" s="5283"/>
      <c r="Q58" s="5283"/>
      <c r="R58" s="38"/>
      <c r="S58" s="169"/>
      <c r="T58" s="169"/>
      <c r="U58" s="671"/>
      <c r="V58" s="5292" t="str">
        <f>IF(V57=0,"",VLOOKUP(V57,Tabla_PoderesPsi,2,FALSE))</f>
        <v/>
      </c>
      <c r="W58" s="5293"/>
      <c r="X58" s="5293"/>
      <c r="Y58" s="1760" t="s">
        <v>1325</v>
      </c>
      <c r="Z58" s="1761" t="str">
        <f>IF(V57=0,"",VLOOKUP(V57,Tabla_PoderesPsi,3,FALSE))</f>
        <v/>
      </c>
      <c r="AA58" s="5306"/>
      <c r="AB58" s="5295"/>
      <c r="AC58" s="77"/>
      <c r="AD58" s="5296" t="str">
        <f>IF(AD57=0,"",VLOOKUP(AD57,Tabla_PoderesPsi,2,FALSE))</f>
        <v/>
      </c>
      <c r="AE58" s="5297"/>
      <c r="AF58" s="5297"/>
      <c r="AG58" s="2011" t="s">
        <v>1325</v>
      </c>
      <c r="AH58" s="2012" t="str">
        <f>IF(AD57=0,"",VLOOKUP(AD57,Tabla_PoderesPsi,3,FALSE))</f>
        <v/>
      </c>
      <c r="AI58" s="5271"/>
      <c r="AJ58" s="5299"/>
      <c r="AK58" s="5301"/>
      <c r="AL58" s="5428"/>
      <c r="AM58" s="29"/>
      <c r="AO58" s="575"/>
      <c r="AP58" s="575"/>
      <c r="AQ58" s="575"/>
      <c r="AR58" s="3085"/>
      <c r="AS58" s="3085"/>
    </row>
    <row r="59" spans="1:45" ht="12" customHeight="1" thickBot="1" x14ac:dyDescent="0.25">
      <c r="A59" s="29"/>
      <c r="B59" s="671"/>
      <c r="C59" s="5331"/>
      <c r="D59" s="5331"/>
      <c r="E59" s="5331"/>
      <c r="F59" s="5331"/>
      <c r="G59" s="5331"/>
      <c r="H59" s="5331"/>
      <c r="J59" s="93">
        <v>240</v>
      </c>
      <c r="K59" s="5282" t="s">
        <v>1736</v>
      </c>
      <c r="L59" s="5282"/>
      <c r="M59" s="5283" t="s">
        <v>1817</v>
      </c>
      <c r="N59" s="5283"/>
      <c r="O59" s="5283"/>
      <c r="P59" s="5283"/>
      <c r="Q59" s="5283"/>
      <c r="R59" s="38"/>
      <c r="S59" s="169"/>
      <c r="T59" s="169"/>
      <c r="U59" s="671">
        <f>IF(V59=0,0,1)</f>
        <v>0</v>
      </c>
      <c r="V59" s="5287"/>
      <c r="W59" s="5288"/>
      <c r="X59" s="5288"/>
      <c r="Y59" s="5288"/>
      <c r="Z59" s="5289"/>
      <c r="AA59" s="5277"/>
      <c r="AB59" s="5279" t="str">
        <f>IF(AA59=0,"",IF(AA59*10&lt;100,AA59*10,100))</f>
        <v/>
      </c>
      <c r="AD59" s="5267"/>
      <c r="AE59" s="5268"/>
      <c r="AF59" s="5268"/>
      <c r="AG59" s="5268"/>
      <c r="AH59" s="5269"/>
      <c r="AI59" s="5270"/>
      <c r="AJ59" s="5298"/>
      <c r="AK59" s="5300"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428">
        <f>$H$11+IF(ISNA(VLOOKUP(AD59,$V$11:$AB$64,7,FALSE)),0,IF(VLOOKUP(AD59,$V$11:$AB$64,7,FALSE)="",0,VLOOKUP(AD59,$V$11:$AB$64,7,FALSE)))+AI59*20+AJ59</f>
        <v>0</v>
      </c>
      <c r="AM59" s="29"/>
      <c r="AO59" s="575"/>
      <c r="AP59" s="575"/>
      <c r="AQ59" s="575"/>
      <c r="AR59" s="3085"/>
      <c r="AS59" s="3085"/>
    </row>
    <row r="60" spans="1:45" ht="12" customHeight="1" thickBot="1" x14ac:dyDescent="0.25">
      <c r="A60" s="29"/>
      <c r="B60" s="671"/>
      <c r="C60" s="5331"/>
      <c r="D60" s="5331"/>
      <c r="E60" s="5331"/>
      <c r="F60" s="5331"/>
      <c r="G60" s="5331"/>
      <c r="H60" s="5331"/>
      <c r="J60" s="93">
        <v>280</v>
      </c>
      <c r="K60" s="5282" t="s">
        <v>1737</v>
      </c>
      <c r="L60" s="5282"/>
      <c r="M60" s="5283" t="s">
        <v>1818</v>
      </c>
      <c r="N60" s="5283"/>
      <c r="O60" s="5283"/>
      <c r="P60" s="5283"/>
      <c r="Q60" s="5283"/>
      <c r="R60" s="38"/>
      <c r="S60" s="169"/>
      <c r="T60" s="169"/>
      <c r="U60" s="671"/>
      <c r="V60" s="5290" t="str">
        <f>IF(V59=0,"",VLOOKUP(V59,Tabla_PoderesPsi,2,FALSE))</f>
        <v/>
      </c>
      <c r="W60" s="5291"/>
      <c r="X60" s="5291"/>
      <c r="Y60" s="1652" t="s">
        <v>1325</v>
      </c>
      <c r="Z60" s="1653" t="str">
        <f>IF(V59=0,"",VLOOKUP(V59,Tabla_PoderesPsi,3,FALSE))</f>
        <v/>
      </c>
      <c r="AA60" s="5277"/>
      <c r="AB60" s="5279"/>
      <c r="AD60" s="5296" t="str">
        <f>IF(AD59=0,"",VLOOKUP(AD59,Tabla_PoderesPsi,2,FALSE))</f>
        <v/>
      </c>
      <c r="AE60" s="5297"/>
      <c r="AF60" s="5297"/>
      <c r="AG60" s="2011" t="s">
        <v>1325</v>
      </c>
      <c r="AH60" s="2012" t="str">
        <f>IF(AD59=0,"",VLOOKUP(AD59,Tabla_PoderesPsi,3,FALSE))</f>
        <v/>
      </c>
      <c r="AI60" s="5271"/>
      <c r="AJ60" s="5299"/>
      <c r="AK60" s="5301"/>
      <c r="AL60" s="5428"/>
      <c r="AM60" s="29"/>
      <c r="AO60" s="575"/>
      <c r="AP60" s="575"/>
      <c r="AQ60" s="575"/>
      <c r="AR60" s="3085"/>
      <c r="AS60" s="3085"/>
    </row>
    <row r="61" spans="1:45" ht="12" customHeight="1" thickBot="1" x14ac:dyDescent="0.25">
      <c r="A61" s="29"/>
      <c r="B61" s="671"/>
      <c r="C61" s="5331"/>
      <c r="D61" s="5331"/>
      <c r="E61" s="5331"/>
      <c r="F61" s="5331"/>
      <c r="G61" s="5331"/>
      <c r="H61" s="5331"/>
      <c r="J61" s="93">
        <v>320</v>
      </c>
      <c r="K61" s="5282" t="s">
        <v>1739</v>
      </c>
      <c r="L61" s="5282"/>
      <c r="M61" s="5283" t="s">
        <v>1455</v>
      </c>
      <c r="N61" s="5283"/>
      <c r="O61" s="5283"/>
      <c r="P61" s="5283"/>
      <c r="Q61" s="5283"/>
      <c r="R61" s="38"/>
      <c r="S61" s="169"/>
      <c r="T61" s="169"/>
      <c r="U61" s="671">
        <f>IF(V61=0,0,1)</f>
        <v>0</v>
      </c>
      <c r="V61" s="5284"/>
      <c r="W61" s="5285"/>
      <c r="X61" s="5285"/>
      <c r="Y61" s="5285"/>
      <c r="Z61" s="5286"/>
      <c r="AA61" s="5305"/>
      <c r="AB61" s="5294" t="str">
        <f>IF(AA61=0,"",IF(AA61*10&lt;100,AA61*10,100))</f>
        <v/>
      </c>
      <c r="AD61" s="5267"/>
      <c r="AE61" s="5268"/>
      <c r="AF61" s="5268"/>
      <c r="AG61" s="5268"/>
      <c r="AH61" s="5269"/>
      <c r="AI61" s="5270"/>
      <c r="AJ61" s="5298"/>
      <c r="AK61" s="5300"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428">
        <f>$H$11+IF(ISNA(VLOOKUP(AD61,$V$11:$AB$64,7,FALSE)),0,IF(VLOOKUP(AD61,$V$11:$AB$64,7,FALSE)="",0,VLOOKUP(AD61,$V$11:$AB$64,7,FALSE)))+AI61*20+AJ61</f>
        <v>0</v>
      </c>
      <c r="AM61" s="29"/>
      <c r="AO61" s="575"/>
      <c r="AP61" s="575"/>
      <c r="AQ61" s="575"/>
      <c r="AR61" s="3085"/>
      <c r="AS61" s="3085"/>
    </row>
    <row r="62" spans="1:45" ht="12" customHeight="1" thickBot="1" x14ac:dyDescent="0.25">
      <c r="A62" s="29"/>
      <c r="B62" s="671"/>
      <c r="C62" s="5331"/>
      <c r="D62" s="5331"/>
      <c r="E62" s="5331"/>
      <c r="F62" s="5331"/>
      <c r="G62" s="5331"/>
      <c r="H62" s="5331"/>
      <c r="J62" s="94">
        <v>440</v>
      </c>
      <c r="K62" s="5281" t="s">
        <v>1682</v>
      </c>
      <c r="L62" s="5281"/>
      <c r="M62" s="5307" t="s">
        <v>1455</v>
      </c>
      <c r="N62" s="5307"/>
      <c r="O62" s="5307"/>
      <c r="P62" s="5307"/>
      <c r="Q62" s="5307"/>
      <c r="R62" s="38"/>
      <c r="S62" s="169"/>
      <c r="T62" s="169"/>
      <c r="U62" s="671"/>
      <c r="V62" s="5292" t="str">
        <f>IF(V61=0,"",VLOOKUP(V61,Tabla_PoderesPsi,2,FALSE))</f>
        <v/>
      </c>
      <c r="W62" s="5293"/>
      <c r="X62" s="5293"/>
      <c r="Y62" s="1760" t="s">
        <v>1325</v>
      </c>
      <c r="Z62" s="1761" t="str">
        <f>IF(V61=0,"",VLOOKUP(V61,Tabla_PoderesPsi,3,FALSE))</f>
        <v/>
      </c>
      <c r="AA62" s="5306"/>
      <c r="AB62" s="5295"/>
      <c r="AD62" s="5304" t="str">
        <f>IF(AD61=0,"",VLOOKUP(AD61,Tabla_PoderesPsi,2,FALSE))</f>
        <v/>
      </c>
      <c r="AE62" s="3671"/>
      <c r="AF62" s="3671"/>
      <c r="AG62" s="1098" t="s">
        <v>1325</v>
      </c>
      <c r="AH62" s="2015" t="str">
        <f>IF(AD61=0,"",VLOOKUP(AD61,Tabla_PoderesPsi,3,FALSE))</f>
        <v/>
      </c>
      <c r="AI62" s="5302"/>
      <c r="AJ62" s="5429"/>
      <c r="AK62" s="5303"/>
      <c r="AL62" s="5428"/>
      <c r="AM62" s="29"/>
      <c r="AO62" s="575"/>
      <c r="AP62" s="575"/>
      <c r="AQ62" s="575"/>
      <c r="AR62" s="3085"/>
      <c r="AS62" s="3085"/>
    </row>
    <row r="63" spans="1:45" ht="12" customHeight="1" thickBot="1" x14ac:dyDescent="0.25">
      <c r="A63" s="29"/>
      <c r="B63" s="671"/>
      <c r="C63" s="5331"/>
      <c r="D63" s="5331"/>
      <c r="E63" s="5331"/>
      <c r="F63" s="5331"/>
      <c r="G63" s="5331"/>
      <c r="H63" s="5331"/>
      <c r="J63" s="5274"/>
      <c r="K63" s="5274"/>
      <c r="L63" s="5274"/>
      <c r="M63" s="5274"/>
      <c r="N63" s="5274"/>
      <c r="O63" s="5274"/>
      <c r="P63" s="5274"/>
      <c r="Q63" s="5274"/>
      <c r="R63" s="38"/>
      <c r="S63" s="169"/>
      <c r="T63" s="169"/>
      <c r="U63" s="671">
        <f>IF(V63=0,0,1)</f>
        <v>0</v>
      </c>
      <c r="V63" s="5275"/>
      <c r="W63" s="5276"/>
      <c r="X63" s="5276"/>
      <c r="Y63" s="5276"/>
      <c r="Z63" s="5276"/>
      <c r="AA63" s="5277"/>
      <c r="AB63" s="5279" t="str">
        <f>IF(AA63=0,"",IF(AA63*10&lt;100,AA63*10,100))</f>
        <v/>
      </c>
      <c r="AL63" s="737"/>
      <c r="AM63" s="29"/>
      <c r="AO63" s="575"/>
      <c r="AP63" s="575"/>
      <c r="AQ63" s="575"/>
      <c r="AR63" s="3085"/>
      <c r="AS63" s="3085"/>
    </row>
    <row r="64" spans="1:45" ht="12" customHeight="1" thickBot="1" x14ac:dyDescent="0.25">
      <c r="A64" s="29"/>
      <c r="B64" s="485"/>
      <c r="C64" s="5331"/>
      <c r="D64" s="5331"/>
      <c r="E64" s="5331"/>
      <c r="F64" s="5331"/>
      <c r="G64" s="5331"/>
      <c r="H64" s="5331"/>
      <c r="J64" s="5274"/>
      <c r="K64" s="5274"/>
      <c r="L64" s="5274"/>
      <c r="M64" s="5274"/>
      <c r="N64" s="5274"/>
      <c r="O64" s="5274"/>
      <c r="P64" s="5274"/>
      <c r="Q64" s="5274"/>
      <c r="R64" s="36"/>
      <c r="S64" s="29"/>
      <c r="T64" s="29"/>
      <c r="U64" s="874"/>
      <c r="V64" s="5272" t="str">
        <f>IF(V63=0,"",VLOOKUP(V63,Tabla_PoderesPsi,2,FALSE))</f>
        <v/>
      </c>
      <c r="W64" s="5273"/>
      <c r="X64" s="5273"/>
      <c r="Y64" s="1764" t="s">
        <v>1325</v>
      </c>
      <c r="Z64" s="1765" t="str">
        <f>IF(V63=0,"",VLOOKUP(V63,Tabla_PoderesPsi,3,FALSE))</f>
        <v/>
      </c>
      <c r="AA64" s="5278"/>
      <c r="AB64" s="5280"/>
      <c r="AL64" s="737"/>
      <c r="AM64" s="29"/>
      <c r="AO64" s="575"/>
      <c r="AP64" s="575"/>
      <c r="AQ64" s="575"/>
      <c r="AR64" s="3085" t="str">
        <f>V58</f>
        <v/>
      </c>
      <c r="AS64" s="3085"/>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85"/>
      <c r="AS65" s="3085"/>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5"/>
      <c r="AS66" s="3085"/>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4" t="s">
        <v>8736</v>
      </c>
      <c r="AM1" s="3139"/>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39"/>
      <c r="AM2" s="3139"/>
    </row>
    <row r="3" spans="1:39" ht="12" customHeight="1" thickBot="1" x14ac:dyDescent="0.25">
      <c r="A3" s="29"/>
      <c r="B3" s="485"/>
      <c r="C3" s="5412" t="s">
        <v>10159</v>
      </c>
      <c r="D3" s="5413"/>
      <c r="E3" s="5413"/>
      <c r="F3" s="5413"/>
      <c r="G3" s="5413"/>
      <c r="H3" s="5413"/>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39"/>
      <c r="AM3" s="3139"/>
    </row>
    <row r="4" spans="1:39" ht="12" customHeight="1" thickBot="1" x14ac:dyDescent="0.25">
      <c r="A4" s="29"/>
      <c r="B4" s="485"/>
      <c r="C4" s="5414"/>
      <c r="D4" s="3341"/>
      <c r="E4" s="3341"/>
      <c r="F4" s="3341"/>
      <c r="G4" s="3341"/>
      <c r="H4" s="3341"/>
      <c r="I4" s="9"/>
      <c r="J4" s="4295" t="s">
        <v>1323</v>
      </c>
      <c r="K4" s="4295"/>
      <c r="L4" s="4353" t="str">
        <f>IF(OR(General!$F$22="",General!$F$22=0),"",General!$F$22)</f>
        <v/>
      </c>
      <c r="M4" s="4353"/>
      <c r="N4" s="4353"/>
      <c r="O4" s="4353"/>
      <c r="P4" s="4353"/>
      <c r="Q4" s="937"/>
      <c r="R4" s="937"/>
      <c r="S4" s="937"/>
      <c r="T4" s="937"/>
      <c r="U4" s="937"/>
      <c r="V4" s="937"/>
      <c r="W4" s="937"/>
      <c r="X4" s="937"/>
      <c r="Y4" s="937"/>
      <c r="Z4" s="937"/>
      <c r="AA4" s="937"/>
      <c r="AB4" s="937"/>
      <c r="AC4" s="937"/>
      <c r="AD4" s="937"/>
      <c r="AE4" s="937"/>
      <c r="AF4" s="937"/>
      <c r="AG4" s="937"/>
      <c r="AH4" s="937"/>
      <c r="AI4" s="942"/>
      <c r="AJ4" s="737"/>
      <c r="AK4" s="574"/>
      <c r="AL4" s="3139"/>
      <c r="AM4" s="3139"/>
    </row>
    <row r="5" spans="1:39" ht="12" customHeight="1" thickBot="1" x14ac:dyDescent="0.25">
      <c r="A5" s="29"/>
      <c r="B5" s="485"/>
      <c r="C5" s="5414"/>
      <c r="D5" s="3341"/>
      <c r="E5" s="3341"/>
      <c r="F5" s="3341"/>
      <c r="G5" s="3341"/>
      <c r="H5" s="3341"/>
      <c r="I5" s="9"/>
      <c r="J5" s="4326" t="s">
        <v>1324</v>
      </c>
      <c r="K5" s="4326"/>
      <c r="L5" s="3184" t="str">
        <f>IF(LEN(PDs!$E$11)&lt;=General!$AO$5,PDs!$E$11,"… /"&amp;RIGHT(PDs!$E$11,General!$AO$5-FIND("/",RIGHT(PDs!$E$11,General!$AO$5))))</f>
        <v/>
      </c>
      <c r="M5" s="3184"/>
      <c r="N5" s="3184"/>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39"/>
      <c r="AM5" s="3139"/>
    </row>
    <row r="6" spans="1:39" ht="12" customHeight="1" thickBot="1" x14ac:dyDescent="0.25">
      <c r="A6" s="29"/>
      <c r="B6" s="485"/>
      <c r="C6" s="5414"/>
      <c r="D6" s="3341"/>
      <c r="E6" s="3341"/>
      <c r="F6" s="3341"/>
      <c r="G6" s="3341"/>
      <c r="H6" s="3341"/>
      <c r="I6" s="9"/>
      <c r="J6" s="4355" t="s">
        <v>1819</v>
      </c>
      <c r="K6" s="4355"/>
      <c r="L6" s="4355"/>
      <c r="M6" s="4355"/>
      <c r="N6" s="4355"/>
      <c r="O6" s="4355"/>
      <c r="P6" s="4355"/>
      <c r="Q6" s="936"/>
      <c r="R6" s="936"/>
      <c r="S6" s="936"/>
      <c r="T6" s="936"/>
      <c r="U6" s="936"/>
      <c r="V6" s="936"/>
      <c r="W6" s="936"/>
      <c r="X6" s="936"/>
      <c r="Y6" s="936"/>
      <c r="Z6" s="936"/>
      <c r="AA6" s="936"/>
      <c r="AB6" s="936"/>
      <c r="AC6" s="936"/>
      <c r="AD6" s="936"/>
      <c r="AE6" s="936"/>
      <c r="AF6" s="936"/>
      <c r="AG6" s="936"/>
      <c r="AH6" s="936"/>
      <c r="AI6" s="938"/>
      <c r="AJ6" s="737"/>
      <c r="AK6" s="574"/>
      <c r="AL6" s="3139"/>
      <c r="AM6" s="3139"/>
    </row>
    <row r="7" spans="1:39" ht="12" customHeight="1" thickBot="1" x14ac:dyDescent="0.25">
      <c r="A7" s="29"/>
      <c r="B7" s="485"/>
      <c r="C7" s="5414"/>
      <c r="D7" s="3341"/>
      <c r="E7" s="3341"/>
      <c r="F7" s="3341"/>
      <c r="G7" s="3341"/>
      <c r="H7" s="3341"/>
      <c r="I7" s="9"/>
      <c r="J7" s="4355"/>
      <c r="K7" s="4355"/>
      <c r="L7" s="4355"/>
      <c r="M7" s="4355"/>
      <c r="N7" s="4355"/>
      <c r="O7" s="4355"/>
      <c r="P7" s="4355"/>
      <c r="Q7" s="936"/>
      <c r="R7" s="936"/>
      <c r="S7" s="936"/>
      <c r="T7" s="936"/>
      <c r="U7" s="936"/>
      <c r="V7" s="936"/>
      <c r="W7" s="936"/>
      <c r="X7" s="936"/>
      <c r="Y7" s="936"/>
      <c r="Z7" s="936"/>
      <c r="AA7" s="936"/>
      <c r="AB7" s="936"/>
      <c r="AC7" s="936"/>
      <c r="AD7" s="936"/>
      <c r="AE7" s="936"/>
      <c r="AF7" s="936"/>
      <c r="AG7" s="936"/>
      <c r="AH7" s="936"/>
      <c r="AI7" s="938"/>
      <c r="AJ7" s="737"/>
      <c r="AK7" s="574"/>
      <c r="AL7" s="3139"/>
      <c r="AM7" s="3139"/>
    </row>
    <row r="8" spans="1:39" ht="12" customHeight="1" thickBot="1" x14ac:dyDescent="0.25">
      <c r="A8" s="29"/>
      <c r="B8" s="485"/>
      <c r="C8" s="5415"/>
      <c r="D8" s="5416"/>
      <c r="E8" s="5416"/>
      <c r="F8" s="5416"/>
      <c r="G8" s="5416"/>
      <c r="H8" s="5416"/>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39" t="s">
        <v>7300</v>
      </c>
      <c r="AM8" s="3139" t="s">
        <v>7301</v>
      </c>
    </row>
    <row r="9" spans="1:39" ht="12" customHeight="1" thickBot="1" x14ac:dyDescent="0.25">
      <c r="A9" s="29"/>
      <c r="B9" s="485"/>
      <c r="R9" s="21"/>
      <c r="U9" s="21"/>
      <c r="AJ9" s="737"/>
      <c r="AK9" s="574"/>
      <c r="AL9" s="3139" t="str">
        <f>IF(ISNUMBER(MATCH($C$11,Lista_LuzyOscuridad,0)),$C$11,"ElanPersonalizado")</f>
        <v>ElanPersonalizado</v>
      </c>
      <c r="AM9" s="3139" t="str">
        <f>IF(ISNUMBER(MATCH($U$11,Lista_LuzyOscuridad,0)),$U$11,"ElanPersonalizado")</f>
        <v>ElanPersonalizado</v>
      </c>
    </row>
    <row r="10" spans="1:39" ht="12" customHeight="1" thickBot="1" x14ac:dyDescent="0.25">
      <c r="A10" s="29"/>
      <c r="B10" s="485"/>
      <c r="C10" s="5492" t="s">
        <v>1819</v>
      </c>
      <c r="D10" s="5493"/>
      <c r="E10" s="5493"/>
      <c r="F10" s="5493"/>
      <c r="G10" s="5494"/>
      <c r="I10" s="3418" t="str">
        <f>"Modificadores Elan: "&amp;C11</f>
        <v xml:space="preserve">Modificadores Elan: </v>
      </c>
      <c r="J10" s="3419"/>
      <c r="K10" s="3419"/>
      <c r="L10" s="3419"/>
      <c r="M10" s="3419"/>
      <c r="N10" s="3419"/>
      <c r="O10" s="3419"/>
      <c r="P10" s="3419"/>
      <c r="Q10" s="3420"/>
      <c r="R10" s="21"/>
      <c r="S10" s="1104"/>
      <c r="U10" s="5492" t="s">
        <v>1819</v>
      </c>
      <c r="V10" s="5493"/>
      <c r="W10" s="5493"/>
      <c r="X10" s="5493"/>
      <c r="Y10" s="5494"/>
      <c r="AA10" s="3350" t="str">
        <f>"Modificadores Elan: "&amp;U11</f>
        <v xml:space="preserve">Modificadores Elan: </v>
      </c>
      <c r="AB10" s="3351"/>
      <c r="AC10" s="3351"/>
      <c r="AD10" s="3351"/>
      <c r="AE10" s="3351"/>
      <c r="AF10" s="3351"/>
      <c r="AG10" s="3351"/>
      <c r="AH10" s="3351"/>
      <c r="AI10" s="3352"/>
      <c r="AJ10" s="737"/>
      <c r="AK10" s="574"/>
      <c r="AL10" s="3139"/>
      <c r="AM10" s="3139"/>
    </row>
    <row r="11" spans="1:39" ht="12" customHeight="1" thickBot="1" x14ac:dyDescent="0.25">
      <c r="A11" s="29"/>
      <c r="B11" s="485"/>
      <c r="C11" s="5488"/>
      <c r="D11" s="5489"/>
      <c r="E11" s="5489"/>
      <c r="F11" s="5489"/>
      <c r="G11" s="5490"/>
      <c r="I11" s="5484" t="s">
        <v>6599</v>
      </c>
      <c r="J11" s="5485"/>
      <c r="K11" s="5485"/>
      <c r="L11" s="5485"/>
      <c r="M11" s="5485"/>
      <c r="N11" s="5486"/>
      <c r="O11" s="5487" t="s">
        <v>6601</v>
      </c>
      <c r="P11" s="5485"/>
      <c r="Q11" s="4899"/>
      <c r="R11" s="21"/>
      <c r="S11" s="1104"/>
      <c r="U11" s="5476"/>
      <c r="V11" s="5477"/>
      <c r="W11" s="5477"/>
      <c r="X11" s="5478"/>
      <c r="Y11" s="5482"/>
      <c r="AA11" s="5484" t="s">
        <v>6599</v>
      </c>
      <c r="AB11" s="5485"/>
      <c r="AC11" s="5485"/>
      <c r="AD11" s="5485"/>
      <c r="AE11" s="5485"/>
      <c r="AF11" s="5486"/>
      <c r="AG11" s="5487" t="s">
        <v>6601</v>
      </c>
      <c r="AH11" s="5485"/>
      <c r="AI11" s="4899"/>
      <c r="AJ11" s="737"/>
      <c r="AK11" s="574"/>
      <c r="AL11" s="3139" t="s">
        <v>8288</v>
      </c>
      <c r="AM11" s="3139"/>
    </row>
    <row r="12" spans="1:39" ht="12" customHeight="1" x14ac:dyDescent="0.2">
      <c r="A12" s="29"/>
      <c r="B12" s="485"/>
      <c r="C12" s="5488"/>
      <c r="D12" s="5489"/>
      <c r="E12" s="5489"/>
      <c r="F12" s="5489"/>
      <c r="G12" s="5490"/>
      <c r="I12" s="5473" t="str">
        <f>IF(C$11="","",INDEX(Tabla_ModElan,MATCH(C$11,INDEX(Tabla_ModElan,,1),0)+Tablas!$A1,1))</f>
        <v/>
      </c>
      <c r="J12" s="5474"/>
      <c r="K12" s="5474"/>
      <c r="L12" s="5474"/>
      <c r="M12" s="5475"/>
      <c r="N12" s="953" t="str">
        <f t="shared" ref="N12:N18" si="0">IF(I12="","",INDEX(Tabla_ModElan,MATCH(I12,INDEX(Tabla_ModElan,,1),0),2))</f>
        <v/>
      </c>
      <c r="O12" s="5447" t="str">
        <f>IF(C$11="","",INDEX(Tabla_ModElan,MATCH(C$11,INDEX(Tabla_ModElan,,1),0)+Tablas!$A1,5))</f>
        <v/>
      </c>
      <c r="P12" s="5448"/>
      <c r="Q12" s="5453" t="str">
        <f>IF(O12="","",INDEX(Tabla_ModElan,MATCH(O12,INDEX(Tabla_ModElan,,5),0),6))</f>
        <v/>
      </c>
      <c r="R12" s="21"/>
      <c r="S12" s="1104"/>
      <c r="U12" s="5479"/>
      <c r="V12" s="5480"/>
      <c r="W12" s="5480"/>
      <c r="X12" s="5481"/>
      <c r="Y12" s="5483"/>
      <c r="AA12" s="5473" t="str">
        <f>IF(U$11="","",INDEX(Tabla_ModElan,MATCH(U$11,INDEX(Tabla_ModElan,,1),0)+Tablas!$A1,1))</f>
        <v/>
      </c>
      <c r="AB12" s="5474"/>
      <c r="AC12" s="5474"/>
      <c r="AD12" s="5474"/>
      <c r="AE12" s="5475"/>
      <c r="AF12" s="953" t="str">
        <f t="shared" ref="AF12:AF18" si="1">IF(AA12="","",INDEX(Tabla_ModElan,MATCH(AA12,INDEX(Tabla_ModElan,,1),0),2))</f>
        <v/>
      </c>
      <c r="AG12" s="5447" t="str">
        <f>IF(U$11="","",INDEX(Tabla_ModElan,MATCH(U$11,INDEX(Tabla_ModElan,,1),0)+Tablas!$A1,5))</f>
        <v/>
      </c>
      <c r="AH12" s="5448"/>
      <c r="AI12" s="5453" t="str">
        <f>IF(AG12="","",INDEX(Tabla_ModElan,MATCH(AG12,INDEX(Tabla_ModElan,,5),0),6))</f>
        <v/>
      </c>
      <c r="AJ12" s="737"/>
      <c r="AK12" s="574"/>
      <c r="AL12" s="3139" t="s">
        <v>7303</v>
      </c>
      <c r="AM12" s="3139" t="s">
        <v>7304</v>
      </c>
    </row>
    <row r="13" spans="1:39" ht="12" customHeight="1" x14ac:dyDescent="0.2">
      <c r="A13" s="29"/>
      <c r="B13" s="485"/>
      <c r="C13" s="4814"/>
      <c r="D13" s="4815"/>
      <c r="E13" s="4815"/>
      <c r="F13" s="4815"/>
      <c r="G13" s="763" t="str">
        <f t="shared" ref="G13:G25" si="2">IF(C13="","",VLOOKUP(C13,Tabla_Elan,5,FALSE))</f>
        <v/>
      </c>
      <c r="I13" s="5458" t="str">
        <f>IF(C$11="","",INDEX(Tabla_ModElan,MATCH(C$11,INDEX(Tabla_ModElan,,1),0)+Tablas!$A2,1))</f>
        <v/>
      </c>
      <c r="J13" s="4077"/>
      <c r="K13" s="4077"/>
      <c r="L13" s="4077"/>
      <c r="M13" s="5472"/>
      <c r="N13" s="954" t="str">
        <f t="shared" si="0"/>
        <v/>
      </c>
      <c r="O13" s="5449"/>
      <c r="P13" s="5450"/>
      <c r="Q13" s="5454"/>
      <c r="R13" s="21"/>
      <c r="S13" s="1104"/>
      <c r="U13" s="4814"/>
      <c r="V13" s="4815"/>
      <c r="W13" s="4815"/>
      <c r="X13" s="4815"/>
      <c r="Y13" s="763" t="str">
        <f t="shared" ref="Y13:Y25" si="3">IF(U13="","",VLOOKUP(U13,Tabla_Elan,5,FALSE))</f>
        <v/>
      </c>
      <c r="AA13" s="5458" t="str">
        <f>IF(U$11="","",INDEX(Tabla_ModElan,MATCH(U$11,INDEX(Tabla_ModElan,,1),0)+Tablas!$A2,1))</f>
        <v/>
      </c>
      <c r="AB13" s="4077"/>
      <c r="AC13" s="4077"/>
      <c r="AD13" s="4077"/>
      <c r="AE13" s="5472"/>
      <c r="AF13" s="954" t="str">
        <f t="shared" si="1"/>
        <v/>
      </c>
      <c r="AG13" s="5449"/>
      <c r="AH13" s="5450"/>
      <c r="AI13" s="5454"/>
      <c r="AJ13" s="737"/>
      <c r="AK13" s="574"/>
      <c r="AL13" s="3139" t="b">
        <f>IF(OR($G$11="",Elan!C13=""),FALSE,$G$11&lt;VLOOKUP(C13,Tabla_Elan,3,FALSE))</f>
        <v>0</v>
      </c>
      <c r="AM13" s="3139" t="b">
        <f>IF(OR($Y$11="",Elan!U13=""),FALSE,$Y$11&lt;VLOOKUP(U13,Tabla_Elan,3,FALSE))</f>
        <v>0</v>
      </c>
    </row>
    <row r="14" spans="1:39" ht="12" customHeight="1" x14ac:dyDescent="0.2">
      <c r="A14" s="29"/>
      <c r="B14" s="485"/>
      <c r="C14" s="5456"/>
      <c r="D14" s="5457"/>
      <c r="E14" s="5457"/>
      <c r="F14" s="5457"/>
      <c r="G14" s="764" t="str">
        <f t="shared" si="2"/>
        <v/>
      </c>
      <c r="H14" s="1062" t="s">
        <v>2628</v>
      </c>
      <c r="I14" s="5458" t="str">
        <f>IF(C$11="","",INDEX(Tabla_ModElan,MATCH(C$11,INDEX(Tabla_ModElan,,1),0)+Tablas!$A3,1))</f>
        <v/>
      </c>
      <c r="J14" s="4077"/>
      <c r="K14" s="4077"/>
      <c r="L14" s="4077"/>
      <c r="M14" s="5472"/>
      <c r="N14" s="954" t="str">
        <f t="shared" si="0"/>
        <v/>
      </c>
      <c r="O14" s="5451"/>
      <c r="P14" s="5452"/>
      <c r="Q14" s="5455"/>
      <c r="R14" s="21"/>
      <c r="S14" s="1104"/>
      <c r="U14" s="5456"/>
      <c r="V14" s="5457"/>
      <c r="W14" s="5457"/>
      <c r="X14" s="5457"/>
      <c r="Y14" s="764" t="str">
        <f t="shared" si="3"/>
        <v/>
      </c>
      <c r="Z14" s="1062" t="s">
        <v>2628</v>
      </c>
      <c r="AA14" s="5458" t="str">
        <f>IF(U$11="","",INDEX(Tabla_ModElan,MATCH(U$11,INDEX(Tabla_ModElan,,1),0)+Tablas!$A3,1))</f>
        <v/>
      </c>
      <c r="AB14" s="4077"/>
      <c r="AC14" s="4077"/>
      <c r="AD14" s="4077"/>
      <c r="AE14" s="5472"/>
      <c r="AF14" s="954" t="str">
        <f t="shared" si="1"/>
        <v/>
      </c>
      <c r="AG14" s="5491"/>
      <c r="AH14" s="5452"/>
      <c r="AI14" s="5455"/>
      <c r="AJ14" s="737"/>
      <c r="AK14" s="574"/>
      <c r="AL14" s="3139" t="b">
        <f>IF(OR($G$11="",Elan!C14=""),FALSE,$G$11&lt;VLOOKUP(C14,Tabla_Elan,3,FALSE))</f>
        <v>0</v>
      </c>
      <c r="AM14" s="3139" t="b">
        <f>IF(OR($Y$11="",Elan!U14=""),FALSE,$Y$11&lt;VLOOKUP(U14,Tabla_Elan,3,FALSE))</f>
        <v>0</v>
      </c>
    </row>
    <row r="15" spans="1:39" ht="12" customHeight="1" x14ac:dyDescent="0.2">
      <c r="A15" s="29"/>
      <c r="B15" s="485"/>
      <c r="C15" s="4818"/>
      <c r="D15" s="4819"/>
      <c r="E15" s="4819"/>
      <c r="F15" s="4819"/>
      <c r="G15" s="765" t="str">
        <f t="shared" si="2"/>
        <v/>
      </c>
      <c r="H15" s="1062" t="s">
        <v>2626</v>
      </c>
      <c r="I15" s="5458" t="str">
        <f>IF(C$11="","",INDEX(Tabla_ModElan,MATCH(C$11,INDEX(Tabla_ModElan,,1),0)+Tablas!$A4,1))</f>
        <v/>
      </c>
      <c r="J15" s="4077"/>
      <c r="K15" s="4077"/>
      <c r="L15" s="4077"/>
      <c r="M15" s="5472"/>
      <c r="N15" s="954" t="str">
        <f t="shared" si="0"/>
        <v/>
      </c>
      <c r="O15" s="5447" t="str">
        <f>IF(C$11="","",INDEX(Tabla_ModElan,MATCH(C$11,INDEX(Tabla_ModElan,,1),0)+Tablas!$A2,5))</f>
        <v/>
      </c>
      <c r="P15" s="5448"/>
      <c r="Q15" s="5453" t="str">
        <f>IF(O15="","",INDEX(Tabla_ModElan,MATCH(O15,INDEX(Tabla_ModElan,,5),0),6))</f>
        <v/>
      </c>
      <c r="R15" s="21"/>
      <c r="S15" s="1104"/>
      <c r="U15" s="4818"/>
      <c r="V15" s="4819"/>
      <c r="W15" s="4819"/>
      <c r="X15" s="4819"/>
      <c r="Y15" s="765" t="str">
        <f t="shared" si="3"/>
        <v/>
      </c>
      <c r="Z15" s="1062" t="s">
        <v>2626</v>
      </c>
      <c r="AA15" s="5458" t="str">
        <f>IF(U$11="","",INDEX(Tabla_ModElan,MATCH(U$11,INDEX(Tabla_ModElan,,1),0)+Tablas!$A4,1))</f>
        <v/>
      </c>
      <c r="AB15" s="4077"/>
      <c r="AC15" s="4077"/>
      <c r="AD15" s="4077"/>
      <c r="AE15" s="5472"/>
      <c r="AF15" s="954" t="str">
        <f t="shared" si="1"/>
        <v/>
      </c>
      <c r="AG15" s="5447" t="str">
        <f>IF(U$11="","",INDEX(Tabla_ModElan,MATCH(U$11,INDEX(Tabla_ModElan,,1),0)+Tablas!$A2,5))</f>
        <v/>
      </c>
      <c r="AH15" s="5448"/>
      <c r="AI15" s="5453" t="str">
        <f>IF(AG15="","",INDEX(Tabla_ModElan,MATCH(AG15,INDEX(Tabla_ModElan,,5),0),6))</f>
        <v/>
      </c>
      <c r="AJ15" s="737"/>
      <c r="AK15" s="574"/>
      <c r="AL15" s="3139" t="b">
        <f>IF(OR($G$11="",Elan!C15=""),FALSE,$G$11&lt;VLOOKUP(C15,Tabla_Elan,3,FALSE))</f>
        <v>0</v>
      </c>
      <c r="AM15" s="3139" t="b">
        <f>IF(OR($Y$11="",Elan!U15=""),FALSE,$Y$11&lt;VLOOKUP(U15,Tabla_Elan,3,FALSE))</f>
        <v>0</v>
      </c>
    </row>
    <row r="16" spans="1:39" ht="12" customHeight="1" x14ac:dyDescent="0.2">
      <c r="A16" s="29"/>
      <c r="B16" s="485"/>
      <c r="C16" s="5456"/>
      <c r="D16" s="5457"/>
      <c r="E16" s="5457"/>
      <c r="F16" s="5457"/>
      <c r="G16" s="764" t="str">
        <f t="shared" si="2"/>
        <v/>
      </c>
      <c r="I16" s="5458" t="str">
        <f>IF(C$11="","",INDEX(Tabla_ModElan,MATCH(C$11,INDEX(Tabla_ModElan,,1),0)+Tablas!$A5,1))</f>
        <v/>
      </c>
      <c r="J16" s="4077"/>
      <c r="K16" s="4077"/>
      <c r="L16" s="4077"/>
      <c r="M16" s="5472"/>
      <c r="N16" s="954" t="str">
        <f t="shared" si="0"/>
        <v/>
      </c>
      <c r="O16" s="5449"/>
      <c r="P16" s="5450"/>
      <c r="Q16" s="5454"/>
      <c r="R16" s="21"/>
      <c r="S16" s="1104"/>
      <c r="U16" s="5456"/>
      <c r="V16" s="5457"/>
      <c r="W16" s="5457"/>
      <c r="X16" s="5457"/>
      <c r="Y16" s="764" t="str">
        <f t="shared" si="3"/>
        <v/>
      </c>
      <c r="AA16" s="5458" t="str">
        <f>IF(U$11="","",INDEX(Tabla_ModElan,MATCH(U$11,INDEX(Tabla_ModElan,,1),0)+Tablas!$A5,1))</f>
        <v/>
      </c>
      <c r="AB16" s="4077"/>
      <c r="AC16" s="4077"/>
      <c r="AD16" s="4077"/>
      <c r="AE16" s="5472"/>
      <c r="AF16" s="954" t="str">
        <f t="shared" si="1"/>
        <v/>
      </c>
      <c r="AG16" s="5449"/>
      <c r="AH16" s="5450"/>
      <c r="AI16" s="5454"/>
      <c r="AJ16" s="737"/>
      <c r="AK16" s="574"/>
      <c r="AL16" s="3139" t="b">
        <f>IF(OR($G$11="",Elan!C16=""),FALSE,$G$11&lt;VLOOKUP(C16,Tabla_Elan,3,FALSE))</f>
        <v>0</v>
      </c>
      <c r="AM16" s="3139" t="b">
        <f>IF(OR($Y$11="",Elan!U16=""),FALSE,$Y$11&lt;VLOOKUP(U16,Tabla_Elan,3,FALSE))</f>
        <v>0</v>
      </c>
    </row>
    <row r="17" spans="1:39" ht="12" customHeight="1" x14ac:dyDescent="0.2">
      <c r="A17" s="29"/>
      <c r="B17" s="485"/>
      <c r="C17" s="4818"/>
      <c r="D17" s="4819"/>
      <c r="E17" s="4819"/>
      <c r="F17" s="4819"/>
      <c r="G17" s="765" t="str">
        <f t="shared" si="2"/>
        <v/>
      </c>
      <c r="I17" s="5458" t="str">
        <f>IF(C$11="","",INDEX(Tabla_ModElan,MATCH(C$11,INDEX(Tabla_ModElan,,1),0)+Tablas!$A6,1))</f>
        <v/>
      </c>
      <c r="J17" s="4077"/>
      <c r="K17" s="4077"/>
      <c r="L17" s="4077"/>
      <c r="M17" s="5472"/>
      <c r="N17" s="954" t="str">
        <f t="shared" si="0"/>
        <v/>
      </c>
      <c r="O17" s="5451"/>
      <c r="P17" s="5452"/>
      <c r="Q17" s="5455"/>
      <c r="R17" s="21"/>
      <c r="S17" s="1104"/>
      <c r="U17" s="4818"/>
      <c r="V17" s="4819"/>
      <c r="W17" s="4819"/>
      <c r="X17" s="4819"/>
      <c r="Y17" s="765" t="str">
        <f t="shared" si="3"/>
        <v/>
      </c>
      <c r="AA17" s="5458" t="str">
        <f>IF(U$11="","",INDEX(Tabla_ModElan,MATCH(U$11,INDEX(Tabla_ModElan,,1),0)+Tablas!$A6,1))</f>
        <v/>
      </c>
      <c r="AB17" s="4077"/>
      <c r="AC17" s="4077"/>
      <c r="AD17" s="4077"/>
      <c r="AE17" s="5472"/>
      <c r="AF17" s="954" t="str">
        <f t="shared" si="1"/>
        <v/>
      </c>
      <c r="AG17" s="5451"/>
      <c r="AH17" s="5452"/>
      <c r="AI17" s="5455"/>
      <c r="AJ17" s="737"/>
      <c r="AK17" s="574"/>
      <c r="AL17" s="3139" t="b">
        <f>IF(OR($G$11="",Elan!C17=""),FALSE,$G$11&lt;VLOOKUP(C17,Tabla_Elan,3,FALSE))</f>
        <v>0</v>
      </c>
      <c r="AM17" s="3139" t="b">
        <f>IF(OR($Y$11="",Elan!U17=""),FALSE,$Y$11&lt;VLOOKUP(U17,Tabla_Elan,3,FALSE))</f>
        <v>0</v>
      </c>
    </row>
    <row r="18" spans="1:39" ht="12" customHeight="1" x14ac:dyDescent="0.2">
      <c r="A18" s="29"/>
      <c r="B18" s="485"/>
      <c r="C18" s="5456"/>
      <c r="D18" s="5457"/>
      <c r="E18" s="5457"/>
      <c r="F18" s="5457"/>
      <c r="G18" s="764" t="str">
        <f t="shared" si="2"/>
        <v/>
      </c>
      <c r="I18" s="5466" t="str">
        <f>IF(C$11="","",INDEX(Tabla_ModElan,MATCH(C$11,INDEX(Tabla_ModElan,,1),0)+Tablas!$A7,1))</f>
        <v/>
      </c>
      <c r="J18" s="5467"/>
      <c r="K18" s="5467"/>
      <c r="L18" s="5467"/>
      <c r="M18" s="5468"/>
      <c r="N18" s="954" t="str">
        <f t="shared" si="0"/>
        <v/>
      </c>
      <c r="O18" s="5447" t="str">
        <f>IF(C$11="","",INDEX(Tabla_ModElan,MATCH(C$11,INDEX(Tabla_ModElan,,1),0)+Tablas!$A3,5))</f>
        <v/>
      </c>
      <c r="P18" s="5448"/>
      <c r="Q18" s="5453" t="str">
        <f>IF(O18="","",INDEX(Tabla_ModElan,MATCH(O18,INDEX(Tabla_ModElan,,5),0),6))</f>
        <v/>
      </c>
      <c r="R18" s="21"/>
      <c r="S18" s="1104"/>
      <c r="U18" s="5456"/>
      <c r="V18" s="5457"/>
      <c r="W18" s="5457"/>
      <c r="X18" s="5457"/>
      <c r="Y18" s="764" t="str">
        <f t="shared" si="3"/>
        <v/>
      </c>
      <c r="AA18" s="5466" t="str">
        <f>IF(U$11="","",INDEX(Tabla_ModElan,MATCH(U$11,INDEX(Tabla_ModElan,,1),0)+Tablas!$A7,1))</f>
        <v/>
      </c>
      <c r="AB18" s="5467"/>
      <c r="AC18" s="5467"/>
      <c r="AD18" s="5467"/>
      <c r="AE18" s="5468"/>
      <c r="AF18" s="954" t="str">
        <f t="shared" si="1"/>
        <v/>
      </c>
      <c r="AG18" s="5447" t="str">
        <f>IF(U$11="","",INDEX(Tabla_ModElan,MATCH(U$11,INDEX(Tabla_ModElan,,1),0)+Tablas!$A3,5))</f>
        <v/>
      </c>
      <c r="AH18" s="5448"/>
      <c r="AI18" s="5453" t="str">
        <f>IF(AG18="","",INDEX(Tabla_ModElan,MATCH(AG18,INDEX(Tabla_ModElan,,5),0),6))</f>
        <v/>
      </c>
      <c r="AJ18" s="737"/>
      <c r="AK18" s="574"/>
      <c r="AL18" s="3139" t="b">
        <f>IF(OR($G$11="",Elan!C18=""),FALSE,$G$11&lt;VLOOKUP(C18,Tabla_Elan,3,FALSE))</f>
        <v>0</v>
      </c>
      <c r="AM18" s="3139" t="b">
        <f>IF(OR($Y$11="",Elan!U18=""),FALSE,$Y$11&lt;VLOOKUP(U18,Tabla_Elan,3,FALSE))</f>
        <v>0</v>
      </c>
    </row>
    <row r="19" spans="1:39" ht="12" customHeight="1" x14ac:dyDescent="0.2">
      <c r="A19" s="29"/>
      <c r="B19" s="485"/>
      <c r="C19" s="4818"/>
      <c r="D19" s="4819"/>
      <c r="E19" s="4819"/>
      <c r="F19" s="4819"/>
      <c r="G19" s="765" t="str">
        <f t="shared" si="2"/>
        <v/>
      </c>
      <c r="I19" s="5469" t="s">
        <v>6600</v>
      </c>
      <c r="J19" s="5470"/>
      <c r="K19" s="5470"/>
      <c r="L19" s="5470"/>
      <c r="M19" s="5470"/>
      <c r="N19" s="5471"/>
      <c r="O19" s="5449"/>
      <c r="P19" s="5450"/>
      <c r="Q19" s="5454"/>
      <c r="R19" s="21"/>
      <c r="S19" s="1104"/>
      <c r="U19" s="4818"/>
      <c r="V19" s="4819"/>
      <c r="W19" s="4819"/>
      <c r="X19" s="4819"/>
      <c r="Y19" s="765" t="str">
        <f t="shared" si="3"/>
        <v/>
      </c>
      <c r="AA19" s="5469" t="s">
        <v>6600</v>
      </c>
      <c r="AB19" s="5470"/>
      <c r="AC19" s="5470"/>
      <c r="AD19" s="5470"/>
      <c r="AE19" s="5470"/>
      <c r="AF19" s="5471"/>
      <c r="AG19" s="5449"/>
      <c r="AH19" s="5450"/>
      <c r="AI19" s="5454"/>
      <c r="AJ19" s="737"/>
      <c r="AK19" s="574"/>
      <c r="AL19" s="3139" t="b">
        <f>IF(OR($G$11="",Elan!C19=""),FALSE,$G$11&lt;VLOOKUP(C19,Tabla_Elan,3,FALSE))</f>
        <v>0</v>
      </c>
      <c r="AM19" s="3139" t="b">
        <f>IF(OR($Y$11="",Elan!U19=""),FALSE,$Y$11&lt;VLOOKUP(U19,Tabla_Elan,3,FALSE))</f>
        <v>0</v>
      </c>
    </row>
    <row r="20" spans="1:39" ht="12" customHeight="1" x14ac:dyDescent="0.2">
      <c r="A20" s="29"/>
      <c r="B20" s="485"/>
      <c r="C20" s="5456"/>
      <c r="D20" s="5457"/>
      <c r="E20" s="5457"/>
      <c r="F20" s="5457"/>
      <c r="G20" s="766" t="str">
        <f t="shared" si="2"/>
        <v/>
      </c>
      <c r="I20" s="5473" t="str">
        <f>IF(C$11="","",INDEX(Tabla_ModElan,MATCH(C$11,INDEX(Tabla_ModElan,,1),0)+Tablas!$A1,3))</f>
        <v/>
      </c>
      <c r="J20" s="5474"/>
      <c r="K20" s="5474"/>
      <c r="L20" s="5474"/>
      <c r="M20" s="5475"/>
      <c r="N20" s="953" t="str">
        <f t="shared" ref="N20:N26" si="4">IFERROR(INDEX(Tabla_ModElan,MATCH(I20,INDEX(Tabla_ModElan,,3),0),4),"")</f>
        <v/>
      </c>
      <c r="O20" s="5451"/>
      <c r="P20" s="5452"/>
      <c r="Q20" s="5455"/>
      <c r="R20" s="21"/>
      <c r="S20" s="1104"/>
      <c r="U20" s="5456"/>
      <c r="V20" s="5457"/>
      <c r="W20" s="5457"/>
      <c r="X20" s="5457"/>
      <c r="Y20" s="766" t="str">
        <f t="shared" si="3"/>
        <v/>
      </c>
      <c r="AA20" s="5473" t="str">
        <f>IF(U$11="","",INDEX(Tabla_ModElan,MATCH(U$11,INDEX(Tabla_ModElan,,1),0)+Tablas!$A1,3))</f>
        <v/>
      </c>
      <c r="AB20" s="5474"/>
      <c r="AC20" s="5474"/>
      <c r="AD20" s="5474"/>
      <c r="AE20" s="5475"/>
      <c r="AF20" s="953" t="str">
        <f t="shared" ref="AF20:AF26" si="5">IFERROR(INDEX(Tabla_ModElan,MATCH(AA20,INDEX(Tabla_ModElan,,3),0),4),"")</f>
        <v/>
      </c>
      <c r="AG20" s="5451"/>
      <c r="AH20" s="5452"/>
      <c r="AI20" s="5455"/>
      <c r="AJ20" s="737"/>
      <c r="AK20" s="574"/>
      <c r="AL20" s="3139" t="b">
        <f>IF(OR($G$11="",Elan!C20=""),FALSE,$G$11&lt;VLOOKUP(C20,Tabla_Elan,3,FALSE))</f>
        <v>0</v>
      </c>
      <c r="AM20" s="3139" t="b">
        <f>IF(OR($Y$11="",Elan!U20=""),FALSE,$Y$11&lt;VLOOKUP(U20,Tabla_Elan,3,FALSE))</f>
        <v>0</v>
      </c>
    </row>
    <row r="21" spans="1:39" ht="12" customHeight="1" x14ac:dyDescent="0.2">
      <c r="A21" s="29"/>
      <c r="B21" s="485"/>
      <c r="C21" s="4818"/>
      <c r="D21" s="4819"/>
      <c r="E21" s="4819"/>
      <c r="F21" s="4819"/>
      <c r="G21" s="765" t="str">
        <f t="shared" si="2"/>
        <v/>
      </c>
      <c r="I21" s="5458" t="str">
        <f>IF(C$11="","",INDEX(Tabla_ModElan,MATCH(C$11,INDEX(Tabla_ModElan,,1),0)+Tablas!$A2,3))</f>
        <v/>
      </c>
      <c r="J21" s="4077"/>
      <c r="K21" s="4077"/>
      <c r="L21" s="4077"/>
      <c r="M21" s="4077"/>
      <c r="N21" s="954" t="str">
        <f t="shared" si="4"/>
        <v/>
      </c>
      <c r="O21" s="5447" t="str">
        <f>IF(C$11="","",INDEX(Tabla_ModElan,MATCH(C$11,INDEX(Tabla_ModElan,,1),0)+Tablas!$A4,5))</f>
        <v/>
      </c>
      <c r="P21" s="5448"/>
      <c r="Q21" s="5453" t="str">
        <f>IF(O21="","",INDEX(Tabla_ModElan,MATCH(O21,INDEX(Tabla_ModElan,,5),0),6))</f>
        <v/>
      </c>
      <c r="R21" s="21"/>
      <c r="S21" s="1104"/>
      <c r="U21" s="4818"/>
      <c r="V21" s="4819"/>
      <c r="W21" s="4819"/>
      <c r="X21" s="4819"/>
      <c r="Y21" s="765" t="str">
        <f t="shared" si="3"/>
        <v/>
      </c>
      <c r="AA21" s="5458" t="str">
        <f>IF(U$11="","",INDEX(Tabla_ModElan,MATCH(U$11,INDEX(Tabla_ModElan,,1),0)+Tablas!$A2,3))</f>
        <v/>
      </c>
      <c r="AB21" s="4077"/>
      <c r="AC21" s="4077"/>
      <c r="AD21" s="4077"/>
      <c r="AE21" s="4077"/>
      <c r="AF21" s="954" t="str">
        <f t="shared" si="5"/>
        <v/>
      </c>
      <c r="AG21" s="5447" t="str">
        <f>IF(U$11="","",INDEX(Tabla_ModElan,MATCH(U$11,INDEX(Tabla_ModElan,,1),0)+Tablas!$A4,5))</f>
        <v/>
      </c>
      <c r="AH21" s="5448"/>
      <c r="AI21" s="5453" t="str">
        <f>IF(AG21="","",INDEX(Tabla_ModElan,MATCH(AG21,INDEX(Tabla_ModElan,,5),0),6))</f>
        <v/>
      </c>
      <c r="AJ21" s="737"/>
      <c r="AK21" s="574"/>
      <c r="AL21" s="3139" t="b">
        <f>IF(OR($G$11="",Elan!C21=""),FALSE,$G$11&lt;VLOOKUP(C21,Tabla_Elan,3,FALSE))</f>
        <v>0</v>
      </c>
      <c r="AM21" s="3139" t="b">
        <f>IF(OR($Y$11="",Elan!U21=""),FALSE,$Y$11&lt;VLOOKUP(U21,Tabla_Elan,3,FALSE))</f>
        <v>0</v>
      </c>
    </row>
    <row r="22" spans="1:39" ht="12" customHeight="1" x14ac:dyDescent="0.2">
      <c r="A22" s="29"/>
      <c r="B22" s="485"/>
      <c r="C22" s="5456"/>
      <c r="D22" s="5457"/>
      <c r="E22" s="5457"/>
      <c r="F22" s="5457"/>
      <c r="G22" s="766" t="str">
        <f t="shared" si="2"/>
        <v/>
      </c>
      <c r="I22" s="5458" t="str">
        <f>IF(C$11="","",INDEX(Tabla_ModElan,MATCH(C$11,INDEX(Tabla_ModElan,,1),0)+Tablas!$A3,3))</f>
        <v/>
      </c>
      <c r="J22" s="4077"/>
      <c r="K22" s="4077"/>
      <c r="L22" s="4077"/>
      <c r="M22" s="4077"/>
      <c r="N22" s="954" t="str">
        <f t="shared" si="4"/>
        <v/>
      </c>
      <c r="O22" s="5449"/>
      <c r="P22" s="5450"/>
      <c r="Q22" s="5454"/>
      <c r="R22" s="21"/>
      <c r="S22" s="1104"/>
      <c r="U22" s="5456"/>
      <c r="V22" s="5457"/>
      <c r="W22" s="5457"/>
      <c r="X22" s="5457"/>
      <c r="Y22" s="766" t="str">
        <f t="shared" si="3"/>
        <v/>
      </c>
      <c r="AA22" s="5458" t="str">
        <f>IF(U$11="","",INDEX(Tabla_ModElan,MATCH(U$11,INDEX(Tabla_ModElan,,1),0)+Tablas!$A3,3))</f>
        <v/>
      </c>
      <c r="AB22" s="4077"/>
      <c r="AC22" s="4077"/>
      <c r="AD22" s="4077"/>
      <c r="AE22" s="4077"/>
      <c r="AF22" s="954" t="str">
        <f t="shared" si="5"/>
        <v/>
      </c>
      <c r="AG22" s="5449"/>
      <c r="AH22" s="5450"/>
      <c r="AI22" s="5454"/>
      <c r="AJ22" s="737"/>
      <c r="AK22" s="574"/>
      <c r="AL22" s="3139" t="b">
        <f>IF(OR($G$11="",Elan!C22=""),FALSE,$G$11&lt;VLOOKUP(C22,Tabla_Elan,3,FALSE))</f>
        <v>0</v>
      </c>
      <c r="AM22" s="3139" t="b">
        <f>IF(OR($Y$11="",Elan!U22=""),FALSE,$Y$11&lt;VLOOKUP(U22,Tabla_Elan,3,FALSE))</f>
        <v>0</v>
      </c>
    </row>
    <row r="23" spans="1:39" ht="12" customHeight="1" x14ac:dyDescent="0.2">
      <c r="A23" s="29"/>
      <c r="B23" s="485"/>
      <c r="C23" s="4818"/>
      <c r="D23" s="4819"/>
      <c r="E23" s="4819"/>
      <c r="F23" s="4819"/>
      <c r="G23" s="765" t="str">
        <f t="shared" si="2"/>
        <v/>
      </c>
      <c r="I23" s="5458" t="str">
        <f>IF(C$11="","",INDEX(Tabla_ModElan,MATCH(C$11,INDEX(Tabla_ModElan,,1),0)+Tablas!$A4,3))</f>
        <v/>
      </c>
      <c r="J23" s="4077"/>
      <c r="K23" s="4077"/>
      <c r="L23" s="4077"/>
      <c r="M23" s="4077"/>
      <c r="N23" s="954" t="str">
        <f t="shared" si="4"/>
        <v/>
      </c>
      <c r="O23" s="5451"/>
      <c r="P23" s="5452"/>
      <c r="Q23" s="5455"/>
      <c r="R23" s="21"/>
      <c r="S23" s="1104"/>
      <c r="U23" s="4818"/>
      <c r="V23" s="4819"/>
      <c r="W23" s="4819"/>
      <c r="X23" s="4819"/>
      <c r="Y23" s="765" t="str">
        <f t="shared" si="3"/>
        <v/>
      </c>
      <c r="AA23" s="5458" t="str">
        <f>IF(U$11="","",INDEX(Tabla_ModElan,MATCH(U$11,INDEX(Tabla_ModElan,,1),0)+Tablas!$A4,3))</f>
        <v/>
      </c>
      <c r="AB23" s="4077"/>
      <c r="AC23" s="4077"/>
      <c r="AD23" s="4077"/>
      <c r="AE23" s="4077"/>
      <c r="AF23" s="954" t="str">
        <f t="shared" si="5"/>
        <v/>
      </c>
      <c r="AG23" s="5451"/>
      <c r="AH23" s="5452"/>
      <c r="AI23" s="5455"/>
      <c r="AJ23" s="737"/>
      <c r="AK23" s="574"/>
      <c r="AL23" s="3139" t="b">
        <f>IF(OR($G$11="",Elan!C23=""),FALSE,$G$11&lt;VLOOKUP(C23,Tabla_Elan,3,FALSE))</f>
        <v>0</v>
      </c>
      <c r="AM23" s="3139" t="b">
        <f>IF(OR($Y$11="",Elan!U23=""),FALSE,$Y$11&lt;VLOOKUP(U23,Tabla_Elan,3,FALSE))</f>
        <v>0</v>
      </c>
    </row>
    <row r="24" spans="1:39" ht="12" customHeight="1" x14ac:dyDescent="0.2">
      <c r="A24" s="29"/>
      <c r="B24" s="485"/>
      <c r="C24" s="5456"/>
      <c r="D24" s="5457"/>
      <c r="E24" s="5457"/>
      <c r="F24" s="5457"/>
      <c r="G24" s="766" t="str">
        <f t="shared" si="2"/>
        <v/>
      </c>
      <c r="I24" s="5458" t="str">
        <f>IF(C$11="","",INDEX(Tabla_ModElan,MATCH(C$11,INDEX(Tabla_ModElan,,1),0)+Tablas!$A5,3))</f>
        <v/>
      </c>
      <c r="J24" s="4077"/>
      <c r="K24" s="4077"/>
      <c r="L24" s="4077"/>
      <c r="M24" s="4077"/>
      <c r="N24" s="954" t="str">
        <f t="shared" si="4"/>
        <v/>
      </c>
      <c r="O24" s="5447" t="str">
        <f>IF(C$11="","",INDEX(Tabla_ModElan,MATCH(C$11,INDEX(Tabla_ModElan,,1),0)+Tablas!$A5,5))</f>
        <v/>
      </c>
      <c r="P24" s="5448"/>
      <c r="Q24" s="5453" t="str">
        <f>IF(O24="","",INDEX(Tabla_ModElan,MATCH(O24,INDEX(Tabla_ModElan,,5),0),6))</f>
        <v/>
      </c>
      <c r="R24" s="21"/>
      <c r="S24" s="1104"/>
      <c r="U24" s="5456"/>
      <c r="V24" s="5457"/>
      <c r="W24" s="5457"/>
      <c r="X24" s="5457"/>
      <c r="Y24" s="766" t="str">
        <f t="shared" si="3"/>
        <v/>
      </c>
      <c r="AA24" s="5458" t="str">
        <f>IF(U$11="","",INDEX(Tabla_ModElan,MATCH(U$11,INDEX(Tabla_ModElan,,1),0)+Tablas!$A5,3))</f>
        <v/>
      </c>
      <c r="AB24" s="4077"/>
      <c r="AC24" s="4077"/>
      <c r="AD24" s="4077"/>
      <c r="AE24" s="4077"/>
      <c r="AF24" s="954" t="str">
        <f t="shared" si="5"/>
        <v/>
      </c>
      <c r="AG24" s="5447" t="str">
        <f>IF(U$11="","",INDEX(Tabla_ModElan,MATCH(U$11,INDEX(Tabla_ModElan,,1),0)+Tablas!$A5,5))</f>
        <v/>
      </c>
      <c r="AH24" s="5448"/>
      <c r="AI24" s="5453" t="str">
        <f>IF(AG24="","",INDEX(Tabla_ModElan,MATCH(AG24,INDEX(Tabla_ModElan,,5),0),6))</f>
        <v/>
      </c>
      <c r="AJ24" s="737"/>
      <c r="AK24" s="574"/>
      <c r="AL24" s="3139" t="b">
        <f>IF(OR($G$11="",Elan!C24=""),FALSE,$G$11&lt;VLOOKUP(C24,Tabla_Elan,3,FALSE))</f>
        <v>0</v>
      </c>
      <c r="AM24" s="3139" t="b">
        <f>IF(OR($Y$11="",Elan!U24=""),FALSE,$Y$11&lt;VLOOKUP(U24,Tabla_Elan,3,FALSE))</f>
        <v>0</v>
      </c>
    </row>
    <row r="25" spans="1:39" ht="12" customHeight="1" x14ac:dyDescent="0.2">
      <c r="A25" s="29"/>
      <c r="B25" s="485"/>
      <c r="C25" s="4818"/>
      <c r="D25" s="4819"/>
      <c r="E25" s="4819"/>
      <c r="F25" s="4819"/>
      <c r="G25" s="765" t="str">
        <f t="shared" si="2"/>
        <v/>
      </c>
      <c r="I25" s="5458" t="str">
        <f>IF(C$11="","",INDEX(Tabla_ModElan,MATCH(C$11,INDEX(Tabla_ModElan,,1),0)+Tablas!$A6,3))</f>
        <v/>
      </c>
      <c r="J25" s="4077"/>
      <c r="K25" s="4077"/>
      <c r="L25" s="4077"/>
      <c r="M25" s="4077"/>
      <c r="N25" s="954" t="str">
        <f t="shared" si="4"/>
        <v/>
      </c>
      <c r="O25" s="5449"/>
      <c r="P25" s="5450"/>
      <c r="Q25" s="5454"/>
      <c r="R25" s="21"/>
      <c r="S25" s="1104"/>
      <c r="U25" s="4818"/>
      <c r="V25" s="4819"/>
      <c r="W25" s="4819"/>
      <c r="X25" s="4819"/>
      <c r="Y25" s="765" t="str">
        <f t="shared" si="3"/>
        <v/>
      </c>
      <c r="AA25" s="5458" t="s">
        <v>2764</v>
      </c>
      <c r="AB25" s="4077"/>
      <c r="AC25" s="4077"/>
      <c r="AD25" s="4077"/>
      <c r="AE25" s="4077"/>
      <c r="AF25" s="954" t="str">
        <f t="shared" si="5"/>
        <v/>
      </c>
      <c r="AG25" s="5449"/>
      <c r="AH25" s="5450"/>
      <c r="AI25" s="5454"/>
      <c r="AJ25" s="737"/>
      <c r="AK25" s="574"/>
      <c r="AL25" s="3139" t="b">
        <f>IF(OR($G$11="",Elan!C25=""),FALSE,$G$11&lt;VLOOKUP(C25,Tabla_Elan,3,FALSE))</f>
        <v>0</v>
      </c>
      <c r="AM25" s="3139" t="b">
        <f>IF(OR($Y$11="",Elan!U25=""),FALSE,$Y$11&lt;VLOOKUP(U25,Tabla_Elan,3,FALSE))</f>
        <v>0</v>
      </c>
    </row>
    <row r="26" spans="1:39" ht="12" customHeight="1" thickBot="1" x14ac:dyDescent="0.25">
      <c r="A26" s="29"/>
      <c r="B26" s="485"/>
      <c r="C26" s="5459" t="str">
        <f>IF(SUM(G13:G25)&gt;G11,"Exceso de Elán utilizado","")</f>
        <v/>
      </c>
      <c r="D26" s="5460"/>
      <c r="E26" s="5460"/>
      <c r="F26" s="5460"/>
      <c r="G26" s="5461"/>
      <c r="I26" s="5462" t="str">
        <f>IF(C$11="","",INDEX(Tabla_ModElan,MATCH(C$11,INDEX(Tabla_ModElan,,1),0)+Tablas!$A7,3))</f>
        <v/>
      </c>
      <c r="J26" s="3325"/>
      <c r="K26" s="3325"/>
      <c r="L26" s="3325"/>
      <c r="M26" s="3325"/>
      <c r="N26" s="955" t="str">
        <f t="shared" si="4"/>
        <v/>
      </c>
      <c r="O26" s="5463"/>
      <c r="P26" s="5464"/>
      <c r="Q26" s="5465"/>
      <c r="R26" s="21"/>
      <c r="S26" s="1104"/>
      <c r="U26" s="5459" t="str">
        <f>IF(SUM(Y13:Y25)&gt;Y11,"Exceso de Elán utilizado","")</f>
        <v/>
      </c>
      <c r="V26" s="5460"/>
      <c r="W26" s="5460"/>
      <c r="X26" s="5460"/>
      <c r="Y26" s="5461"/>
      <c r="AA26" s="5462" t="str">
        <f>IF(U$11="","",INDEX(Tabla_ModElan,MATCH(U$11,INDEX(Tabla_ModElan,,1),0)+Tablas!$A7,3))</f>
        <v/>
      </c>
      <c r="AB26" s="3325"/>
      <c r="AC26" s="3325"/>
      <c r="AD26" s="3325"/>
      <c r="AE26" s="3325"/>
      <c r="AF26" s="955" t="str">
        <f t="shared" si="5"/>
        <v/>
      </c>
      <c r="AG26" s="5463"/>
      <c r="AH26" s="5464"/>
      <c r="AI26" s="5465"/>
      <c r="AJ26" s="737"/>
      <c r="AK26" s="574"/>
      <c r="AL26" s="3139"/>
      <c r="AM26" s="3139"/>
    </row>
    <row r="27" spans="1:39" ht="12" customHeight="1" thickBot="1" x14ac:dyDescent="0.25">
      <c r="A27" s="29"/>
      <c r="B27" s="485"/>
      <c r="R27" s="21"/>
      <c r="S27" s="21"/>
      <c r="T27" s="21"/>
      <c r="U27" s="21"/>
      <c r="AJ27" s="737"/>
      <c r="AK27" s="574"/>
      <c r="AL27" s="3139"/>
      <c r="AM27" s="3139"/>
    </row>
    <row r="28" spans="1:39" ht="12" customHeight="1" thickBot="1" x14ac:dyDescent="0.25">
      <c r="A28" s="29"/>
      <c r="B28" s="485"/>
      <c r="C28" s="3350" t="s">
        <v>6838</v>
      </c>
      <c r="D28" s="3351"/>
      <c r="E28" s="3351"/>
      <c r="F28" s="3352"/>
      <c r="G28" s="5446" t="s">
        <v>1548</v>
      </c>
      <c r="H28" s="5446"/>
      <c r="I28" s="5446"/>
      <c r="J28" s="5446"/>
      <c r="K28" s="5446"/>
      <c r="L28" s="5446"/>
      <c r="M28" s="5446"/>
      <c r="N28" s="5446"/>
      <c r="O28" s="5446"/>
      <c r="P28" s="5446"/>
      <c r="Q28" s="5446"/>
      <c r="R28" s="5446"/>
      <c r="S28" s="5446"/>
      <c r="T28" s="5446"/>
      <c r="U28" s="5446"/>
      <c r="V28" s="5446"/>
      <c r="W28" s="5446"/>
      <c r="X28" s="5446"/>
      <c r="Y28" s="5446"/>
      <c r="Z28" s="5446"/>
      <c r="AA28" s="5446"/>
      <c r="AB28" s="5446"/>
      <c r="AC28" s="5446"/>
      <c r="AD28" s="5446"/>
      <c r="AE28" s="5446"/>
      <c r="AF28" s="5446"/>
      <c r="AG28" s="5446"/>
      <c r="AH28" s="5446"/>
      <c r="AI28" s="4085"/>
      <c r="AJ28" s="737"/>
      <c r="AK28" s="574"/>
      <c r="AL28" s="3139" t="str">
        <f>IF(C13="","",C13&amp;", ")&amp;IF(C14="","",C14&amp;", ")&amp;IF(C15="","",C15&amp;", ")&amp;IF(C16="","",C16&amp;", ")&amp;IF(C17="","",C17&amp;", ")&amp;IF(C18="","",C18&amp;", ")&amp;IF(C19="","",C19&amp;", ")&amp;IF(C20="","",C20&amp;", ")&amp;IF(C21="","",C21&amp;", ")&amp;IF(C22="","",C22&amp;", ")&amp;IF(C23="","",C23&amp;", ")&amp;IF(C24="","",C24&amp;", ")&amp;IF(C25="","",C25&amp;", ")</f>
        <v/>
      </c>
      <c r="AM28" s="3139"/>
    </row>
    <row r="29" spans="1:39" ht="12" customHeight="1" x14ac:dyDescent="0.2">
      <c r="A29" s="29"/>
      <c r="B29" s="485"/>
      <c r="C29" s="697"/>
      <c r="D29" s="160"/>
      <c r="E29" s="160"/>
      <c r="F29" s="696" t="str">
        <f>IF(ISNA(MATCH(Tablas!$A1,INDEX(Tabla_Elan,,14),0)),"",INDEX(INDEX(Tabla_Elan,,1),MATCH(Tablas!$A1,INDEX(Tabla_Elan,,14),0)))</f>
        <v/>
      </c>
      <c r="G29" s="4356" t="str">
        <f t="shared" ref="G29:G49" si="6">IF(F29="","",VLOOKUP(F29,Tabla_Elan,8,FALSE))</f>
        <v/>
      </c>
      <c r="H29" s="5445"/>
      <c r="I29" s="5445"/>
      <c r="J29" s="5445"/>
      <c r="K29" s="5445"/>
      <c r="L29" s="5445"/>
      <c r="M29" s="5445"/>
      <c r="N29" s="5445"/>
      <c r="O29" s="5445"/>
      <c r="P29" s="5445"/>
      <c r="Q29" s="5445"/>
      <c r="R29" s="5445"/>
      <c r="S29" s="5445"/>
      <c r="T29" s="5445"/>
      <c r="U29" s="5445"/>
      <c r="V29" s="5445"/>
      <c r="W29" s="5445"/>
      <c r="X29" s="5445"/>
      <c r="Y29" s="5445"/>
      <c r="Z29" s="5445"/>
      <c r="AA29" s="5445"/>
      <c r="AB29" s="5445"/>
      <c r="AC29" s="5445"/>
      <c r="AD29" s="5445"/>
      <c r="AE29" s="5445"/>
      <c r="AF29" s="5445"/>
      <c r="AG29" s="5445"/>
      <c r="AH29" s="5445"/>
      <c r="AI29" s="4406"/>
      <c r="AJ29" s="737"/>
      <c r="AK29" s="574"/>
      <c r="AL29" s="3139" t="str">
        <f>IF(U13="","",U13&amp;", ")&amp;IF(U14="","",U14&amp;", ")&amp;IF(U15="","",U15&amp;", ")&amp;IF(U16="","",U16&amp;", ")&amp;IF(U17="","",U17&amp;", ")&amp;IF(U18="","",U18&amp;", ")&amp;IF(U19="","",U19&amp;", ")&amp;IF(U20="","",U20&amp;", ")&amp;IF(U21="","",U21&amp;", ")&amp;IF(U22="","",U22&amp;", ")&amp;IF(U23="","",U23&amp;", ")&amp;IF(U24="","",U24&amp;", ")&amp;IF(U25="","",U25&amp;", ")</f>
        <v/>
      </c>
      <c r="AM29" s="3139"/>
    </row>
    <row r="30" spans="1:39" ht="12" customHeight="1" x14ac:dyDescent="0.2">
      <c r="A30" s="29"/>
      <c r="B30" s="485"/>
      <c r="C30" s="697"/>
      <c r="D30" s="160"/>
      <c r="E30" s="160"/>
      <c r="F30" s="696" t="str">
        <f>IF(ISNA(MATCH(Tablas!$A2,INDEX(Tabla_Elan,,14),0)),"",INDEX(INDEX(Tabla_Elan,,1),MATCH(Tablas!$A2,INDEX(Tabla_Elan,,14),0)))</f>
        <v/>
      </c>
      <c r="G30" s="4356" t="str">
        <f t="shared" si="6"/>
        <v/>
      </c>
      <c r="H30" s="5445"/>
      <c r="I30" s="5445"/>
      <c r="J30" s="5445"/>
      <c r="K30" s="5445"/>
      <c r="L30" s="5445"/>
      <c r="M30" s="5445"/>
      <c r="N30" s="5445"/>
      <c r="O30" s="5445"/>
      <c r="P30" s="5445"/>
      <c r="Q30" s="5445"/>
      <c r="R30" s="5445"/>
      <c r="S30" s="5445"/>
      <c r="T30" s="5445"/>
      <c r="U30" s="5445"/>
      <c r="V30" s="5445"/>
      <c r="W30" s="5445"/>
      <c r="X30" s="5445"/>
      <c r="Y30" s="5445"/>
      <c r="Z30" s="5445"/>
      <c r="AA30" s="5445"/>
      <c r="AB30" s="5445"/>
      <c r="AC30" s="5445"/>
      <c r="AD30" s="5445"/>
      <c r="AE30" s="5445"/>
      <c r="AF30" s="5445"/>
      <c r="AG30" s="5445"/>
      <c r="AH30" s="5445"/>
      <c r="AI30" s="4406"/>
      <c r="AJ30" s="737"/>
      <c r="AK30" s="574"/>
      <c r="AL30" s="3139"/>
      <c r="AM30" s="3139"/>
    </row>
    <row r="31" spans="1:39" ht="12" customHeight="1" x14ac:dyDescent="0.2">
      <c r="A31" s="29"/>
      <c r="B31" s="485"/>
      <c r="C31" s="697"/>
      <c r="D31" s="160"/>
      <c r="E31" s="160"/>
      <c r="F31" s="696" t="str">
        <f>IF(ISNA(MATCH(Tablas!$A3,INDEX(Tabla_Elan,,14),0)),"",INDEX(INDEX(Tabla_Elan,,1),MATCH(Tablas!$A3,INDEX(Tabla_Elan,,14),0)))</f>
        <v/>
      </c>
      <c r="G31" s="4356" t="str">
        <f t="shared" si="6"/>
        <v/>
      </c>
      <c r="H31" s="5445"/>
      <c r="I31" s="5445"/>
      <c r="J31" s="5445"/>
      <c r="K31" s="5445"/>
      <c r="L31" s="5445"/>
      <c r="M31" s="5445"/>
      <c r="N31" s="5445"/>
      <c r="O31" s="5445"/>
      <c r="P31" s="5445"/>
      <c r="Q31" s="5445"/>
      <c r="R31" s="5445"/>
      <c r="S31" s="5445"/>
      <c r="T31" s="5445"/>
      <c r="U31" s="5445"/>
      <c r="V31" s="5445"/>
      <c r="W31" s="5445"/>
      <c r="X31" s="5445"/>
      <c r="Y31" s="5445"/>
      <c r="Z31" s="5445"/>
      <c r="AA31" s="5445"/>
      <c r="AB31" s="5445"/>
      <c r="AC31" s="5445"/>
      <c r="AD31" s="5445"/>
      <c r="AE31" s="5445"/>
      <c r="AF31" s="5445"/>
      <c r="AG31" s="5445"/>
      <c r="AH31" s="5445"/>
      <c r="AI31" s="4406"/>
      <c r="AJ31" s="737"/>
      <c r="AK31" s="574"/>
      <c r="AL31" s="3139"/>
      <c r="AM31" s="3139"/>
    </row>
    <row r="32" spans="1:39" ht="12" customHeight="1" x14ac:dyDescent="0.2">
      <c r="A32" s="29"/>
      <c r="B32" s="485"/>
      <c r="C32" s="697"/>
      <c r="D32" s="160"/>
      <c r="E32" s="160"/>
      <c r="F32" s="696" t="str">
        <f>IF(ISNA(MATCH(Tablas!$A4,INDEX(Tabla_Elan,,14),0)),"",INDEX(INDEX(Tabla_Elan,,1),MATCH(Tablas!$A4,INDEX(Tabla_Elan,,14),0)))</f>
        <v/>
      </c>
      <c r="G32" s="4356" t="str">
        <f t="shared" si="6"/>
        <v/>
      </c>
      <c r="H32" s="5445"/>
      <c r="I32" s="5445"/>
      <c r="J32" s="5445"/>
      <c r="K32" s="5445"/>
      <c r="L32" s="5445"/>
      <c r="M32" s="5445"/>
      <c r="N32" s="5445"/>
      <c r="O32" s="5445"/>
      <c r="P32" s="5445"/>
      <c r="Q32" s="5445"/>
      <c r="R32" s="5445"/>
      <c r="S32" s="5445"/>
      <c r="T32" s="5445"/>
      <c r="U32" s="5445"/>
      <c r="V32" s="5445"/>
      <c r="W32" s="5445"/>
      <c r="X32" s="5445"/>
      <c r="Y32" s="5445"/>
      <c r="Z32" s="5445"/>
      <c r="AA32" s="5445"/>
      <c r="AB32" s="5445"/>
      <c r="AC32" s="5445"/>
      <c r="AD32" s="5445"/>
      <c r="AE32" s="5445"/>
      <c r="AF32" s="5445"/>
      <c r="AG32" s="5445"/>
      <c r="AH32" s="5445"/>
      <c r="AI32" s="4406"/>
      <c r="AJ32" s="737"/>
      <c r="AK32" s="574"/>
      <c r="AL32" s="3139"/>
      <c r="AM32" s="3139"/>
    </row>
    <row r="33" spans="1:39" ht="12" customHeight="1" x14ac:dyDescent="0.2">
      <c r="A33" s="29"/>
      <c r="B33" s="485"/>
      <c r="C33" s="697"/>
      <c r="D33" s="160"/>
      <c r="E33" s="160"/>
      <c r="F33" s="696" t="str">
        <f>IF(ISNA(MATCH(Tablas!$A5,INDEX(Tabla_Elan,,14),0)),"",INDEX(INDEX(Tabla_Elan,,1),MATCH(Tablas!$A5,INDEX(Tabla_Elan,,14),0)))</f>
        <v/>
      </c>
      <c r="G33" s="4356" t="str">
        <f t="shared" si="6"/>
        <v/>
      </c>
      <c r="H33" s="5445"/>
      <c r="I33" s="5445"/>
      <c r="J33" s="5445"/>
      <c r="K33" s="5445"/>
      <c r="L33" s="5445"/>
      <c r="M33" s="5445"/>
      <c r="N33" s="5445"/>
      <c r="O33" s="5445"/>
      <c r="P33" s="5445"/>
      <c r="Q33" s="5445"/>
      <c r="R33" s="5445"/>
      <c r="S33" s="5445"/>
      <c r="T33" s="5445"/>
      <c r="U33" s="5445"/>
      <c r="V33" s="5445"/>
      <c r="W33" s="5445"/>
      <c r="X33" s="5445"/>
      <c r="Y33" s="5445"/>
      <c r="Z33" s="5445"/>
      <c r="AA33" s="5445"/>
      <c r="AB33" s="5445"/>
      <c r="AC33" s="5445"/>
      <c r="AD33" s="5445"/>
      <c r="AE33" s="5445"/>
      <c r="AF33" s="5445"/>
      <c r="AG33" s="5445"/>
      <c r="AH33" s="5445"/>
      <c r="AI33" s="4406"/>
      <c r="AJ33" s="737"/>
      <c r="AK33" s="574"/>
      <c r="AL33" s="3139"/>
      <c r="AM33" s="3139"/>
    </row>
    <row r="34" spans="1:39" ht="12" customHeight="1" x14ac:dyDescent="0.2">
      <c r="A34" s="29"/>
      <c r="B34" s="485"/>
      <c r="C34" s="697"/>
      <c r="D34" s="160"/>
      <c r="E34" s="160"/>
      <c r="F34" s="696" t="str">
        <f>IF(ISNA(MATCH(Tablas!$A6,INDEX(Tabla_Elan,,14),0)),"",INDEX(INDEX(Tabla_Elan,,1),MATCH(Tablas!$A6,INDEX(Tabla_Elan,,14),0)))</f>
        <v/>
      </c>
      <c r="G34" s="4356" t="str">
        <f t="shared" si="6"/>
        <v/>
      </c>
      <c r="H34" s="5445"/>
      <c r="I34" s="5445"/>
      <c r="J34" s="5445"/>
      <c r="K34" s="5445"/>
      <c r="L34" s="5445"/>
      <c r="M34" s="5445"/>
      <c r="N34" s="5445"/>
      <c r="O34" s="5445"/>
      <c r="P34" s="5445"/>
      <c r="Q34" s="5445"/>
      <c r="R34" s="5445"/>
      <c r="S34" s="5445"/>
      <c r="T34" s="5445"/>
      <c r="U34" s="5445"/>
      <c r="V34" s="5445"/>
      <c r="W34" s="5445"/>
      <c r="X34" s="5445"/>
      <c r="Y34" s="5445"/>
      <c r="Z34" s="5445"/>
      <c r="AA34" s="5445"/>
      <c r="AB34" s="5445"/>
      <c r="AC34" s="5445"/>
      <c r="AD34" s="5445"/>
      <c r="AE34" s="5445"/>
      <c r="AF34" s="5445"/>
      <c r="AG34" s="5445"/>
      <c r="AH34" s="5445"/>
      <c r="AI34" s="4406"/>
      <c r="AJ34" s="737"/>
      <c r="AK34" s="574"/>
      <c r="AL34" s="3139"/>
      <c r="AM34" s="3139"/>
    </row>
    <row r="35" spans="1:39" ht="12" customHeight="1" x14ac:dyDescent="0.2">
      <c r="A35" s="29"/>
      <c r="B35" s="485"/>
      <c r="C35" s="697"/>
      <c r="D35" s="160"/>
      <c r="E35" s="160"/>
      <c r="F35" s="696" t="str">
        <f>IF(ISNA(MATCH(Tablas!$A7,INDEX(Tabla_Elan,,14),0)),"",INDEX(INDEX(Tabla_Elan,,1),MATCH(Tablas!$A7,INDEX(Tabla_Elan,,14),0)))</f>
        <v/>
      </c>
      <c r="G35" s="4356" t="str">
        <f t="shared" si="6"/>
        <v/>
      </c>
      <c r="H35" s="5445"/>
      <c r="I35" s="5445"/>
      <c r="J35" s="5445"/>
      <c r="K35" s="5445"/>
      <c r="L35" s="5445"/>
      <c r="M35" s="5445"/>
      <c r="N35" s="5445"/>
      <c r="O35" s="5445"/>
      <c r="P35" s="5445"/>
      <c r="Q35" s="5445"/>
      <c r="R35" s="5445"/>
      <c r="S35" s="5445"/>
      <c r="T35" s="5445"/>
      <c r="U35" s="5445"/>
      <c r="V35" s="5445"/>
      <c r="W35" s="5445"/>
      <c r="X35" s="5445"/>
      <c r="Y35" s="5445"/>
      <c r="Z35" s="5445"/>
      <c r="AA35" s="5445"/>
      <c r="AB35" s="5445"/>
      <c r="AC35" s="5445"/>
      <c r="AD35" s="5445"/>
      <c r="AE35" s="5445"/>
      <c r="AF35" s="5445"/>
      <c r="AG35" s="5445"/>
      <c r="AH35" s="5445"/>
      <c r="AI35" s="4406"/>
      <c r="AJ35" s="737"/>
      <c r="AK35" s="574"/>
      <c r="AL35" s="3139"/>
      <c r="AM35" s="3139"/>
    </row>
    <row r="36" spans="1:39" ht="12" customHeight="1" x14ac:dyDescent="0.2">
      <c r="A36" s="29"/>
      <c r="B36" s="485"/>
      <c r="C36" s="697"/>
      <c r="D36" s="160"/>
      <c r="E36" s="160"/>
      <c r="F36" s="696" t="str">
        <f>IF(ISNA(MATCH(Tablas!$A8,INDEX(Tabla_Elan,,14),0)),"",INDEX(INDEX(Tabla_Elan,,1),MATCH(Tablas!$A8,INDEX(Tabla_Elan,,14),0)))</f>
        <v/>
      </c>
      <c r="G36" s="4356" t="str">
        <f t="shared" si="6"/>
        <v/>
      </c>
      <c r="H36" s="5445"/>
      <c r="I36" s="5445"/>
      <c r="J36" s="5445"/>
      <c r="K36" s="5445"/>
      <c r="L36" s="5445"/>
      <c r="M36" s="5445"/>
      <c r="N36" s="5445"/>
      <c r="O36" s="5445"/>
      <c r="P36" s="5445"/>
      <c r="Q36" s="5445"/>
      <c r="R36" s="5445"/>
      <c r="S36" s="5445"/>
      <c r="T36" s="5445"/>
      <c r="U36" s="5445"/>
      <c r="V36" s="5445"/>
      <c r="W36" s="5445"/>
      <c r="X36" s="5445"/>
      <c r="Y36" s="5445"/>
      <c r="Z36" s="5445"/>
      <c r="AA36" s="5445"/>
      <c r="AB36" s="5445"/>
      <c r="AC36" s="5445"/>
      <c r="AD36" s="5445"/>
      <c r="AE36" s="5445"/>
      <c r="AF36" s="5445"/>
      <c r="AG36" s="5445"/>
      <c r="AH36" s="5445"/>
      <c r="AI36" s="4406"/>
      <c r="AJ36" s="737"/>
      <c r="AK36" s="574"/>
      <c r="AL36" s="3139"/>
      <c r="AM36" s="3139"/>
    </row>
    <row r="37" spans="1:39" ht="12" customHeight="1" x14ac:dyDescent="0.2">
      <c r="A37" s="29"/>
      <c r="B37" s="485"/>
      <c r="C37" s="697"/>
      <c r="D37" s="160"/>
      <c r="E37" s="160"/>
      <c r="F37" s="696" t="str">
        <f>IF(ISNA(MATCH(Tablas!$A9,INDEX(Tabla_Elan,,14),0)),"",INDEX(INDEX(Tabla_Elan,,1),MATCH(Tablas!$A9,INDEX(Tabla_Elan,,14),0)))</f>
        <v/>
      </c>
      <c r="G37" s="4356" t="str">
        <f t="shared" si="6"/>
        <v/>
      </c>
      <c r="H37" s="5445"/>
      <c r="I37" s="5445"/>
      <c r="J37" s="5445"/>
      <c r="K37" s="5445"/>
      <c r="L37" s="5445"/>
      <c r="M37" s="5445"/>
      <c r="N37" s="5445"/>
      <c r="O37" s="5445"/>
      <c r="P37" s="5445"/>
      <c r="Q37" s="5445"/>
      <c r="R37" s="5445"/>
      <c r="S37" s="5445"/>
      <c r="T37" s="5445"/>
      <c r="U37" s="5445"/>
      <c r="V37" s="5445"/>
      <c r="W37" s="5445"/>
      <c r="X37" s="5445"/>
      <c r="Y37" s="5445"/>
      <c r="Z37" s="5445"/>
      <c r="AA37" s="5445"/>
      <c r="AB37" s="5445"/>
      <c r="AC37" s="5445"/>
      <c r="AD37" s="5445"/>
      <c r="AE37" s="5445"/>
      <c r="AF37" s="5445"/>
      <c r="AG37" s="5445"/>
      <c r="AH37" s="5445"/>
      <c r="AI37" s="4406"/>
      <c r="AJ37" s="737"/>
      <c r="AK37" s="574"/>
      <c r="AL37" s="3139"/>
      <c r="AM37" s="3139"/>
    </row>
    <row r="38" spans="1:39" ht="12" customHeight="1" x14ac:dyDescent="0.2">
      <c r="A38" s="29"/>
      <c r="B38" s="485"/>
      <c r="C38" s="697"/>
      <c r="D38" s="160"/>
      <c r="E38" s="160"/>
      <c r="F38" s="696" t="str">
        <f>IF(ISNA(MATCH(Tablas!$A10,INDEX(Tabla_Elan,,14),0)),"",INDEX(INDEX(Tabla_Elan,,1),MATCH(Tablas!$A10,INDEX(Tabla_Elan,,14),0)))</f>
        <v/>
      </c>
      <c r="G38" s="4356" t="str">
        <f t="shared" si="6"/>
        <v/>
      </c>
      <c r="H38" s="5445"/>
      <c r="I38" s="5445"/>
      <c r="J38" s="5445"/>
      <c r="K38" s="5445"/>
      <c r="L38" s="5445"/>
      <c r="M38" s="5445"/>
      <c r="N38" s="5445"/>
      <c r="O38" s="5445"/>
      <c r="P38" s="5445"/>
      <c r="Q38" s="5445"/>
      <c r="R38" s="5445"/>
      <c r="S38" s="5445"/>
      <c r="T38" s="5445"/>
      <c r="U38" s="5445"/>
      <c r="V38" s="5445"/>
      <c r="W38" s="5445"/>
      <c r="X38" s="5445"/>
      <c r="Y38" s="5445"/>
      <c r="Z38" s="5445"/>
      <c r="AA38" s="5445"/>
      <c r="AB38" s="5445"/>
      <c r="AC38" s="5445"/>
      <c r="AD38" s="5445"/>
      <c r="AE38" s="5445"/>
      <c r="AF38" s="5445"/>
      <c r="AG38" s="5445"/>
      <c r="AH38" s="5445"/>
      <c r="AI38" s="4406"/>
      <c r="AJ38" s="737"/>
      <c r="AK38" s="574"/>
      <c r="AL38" s="3139"/>
      <c r="AM38" s="3139"/>
    </row>
    <row r="39" spans="1:39" ht="12" customHeight="1" x14ac:dyDescent="0.2">
      <c r="A39" s="29"/>
      <c r="B39" s="485"/>
      <c r="C39" s="697"/>
      <c r="D39" s="160"/>
      <c r="E39" s="160"/>
      <c r="F39" s="696" t="str">
        <f>IF(ISNA(MATCH(Tablas!$A11,INDEX(Tabla_Elan,,14),0)),"",INDEX(INDEX(Tabla_Elan,,1),MATCH(Tablas!$A11,INDEX(Tabla_Elan,,14),0)))</f>
        <v/>
      </c>
      <c r="G39" s="4356" t="str">
        <f t="shared" si="6"/>
        <v/>
      </c>
      <c r="H39" s="5445"/>
      <c r="I39" s="5445"/>
      <c r="J39" s="5445"/>
      <c r="K39" s="5445"/>
      <c r="L39" s="5445"/>
      <c r="M39" s="5445"/>
      <c r="N39" s="5445"/>
      <c r="O39" s="5445"/>
      <c r="P39" s="5445"/>
      <c r="Q39" s="5445"/>
      <c r="R39" s="5445"/>
      <c r="S39" s="5445"/>
      <c r="T39" s="5445"/>
      <c r="U39" s="5445"/>
      <c r="V39" s="5445"/>
      <c r="W39" s="5445"/>
      <c r="X39" s="5445"/>
      <c r="Y39" s="5445"/>
      <c r="Z39" s="5445"/>
      <c r="AA39" s="5445"/>
      <c r="AB39" s="5445"/>
      <c r="AC39" s="5445"/>
      <c r="AD39" s="5445"/>
      <c r="AE39" s="5445"/>
      <c r="AF39" s="5445"/>
      <c r="AG39" s="5445"/>
      <c r="AH39" s="5445"/>
      <c r="AI39" s="4406"/>
      <c r="AJ39" s="737"/>
      <c r="AK39" s="574"/>
      <c r="AL39" s="3139"/>
      <c r="AM39" s="3139"/>
    </row>
    <row r="40" spans="1:39" ht="12" customHeight="1" x14ac:dyDescent="0.2">
      <c r="A40" s="29"/>
      <c r="B40" s="485"/>
      <c r="C40" s="697"/>
      <c r="D40" s="160"/>
      <c r="E40" s="160"/>
      <c r="F40" s="696" t="str">
        <f>IF(ISNA(MATCH(Tablas!$A12,INDEX(Tabla_Elan,,14),0)),"",INDEX(INDEX(Tabla_Elan,,1),MATCH(Tablas!$A12,INDEX(Tabla_Elan,,14),0)))</f>
        <v/>
      </c>
      <c r="G40" s="4356" t="str">
        <f t="shared" si="6"/>
        <v/>
      </c>
      <c r="H40" s="5445"/>
      <c r="I40" s="5445"/>
      <c r="J40" s="5445"/>
      <c r="K40" s="5445"/>
      <c r="L40" s="5445"/>
      <c r="M40" s="5445"/>
      <c r="N40" s="5445"/>
      <c r="O40" s="5445"/>
      <c r="P40" s="5445"/>
      <c r="Q40" s="5445"/>
      <c r="R40" s="5445"/>
      <c r="S40" s="5445"/>
      <c r="T40" s="5445"/>
      <c r="U40" s="5445"/>
      <c r="V40" s="5445"/>
      <c r="W40" s="5445"/>
      <c r="X40" s="5445"/>
      <c r="Y40" s="5445"/>
      <c r="Z40" s="5445"/>
      <c r="AA40" s="5445"/>
      <c r="AB40" s="5445"/>
      <c r="AC40" s="5445"/>
      <c r="AD40" s="5445"/>
      <c r="AE40" s="5445"/>
      <c r="AF40" s="5445"/>
      <c r="AG40" s="5445"/>
      <c r="AH40" s="5445"/>
      <c r="AI40" s="4406"/>
      <c r="AJ40" s="737"/>
      <c r="AK40" s="574"/>
      <c r="AL40" s="3139"/>
      <c r="AM40" s="3139"/>
    </row>
    <row r="41" spans="1:39" ht="12" customHeight="1" x14ac:dyDescent="0.2">
      <c r="A41" s="29"/>
      <c r="B41" s="485"/>
      <c r="C41" s="697"/>
      <c r="D41" s="160"/>
      <c r="E41" s="160"/>
      <c r="F41" s="696" t="str">
        <f>IF(ISNA(MATCH(Tablas!$A13,INDEX(Tabla_Elan,,14),0)),"",INDEX(INDEX(Tabla_Elan,,1),MATCH(Tablas!$A13,INDEX(Tabla_Elan,,14),0)))</f>
        <v/>
      </c>
      <c r="G41" s="4356" t="str">
        <f t="shared" si="6"/>
        <v/>
      </c>
      <c r="H41" s="5445"/>
      <c r="I41" s="5445"/>
      <c r="J41" s="5445"/>
      <c r="K41" s="5445"/>
      <c r="L41" s="5445"/>
      <c r="M41" s="5445"/>
      <c r="N41" s="5445"/>
      <c r="O41" s="5445"/>
      <c r="P41" s="5445"/>
      <c r="Q41" s="5445"/>
      <c r="R41" s="5445"/>
      <c r="S41" s="5445"/>
      <c r="T41" s="5445"/>
      <c r="U41" s="5445"/>
      <c r="V41" s="5445"/>
      <c r="W41" s="5445"/>
      <c r="X41" s="5445"/>
      <c r="Y41" s="5445"/>
      <c r="Z41" s="5445"/>
      <c r="AA41" s="5445"/>
      <c r="AB41" s="5445"/>
      <c r="AC41" s="5445"/>
      <c r="AD41" s="5445"/>
      <c r="AE41" s="5445"/>
      <c r="AF41" s="5445"/>
      <c r="AG41" s="5445"/>
      <c r="AH41" s="5445"/>
      <c r="AI41" s="4406"/>
      <c r="AJ41" s="737"/>
      <c r="AK41" s="574"/>
      <c r="AL41" s="3139"/>
      <c r="AM41" s="3139"/>
    </row>
    <row r="42" spans="1:39" ht="12" customHeight="1" x14ac:dyDescent="0.2">
      <c r="A42" s="29"/>
      <c r="B42" s="485"/>
      <c r="C42" s="697"/>
      <c r="D42" s="160"/>
      <c r="E42" s="160"/>
      <c r="F42" s="696" t="str">
        <f>IF(ISNA(MATCH(Tablas!$A14,INDEX(Tabla_Elan,,14),0)),"",INDEX(INDEX(Tabla_Elan,,1),MATCH(Tablas!$A14,INDEX(Tabla_Elan,,14),0)))</f>
        <v/>
      </c>
      <c r="G42" s="4356" t="str">
        <f t="shared" si="6"/>
        <v/>
      </c>
      <c r="H42" s="5445"/>
      <c r="I42" s="5445"/>
      <c r="J42" s="5445"/>
      <c r="K42" s="5445"/>
      <c r="L42" s="5445"/>
      <c r="M42" s="5445"/>
      <c r="N42" s="5445"/>
      <c r="O42" s="5445"/>
      <c r="P42" s="5445"/>
      <c r="Q42" s="5445"/>
      <c r="R42" s="5445"/>
      <c r="S42" s="5445"/>
      <c r="T42" s="5445"/>
      <c r="U42" s="5445"/>
      <c r="V42" s="5445"/>
      <c r="W42" s="5445"/>
      <c r="X42" s="5445"/>
      <c r="Y42" s="5445"/>
      <c r="Z42" s="5445"/>
      <c r="AA42" s="5445"/>
      <c r="AB42" s="5445"/>
      <c r="AC42" s="5445"/>
      <c r="AD42" s="5445"/>
      <c r="AE42" s="5445"/>
      <c r="AF42" s="5445"/>
      <c r="AG42" s="5445"/>
      <c r="AH42" s="5445"/>
      <c r="AI42" s="4406"/>
      <c r="AJ42" s="737"/>
      <c r="AK42" s="574"/>
      <c r="AL42" s="3139"/>
      <c r="AM42" s="3139"/>
    </row>
    <row r="43" spans="1:39" ht="12" customHeight="1" x14ac:dyDescent="0.2">
      <c r="A43" s="29"/>
      <c r="B43" s="485"/>
      <c r="C43" s="697"/>
      <c r="D43" s="160"/>
      <c r="E43" s="160"/>
      <c r="F43" s="696" t="str">
        <f>IF(ISNA(MATCH(Tablas!$A15,INDEX(Tabla_Elan,,14),0)),"",INDEX(INDEX(Tabla_Elan,,1),MATCH(Tablas!$A15,INDEX(Tabla_Elan,,14),0)))</f>
        <v/>
      </c>
      <c r="G43" s="4356" t="str">
        <f t="shared" si="6"/>
        <v/>
      </c>
      <c r="H43" s="5445"/>
      <c r="I43" s="5445"/>
      <c r="J43" s="5445"/>
      <c r="K43" s="5445"/>
      <c r="L43" s="5445"/>
      <c r="M43" s="5445"/>
      <c r="N43" s="5445"/>
      <c r="O43" s="5445"/>
      <c r="P43" s="5445"/>
      <c r="Q43" s="5445"/>
      <c r="R43" s="5445"/>
      <c r="S43" s="5445"/>
      <c r="T43" s="5445"/>
      <c r="U43" s="5445"/>
      <c r="V43" s="5445"/>
      <c r="W43" s="5445"/>
      <c r="X43" s="5445"/>
      <c r="Y43" s="5445"/>
      <c r="Z43" s="5445"/>
      <c r="AA43" s="5445"/>
      <c r="AB43" s="5445"/>
      <c r="AC43" s="5445"/>
      <c r="AD43" s="5445"/>
      <c r="AE43" s="5445"/>
      <c r="AF43" s="5445"/>
      <c r="AG43" s="5445"/>
      <c r="AH43" s="5445"/>
      <c r="AI43" s="4406"/>
      <c r="AJ43" s="737"/>
      <c r="AK43" s="574"/>
      <c r="AL43" s="3139"/>
      <c r="AM43" s="3139"/>
    </row>
    <row r="44" spans="1:39" ht="12" customHeight="1" x14ac:dyDescent="0.2">
      <c r="A44" s="29"/>
      <c r="B44" s="485"/>
      <c r="C44" s="697"/>
      <c r="D44" s="160"/>
      <c r="E44" s="160"/>
      <c r="F44" s="696" t="str">
        <f>IF(ISNA(MATCH(Tablas!$A16,INDEX(Tabla_Elan,,14),0)),"",INDEX(INDEX(Tabla_Elan,,1),MATCH(Tablas!$A16,INDEX(Tabla_Elan,,14),0)))</f>
        <v/>
      </c>
      <c r="G44" s="4356" t="str">
        <f t="shared" si="6"/>
        <v/>
      </c>
      <c r="H44" s="5445"/>
      <c r="I44" s="5445"/>
      <c r="J44" s="5445"/>
      <c r="K44" s="5445"/>
      <c r="L44" s="5445"/>
      <c r="M44" s="5445"/>
      <c r="N44" s="5445"/>
      <c r="O44" s="5445"/>
      <c r="P44" s="5445"/>
      <c r="Q44" s="5445"/>
      <c r="R44" s="5445"/>
      <c r="S44" s="5445"/>
      <c r="T44" s="5445"/>
      <c r="U44" s="5445"/>
      <c r="V44" s="5445"/>
      <c r="W44" s="5445"/>
      <c r="X44" s="5445"/>
      <c r="Y44" s="5445"/>
      <c r="Z44" s="5445"/>
      <c r="AA44" s="5445"/>
      <c r="AB44" s="5445"/>
      <c r="AC44" s="5445"/>
      <c r="AD44" s="5445"/>
      <c r="AE44" s="5445"/>
      <c r="AF44" s="5445"/>
      <c r="AG44" s="5445"/>
      <c r="AH44" s="5445"/>
      <c r="AI44" s="4406"/>
      <c r="AJ44" s="737"/>
      <c r="AK44" s="574"/>
      <c r="AL44" s="3139"/>
      <c r="AM44" s="3139"/>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39"/>
      <c r="AM45" s="3139"/>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39"/>
      <c r="AM46" s="3139"/>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39"/>
      <c r="AM47" s="3139"/>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39"/>
      <c r="AM48" s="3139"/>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39"/>
      <c r="AM49" s="3139"/>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39"/>
      <c r="AM50" s="3139"/>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5"/>
      <c r="AM51" s="313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4" t="s">
        <v>8736</v>
      </c>
      <c r="AN1" s="3085"/>
      <c r="AO1" s="3085"/>
      <c r="AP1" s="3085"/>
      <c r="AQ1" s="3085"/>
      <c r="AR1" s="3085"/>
      <c r="AS1" s="3085"/>
      <c r="AT1" s="3085"/>
      <c r="AU1" s="3085"/>
      <c r="AV1" s="3085"/>
      <c r="AW1" s="3085"/>
      <c r="AX1" s="3085"/>
      <c r="AY1" s="3085"/>
      <c r="AZ1" s="3085"/>
      <c r="BA1" s="3085"/>
      <c r="BB1" s="3085"/>
      <c r="BC1" s="3085"/>
      <c r="BD1" s="3085"/>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85"/>
      <c r="AN2" s="3085"/>
      <c r="AO2" s="3085"/>
      <c r="AP2" s="3085"/>
      <c r="AQ2" s="3085"/>
      <c r="AR2" s="3085"/>
      <c r="AS2" s="3085"/>
      <c r="AT2" s="3085"/>
      <c r="AU2" s="3085"/>
      <c r="AV2" s="3085"/>
      <c r="AW2" s="3085"/>
      <c r="AX2" s="3085"/>
      <c r="AY2" s="3085"/>
      <c r="AZ2" s="3085"/>
      <c r="BA2" s="3085"/>
      <c r="BB2" s="3085"/>
      <c r="BC2" s="3085"/>
      <c r="BD2" s="3085"/>
    </row>
    <row r="3" spans="1:56" ht="12" customHeight="1" x14ac:dyDescent="0.2">
      <c r="A3" s="2131"/>
      <c r="B3" s="969"/>
      <c r="C3" s="4960" t="s">
        <v>8467</v>
      </c>
      <c r="D3" s="4961"/>
      <c r="E3" s="4961"/>
      <c r="F3" s="4961"/>
      <c r="G3" s="4961"/>
      <c r="H3" s="4961"/>
      <c r="I3" s="4961"/>
      <c r="J3" s="4961"/>
      <c r="K3" s="4961"/>
      <c r="L3" s="4961"/>
      <c r="M3" s="4961"/>
      <c r="N3" s="4961"/>
      <c r="O3" s="4961"/>
      <c r="P3" s="4961"/>
      <c r="Q3" s="5536"/>
      <c r="R3" s="577"/>
      <c r="S3" s="2130"/>
      <c r="T3" s="2131"/>
      <c r="U3" s="969"/>
      <c r="V3" s="4960" t="s">
        <v>7113</v>
      </c>
      <c r="W3" s="4961"/>
      <c r="X3" s="4961"/>
      <c r="Y3" s="4961"/>
      <c r="Z3" s="4961"/>
      <c r="AA3" s="4961"/>
      <c r="AB3" s="4961"/>
      <c r="AC3" s="4961"/>
      <c r="AD3" s="4961"/>
      <c r="AE3" s="4961"/>
      <c r="AF3" s="4961"/>
      <c r="AG3" s="4961"/>
      <c r="AH3" s="4961"/>
      <c r="AI3" s="4961"/>
      <c r="AJ3" s="5536"/>
      <c r="AK3" s="737"/>
      <c r="AL3" s="2145"/>
      <c r="AM3" s="3085" t="s">
        <v>8617</v>
      </c>
      <c r="AN3" s="3085" t="str">
        <f ca="1">Tablas!AC777</f>
        <v>Tablas!$AG$639:$AG$639</v>
      </c>
      <c r="AO3" s="3085"/>
      <c r="AP3" s="3085"/>
      <c r="AQ3" s="3085"/>
      <c r="AR3" s="3085" t="s">
        <v>1392</v>
      </c>
      <c r="AS3" s="3085" t="str">
        <f>IF(AO93="","",", "&amp;AO93)&amp;IF(AO109="","",", "&amp;AO109)&amp;IF(AO125="","",", "&amp;AO125)</f>
        <v/>
      </c>
      <c r="AT3" s="3085" t="str">
        <f>IFERROR(RIGHT(AS3,LEN(AS3)-2),"")</f>
        <v/>
      </c>
      <c r="AU3" s="3085"/>
      <c r="AV3" s="3085"/>
      <c r="AW3" s="3085"/>
      <c r="AX3" s="3085"/>
      <c r="AY3" s="3085"/>
      <c r="AZ3" s="3085"/>
      <c r="BA3" s="3085"/>
      <c r="BB3" s="3085"/>
      <c r="BC3" s="3085"/>
      <c r="BD3" s="3085"/>
    </row>
    <row r="4" spans="1:56" ht="12" customHeight="1" thickBot="1" x14ac:dyDescent="0.25">
      <c r="A4" s="2131"/>
      <c r="B4" s="969"/>
      <c r="C4" s="4963"/>
      <c r="D4" s="4964"/>
      <c r="E4" s="4964"/>
      <c r="F4" s="4964"/>
      <c r="G4" s="4964"/>
      <c r="H4" s="4964"/>
      <c r="I4" s="4964"/>
      <c r="J4" s="4964"/>
      <c r="K4" s="4964"/>
      <c r="L4" s="4964"/>
      <c r="M4" s="4964"/>
      <c r="N4" s="4964"/>
      <c r="O4" s="4964"/>
      <c r="P4" s="4964"/>
      <c r="Q4" s="5537"/>
      <c r="R4" s="577"/>
      <c r="S4" s="2130"/>
      <c r="T4" s="2131"/>
      <c r="U4" s="969"/>
      <c r="V4" s="4963"/>
      <c r="W4" s="4964"/>
      <c r="X4" s="4964"/>
      <c r="Y4" s="4964"/>
      <c r="Z4" s="4964"/>
      <c r="AA4" s="4964"/>
      <c r="AB4" s="4964"/>
      <c r="AC4" s="4964"/>
      <c r="AD4" s="4964"/>
      <c r="AE4" s="4964"/>
      <c r="AF4" s="4964"/>
      <c r="AG4" s="4964"/>
      <c r="AH4" s="4964"/>
      <c r="AI4" s="4964"/>
      <c r="AJ4" s="5537"/>
      <c r="AK4" s="737"/>
      <c r="AL4" s="2145"/>
      <c r="AM4" s="3085" t="s">
        <v>8545</v>
      </c>
      <c r="AN4" s="3085" t="e">
        <f ca="1">Tablas!AM777</f>
        <v>#N/A</v>
      </c>
      <c r="AO4" s="3085"/>
      <c r="AP4" s="3085"/>
      <c r="AQ4" s="3085"/>
      <c r="AR4" s="3085" t="s">
        <v>7224</v>
      </c>
      <c r="AS4" s="3085" t="str">
        <f>IF(AP93="","",", "&amp;AP93)&amp;IF(AP109="","",", "&amp;AP109)&amp;IF(AP125="","",", "&amp;AP125)</f>
        <v/>
      </c>
      <c r="AT4" s="3085" t="str">
        <f>IFERROR(RIGHT(AS4,LEN(AS4)-2),"")</f>
        <v/>
      </c>
      <c r="AU4" s="3085"/>
      <c r="AV4" s="3085"/>
      <c r="AW4" s="3085"/>
      <c r="AX4" s="3085"/>
      <c r="AY4" s="3085"/>
      <c r="AZ4" s="3085"/>
      <c r="BA4" s="3085"/>
      <c r="BB4" s="3085"/>
      <c r="BC4" s="3085"/>
      <c r="BD4" s="3085"/>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85" t="s">
        <v>1578</v>
      </c>
      <c r="AN5" s="3085" t="e">
        <f ca="1">Tablas!AH777</f>
        <v>#N/A</v>
      </c>
      <c r="AO5" s="3085"/>
      <c r="AP5" s="3085"/>
      <c r="AQ5" s="3085"/>
      <c r="AR5" s="3085" t="s">
        <v>8325</v>
      </c>
      <c r="AS5" s="3085" t="str">
        <f>IF(AQ93="","",", "&amp;AQ93)&amp;IF(AQ109="","",", "&amp;AQ109)&amp;IF(AQ125="","",", "&amp;AQ125)</f>
        <v/>
      </c>
      <c r="AT5" s="3085" t="str">
        <f>IFERROR(RIGHT(AS5,LEN(AS5)-2),"")</f>
        <v/>
      </c>
      <c r="AU5" s="3085"/>
      <c r="AV5" s="3085"/>
      <c r="AW5" s="3085"/>
      <c r="AX5" s="3085"/>
      <c r="AY5" s="3085"/>
      <c r="AZ5" s="3085"/>
      <c r="BA5" s="3085"/>
      <c r="BB5" s="3085"/>
      <c r="BC5" s="3085"/>
      <c r="BD5" s="3085"/>
    </row>
    <row r="6" spans="1:56" ht="12" customHeight="1" x14ac:dyDescent="0.2">
      <c r="A6" s="2131"/>
      <c r="B6" s="969"/>
      <c r="C6" s="4485" t="s">
        <v>6588</v>
      </c>
      <c r="D6" s="4486"/>
      <c r="E6" s="4486"/>
      <c r="F6" s="5843" t="s">
        <v>7071</v>
      </c>
      <c r="G6" s="5844"/>
      <c r="H6" s="2395"/>
      <c r="I6" s="4485" t="s">
        <v>8663</v>
      </c>
      <c r="J6" s="4486"/>
      <c r="K6" s="4486"/>
      <c r="L6" s="5803"/>
      <c r="M6" s="5803"/>
      <c r="N6" s="5803"/>
      <c r="O6" s="5803"/>
      <c r="P6" s="5803"/>
      <c r="Q6" s="5807"/>
      <c r="R6" s="577"/>
      <c r="S6" s="2130"/>
      <c r="T6" s="2131"/>
      <c r="U6" s="969"/>
      <c r="V6" s="5827" t="s">
        <v>10096</v>
      </c>
      <c r="W6" s="5810" t="s">
        <v>8329</v>
      </c>
      <c r="X6" s="5810"/>
      <c r="Y6" s="5719" t="s">
        <v>8327</v>
      </c>
      <c r="Z6" s="5719"/>
      <c r="AA6" s="5721" t="s">
        <v>8326</v>
      </c>
      <c r="AB6" s="5721"/>
      <c r="AC6" s="5721" t="s">
        <v>8669</v>
      </c>
      <c r="AD6" s="5721"/>
      <c r="AE6" s="5721" t="s">
        <v>8671</v>
      </c>
      <c r="AF6" s="5721"/>
      <c r="AG6" s="5719" t="s">
        <v>8691</v>
      </c>
      <c r="AH6" s="5720"/>
      <c r="AI6" s="5719" t="s">
        <v>8690</v>
      </c>
      <c r="AJ6" s="5731"/>
      <c r="AK6" s="737"/>
      <c r="AL6" s="2145"/>
      <c r="AM6" s="3085" t="s">
        <v>8618</v>
      </c>
      <c r="AN6" s="3085" t="e">
        <f ca="1">Tablas!AR777</f>
        <v>#N/A</v>
      </c>
      <c r="AO6" s="3085"/>
      <c r="AP6" s="3085"/>
      <c r="AQ6" s="3085"/>
      <c r="AR6" s="3085" t="s">
        <v>1565</v>
      </c>
      <c r="AS6" s="3085" t="str">
        <f>IF(AR93="","",", ")&amp;AR93&amp;IF(AR109="","",", "&amp;AR109)&amp;IF(AR125="","",", "&amp;AR125)</f>
        <v/>
      </c>
      <c r="AT6" s="3085" t="str">
        <f>IFERROR(RIGHT(AS6,LEN(AS6)-2),"")</f>
        <v/>
      </c>
      <c r="AU6" s="3085"/>
      <c r="AV6" s="3085"/>
      <c r="AW6" s="3085"/>
      <c r="AX6" s="3085"/>
      <c r="AY6" s="3085"/>
      <c r="AZ6" s="3085"/>
      <c r="BA6" s="3085"/>
      <c r="BB6" s="3085"/>
      <c r="BC6" s="3085"/>
      <c r="BD6" s="3085"/>
    </row>
    <row r="7" spans="1:56" ht="12" customHeight="1" thickBot="1" x14ac:dyDescent="0.25">
      <c r="A7" s="2131"/>
      <c r="B7" s="969"/>
      <c r="C7" s="5546"/>
      <c r="D7" s="5547"/>
      <c r="E7" s="5547"/>
      <c r="F7" s="5845"/>
      <c r="G7" s="5846"/>
      <c r="H7" s="2395"/>
      <c r="I7" s="5546"/>
      <c r="J7" s="5547"/>
      <c r="K7" s="5547"/>
      <c r="L7" s="5804"/>
      <c r="M7" s="5804"/>
      <c r="N7" s="5804"/>
      <c r="O7" s="5804"/>
      <c r="P7" s="5804"/>
      <c r="Q7" s="5808"/>
      <c r="R7" s="577"/>
      <c r="S7" s="2130"/>
      <c r="T7" s="2131"/>
      <c r="U7" s="969"/>
      <c r="V7" s="5828"/>
      <c r="W7" s="5788" t="s">
        <v>1392</v>
      </c>
      <c r="X7" s="5789"/>
      <c r="Y7" s="5729"/>
      <c r="Z7" s="5809"/>
      <c r="AA7" s="5830"/>
      <c r="AB7" s="5734"/>
      <c r="AC7" s="5830"/>
      <c r="AD7" s="5735"/>
      <c r="AE7" s="5734"/>
      <c r="AF7" s="5735"/>
      <c r="AG7" s="5722"/>
      <c r="AH7" s="5722"/>
      <c r="AI7" s="5732"/>
      <c r="AJ7" s="5208"/>
      <c r="AK7" s="737"/>
      <c r="AL7" s="2145"/>
      <c r="AM7" s="3085"/>
      <c r="AN7" s="3085"/>
      <c r="AO7" s="3085"/>
      <c r="AP7" s="3085"/>
      <c r="AQ7" s="3085"/>
      <c r="AR7" s="3085"/>
      <c r="AS7" s="3085"/>
      <c r="AT7" s="3085"/>
      <c r="AU7" s="3085"/>
      <c r="AV7" s="3085"/>
      <c r="AW7" s="3085"/>
      <c r="AX7" s="3085"/>
      <c r="AY7" s="3085"/>
      <c r="AZ7" s="3085"/>
      <c r="BA7" s="3085"/>
      <c r="BB7" s="3085"/>
      <c r="BC7" s="3085"/>
      <c r="BD7" s="3085"/>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828"/>
      <c r="W8" s="5788" t="s">
        <v>7224</v>
      </c>
      <c r="X8" s="5789"/>
      <c r="Y8" s="5732"/>
      <c r="Z8" s="5722"/>
      <c r="AA8" s="5726"/>
      <c r="AB8" s="5727"/>
      <c r="AC8" s="5726"/>
      <c r="AD8" s="5727"/>
      <c r="AE8" s="5726"/>
      <c r="AF8" s="5727"/>
      <c r="AG8" s="5726"/>
      <c r="AH8" s="5727"/>
      <c r="AI8" s="5726"/>
      <c r="AJ8" s="5733"/>
      <c r="AK8" s="737"/>
      <c r="AL8" s="2145"/>
      <c r="AM8" s="3085"/>
      <c r="AN8" s="3085"/>
      <c r="AO8" s="3085"/>
      <c r="AP8" s="3085" t="s">
        <v>1373</v>
      </c>
      <c r="AQ8" s="3085"/>
      <c r="AR8" s="3085"/>
      <c r="AS8" s="3085"/>
      <c r="AT8" s="3085"/>
      <c r="AU8" s="3085"/>
      <c r="AV8" s="3085"/>
      <c r="AW8" s="3085"/>
      <c r="AX8" s="3085"/>
      <c r="AY8" s="3085"/>
      <c r="AZ8" s="3085"/>
      <c r="BA8" s="3085"/>
      <c r="BB8" s="3085"/>
      <c r="BC8" s="3085"/>
      <c r="BD8" s="3085"/>
    </row>
    <row r="9" spans="1:56" ht="12" customHeight="1" thickBot="1" x14ac:dyDescent="0.25">
      <c r="A9" s="2131"/>
      <c r="B9" s="969"/>
      <c r="C9" s="3350" t="s">
        <v>9324</v>
      </c>
      <c r="D9" s="3351"/>
      <c r="E9" s="3351"/>
      <c r="F9" s="5864" t="s">
        <v>1381</v>
      </c>
      <c r="G9" s="5865"/>
      <c r="H9" s="2395"/>
      <c r="I9" s="3158" t="s">
        <v>1525</v>
      </c>
      <c r="J9" s="3159"/>
      <c r="K9" s="3159"/>
      <c r="L9" s="3159"/>
      <c r="M9" s="3159"/>
      <c r="N9" s="3159"/>
      <c r="O9" s="3159"/>
      <c r="P9" s="3159"/>
      <c r="Q9" s="3160"/>
      <c r="R9" s="577"/>
      <c r="S9" s="2130"/>
      <c r="T9" s="2131"/>
      <c r="U9" s="969"/>
      <c r="V9" s="5828"/>
      <c r="W9" s="5788" t="s">
        <v>8325</v>
      </c>
      <c r="X9" s="5789"/>
      <c r="Y9" s="5726"/>
      <c r="Z9" s="5727"/>
      <c r="AA9" s="5726"/>
      <c r="AB9" s="5727"/>
      <c r="AC9" s="5726"/>
      <c r="AD9" s="5727"/>
      <c r="AE9" s="5726"/>
      <c r="AF9" s="5727"/>
      <c r="AG9" s="5722"/>
      <c r="AH9" s="5722"/>
      <c r="AI9" s="5732"/>
      <c r="AJ9" s="5208"/>
      <c r="AK9" s="737"/>
      <c r="AL9" s="2145"/>
      <c r="AM9" s="3084" t="s">
        <v>6574</v>
      </c>
      <c r="AN9" s="3096" t="b">
        <f>OR(IF(Personalización!E15="",,COUNTIF(RaícesCulturales_Especial1,Personalización!$E$15)=0),IF(Personalización!E16="",,COUNTIF(RaícesCulturales_Especial2,Personalización!$E$16)=0))</f>
        <v>0</v>
      </c>
      <c r="AO9" s="3085"/>
      <c r="AP9" s="3085" t="s">
        <v>1497</v>
      </c>
      <c r="AQ9" s="3085"/>
      <c r="AR9" s="3085"/>
      <c r="AS9" s="3085"/>
      <c r="AT9" s="3085"/>
      <c r="AU9" s="3085"/>
      <c r="AV9" s="3085"/>
      <c r="AW9" s="3085"/>
      <c r="AX9" s="3085"/>
      <c r="AY9" s="3085"/>
      <c r="AZ9" s="3085"/>
      <c r="BA9" s="3085"/>
      <c r="BB9" s="3085"/>
      <c r="BC9" s="3085"/>
      <c r="BD9" s="3085"/>
    </row>
    <row r="10" spans="1:56" ht="12" customHeight="1" thickBot="1" x14ac:dyDescent="0.25">
      <c r="A10" s="2131"/>
      <c r="B10" s="969"/>
      <c r="C10" s="2395"/>
      <c r="D10" s="2395"/>
      <c r="E10" s="2395"/>
      <c r="F10" s="2395"/>
      <c r="G10" s="2395"/>
      <c r="H10" s="2395"/>
      <c r="I10" s="4883" t="s">
        <v>1526</v>
      </c>
      <c r="J10" s="3511"/>
      <c r="K10" s="2891" t="s">
        <v>1527</v>
      </c>
      <c r="L10" s="5811" t="s">
        <v>1528</v>
      </c>
      <c r="M10" s="3356"/>
      <c r="N10" s="5811" t="s">
        <v>1529</v>
      </c>
      <c r="O10" s="5812"/>
      <c r="P10" s="5813" t="s">
        <v>10392</v>
      </c>
      <c r="Q10" s="5814"/>
      <c r="R10" s="577"/>
      <c r="S10" s="2130"/>
      <c r="T10" s="2131"/>
      <c r="U10" s="969"/>
      <c r="V10" s="5828"/>
      <c r="W10" s="5788" t="s">
        <v>1565</v>
      </c>
      <c r="X10" s="5789"/>
      <c r="Y10" s="5732"/>
      <c r="Z10" s="5722"/>
      <c r="AA10" s="5732"/>
      <c r="AB10" s="5722"/>
      <c r="AC10" s="5717"/>
      <c r="AD10" s="5724"/>
      <c r="AE10" s="5722"/>
      <c r="AF10" s="5723"/>
      <c r="AG10" s="5717"/>
      <c r="AH10" s="5724"/>
      <c r="AI10" s="5717"/>
      <c r="AJ10" s="5718"/>
      <c r="AK10" s="737"/>
      <c r="AL10" s="2145"/>
      <c r="AM10" s="3085"/>
      <c r="AN10" s="3085"/>
      <c r="AO10" s="3085"/>
      <c r="AP10" s="3085" t="s">
        <v>1378</v>
      </c>
      <c r="AQ10" s="3085"/>
      <c r="AR10" s="3085"/>
      <c r="AS10" s="3085"/>
      <c r="AT10" s="3085"/>
      <c r="AU10" s="3085"/>
      <c r="AV10" s="3085"/>
      <c r="AW10" s="3085"/>
      <c r="AX10" s="3085"/>
      <c r="AY10" s="3085"/>
      <c r="AZ10" s="3085"/>
      <c r="BA10" s="3085"/>
      <c r="BB10" s="3085"/>
      <c r="BC10" s="3085"/>
      <c r="BD10" s="3085"/>
    </row>
    <row r="11" spans="1:56" ht="12" customHeight="1" thickBot="1" x14ac:dyDescent="0.25">
      <c r="A11" s="2131"/>
      <c r="B11" s="969"/>
      <c r="C11" s="3350" t="s">
        <v>6577</v>
      </c>
      <c r="D11" s="3351"/>
      <c r="E11" s="3351"/>
      <c r="F11" s="3351"/>
      <c r="G11" s="3352"/>
      <c r="H11" s="2395"/>
      <c r="I11" s="5519" t="s">
        <v>10390</v>
      </c>
      <c r="J11" s="5520"/>
      <c r="K11" s="2112">
        <f>Tablas!$G$284-IF(L11=0,0,1)-IF(N11=0,0,1)-IF(P11=0,0,1)</f>
        <v>0</v>
      </c>
      <c r="L11" s="5497"/>
      <c r="M11" s="5501"/>
      <c r="N11" s="5806"/>
      <c r="O11" s="5501"/>
      <c r="P11" s="5806"/>
      <c r="Q11" s="5815"/>
      <c r="R11" s="577"/>
      <c r="S11" s="2130"/>
      <c r="T11" s="2131"/>
      <c r="U11" s="969"/>
      <c r="V11" s="5828"/>
      <c r="W11" s="5805" t="s">
        <v>8329</v>
      </c>
      <c r="X11" s="5805"/>
      <c r="Y11" s="5819"/>
      <c r="Z11" s="5820"/>
      <c r="AA11" s="5725" t="s">
        <v>8328</v>
      </c>
      <c r="AB11" s="5725"/>
      <c r="AC11" s="5725" t="s">
        <v>8670</v>
      </c>
      <c r="AD11" s="5725"/>
      <c r="AE11" s="5725" t="s">
        <v>8672</v>
      </c>
      <c r="AF11" s="5725"/>
      <c r="AG11" s="5725" t="s">
        <v>8688</v>
      </c>
      <c r="AH11" s="5725"/>
      <c r="AI11" s="5725" t="s">
        <v>8689</v>
      </c>
      <c r="AJ11" s="5728"/>
      <c r="AK11" s="737"/>
      <c r="AL11" s="2145"/>
      <c r="AM11" s="3084" t="s">
        <v>6575</v>
      </c>
      <c r="AN11" s="3116" t="str">
        <f>IF(Tablas!L136="","",IF(AND(Region="Elcia",OR(ClaseSocial=Tablas!CK140,ClaseSocial=Tablas!CL140,ClaseSocial=Tablas!CM140)),"Habilidades_Secundarias","RaícesCulturales_Especial1"))</f>
        <v/>
      </c>
      <c r="AO11" s="3085"/>
      <c r="AP11" s="3085" t="s">
        <v>1383</v>
      </c>
      <c r="AQ11" s="3085"/>
      <c r="AR11" s="3085"/>
      <c r="AS11" s="3085"/>
      <c r="AT11" s="3085"/>
      <c r="AU11" s="3085"/>
      <c r="AV11" s="3085"/>
      <c r="AW11" s="3085"/>
      <c r="AX11" s="3085"/>
      <c r="AY11" s="3085"/>
      <c r="AZ11" s="3085"/>
      <c r="BA11" s="3085"/>
      <c r="BB11" s="3085"/>
      <c r="BC11" s="3085"/>
      <c r="BD11" s="3085"/>
    </row>
    <row r="12" spans="1:56" ht="12" customHeight="1" x14ac:dyDescent="0.2">
      <c r="A12" s="2131"/>
      <c r="B12" s="969"/>
      <c r="C12" s="5892" t="str">
        <f>IF(Tablas!G487&gt;0,"Ventaja elegida","Aplicar bonos:")</f>
        <v>Aplicar bonos:</v>
      </c>
      <c r="D12" s="5893"/>
      <c r="E12" s="5889" t="s">
        <v>1381</v>
      </c>
      <c r="F12" s="5890"/>
      <c r="G12" s="5891"/>
      <c r="H12" s="2395"/>
      <c r="I12" s="5902" t="s">
        <v>10391</v>
      </c>
      <c r="J12" s="5903"/>
      <c r="K12" s="2890">
        <f>Tablas!$G$285-IF(L12=0,0,1)-IF(N12=0,0,1)-IF(P12=0,0,1)</f>
        <v>0</v>
      </c>
      <c r="L12" s="5495"/>
      <c r="M12" s="5496"/>
      <c r="N12" s="5886"/>
      <c r="O12" s="5496"/>
      <c r="P12" s="5886"/>
      <c r="Q12" s="5901"/>
      <c r="R12" s="577"/>
      <c r="S12" s="2130"/>
      <c r="T12" s="2131"/>
      <c r="U12" s="969"/>
      <c r="V12" s="5828"/>
      <c r="W12" s="5788" t="s">
        <v>1392</v>
      </c>
      <c r="X12" s="5789"/>
      <c r="Y12" s="5821"/>
      <c r="Z12" s="5822"/>
      <c r="AA12" s="5732"/>
      <c r="AB12" s="5722"/>
      <c r="AC12" s="5830"/>
      <c r="AD12" s="5735"/>
      <c r="AE12" s="5722"/>
      <c r="AF12" s="5723"/>
      <c r="AG12" s="5722"/>
      <c r="AH12" s="5722"/>
      <c r="AI12" s="5729"/>
      <c r="AJ12" s="5730"/>
      <c r="AK12" s="737"/>
      <c r="AL12" s="2145"/>
      <c r="AM12" s="3084" t="s">
        <v>6576</v>
      </c>
      <c r="AN12" s="3116" t="str">
        <f>IF(Tablas!N136="","","RaícesCulturales_Especial2")</f>
        <v/>
      </c>
      <c r="AO12" s="3085"/>
      <c r="AP12" s="3085" t="s">
        <v>1385</v>
      </c>
      <c r="AQ12" s="3085"/>
      <c r="AR12" s="3085"/>
      <c r="AS12" s="3085"/>
      <c r="AT12" s="3085"/>
      <c r="AU12" s="3085"/>
      <c r="AV12" s="3085"/>
      <c r="AW12" s="3085"/>
      <c r="AX12" s="3085"/>
      <c r="AY12" s="3085"/>
      <c r="AZ12" s="3085"/>
      <c r="BA12" s="3085"/>
      <c r="BB12" s="3085"/>
      <c r="BC12" s="3085"/>
      <c r="BD12" s="3085"/>
    </row>
    <row r="13" spans="1:56" ht="12" customHeight="1" x14ac:dyDescent="0.2">
      <c r="A13" s="2131"/>
      <c r="B13" s="969"/>
      <c r="C13" s="5878" t="str">
        <f>IF(Region="","Región no definida",Region)</f>
        <v>Región no definida</v>
      </c>
      <c r="D13" s="5879"/>
      <c r="E13" s="5879" t="str">
        <f>IF(OR(Region="",ClaseSocial=""),"Clase social no definida",ClaseSocial)</f>
        <v>Clase social no definida</v>
      </c>
      <c r="F13" s="5879"/>
      <c r="G13" s="5880"/>
      <c r="H13" s="2395"/>
      <c r="I13" s="5519" t="s">
        <v>10387</v>
      </c>
      <c r="J13" s="5520"/>
      <c r="K13" s="2112">
        <f>Tablas!$G$293-IF(L13=0,0,1)-IF(N13=0,0,1)-IF(P13=0,0,1)</f>
        <v>0</v>
      </c>
      <c r="L13" s="5497"/>
      <c r="M13" s="5498"/>
      <c r="N13" s="5497"/>
      <c r="O13" s="5501"/>
      <c r="P13" s="5806"/>
      <c r="Q13" s="5815"/>
      <c r="R13" s="577"/>
      <c r="S13" s="2130"/>
      <c r="T13" s="2131"/>
      <c r="U13" s="969"/>
      <c r="V13" s="5828"/>
      <c r="W13" s="5788" t="s">
        <v>7224</v>
      </c>
      <c r="X13" s="5789"/>
      <c r="Y13" s="5821"/>
      <c r="Z13" s="5822"/>
      <c r="AA13" s="5825"/>
      <c r="AB13" s="5826"/>
      <c r="AC13" s="5726"/>
      <c r="AD13" s="5727"/>
      <c r="AE13" s="5726"/>
      <c r="AF13" s="5727"/>
      <c r="AG13" s="5825"/>
      <c r="AH13" s="5826"/>
      <c r="AI13" s="5732"/>
      <c r="AJ13" s="5208"/>
      <c r="AK13" s="737"/>
      <c r="AL13" s="2145"/>
      <c r="AM13" s="3085"/>
      <c r="AN13" s="3085"/>
      <c r="AO13" s="3085"/>
      <c r="AP13" s="3085" t="s">
        <v>1388</v>
      </c>
      <c r="AQ13" s="3085"/>
      <c r="AR13" s="3085"/>
      <c r="AS13" s="3085"/>
      <c r="AT13" s="3085"/>
      <c r="AU13" s="3085"/>
      <c r="AV13" s="3085"/>
      <c r="AW13" s="3085"/>
      <c r="AX13" s="3085"/>
      <c r="AY13" s="3085"/>
      <c r="AZ13" s="3085"/>
      <c r="BA13" s="3085"/>
      <c r="BB13" s="3085"/>
      <c r="BC13" s="3085"/>
      <c r="BD13" s="3085"/>
    </row>
    <row r="14" spans="1:56" ht="12" customHeight="1" x14ac:dyDescent="0.2">
      <c r="A14" s="2131"/>
      <c r="B14" s="969"/>
      <c r="C14" s="5878"/>
      <c r="D14" s="5879"/>
      <c r="E14" s="5879"/>
      <c r="F14" s="5879"/>
      <c r="G14" s="5880"/>
      <c r="H14" s="2395"/>
      <c r="I14" s="5521" t="s">
        <v>10388</v>
      </c>
      <c r="J14" s="5522"/>
      <c r="K14" s="2113">
        <f>Tablas!$G$294-IF(L14=0,0,1)-IF(N14=0,0,1)-IF(P14=0,0,1)</f>
        <v>0</v>
      </c>
      <c r="L14" s="5499"/>
      <c r="M14" s="4171"/>
      <c r="N14" s="5499"/>
      <c r="O14" s="5512"/>
      <c r="P14" s="5894"/>
      <c r="Q14" s="5895"/>
      <c r="R14" s="577"/>
      <c r="S14" s="2130"/>
      <c r="T14" s="2131"/>
      <c r="U14" s="969"/>
      <c r="V14" s="5828"/>
      <c r="W14" s="5788" t="s">
        <v>8325</v>
      </c>
      <c r="X14" s="5789"/>
      <c r="Y14" s="5821"/>
      <c r="Z14" s="5822"/>
      <c r="AA14" s="5825"/>
      <c r="AB14" s="5826"/>
      <c r="AC14" s="5831"/>
      <c r="AD14" s="5832"/>
      <c r="AE14" s="5726"/>
      <c r="AF14" s="5727"/>
      <c r="AG14" s="5726"/>
      <c r="AH14" s="5727"/>
      <c r="AI14" s="5726"/>
      <c r="AJ14" s="5733"/>
      <c r="AK14" s="737"/>
      <c r="AL14" s="2145"/>
      <c r="AM14" s="3085" t="s">
        <v>8471</v>
      </c>
      <c r="AN14" s="3149" t="b">
        <f>AND(E50="Cumplido",OR(Raza="Ebudan",Nephilim="Nephilim Ebudan"))</f>
        <v>0</v>
      </c>
      <c r="AO14" s="3085"/>
      <c r="AP14" s="3085" t="s">
        <v>1390</v>
      </c>
      <c r="AQ14" s="3085"/>
      <c r="AR14" s="3085"/>
      <c r="AS14" s="3085"/>
      <c r="AT14" s="3085"/>
      <c r="AU14" s="3085"/>
      <c r="AV14" s="3085"/>
      <c r="AW14" s="3085"/>
      <c r="AX14" s="3085"/>
      <c r="AY14" s="3085"/>
      <c r="AZ14" s="3085"/>
      <c r="BA14" s="3085"/>
      <c r="BB14" s="3085"/>
      <c r="BC14" s="3085"/>
      <c r="BD14" s="3085"/>
    </row>
    <row r="15" spans="1:56" ht="12" customHeight="1" thickBot="1" x14ac:dyDescent="0.25">
      <c r="A15" s="2131"/>
      <c r="B15" s="969"/>
      <c r="C15" s="5869" t="str">
        <f>IFERROR(IF(Tablas!L136="","","Bono Especial:"),"")</f>
        <v/>
      </c>
      <c r="D15" s="5870"/>
      <c r="E15" s="5866"/>
      <c r="F15" s="5867"/>
      <c r="G15" s="5868"/>
      <c r="H15" s="2395"/>
      <c r="I15" s="5523" t="s">
        <v>10389</v>
      </c>
      <c r="J15" s="5524"/>
      <c r="K15" s="2559">
        <f>Tablas!$G$295-IF(L15=0,0,1)-IF(N15=0,0,1)-IF(P15=0,0,1)</f>
        <v>0</v>
      </c>
      <c r="L15" s="5500"/>
      <c r="M15" s="4174"/>
      <c r="N15" s="5500"/>
      <c r="O15" s="5502"/>
      <c r="P15" s="5503"/>
      <c r="Q15" s="4953"/>
      <c r="R15" s="577"/>
      <c r="S15" s="2130"/>
      <c r="T15" s="2131"/>
      <c r="U15" s="969"/>
      <c r="V15" s="5829"/>
      <c r="W15" s="5833" t="s">
        <v>1565</v>
      </c>
      <c r="X15" s="5834"/>
      <c r="Y15" s="5823"/>
      <c r="Z15" s="5824"/>
      <c r="AA15" s="5841"/>
      <c r="AB15" s="5842"/>
      <c r="AC15" s="5798"/>
      <c r="AD15" s="5799"/>
      <c r="AE15" s="5840"/>
      <c r="AF15" s="5799"/>
      <c r="AG15" s="5840"/>
      <c r="AH15" s="5840"/>
      <c r="AI15" s="5798"/>
      <c r="AJ15" s="5210"/>
      <c r="AK15" s="737"/>
      <c r="AL15" s="2145"/>
      <c r="AM15" s="3085" t="s">
        <v>8462</v>
      </c>
      <c r="AN15" s="3149" t="b">
        <f>AND($AN$14,E52="Sí")</f>
        <v>0</v>
      </c>
      <c r="AO15" s="3085"/>
      <c r="AP15" s="3085" t="s">
        <v>1391</v>
      </c>
      <c r="AQ15" s="3085"/>
      <c r="AR15" s="3085"/>
      <c r="AS15" s="3085"/>
      <c r="AT15" s="3085"/>
      <c r="AU15" s="3085"/>
      <c r="AV15" s="3085"/>
      <c r="AW15" s="3085"/>
      <c r="AX15" s="3085"/>
      <c r="AY15" s="3085"/>
      <c r="AZ15" s="3085"/>
      <c r="BA15" s="3085"/>
      <c r="BB15" s="3085"/>
      <c r="BC15" s="3085"/>
      <c r="BD15" s="3085"/>
    </row>
    <row r="16" spans="1:56" ht="12" customHeight="1" thickBot="1" x14ac:dyDescent="0.25">
      <c r="A16" s="2131"/>
      <c r="B16" s="969"/>
      <c r="C16" s="5710" t="str">
        <f>IFERROR(IF(Tablas!N136="","","Bono Especial:"),"")</f>
        <v/>
      </c>
      <c r="D16" s="5711"/>
      <c r="E16" s="5859"/>
      <c r="F16" s="5860"/>
      <c r="G16" s="5861"/>
      <c r="H16" s="2395"/>
      <c r="I16" s="5800" t="str">
        <f>IF(SUM(K11:K12)+SUM(K13:K15)&gt;0,"Selecciona la/s Habilidad/es asociadas a las Ventajas",IF(SUM(K11:K12)+SUM(K13:K15)&lt;0,"Exceso de Habilidad/es seleccionadas",""))</f>
        <v/>
      </c>
      <c r="J16" s="5801"/>
      <c r="K16" s="5801"/>
      <c r="L16" s="5801"/>
      <c r="M16" s="5801"/>
      <c r="N16" s="5801"/>
      <c r="O16" s="5801"/>
      <c r="P16" s="5801"/>
      <c r="Q16" s="5802"/>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85"/>
      <c r="AN16" s="3085"/>
      <c r="AO16" s="3085"/>
      <c r="AP16" s="3085" t="s">
        <v>10449</v>
      </c>
      <c r="AQ16" s="3085"/>
      <c r="AR16" s="3085"/>
      <c r="AS16" s="3085"/>
      <c r="AT16" s="3085"/>
      <c r="AU16" s="3085"/>
      <c r="AV16" s="3085"/>
      <c r="AW16" s="3085"/>
      <c r="AX16" s="3085"/>
      <c r="AY16" s="3085"/>
      <c r="AZ16" s="3085"/>
      <c r="BA16" s="3085"/>
      <c r="BB16" s="3085"/>
      <c r="BC16" s="3085"/>
      <c r="BD16" s="3085"/>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418" t="s">
        <v>1824</v>
      </c>
      <c r="W17" s="3419"/>
      <c r="X17" s="3419"/>
      <c r="Y17" s="3419"/>
      <c r="Z17" s="3419"/>
      <c r="AA17" s="3419"/>
      <c r="AB17" s="3503"/>
      <c r="AC17" s="3503"/>
      <c r="AD17" s="3503"/>
      <c r="AE17" s="3503"/>
      <c r="AF17" s="3503"/>
      <c r="AG17" s="3503"/>
      <c r="AH17" s="3503"/>
      <c r="AI17" s="3503"/>
      <c r="AJ17" s="3749"/>
      <c r="AK17" s="737"/>
      <c r="AL17" s="2145"/>
      <c r="AM17" s="3085" t="s">
        <v>6959</v>
      </c>
      <c r="AN17" s="3085"/>
      <c r="AO17" s="3085"/>
      <c r="AP17" s="3085"/>
      <c r="AQ17" s="3085"/>
      <c r="AR17" s="3085"/>
      <c r="AS17" s="3085"/>
      <c r="AT17" s="3085"/>
      <c r="AU17" s="3085"/>
      <c r="AV17" s="3085"/>
      <c r="AW17" s="3085"/>
      <c r="AX17" s="3085"/>
      <c r="AY17" s="3085"/>
      <c r="AZ17" s="3085"/>
      <c r="BA17" s="3085"/>
      <c r="BB17" s="3085"/>
      <c r="BC17" s="3085"/>
      <c r="BD17" s="3085"/>
    </row>
    <row r="18" spans="1:56" ht="12" customHeight="1" x14ac:dyDescent="0.2">
      <c r="A18" s="2131"/>
      <c r="B18" s="969"/>
      <c r="C18" s="5871" t="s">
        <v>10046</v>
      </c>
      <c r="D18" s="5872"/>
      <c r="E18" s="5872"/>
      <c r="F18" s="5517"/>
      <c r="G18" s="5518"/>
      <c r="H18" s="2570"/>
      <c r="I18" s="5517"/>
      <c r="J18" s="5518"/>
      <c r="K18" s="2570"/>
      <c r="L18" s="5517"/>
      <c r="M18" s="5518"/>
      <c r="N18" s="2566"/>
      <c r="O18" s="5517"/>
      <c r="P18" s="5518"/>
      <c r="Q18" s="2570"/>
      <c r="R18" s="577"/>
      <c r="S18" s="2130"/>
      <c r="T18" s="2131"/>
      <c r="U18" s="969"/>
      <c r="V18" s="5796" t="s">
        <v>1323</v>
      </c>
      <c r="W18" s="5797"/>
      <c r="X18" s="5793"/>
      <c r="Y18" s="5794"/>
      <c r="Z18" s="5794"/>
      <c r="AA18" s="5795"/>
      <c r="AB18" s="1780" t="s">
        <v>8665</v>
      </c>
      <c r="AC18" s="5837"/>
      <c r="AD18" s="5838"/>
      <c r="AE18" s="5838"/>
      <c r="AF18" s="5838"/>
      <c r="AG18" s="5838"/>
      <c r="AH18" s="5838"/>
      <c r="AI18" s="5838"/>
      <c r="AJ18" s="5839"/>
      <c r="AK18" s="737"/>
      <c r="AL18" s="2145"/>
      <c r="AM18" s="3085" t="s">
        <v>6960</v>
      </c>
      <c r="AN18" s="3085" t="s">
        <v>6503</v>
      </c>
      <c r="AO18" s="3085"/>
      <c r="AP18" s="3085"/>
      <c r="AQ18" s="3085"/>
      <c r="AR18" s="3085"/>
      <c r="AS18" s="3085"/>
      <c r="AT18" s="3085"/>
      <c r="AU18" s="3085"/>
      <c r="AV18" s="3085"/>
      <c r="AW18" s="3085"/>
      <c r="AX18" s="3085"/>
      <c r="AY18" s="3085"/>
      <c r="AZ18" s="3085"/>
      <c r="BA18" s="3085"/>
      <c r="BB18" s="3085"/>
      <c r="BC18" s="3085"/>
      <c r="BD18" s="3085"/>
    </row>
    <row r="19" spans="1:56" ht="12" customHeight="1" thickBot="1" x14ac:dyDescent="0.25">
      <c r="A19" s="2131"/>
      <c r="B19" s="969"/>
      <c r="C19" s="5873"/>
      <c r="D19" s="5874"/>
      <c r="E19" s="5874"/>
      <c r="F19" s="4169"/>
      <c r="G19" s="5512"/>
      <c r="H19" s="2571"/>
      <c r="I19" s="4169"/>
      <c r="J19" s="5512"/>
      <c r="K19" s="2571"/>
      <c r="L19" s="4169"/>
      <c r="M19" s="5512"/>
      <c r="N19" s="2567"/>
      <c r="O19" s="4169"/>
      <c r="P19" s="5512"/>
      <c r="Q19" s="2571"/>
      <c r="R19" s="577"/>
      <c r="S19" s="2130"/>
      <c r="T19" s="2131"/>
      <c r="U19" s="969"/>
      <c r="V19" s="5796" t="s">
        <v>1825</v>
      </c>
      <c r="W19" s="5797"/>
      <c r="X19" s="1688"/>
      <c r="Y19" s="2628" t="s">
        <v>1392</v>
      </c>
      <c r="Z19" s="1688"/>
      <c r="AA19" s="5742" t="s">
        <v>1826</v>
      </c>
      <c r="AB19" s="5836"/>
      <c r="AC19" s="2985"/>
      <c r="AD19" s="2986" t="s">
        <v>1827</v>
      </c>
      <c r="AE19" s="2987"/>
      <c r="AF19" s="2107" t="s">
        <v>1392</v>
      </c>
      <c r="AG19" s="5835" t="str">
        <f>IF(W20="Escudo","Bono de Parada:",IF(W20="Proyectiles","FUE del arma:",""))</f>
        <v/>
      </c>
      <c r="AH19" s="3682"/>
      <c r="AI19" s="3682"/>
      <c r="AJ19" s="1655"/>
      <c r="AK19" s="737"/>
      <c r="AL19" s="2145"/>
      <c r="AM19" s="3150" t="s">
        <v>6961</v>
      </c>
      <c r="AN19" s="3150" t="s">
        <v>2622</v>
      </c>
      <c r="AO19" s="3085"/>
      <c r="AP19" s="3085"/>
      <c r="AQ19" s="3085"/>
      <c r="AR19" s="3085"/>
      <c r="AS19" s="3085"/>
      <c r="AT19" s="3085"/>
      <c r="AU19" s="3085"/>
      <c r="AV19" s="3085"/>
      <c r="AW19" s="3085"/>
      <c r="AX19" s="3085"/>
      <c r="AY19" s="3085"/>
      <c r="AZ19" s="3085"/>
      <c r="BA19" s="3085"/>
      <c r="BB19" s="3085"/>
      <c r="BC19" s="3085"/>
      <c r="BD19" s="3085"/>
    </row>
    <row r="20" spans="1:56" ht="12" customHeight="1" x14ac:dyDescent="0.2">
      <c r="A20" s="2131"/>
      <c r="B20" s="969"/>
      <c r="C20" s="5875"/>
      <c r="D20" s="5876"/>
      <c r="E20" s="5877"/>
      <c r="F20" s="4166"/>
      <c r="G20" s="4889"/>
      <c r="H20" s="2572"/>
      <c r="I20" s="4166"/>
      <c r="J20" s="4889"/>
      <c r="K20" s="2572"/>
      <c r="L20" s="4166"/>
      <c r="M20" s="4889"/>
      <c r="N20" s="2568"/>
      <c r="O20" s="5513"/>
      <c r="P20" s="5514"/>
      <c r="Q20" s="2575"/>
      <c r="R20" s="577"/>
      <c r="S20" s="2130"/>
      <c r="T20" s="2131"/>
      <c r="U20" s="969"/>
      <c r="V20" s="1458" t="s">
        <v>1828</v>
      </c>
      <c r="W20" s="5762"/>
      <c r="X20" s="5763"/>
      <c r="Y20" s="2988" t="s">
        <v>1565</v>
      </c>
      <c r="Z20" s="1688"/>
      <c r="AA20" s="2962" t="s">
        <v>1567</v>
      </c>
      <c r="AB20" s="2962" t="s">
        <v>1568</v>
      </c>
      <c r="AC20" s="2962" t="s">
        <v>1556</v>
      </c>
      <c r="AD20" s="2962" t="s">
        <v>1569</v>
      </c>
      <c r="AE20" s="2963" t="s">
        <v>1557</v>
      </c>
      <c r="AF20" s="2109" t="s">
        <v>2569</v>
      </c>
      <c r="AG20" s="5739" t="str">
        <f>IF(W20="Escudo","Bono de Esquiva:",IF(W20="Proyectiles","Turnos de recarga:",""))</f>
        <v/>
      </c>
      <c r="AH20" s="5740"/>
      <c r="AI20" s="5740"/>
      <c r="AJ20" s="1655"/>
      <c r="AK20" s="737"/>
      <c r="AL20" s="2145"/>
      <c r="AM20" s="3150" t="s">
        <v>6962</v>
      </c>
      <c r="AN20" s="3150" t="s">
        <v>2626</v>
      </c>
      <c r="AO20" s="3085"/>
      <c r="AP20" s="3085"/>
      <c r="AQ20" s="3085"/>
      <c r="AR20" s="3085"/>
      <c r="AS20" s="3085"/>
      <c r="AT20" s="3085"/>
      <c r="AU20" s="3085"/>
      <c r="AV20" s="3085"/>
      <c r="AW20" s="3085"/>
      <c r="AX20" s="3085"/>
      <c r="AY20" s="3085"/>
      <c r="AZ20" s="3085"/>
      <c r="BA20" s="3085"/>
      <c r="BB20" s="3085"/>
      <c r="BC20" s="3085"/>
      <c r="BD20" s="3085"/>
    </row>
    <row r="21" spans="1:56" ht="12" customHeight="1" thickBot="1" x14ac:dyDescent="0.25">
      <c r="A21" s="2131"/>
      <c r="B21" s="969"/>
      <c r="C21" s="5525"/>
      <c r="D21" s="5526"/>
      <c r="E21" s="5527"/>
      <c r="F21" s="5510"/>
      <c r="G21" s="5511"/>
      <c r="H21" s="2573"/>
      <c r="I21" s="5510"/>
      <c r="J21" s="5511"/>
      <c r="K21" s="2573"/>
      <c r="L21" s="5510"/>
      <c r="M21" s="5511"/>
      <c r="N21" s="2569"/>
      <c r="O21" s="5515" t="s">
        <v>10043</v>
      </c>
      <c r="P21" s="5516"/>
      <c r="Q21" s="2574">
        <f>SUM(H18:H21,K18:K21,N18:N21,Q18:Q20)</f>
        <v>0</v>
      </c>
      <c r="R21" s="577"/>
      <c r="S21" s="2130"/>
      <c r="T21" s="2131"/>
      <c r="U21" s="969"/>
      <c r="V21" s="2961" t="s">
        <v>1829</v>
      </c>
      <c r="W21" s="5757"/>
      <c r="X21" s="5758"/>
      <c r="Y21" s="2629" t="s">
        <v>10073</v>
      </c>
      <c r="Z21" s="1688"/>
      <c r="AA21" s="1690"/>
      <c r="AB21" s="2767"/>
      <c r="AC21" s="2960"/>
      <c r="AD21" s="1689"/>
      <c r="AE21" s="2959"/>
      <c r="AF21" s="2231"/>
      <c r="AG21" s="5741" t="str">
        <f>IF(W20="Proyectiles","Alcance:","")</f>
        <v/>
      </c>
      <c r="AH21" s="5741"/>
      <c r="AI21" s="5741"/>
      <c r="AJ21" s="1654"/>
      <c r="AK21" s="737"/>
      <c r="AL21" s="2145"/>
      <c r="AM21" s="3085"/>
      <c r="AN21" s="3150" t="s">
        <v>2628</v>
      </c>
      <c r="AO21" s="3085"/>
      <c r="AP21" s="3085"/>
      <c r="AQ21" s="3085"/>
      <c r="AR21" s="3085"/>
      <c r="AS21" s="3085"/>
      <c r="AT21" s="3085"/>
      <c r="AU21" s="3085"/>
      <c r="AV21" s="3085"/>
      <c r="AW21" s="3085"/>
      <c r="AX21" s="3085"/>
      <c r="AY21" s="3085"/>
      <c r="AZ21" s="3085"/>
      <c r="BA21" s="3085"/>
      <c r="BB21" s="3085"/>
      <c r="BC21" s="3085"/>
      <c r="BD21" s="3085"/>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743" t="s">
        <v>1323</v>
      </c>
      <c r="W22" s="5744"/>
      <c r="X22" s="5793"/>
      <c r="Y22" s="5794"/>
      <c r="Z22" s="5794"/>
      <c r="AA22" s="5795"/>
      <c r="AB22" s="2989" t="s">
        <v>8665</v>
      </c>
      <c r="AC22" s="5759"/>
      <c r="AD22" s="5760"/>
      <c r="AE22" s="5760"/>
      <c r="AF22" s="5760"/>
      <c r="AG22" s="5760"/>
      <c r="AH22" s="5760"/>
      <c r="AI22" s="5760"/>
      <c r="AJ22" s="5761"/>
      <c r="AK22" s="737"/>
      <c r="AL22" s="2145"/>
      <c r="AM22" s="3085"/>
      <c r="AN22" s="3085"/>
      <c r="AO22" s="3085"/>
      <c r="AP22" s="3085"/>
      <c r="AQ22" s="3085"/>
      <c r="AR22" s="3085"/>
      <c r="AS22" s="3085"/>
      <c r="AT22" s="3085"/>
      <c r="AU22" s="3085"/>
      <c r="AV22" s="3085"/>
      <c r="AW22" s="3085"/>
      <c r="AX22" s="3085"/>
      <c r="AY22" s="3085"/>
      <c r="AZ22" s="3085"/>
      <c r="BA22" s="3085"/>
      <c r="BB22" s="3085"/>
      <c r="BC22" s="3085"/>
      <c r="BD22" s="3085"/>
    </row>
    <row r="23" spans="1:56" ht="12" customHeight="1" thickBot="1" x14ac:dyDescent="0.25">
      <c r="A23" s="2131"/>
      <c r="B23" s="969"/>
      <c r="C23" s="5507" t="s">
        <v>10198</v>
      </c>
      <c r="D23" s="5508"/>
      <c r="E23" s="5508"/>
      <c r="F23" s="5508"/>
      <c r="G23" s="5508"/>
      <c r="H23" s="5508"/>
      <c r="I23" s="5508"/>
      <c r="J23" s="5508"/>
      <c r="K23" s="5508"/>
      <c r="L23" s="5508"/>
      <c r="M23" s="5508"/>
      <c r="N23" s="5508"/>
      <c r="O23" s="5508"/>
      <c r="P23" s="5508"/>
      <c r="Q23" s="5509"/>
      <c r="R23" s="577"/>
      <c r="S23" s="2130"/>
      <c r="T23" s="1378"/>
      <c r="U23" s="969"/>
      <c r="V23" s="5796" t="s">
        <v>1825</v>
      </c>
      <c r="W23" s="5797"/>
      <c r="X23" s="1688"/>
      <c r="Y23" s="2628" t="s">
        <v>1392</v>
      </c>
      <c r="Z23" s="1688"/>
      <c r="AA23" s="5742" t="s">
        <v>1826</v>
      </c>
      <c r="AB23" s="5742"/>
      <c r="AC23" s="2985"/>
      <c r="AD23" s="2986" t="s">
        <v>1827</v>
      </c>
      <c r="AE23" s="2987"/>
      <c r="AF23" s="1381" t="s">
        <v>1392</v>
      </c>
      <c r="AG23" s="5755" t="str">
        <f>IF(W24="Escudo","Bono de Parada:",IF(W24="Proyectiles","FUE del arma:",""))</f>
        <v/>
      </c>
      <c r="AH23" s="5756"/>
      <c r="AI23" s="5756"/>
      <c r="AJ23" s="1655"/>
      <c r="AK23" s="737"/>
      <c r="AL23" s="2145"/>
      <c r="AM23" s="3085" t="s">
        <v>9569</v>
      </c>
      <c r="AN23" s="3085"/>
      <c r="AO23" s="3085"/>
      <c r="AP23" s="3085"/>
      <c r="AQ23" s="3085"/>
      <c r="AR23" s="3085"/>
      <c r="AS23" s="3085"/>
      <c r="AT23" s="3085"/>
      <c r="AU23" s="3085"/>
      <c r="AV23" s="3085"/>
      <c r="AW23" s="3085"/>
      <c r="AX23" s="3085"/>
      <c r="AY23" s="3085"/>
      <c r="AZ23" s="3085"/>
      <c r="BA23" s="3085"/>
      <c r="BB23" s="3085"/>
      <c r="BC23" s="3085"/>
      <c r="BD23" s="3085"/>
    </row>
    <row r="24" spans="1:56" ht="12" customHeight="1" x14ac:dyDescent="0.2">
      <c r="A24" s="2131"/>
      <c r="B24" s="969"/>
      <c r="C24" s="5533"/>
      <c r="D24" s="5534"/>
      <c r="E24" s="5535"/>
      <c r="F24" s="4170"/>
      <c r="G24" s="5512"/>
      <c r="H24" s="2571"/>
      <c r="I24" s="4169"/>
      <c r="J24" s="5512"/>
      <c r="K24" s="2571"/>
      <c r="L24" s="4169"/>
      <c r="M24" s="5512"/>
      <c r="N24" s="2755"/>
      <c r="O24" s="5531"/>
      <c r="P24" s="5532"/>
      <c r="Q24" s="2756"/>
      <c r="R24" s="577"/>
      <c r="S24" s="2130"/>
      <c r="T24" s="1378"/>
      <c r="U24" s="969"/>
      <c r="V24" s="1458" t="s">
        <v>1828</v>
      </c>
      <c r="W24" s="5762"/>
      <c r="X24" s="5763"/>
      <c r="Y24" s="2988" t="s">
        <v>1565</v>
      </c>
      <c r="Z24" s="1688"/>
      <c r="AA24" s="2962" t="s">
        <v>1567</v>
      </c>
      <c r="AB24" s="1691" t="s">
        <v>1568</v>
      </c>
      <c r="AC24" s="1691" t="s">
        <v>1556</v>
      </c>
      <c r="AD24" s="2962" t="s">
        <v>1569</v>
      </c>
      <c r="AE24" s="2963" t="s">
        <v>1557</v>
      </c>
      <c r="AF24" s="2109" t="s">
        <v>2569</v>
      </c>
      <c r="AG24" s="5739" t="str">
        <f>IF(W24="Escudo","Bono de Esquiva:",IF(W24="Proyectiles","Turnos de recarga:",""))</f>
        <v/>
      </c>
      <c r="AH24" s="5740"/>
      <c r="AI24" s="5740"/>
      <c r="AJ24" s="1655"/>
      <c r="AK24" s="737"/>
      <c r="AL24" s="2145"/>
      <c r="AM24" s="3085" t="s">
        <v>8623</v>
      </c>
      <c r="AN24" s="3085"/>
      <c r="AO24" s="3085" t="s">
        <v>1925</v>
      </c>
      <c r="AP24" s="3085"/>
      <c r="AQ24" s="3085" t="s">
        <v>8633</v>
      </c>
      <c r="AR24" s="3085"/>
      <c r="AS24" s="3085"/>
      <c r="AT24" s="3085"/>
      <c r="AU24" s="3085"/>
      <c r="AV24" s="3085"/>
      <c r="AW24" s="3085"/>
      <c r="AX24" s="3085"/>
      <c r="AY24" s="3085"/>
      <c r="AZ24" s="3085"/>
      <c r="BA24" s="3085"/>
      <c r="BB24" s="3085"/>
      <c r="BC24" s="3085"/>
      <c r="BD24" s="3085"/>
    </row>
    <row r="25" spans="1:56" ht="12" customHeight="1" thickBot="1" x14ac:dyDescent="0.25">
      <c r="A25" s="2131"/>
      <c r="B25" s="969"/>
      <c r="C25" s="5504"/>
      <c r="D25" s="5505"/>
      <c r="E25" s="5506"/>
      <c r="F25" s="4167"/>
      <c r="G25" s="4889"/>
      <c r="H25" s="2572"/>
      <c r="I25" s="4166"/>
      <c r="J25" s="4889"/>
      <c r="K25" s="2572"/>
      <c r="L25" s="4166"/>
      <c r="M25" s="4889"/>
      <c r="N25" s="2753"/>
      <c r="O25" s="4166"/>
      <c r="P25" s="4889"/>
      <c r="Q25" s="2572"/>
      <c r="R25" s="577"/>
      <c r="S25" s="2130"/>
      <c r="T25" s="2131"/>
      <c r="U25" s="969"/>
      <c r="V25" s="2961" t="s">
        <v>1829</v>
      </c>
      <c r="W25" s="5757"/>
      <c r="X25" s="5758"/>
      <c r="Y25" s="2629" t="s">
        <v>10073</v>
      </c>
      <c r="Z25" s="1688"/>
      <c r="AA25" s="1690"/>
      <c r="AB25" s="2965"/>
      <c r="AC25" s="2767"/>
      <c r="AD25" s="2960"/>
      <c r="AE25" s="2631"/>
      <c r="AF25" s="2231"/>
      <c r="AG25" s="5741" t="str">
        <f>IF(W24="Proyectiles","Alcance:","")</f>
        <v/>
      </c>
      <c r="AH25" s="5741"/>
      <c r="AI25" s="5741"/>
      <c r="AJ25" s="1654"/>
      <c r="AK25" s="737"/>
      <c r="AL25" s="2145"/>
      <c r="AM25" s="3150" t="s">
        <v>2614</v>
      </c>
      <c r="AN25" s="3085"/>
      <c r="AO25" s="3150" t="s">
        <v>2620</v>
      </c>
      <c r="AP25" s="3085"/>
      <c r="AQ25" s="3085" t="s">
        <v>8630</v>
      </c>
      <c r="AR25" s="3085"/>
      <c r="AS25" s="3085"/>
      <c r="AT25" s="3085"/>
      <c r="AU25" s="3085"/>
      <c r="AV25" s="3085"/>
      <c r="AW25" s="3085"/>
      <c r="AX25" s="3085"/>
      <c r="AY25" s="3085"/>
      <c r="AZ25" s="3085"/>
      <c r="BA25" s="3085"/>
      <c r="BB25" s="3085"/>
      <c r="BC25" s="3085"/>
      <c r="BD25" s="3085"/>
    </row>
    <row r="26" spans="1:56" ht="12" customHeight="1" thickBot="1" x14ac:dyDescent="0.25">
      <c r="A26" s="2131"/>
      <c r="B26" s="969"/>
      <c r="C26" s="5525"/>
      <c r="D26" s="5526"/>
      <c r="E26" s="5527"/>
      <c r="F26" s="5528"/>
      <c r="G26" s="5511"/>
      <c r="H26" s="2748"/>
      <c r="I26" s="5510"/>
      <c r="J26" s="5511"/>
      <c r="K26" s="2748"/>
      <c r="L26" s="5510"/>
      <c r="M26" s="5511"/>
      <c r="N26" s="2754"/>
      <c r="O26" s="5510"/>
      <c r="P26" s="5511"/>
      <c r="Q26" s="2748"/>
      <c r="R26" s="577"/>
      <c r="S26" s="2130"/>
      <c r="T26" s="2131"/>
      <c r="U26" s="969"/>
      <c r="V26" s="5743" t="s">
        <v>1323</v>
      </c>
      <c r="W26" s="5744"/>
      <c r="X26" s="5793"/>
      <c r="Y26" s="5794"/>
      <c r="Z26" s="5794"/>
      <c r="AA26" s="5795"/>
      <c r="AB26" s="2990" t="s">
        <v>8665</v>
      </c>
      <c r="AC26" s="5759"/>
      <c r="AD26" s="5760"/>
      <c r="AE26" s="5760"/>
      <c r="AF26" s="5760"/>
      <c r="AG26" s="5760"/>
      <c r="AH26" s="5760"/>
      <c r="AI26" s="5760"/>
      <c r="AJ26" s="5761"/>
      <c r="AK26" s="737"/>
      <c r="AL26" s="2145"/>
      <c r="AM26" s="3150" t="s">
        <v>2616</v>
      </c>
      <c r="AN26" s="3085"/>
      <c r="AO26" s="3150" t="s">
        <v>8624</v>
      </c>
      <c r="AP26" s="3085"/>
      <c r="AQ26" s="3085" t="s">
        <v>8632</v>
      </c>
      <c r="AR26" s="3085"/>
      <c r="AS26" s="3085"/>
      <c r="AT26" s="3085"/>
      <c r="AU26" s="3085"/>
      <c r="AV26" s="3085"/>
      <c r="AW26" s="3085"/>
      <c r="AX26" s="3085"/>
      <c r="AY26" s="3085"/>
      <c r="AZ26" s="3085"/>
      <c r="BA26" s="3085"/>
      <c r="BB26" s="3085"/>
      <c r="BC26" s="3085"/>
      <c r="BD26" s="3085"/>
    </row>
    <row r="27" spans="1:56" ht="12" customHeight="1" thickBot="1" x14ac:dyDescent="0.25">
      <c r="A27" s="2131"/>
      <c r="B27" s="969"/>
      <c r="R27" s="577"/>
      <c r="S27" s="2130"/>
      <c r="T27" s="2131"/>
      <c r="U27" s="969"/>
      <c r="V27" s="5766" t="s">
        <v>1825</v>
      </c>
      <c r="W27" s="5767"/>
      <c r="X27" s="1688"/>
      <c r="Y27" s="2628" t="s">
        <v>1392</v>
      </c>
      <c r="Z27" s="1688"/>
      <c r="AA27" s="5742" t="s">
        <v>1826</v>
      </c>
      <c r="AB27" s="5742"/>
      <c r="AC27" s="2991"/>
      <c r="AD27" s="2992" t="s">
        <v>1827</v>
      </c>
      <c r="AE27" s="2987"/>
      <c r="AF27" s="1381" t="s">
        <v>1392</v>
      </c>
      <c r="AG27" s="5755" t="str">
        <f>IF(W28="Escudo","Bono de Parada:",IF(W28="Proyectiles","FUE del arma:",""))</f>
        <v/>
      </c>
      <c r="AH27" s="5756"/>
      <c r="AI27" s="5756"/>
      <c r="AJ27" s="1655"/>
      <c r="AK27" s="737"/>
      <c r="AL27" s="2145"/>
      <c r="AM27" s="3150" t="s">
        <v>2618</v>
      </c>
      <c r="AN27" s="3085"/>
      <c r="AO27" s="3150" t="s">
        <v>2618</v>
      </c>
      <c r="AP27" s="3085"/>
      <c r="AQ27" s="3085" t="s">
        <v>8631</v>
      </c>
      <c r="AR27" s="3085"/>
      <c r="AS27" s="3085"/>
      <c r="AT27" s="3085"/>
      <c r="AU27" s="3085"/>
      <c r="AV27" s="3085"/>
      <c r="AW27" s="3085"/>
      <c r="AX27" s="3085"/>
      <c r="AY27" s="3085"/>
      <c r="AZ27" s="3085"/>
      <c r="BA27" s="3085"/>
      <c r="BB27" s="3085"/>
      <c r="BC27" s="3085"/>
      <c r="BD27" s="3085"/>
    </row>
    <row r="28" spans="1:56" ht="12" customHeight="1" thickBot="1" x14ac:dyDescent="0.25">
      <c r="A28" s="2131"/>
      <c r="B28" s="969"/>
      <c r="C28" s="3350" t="s">
        <v>1820</v>
      </c>
      <c r="D28" s="3351"/>
      <c r="E28" s="3351"/>
      <c r="F28" s="3351"/>
      <c r="G28" s="3352"/>
      <c r="H28" s="2395"/>
      <c r="I28" s="4389" t="s">
        <v>1821</v>
      </c>
      <c r="J28" s="4390"/>
      <c r="K28" s="4390"/>
      <c r="L28" s="4390"/>
      <c r="M28" s="4390"/>
      <c r="N28" s="4390"/>
      <c r="O28" s="4390"/>
      <c r="P28" s="4390"/>
      <c r="Q28" s="4391"/>
      <c r="R28" s="577"/>
      <c r="S28" s="2130"/>
      <c r="T28" s="2131"/>
      <c r="U28" s="969"/>
      <c r="V28" s="1458" t="s">
        <v>1828</v>
      </c>
      <c r="W28" s="5762"/>
      <c r="X28" s="5763"/>
      <c r="Y28" s="3016" t="s">
        <v>1565</v>
      </c>
      <c r="Z28" s="1688"/>
      <c r="AA28" s="3013" t="s">
        <v>1567</v>
      </c>
      <c r="AB28" s="3013" t="s">
        <v>1568</v>
      </c>
      <c r="AC28" s="3013" t="s">
        <v>1556</v>
      </c>
      <c r="AD28" s="3013" t="s">
        <v>1569</v>
      </c>
      <c r="AE28" s="3014" t="s">
        <v>1557</v>
      </c>
      <c r="AF28" s="2109" t="s">
        <v>2569</v>
      </c>
      <c r="AG28" s="5739" t="str">
        <f>IF(W28="Escudo","Bono de Esquiva:",IF(W28="Proyectiles","Turnos de recarga:",""))</f>
        <v/>
      </c>
      <c r="AH28" s="5740"/>
      <c r="AI28" s="5740"/>
      <c r="AJ28" s="1655"/>
      <c r="AK28" s="737"/>
      <c r="AL28" s="2145"/>
      <c r="AM28" s="3150" t="s">
        <v>2620</v>
      </c>
      <c r="AN28" s="3085"/>
      <c r="AO28" s="3150" t="s">
        <v>8625</v>
      </c>
      <c r="AP28" s="3085"/>
      <c r="AQ28" s="3085">
        <f>IF(P50="Afín",1,IF(P50="Opuesta",-1,0))</f>
        <v>0</v>
      </c>
      <c r="AR28" s="3085"/>
      <c r="AS28" s="3085"/>
      <c r="AT28" s="3085"/>
      <c r="AU28" s="3085"/>
      <c r="AV28" s="3085"/>
      <c r="AW28" s="3085"/>
      <c r="AX28" s="3085"/>
      <c r="AY28" s="3085"/>
      <c r="AZ28" s="3085"/>
      <c r="BA28" s="3085"/>
      <c r="BB28" s="3085"/>
      <c r="BC28" s="3085"/>
      <c r="BD28" s="3085"/>
    </row>
    <row r="29" spans="1:56" ht="12" customHeight="1" thickBot="1" x14ac:dyDescent="0.25">
      <c r="A29" s="2131"/>
      <c r="B29" s="969"/>
      <c r="C29" s="5847" t="s">
        <v>1526</v>
      </c>
      <c r="D29" s="5848"/>
      <c r="E29" s="5848"/>
      <c r="F29" s="5849"/>
      <c r="G29" s="2560" t="s">
        <v>1489</v>
      </c>
      <c r="H29" s="2395"/>
      <c r="I29" s="5406" t="s">
        <v>1375</v>
      </c>
      <c r="J29" s="5896"/>
      <c r="K29" s="5896"/>
      <c r="L29" s="5896"/>
      <c r="M29" s="5896"/>
      <c r="N29" s="5896"/>
      <c r="O29" s="5897"/>
      <c r="P29" s="2105" t="s">
        <v>1376</v>
      </c>
      <c r="Q29" s="2106" t="s">
        <v>1377</v>
      </c>
      <c r="R29" s="577"/>
      <c r="S29" s="2130"/>
      <c r="T29" s="2131"/>
      <c r="U29" s="969"/>
      <c r="V29" s="3012" t="s">
        <v>1829</v>
      </c>
      <c r="W29" s="5757"/>
      <c r="X29" s="5758"/>
      <c r="Y29" s="2629" t="s">
        <v>10073</v>
      </c>
      <c r="Z29" s="2630"/>
      <c r="AA29" s="1690"/>
      <c r="AB29" s="1689"/>
      <c r="AC29" s="3011"/>
      <c r="AD29" s="1689"/>
      <c r="AE29" s="3010"/>
      <c r="AF29" s="2231"/>
      <c r="AG29" s="5741" t="str">
        <f>IF(W28="Proyectiles","Alcance:","")</f>
        <v/>
      </c>
      <c r="AH29" s="5741"/>
      <c r="AI29" s="5741"/>
      <c r="AJ29" s="1654"/>
      <c r="AK29" s="737"/>
      <c r="AL29" s="2145"/>
      <c r="AM29" s="3150" t="s">
        <v>2622</v>
      </c>
      <c r="AN29" s="3149"/>
      <c r="AO29" s="3150" t="s">
        <v>2614</v>
      </c>
      <c r="AP29" s="3149"/>
      <c r="AQ29" s="3149"/>
      <c r="AR29" s="3149"/>
      <c r="AS29" s="3085"/>
      <c r="AT29" s="3085"/>
      <c r="AU29" s="3085"/>
      <c r="AV29" s="3085"/>
      <c r="AW29" s="3085"/>
      <c r="AX29" s="3085"/>
      <c r="AY29" s="3085"/>
      <c r="AZ29" s="3085"/>
      <c r="BA29" s="3085"/>
      <c r="BB29" s="3085"/>
      <c r="BC29" s="3085"/>
      <c r="BD29" s="3085"/>
    </row>
    <row r="30" spans="1:56" ht="12" customHeight="1" thickBot="1" x14ac:dyDescent="0.25">
      <c r="A30" s="2131"/>
      <c r="B30" s="969"/>
      <c r="C30" s="5856"/>
      <c r="D30" s="5857"/>
      <c r="E30" s="5857"/>
      <c r="F30" s="5858"/>
      <c r="G30" s="1656"/>
      <c r="H30" s="2395"/>
      <c r="I30" s="5898"/>
      <c r="J30" s="5899"/>
      <c r="K30" s="5899"/>
      <c r="L30" s="5899"/>
      <c r="M30" s="5899"/>
      <c r="N30" s="5899"/>
      <c r="O30" s="5900"/>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50" t="s">
        <v>2624</v>
      </c>
      <c r="AN30" s="3149"/>
      <c r="AO30" s="3150" t="s">
        <v>8626</v>
      </c>
      <c r="AP30" s="3149"/>
      <c r="AQ30" s="3149"/>
      <c r="AR30" s="3149"/>
      <c r="AS30" s="3085"/>
      <c r="AT30" s="3085"/>
      <c r="AU30" s="3085"/>
      <c r="AV30" s="3085"/>
      <c r="AW30" s="3085"/>
      <c r="AX30" s="3085"/>
      <c r="AY30" s="3085"/>
      <c r="AZ30" s="3085"/>
      <c r="BA30" s="3085"/>
      <c r="BB30" s="3085"/>
      <c r="BC30" s="3085"/>
      <c r="BD30" s="3085"/>
    </row>
    <row r="31" spans="1:56" ht="12" customHeight="1" x14ac:dyDescent="0.2">
      <c r="A31" s="2131"/>
      <c r="B31" s="969"/>
      <c r="C31" s="5853"/>
      <c r="D31" s="5854"/>
      <c r="E31" s="5854"/>
      <c r="F31" s="5855"/>
      <c r="G31" s="1662"/>
      <c r="H31" s="2395"/>
      <c r="I31" s="5816"/>
      <c r="J31" s="5817"/>
      <c r="K31" s="5817"/>
      <c r="L31" s="5817"/>
      <c r="M31" s="5817"/>
      <c r="N31" s="5817"/>
      <c r="O31" s="5818"/>
      <c r="P31" s="1663"/>
      <c r="Q31" s="1664"/>
      <c r="R31" s="577"/>
      <c r="S31" s="2130"/>
      <c r="T31" s="2131"/>
      <c r="U31" s="969"/>
      <c r="V31" s="5746" t="s">
        <v>1832</v>
      </c>
      <c r="W31" s="5738" t="s">
        <v>1323</v>
      </c>
      <c r="X31" s="5738"/>
      <c r="Y31" s="5782"/>
      <c r="Z31" s="5783"/>
      <c r="AA31" s="5783"/>
      <c r="AB31" s="5783"/>
      <c r="AC31" s="5783"/>
      <c r="AD31" s="5738" t="s">
        <v>1323</v>
      </c>
      <c r="AE31" s="5738"/>
      <c r="AF31" s="5782"/>
      <c r="AG31" s="5783"/>
      <c r="AH31" s="5783"/>
      <c r="AI31" s="5783"/>
      <c r="AJ31" s="5784"/>
      <c r="AK31" s="737"/>
      <c r="AL31" s="2145"/>
      <c r="AM31" s="3150" t="s">
        <v>2626</v>
      </c>
      <c r="AN31" s="3151"/>
      <c r="AO31" s="3150" t="s">
        <v>2624</v>
      </c>
      <c r="AP31" s="3149"/>
      <c r="AQ31" s="3149"/>
      <c r="AR31" s="3149"/>
      <c r="AS31" s="3085"/>
      <c r="AT31" s="3085"/>
      <c r="AU31" s="3085"/>
      <c r="AV31" s="3085"/>
      <c r="AW31" s="3085"/>
      <c r="AX31" s="3085"/>
      <c r="AY31" s="3085"/>
      <c r="AZ31" s="3085"/>
      <c r="BA31" s="3085"/>
      <c r="BB31" s="3085"/>
      <c r="BC31" s="3085"/>
      <c r="BD31" s="3085"/>
    </row>
    <row r="32" spans="1:56" ht="12" customHeight="1" x14ac:dyDescent="0.2">
      <c r="A32" s="2131"/>
      <c r="B32" s="969"/>
      <c r="C32" s="5850"/>
      <c r="D32" s="5851"/>
      <c r="E32" s="5851"/>
      <c r="F32" s="5852"/>
      <c r="G32" s="1657"/>
      <c r="H32" s="2395"/>
      <c r="I32" s="5572"/>
      <c r="J32" s="5573"/>
      <c r="K32" s="5573"/>
      <c r="L32" s="5573"/>
      <c r="M32" s="5573"/>
      <c r="N32" s="5573"/>
      <c r="O32" s="5574"/>
      <c r="P32" s="1658"/>
      <c r="Q32" s="1495"/>
      <c r="R32" s="577"/>
      <c r="S32" s="2130"/>
      <c r="T32" s="2131"/>
      <c r="U32" s="969"/>
      <c r="V32" s="5747"/>
      <c r="W32" s="3514" t="s">
        <v>1833</v>
      </c>
      <c r="X32" s="3514"/>
      <c r="Y32" s="5785" t="str">
        <f>IF($Y$38="Cabeza","Pen.Percepción","Pen. Natural")</f>
        <v>Pen. Natural</v>
      </c>
      <c r="Z32" s="5785"/>
      <c r="AA32" s="5768" t="s">
        <v>1834</v>
      </c>
      <c r="AB32" s="5768"/>
      <c r="AC32" s="5768"/>
      <c r="AD32" s="3514" t="s">
        <v>1833</v>
      </c>
      <c r="AE32" s="3514"/>
      <c r="AF32" s="5785" t="str">
        <f>IF($AF$38="Cabeza","Pen.Percepción","Pen. Natural")</f>
        <v>Pen. Natural</v>
      </c>
      <c r="AG32" s="5785"/>
      <c r="AH32" s="5768" t="s">
        <v>1834</v>
      </c>
      <c r="AI32" s="5768"/>
      <c r="AJ32" s="5769"/>
      <c r="AK32" s="737"/>
      <c r="AL32" s="2145"/>
      <c r="AM32" s="3150" t="s">
        <v>2628</v>
      </c>
      <c r="AN32" s="3149"/>
      <c r="AO32" s="3150" t="s">
        <v>8627</v>
      </c>
      <c r="AP32" s="3149"/>
      <c r="AQ32" s="3149"/>
      <c r="AR32" s="3149"/>
      <c r="AS32" s="3085"/>
      <c r="AT32" s="3085"/>
      <c r="AU32" s="3085"/>
      <c r="AV32" s="3085"/>
      <c r="AW32" s="3085"/>
      <c r="AX32" s="3085"/>
      <c r="AY32" s="3085"/>
      <c r="AZ32" s="3085"/>
      <c r="BA32" s="3085"/>
      <c r="BB32" s="3085"/>
      <c r="BC32" s="3085"/>
      <c r="BD32" s="3085"/>
    </row>
    <row r="33" spans="1:56" ht="12" customHeight="1" thickBot="1" x14ac:dyDescent="0.25">
      <c r="A33" s="2131"/>
      <c r="B33" s="969"/>
      <c r="C33" s="5881"/>
      <c r="D33" s="5882"/>
      <c r="E33" s="5882"/>
      <c r="F33" s="5883"/>
      <c r="G33" s="2561"/>
      <c r="H33" s="2395"/>
      <c r="I33" s="5816"/>
      <c r="J33" s="5817"/>
      <c r="K33" s="5817"/>
      <c r="L33" s="5817"/>
      <c r="M33" s="5817"/>
      <c r="N33" s="5817"/>
      <c r="O33" s="5818"/>
      <c r="P33" s="1663"/>
      <c r="Q33" s="1664"/>
      <c r="R33" s="577"/>
      <c r="S33" s="2130"/>
      <c r="T33" s="2131"/>
      <c r="U33" s="969"/>
      <c r="V33" s="5747"/>
      <c r="W33" s="5736"/>
      <c r="X33" s="5737"/>
      <c r="Y33" s="5764"/>
      <c r="Z33" s="5764"/>
      <c r="AA33" s="5651"/>
      <c r="AB33" s="5651"/>
      <c r="AC33" s="5651"/>
      <c r="AD33" s="5737"/>
      <c r="AE33" s="5737"/>
      <c r="AF33" s="5764"/>
      <c r="AG33" s="5764"/>
      <c r="AH33" s="5651"/>
      <c r="AI33" s="5651"/>
      <c r="AJ33" s="5652"/>
      <c r="AK33" s="737"/>
      <c r="AL33" s="2145"/>
      <c r="AM33" s="3085"/>
      <c r="AN33" s="3085"/>
      <c r="AO33" s="3085"/>
      <c r="AP33" s="3085"/>
      <c r="AQ33" s="3085"/>
      <c r="AR33" s="3085"/>
      <c r="AS33" s="3085"/>
      <c r="AT33" s="3085"/>
      <c r="AU33" s="3085"/>
      <c r="AV33" s="3085"/>
      <c r="AW33" s="3085"/>
      <c r="AX33" s="3085"/>
      <c r="AY33" s="3085"/>
      <c r="AZ33" s="3085"/>
      <c r="BA33" s="3085"/>
      <c r="BB33" s="3085"/>
      <c r="BC33" s="3085"/>
      <c r="BD33" s="3085"/>
    </row>
    <row r="34" spans="1:56" ht="12" customHeight="1" thickBot="1" x14ac:dyDescent="0.25">
      <c r="A34" s="2131"/>
      <c r="B34" s="969"/>
      <c r="C34" s="5862" t="s">
        <v>8789</v>
      </c>
      <c r="D34" s="5863"/>
      <c r="E34" s="5863"/>
      <c r="F34" s="5863"/>
      <c r="G34" s="1858" t="s">
        <v>1381</v>
      </c>
      <c r="H34" s="2395"/>
      <c r="I34" s="5790"/>
      <c r="J34" s="5791"/>
      <c r="K34" s="5791"/>
      <c r="L34" s="5791"/>
      <c r="M34" s="5791"/>
      <c r="N34" s="5791"/>
      <c r="O34" s="5792"/>
      <c r="P34" s="1659"/>
      <c r="Q34" s="1660"/>
      <c r="R34" s="577"/>
      <c r="S34" s="2130"/>
      <c r="T34" s="2131"/>
      <c r="U34" s="969"/>
      <c r="V34" s="5747"/>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85" t="s">
        <v>9570</v>
      </c>
      <c r="AN34" s="3085"/>
      <c r="AO34" s="3085" t="s">
        <v>1398</v>
      </c>
      <c r="AP34" s="3085" t="s">
        <v>1370</v>
      </c>
      <c r="AQ34" s="3085"/>
      <c r="AR34" s="3085" t="s">
        <v>9577</v>
      </c>
      <c r="AS34" s="3085"/>
      <c r="AT34" s="3085"/>
      <c r="AU34" s="3085"/>
      <c r="AV34" s="3085"/>
      <c r="AW34" s="3085"/>
      <c r="AX34" s="3085"/>
      <c r="AY34" s="3085"/>
      <c r="AZ34" s="3085"/>
      <c r="BA34" s="3085"/>
      <c r="BB34" s="3085"/>
      <c r="BC34" s="3085"/>
      <c r="BD34" s="3085"/>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747"/>
      <c r="W35" s="5773"/>
      <c r="X35" s="5774"/>
      <c r="Y35" s="5693"/>
      <c r="Z35" s="5780"/>
      <c r="AA35" s="5774"/>
      <c r="AB35" s="5691"/>
      <c r="AC35" s="5778"/>
      <c r="AD35" s="5751"/>
      <c r="AE35" s="5753"/>
      <c r="AF35" s="5753"/>
      <c r="AG35" s="5753"/>
      <c r="AH35" s="5753"/>
      <c r="AI35" s="5689"/>
      <c r="AJ35" s="5776"/>
      <c r="AK35" s="737"/>
      <c r="AL35" s="2145"/>
      <c r="AM35" s="3085" t="s">
        <v>1373</v>
      </c>
      <c r="AN35" s="3150" t="s">
        <v>6873</v>
      </c>
      <c r="AO35" s="3085" t="s">
        <v>2819</v>
      </c>
      <c r="AP35" s="3085" t="s">
        <v>1232</v>
      </c>
      <c r="AQ35" s="3085"/>
      <c r="AR35" s="3085" t="s">
        <v>1232</v>
      </c>
      <c r="AS35" s="3085"/>
      <c r="AT35" s="3085"/>
      <c r="AU35" s="3085"/>
      <c r="AV35" s="3085"/>
      <c r="AW35" s="3085"/>
      <c r="AX35" s="3085"/>
      <c r="AY35" s="3085"/>
      <c r="AZ35" s="3085"/>
      <c r="BA35" s="3085"/>
      <c r="BB35" s="3085"/>
      <c r="BC35" s="3085"/>
      <c r="BD35" s="3085"/>
    </row>
    <row r="36" spans="1:56" ht="12" customHeight="1" thickBot="1" x14ac:dyDescent="0.25">
      <c r="A36" s="2131"/>
      <c r="B36" s="969"/>
      <c r="C36" s="4485" t="s">
        <v>1915</v>
      </c>
      <c r="D36" s="4487"/>
      <c r="E36" s="1372" t="s">
        <v>7109</v>
      </c>
      <c r="F36" s="5884" t="s">
        <v>1455</v>
      </c>
      <c r="G36" s="5885"/>
      <c r="H36" s="2395"/>
      <c r="I36" s="4389" t="s">
        <v>1823</v>
      </c>
      <c r="J36" s="4390"/>
      <c r="K36" s="4390"/>
      <c r="L36" s="4390"/>
      <c r="M36" s="4390"/>
      <c r="N36" s="4390"/>
      <c r="O36" s="4390"/>
      <c r="P36" s="4390"/>
      <c r="Q36" s="4391"/>
      <c r="R36" s="577"/>
      <c r="S36" s="2130"/>
      <c r="T36" s="2131"/>
      <c r="U36" s="969"/>
      <c r="V36" s="5747"/>
      <c r="W36" s="5773"/>
      <c r="X36" s="5775"/>
      <c r="Y36" s="5694"/>
      <c r="Z36" s="5781"/>
      <c r="AA36" s="5775"/>
      <c r="AB36" s="5692"/>
      <c r="AC36" s="5779"/>
      <c r="AD36" s="5752"/>
      <c r="AE36" s="5754"/>
      <c r="AF36" s="5754"/>
      <c r="AG36" s="5754"/>
      <c r="AH36" s="5754"/>
      <c r="AI36" s="5690"/>
      <c r="AJ36" s="5777"/>
      <c r="AK36" s="737"/>
      <c r="AL36" s="2145"/>
      <c r="AM36" s="3085" t="s">
        <v>1497</v>
      </c>
      <c r="AN36" s="3150" t="s">
        <v>2869</v>
      </c>
      <c r="AO36" s="3085" t="s">
        <v>2822</v>
      </c>
      <c r="AP36" s="3085" t="s">
        <v>1564</v>
      </c>
      <c r="AQ36" s="3085"/>
      <c r="AR36" s="3085" t="s">
        <v>1564</v>
      </c>
      <c r="AS36" s="3085"/>
      <c r="AT36" s="3085"/>
      <c r="AU36" s="3085"/>
      <c r="AV36" s="3085"/>
      <c r="AW36" s="3085"/>
      <c r="AX36" s="3085"/>
      <c r="AY36" s="3085"/>
      <c r="AZ36" s="3085"/>
      <c r="BA36" s="3085"/>
      <c r="BB36" s="3085"/>
      <c r="BC36" s="3085"/>
      <c r="BD36" s="3085"/>
    </row>
    <row r="37" spans="1:56" ht="12" customHeight="1" thickBot="1" x14ac:dyDescent="0.25">
      <c r="A37" s="2131"/>
      <c r="B37" s="969"/>
      <c r="C37" s="5546"/>
      <c r="D37" s="5548"/>
      <c r="E37" s="1667" t="s">
        <v>7110</v>
      </c>
      <c r="F37" s="5887" t="s">
        <v>1455</v>
      </c>
      <c r="G37" s="5888"/>
      <c r="H37" s="2395"/>
      <c r="I37" s="5406" t="s">
        <v>1441</v>
      </c>
      <c r="J37" s="5896"/>
      <c r="K37" s="5896"/>
      <c r="L37" s="5896"/>
      <c r="M37" s="5896"/>
      <c r="N37" s="5896"/>
      <c r="O37" s="5897"/>
      <c r="P37" s="37" t="s">
        <v>1376</v>
      </c>
      <c r="Q37" s="15" t="s">
        <v>1377</v>
      </c>
      <c r="R37" s="577"/>
      <c r="S37" s="2130"/>
      <c r="T37" s="2131"/>
      <c r="U37" s="969"/>
      <c r="V37" s="5747"/>
      <c r="W37" s="3496" t="s">
        <v>1835</v>
      </c>
      <c r="X37" s="3496"/>
      <c r="Y37" s="3340"/>
      <c r="Z37" s="5745"/>
      <c r="AA37" s="3496" t="s">
        <v>1836</v>
      </c>
      <c r="AB37" s="3496"/>
      <c r="AC37" s="1692"/>
      <c r="AD37" s="3496" t="s">
        <v>1835</v>
      </c>
      <c r="AE37" s="3496"/>
      <c r="AF37" s="3340"/>
      <c r="AG37" s="5745"/>
      <c r="AH37" s="3496" t="s">
        <v>1836</v>
      </c>
      <c r="AI37" s="3496"/>
      <c r="AJ37" s="2312"/>
      <c r="AK37" s="737"/>
      <c r="AL37" s="2145"/>
      <c r="AM37" s="3085" t="s">
        <v>1378</v>
      </c>
      <c r="AN37" s="3150" t="s">
        <v>2830</v>
      </c>
      <c r="AO37" s="3085"/>
      <c r="AP37" s="3085" t="s">
        <v>2888</v>
      </c>
      <c r="AQ37" s="3085"/>
      <c r="AR37" s="3085" t="s">
        <v>2888</v>
      </c>
      <c r="AS37" s="3149"/>
      <c r="AT37" s="3085"/>
      <c r="AU37" s="3085"/>
      <c r="AV37" s="3085"/>
      <c r="AW37" s="3085"/>
      <c r="AX37" s="3085"/>
      <c r="AY37" s="3085"/>
      <c r="AZ37" s="3085"/>
      <c r="BA37" s="3085"/>
      <c r="BB37" s="3085"/>
      <c r="BC37" s="3085"/>
      <c r="BD37" s="3085"/>
    </row>
    <row r="38" spans="1:56" ht="12" customHeight="1" thickBot="1" x14ac:dyDescent="0.25">
      <c r="A38" s="2131"/>
      <c r="B38" s="969"/>
      <c r="C38" s="2395"/>
      <c r="D38" s="2395"/>
      <c r="E38" s="2395"/>
      <c r="F38" s="2395"/>
      <c r="G38" s="2395"/>
      <c r="H38" s="2395"/>
      <c r="I38" s="5572"/>
      <c r="J38" s="5573"/>
      <c r="K38" s="5573"/>
      <c r="L38" s="5573"/>
      <c r="M38" s="5573"/>
      <c r="N38" s="5573"/>
      <c r="O38" s="5574"/>
      <c r="P38" s="1661"/>
      <c r="Q38" s="1495"/>
      <c r="R38" s="577"/>
      <c r="S38" s="2130"/>
      <c r="T38" s="2131"/>
      <c r="U38" s="969"/>
      <c r="V38" s="5748"/>
      <c r="W38" s="5772" t="s">
        <v>1837</v>
      </c>
      <c r="X38" s="5772"/>
      <c r="Y38" s="5749"/>
      <c r="Z38" s="5750"/>
      <c r="AA38" s="5765" t="s">
        <v>1838</v>
      </c>
      <c r="AB38" s="5765"/>
      <c r="AC38" s="2313"/>
      <c r="AD38" s="5772" t="s">
        <v>1837</v>
      </c>
      <c r="AE38" s="5772"/>
      <c r="AF38" s="5749"/>
      <c r="AG38" s="5750"/>
      <c r="AH38" s="5765" t="s">
        <v>1838</v>
      </c>
      <c r="AI38" s="5765"/>
      <c r="AJ38" s="2124"/>
      <c r="AK38" s="737"/>
      <c r="AL38" s="2145"/>
      <c r="AM38" s="3149" t="s">
        <v>1383</v>
      </c>
      <c r="AN38" s="3150" t="s">
        <v>2831</v>
      </c>
      <c r="AO38" s="3085"/>
      <c r="AP38" s="3149" t="s">
        <v>3133</v>
      </c>
      <c r="AQ38" s="3149"/>
      <c r="AR38" s="3149" t="s">
        <v>3177</v>
      </c>
      <c r="AS38" s="3152"/>
      <c r="AT38" s="3085"/>
      <c r="AU38" s="3085"/>
      <c r="AV38" s="3085"/>
      <c r="AW38" s="3085"/>
      <c r="AX38" s="3085"/>
      <c r="AY38" s="3085"/>
      <c r="AZ38" s="3085"/>
      <c r="BA38" s="3085"/>
      <c r="BB38" s="3085"/>
      <c r="BC38" s="3085"/>
      <c r="BD38" s="3085"/>
    </row>
    <row r="39" spans="1:56" ht="12" customHeight="1" thickBot="1" x14ac:dyDescent="0.25">
      <c r="A39" s="2131"/>
      <c r="B39" s="969"/>
      <c r="C39" s="3350" t="s">
        <v>8638</v>
      </c>
      <c r="D39" s="3351"/>
      <c r="E39" s="3351"/>
      <c r="F39" s="3351"/>
      <c r="G39" s="3352"/>
      <c r="H39" s="2395"/>
      <c r="I39" s="5816"/>
      <c r="J39" s="5817"/>
      <c r="K39" s="5817"/>
      <c r="L39" s="5817"/>
      <c r="M39" s="5817"/>
      <c r="N39" s="5817"/>
      <c r="O39" s="5818"/>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49" t="s">
        <v>1390</v>
      </c>
      <c r="AN39" s="3150" t="s">
        <v>3135</v>
      </c>
      <c r="AO39" s="3149"/>
      <c r="AP39" s="3149" t="s">
        <v>1210</v>
      </c>
      <c r="AQ39" s="3149"/>
      <c r="AR39" s="3149"/>
      <c r="AS39" s="3152"/>
      <c r="AT39" s="3085"/>
      <c r="AU39" s="3085"/>
      <c r="AV39" s="3085"/>
      <c r="AW39" s="3085"/>
      <c r="AX39" s="3085"/>
      <c r="AY39" s="3085"/>
      <c r="AZ39" s="3085"/>
      <c r="BA39" s="3085"/>
      <c r="BB39" s="3085"/>
      <c r="BC39" s="3085"/>
      <c r="BD39" s="3085"/>
    </row>
    <row r="40" spans="1:56" ht="12" customHeight="1" thickBot="1" x14ac:dyDescent="0.25">
      <c r="A40" s="2131"/>
      <c r="B40" s="969"/>
      <c r="C40" s="5905"/>
      <c r="D40" s="5906"/>
      <c r="E40" s="5906"/>
      <c r="F40" s="5906"/>
      <c r="G40" s="5907"/>
      <c r="H40" s="2395"/>
      <c r="I40" s="5572"/>
      <c r="J40" s="5573"/>
      <c r="K40" s="5573"/>
      <c r="L40" s="5573"/>
      <c r="M40" s="5573"/>
      <c r="N40" s="5573"/>
      <c r="O40" s="5574"/>
      <c r="P40" s="2110"/>
      <c r="Q40" s="1495"/>
      <c r="R40" s="577"/>
      <c r="S40" s="2130"/>
      <c r="T40" s="2131"/>
      <c r="U40" s="969"/>
      <c r="V40" s="3676" t="s">
        <v>1842</v>
      </c>
      <c r="W40" s="3676"/>
      <c r="X40" s="3676"/>
      <c r="Y40" s="3676"/>
      <c r="Z40" s="3676"/>
      <c r="AA40" s="3676"/>
      <c r="AB40" s="3676"/>
      <c r="AC40" s="3676"/>
      <c r="AD40" s="3676"/>
      <c r="AE40" s="3676"/>
      <c r="AF40" s="3676"/>
      <c r="AG40" s="3676"/>
      <c r="AH40" s="3676"/>
      <c r="AI40" s="3676"/>
      <c r="AJ40" s="5771"/>
      <c r="AK40" s="737"/>
      <c r="AL40" s="2145"/>
      <c r="AM40" s="3085" t="s">
        <v>1391</v>
      </c>
      <c r="AN40" s="3150" t="s">
        <v>6874</v>
      </c>
      <c r="AO40" s="3149"/>
      <c r="AP40" s="3149"/>
      <c r="AQ40" s="3085"/>
      <c r="AR40" s="3085"/>
      <c r="AS40" s="3131"/>
      <c r="AT40" s="3085"/>
      <c r="AU40" s="3085"/>
      <c r="AV40" s="3085"/>
      <c r="AW40" s="3085"/>
      <c r="AX40" s="3085"/>
      <c r="AY40" s="3085"/>
      <c r="AZ40" s="3085"/>
      <c r="BA40" s="3085"/>
      <c r="BB40" s="3085"/>
      <c r="BC40" s="3085"/>
      <c r="BD40" s="3085"/>
    </row>
    <row r="41" spans="1:56" ht="12" customHeight="1" thickBot="1" x14ac:dyDescent="0.25">
      <c r="A41" s="2131"/>
      <c r="B41" s="969"/>
      <c r="C41" s="5908"/>
      <c r="D41" s="5909"/>
      <c r="E41" s="5909"/>
      <c r="F41" s="5909"/>
      <c r="G41" s="5910"/>
      <c r="H41" s="2395"/>
      <c r="I41" s="5816"/>
      <c r="J41" s="5817"/>
      <c r="K41" s="5817"/>
      <c r="L41" s="5817"/>
      <c r="M41" s="5817"/>
      <c r="N41" s="5817"/>
      <c r="O41" s="5818"/>
      <c r="P41" s="2108"/>
      <c r="Q41" s="1664"/>
      <c r="R41" s="577"/>
      <c r="S41" s="2130"/>
      <c r="T41" s="2131"/>
      <c r="U41" s="969"/>
      <c r="V41" s="5927" t="s">
        <v>1843</v>
      </c>
      <c r="W41" s="5927"/>
      <c r="X41" s="5927"/>
      <c r="Y41" s="5926"/>
      <c r="Z41" s="5926"/>
      <c r="AA41" s="5926"/>
      <c r="AB41" s="5770"/>
      <c r="AC41" s="5770"/>
      <c r="AD41" s="5770"/>
      <c r="AE41" s="5770"/>
      <c r="AF41" s="5770"/>
      <c r="AG41" s="5770"/>
      <c r="AH41" s="5786"/>
      <c r="AI41" s="5786"/>
      <c r="AJ41" s="5787"/>
      <c r="AK41" s="737"/>
      <c r="AL41" s="2145"/>
      <c r="AM41" s="3085"/>
      <c r="AN41" s="3085"/>
      <c r="AO41" s="3085"/>
      <c r="AP41" s="3085"/>
      <c r="AQ41" s="3085"/>
      <c r="AR41" s="3085"/>
      <c r="AS41" s="3085"/>
      <c r="AT41" s="3085"/>
      <c r="AU41" s="3085"/>
      <c r="AV41" s="3085"/>
      <c r="AW41" s="3085"/>
      <c r="AX41" s="3085"/>
      <c r="AY41" s="3085"/>
      <c r="AZ41" s="3085"/>
      <c r="BA41" s="3085"/>
      <c r="BB41" s="3085"/>
      <c r="BC41" s="3085"/>
      <c r="BD41" s="3085"/>
    </row>
    <row r="42" spans="1:56" ht="12" customHeight="1" thickBot="1" x14ac:dyDescent="0.25">
      <c r="A42" s="2131"/>
      <c r="B42" s="969"/>
      <c r="C42" s="5918"/>
      <c r="D42" s="5919"/>
      <c r="E42" s="5919"/>
      <c r="F42" s="5919"/>
      <c r="G42" s="5920"/>
      <c r="H42" s="2395"/>
      <c r="I42" s="5572"/>
      <c r="J42" s="5573"/>
      <c r="K42" s="5573"/>
      <c r="L42" s="5573"/>
      <c r="M42" s="5573"/>
      <c r="N42" s="5573"/>
      <c r="O42" s="5574"/>
      <c r="P42" s="2110"/>
      <c r="Q42" s="1495"/>
      <c r="R42" s="577"/>
      <c r="S42" s="2130"/>
      <c r="T42" s="2131"/>
      <c r="U42" s="969"/>
      <c r="V42" s="5927"/>
      <c r="W42" s="5927"/>
      <c r="X42" s="5927"/>
      <c r="Y42" s="5926"/>
      <c r="Z42" s="5926"/>
      <c r="AA42" s="5926"/>
      <c r="AB42" s="5770"/>
      <c r="AC42" s="5770"/>
      <c r="AD42" s="5770"/>
      <c r="AE42" s="5770"/>
      <c r="AF42" s="5770"/>
      <c r="AG42" s="5770"/>
      <c r="AH42" s="5786"/>
      <c r="AI42" s="5786"/>
      <c r="AJ42" s="5787"/>
      <c r="AK42" s="737"/>
      <c r="AL42" s="2145"/>
      <c r="AM42" s="3085"/>
      <c r="AN42" s="3085"/>
      <c r="AO42" s="3085"/>
      <c r="AP42" s="3085"/>
      <c r="AQ42" s="3085"/>
      <c r="AR42" s="3085"/>
      <c r="AS42" s="3085"/>
      <c r="AT42" s="3085"/>
      <c r="AU42" s="3085"/>
      <c r="AV42" s="3085"/>
      <c r="AW42" s="3085"/>
      <c r="AX42" s="3085"/>
      <c r="AY42" s="3085"/>
      <c r="AZ42" s="3085"/>
      <c r="BA42" s="3085"/>
      <c r="BB42" s="3085"/>
      <c r="BC42" s="3085"/>
      <c r="BD42" s="3085"/>
    </row>
    <row r="43" spans="1:56" ht="12" customHeight="1" thickBot="1" x14ac:dyDescent="0.25">
      <c r="A43" s="2131"/>
      <c r="B43" s="969"/>
      <c r="C43" s="2395"/>
      <c r="D43" s="2395"/>
      <c r="E43" s="2395"/>
      <c r="F43" s="2395"/>
      <c r="G43" s="2395"/>
      <c r="H43" s="2395"/>
      <c r="I43" s="5816"/>
      <c r="J43" s="5817"/>
      <c r="K43" s="5817"/>
      <c r="L43" s="5817"/>
      <c r="M43" s="5817"/>
      <c r="N43" s="5817"/>
      <c r="O43" s="5818"/>
      <c r="P43" s="2108"/>
      <c r="Q43" s="1664"/>
      <c r="R43" s="577"/>
      <c r="S43" s="2130"/>
      <c r="T43" s="2131"/>
      <c r="U43" s="969"/>
      <c r="V43" s="3306" t="s">
        <v>1846</v>
      </c>
      <c r="W43" s="3306"/>
      <c r="X43" s="3306"/>
      <c r="Y43" s="5928"/>
      <c r="Z43" s="5928"/>
      <c r="AA43" s="5928"/>
      <c r="AB43" s="5929"/>
      <c r="AC43" s="5929"/>
      <c r="AD43" s="5929"/>
      <c r="AE43" s="5929"/>
      <c r="AF43" s="5929"/>
      <c r="AG43" s="5929"/>
      <c r="AH43" s="5673"/>
      <c r="AI43" s="5673"/>
      <c r="AJ43" s="5674"/>
      <c r="AK43" s="737"/>
      <c r="AL43" s="2145"/>
      <c r="AM43" s="3085"/>
      <c r="AN43" s="3085"/>
      <c r="AO43" s="3085"/>
      <c r="AP43" s="3085"/>
      <c r="AQ43" s="3085"/>
      <c r="AR43" s="3085"/>
      <c r="AS43" s="3085"/>
      <c r="AT43" s="3085"/>
      <c r="AU43" s="3085"/>
      <c r="AV43" s="3085"/>
      <c r="AW43" s="3085"/>
      <c r="AX43" s="3085"/>
      <c r="AY43" s="3085"/>
      <c r="AZ43" s="3085"/>
      <c r="BA43" s="3085"/>
      <c r="BB43" s="3085"/>
      <c r="BC43" s="3085"/>
      <c r="BD43" s="3085"/>
    </row>
    <row r="44" spans="1:56" ht="12" customHeight="1" thickBot="1" x14ac:dyDescent="0.25">
      <c r="A44" s="2131"/>
      <c r="B44" s="969"/>
      <c r="C44" s="3350" t="s">
        <v>1924</v>
      </c>
      <c r="D44" s="3351"/>
      <c r="E44" s="3351"/>
      <c r="F44" s="3351"/>
      <c r="G44" s="3352"/>
      <c r="H44" s="2395"/>
      <c r="I44" s="5572"/>
      <c r="J44" s="5573"/>
      <c r="K44" s="5573"/>
      <c r="L44" s="5573"/>
      <c r="M44" s="5573"/>
      <c r="N44" s="5573"/>
      <c r="O44" s="5574"/>
      <c r="P44" s="2110"/>
      <c r="Q44" s="1495"/>
      <c r="R44" s="577"/>
      <c r="S44" s="2130"/>
      <c r="T44" s="2131"/>
      <c r="U44" s="969"/>
      <c r="V44" s="5700" t="s">
        <v>1847</v>
      </c>
      <c r="W44" s="5700"/>
      <c r="X44" s="5700"/>
      <c r="Y44" s="5675"/>
      <c r="Z44" s="5675"/>
      <c r="AA44" s="5675"/>
      <c r="AB44" s="5676"/>
      <c r="AC44" s="5676"/>
      <c r="AD44" s="5676"/>
      <c r="AE44" s="5676"/>
      <c r="AF44" s="5676"/>
      <c r="AG44" s="5676"/>
      <c r="AH44" s="5677"/>
      <c r="AI44" s="5677"/>
      <c r="AJ44" s="5678"/>
      <c r="AK44" s="737"/>
      <c r="AL44" s="2145"/>
      <c r="AM44" s="3085"/>
      <c r="AN44" s="3085"/>
      <c r="AO44" s="3085"/>
      <c r="AP44" s="3085"/>
      <c r="AQ44" s="3085"/>
      <c r="AR44" s="3085"/>
      <c r="AS44" s="3085"/>
      <c r="AT44" s="3085"/>
      <c r="AU44" s="3085"/>
      <c r="AV44" s="3085"/>
      <c r="AW44" s="3085"/>
      <c r="AX44" s="3085"/>
      <c r="AY44" s="3085"/>
      <c r="AZ44" s="3085"/>
      <c r="BA44" s="3085"/>
      <c r="BB44" s="3085"/>
      <c r="BC44" s="3085"/>
      <c r="BD44" s="3085"/>
    </row>
    <row r="45" spans="1:56" ht="12" customHeight="1" x14ac:dyDescent="0.2">
      <c r="A45" s="2131"/>
      <c r="B45" s="969"/>
      <c r="C45" s="5911" t="s">
        <v>8637</v>
      </c>
      <c r="D45" s="5912"/>
      <c r="E45" s="5912"/>
      <c r="F45" s="5912"/>
      <c r="G45" s="1707"/>
      <c r="H45" s="2395"/>
      <c r="I45" s="5816"/>
      <c r="J45" s="5817"/>
      <c r="K45" s="5817"/>
      <c r="L45" s="5817"/>
      <c r="M45" s="5817"/>
      <c r="N45" s="5817"/>
      <c r="O45" s="5818"/>
      <c r="P45" s="2108"/>
      <c r="Q45" s="1664"/>
      <c r="R45" s="577"/>
      <c r="S45" s="2130"/>
      <c r="T45" s="2131"/>
      <c r="U45" s="969"/>
      <c r="V45" s="5701" t="s">
        <v>1848</v>
      </c>
      <c r="W45" s="5701"/>
      <c r="X45" s="5701"/>
      <c r="Y45" s="5680"/>
      <c r="Z45" s="5680"/>
      <c r="AA45" s="5680"/>
      <c r="AB45" s="5679"/>
      <c r="AC45" s="5679"/>
      <c r="AD45" s="5679"/>
      <c r="AE45" s="5679"/>
      <c r="AF45" s="5679"/>
      <c r="AG45" s="5679"/>
      <c r="AH45" s="5681"/>
      <c r="AI45" s="5681"/>
      <c r="AJ45" s="5682"/>
      <c r="AK45" s="737"/>
      <c r="AL45" s="2145"/>
      <c r="AM45" s="3085"/>
      <c r="AN45" s="3085"/>
      <c r="AO45" s="3085"/>
      <c r="AP45" s="3085"/>
      <c r="AQ45" s="3085"/>
      <c r="AR45" s="3085"/>
      <c r="AS45" s="3085"/>
      <c r="AT45" s="3085"/>
      <c r="AU45" s="3149"/>
      <c r="AV45" s="3085"/>
      <c r="AW45" s="3085"/>
      <c r="AX45" s="3085"/>
      <c r="AY45" s="3085"/>
      <c r="AZ45" s="3085"/>
      <c r="BA45" s="3085"/>
      <c r="BB45" s="3085"/>
      <c r="BC45" s="3085"/>
      <c r="BD45" s="3085"/>
    </row>
    <row r="46" spans="1:56" ht="12" customHeight="1" x14ac:dyDescent="0.2">
      <c r="A46" s="2131"/>
      <c r="B46" s="969"/>
      <c r="C46" s="5640" t="s">
        <v>8635</v>
      </c>
      <c r="D46" s="5641"/>
      <c r="E46" s="5641"/>
      <c r="F46" s="5641"/>
      <c r="G46" s="1708" t="s">
        <v>1381</v>
      </c>
      <c r="H46" s="2395"/>
      <c r="I46" s="5572"/>
      <c r="J46" s="5573"/>
      <c r="K46" s="5573"/>
      <c r="L46" s="5573"/>
      <c r="M46" s="5573"/>
      <c r="N46" s="5573"/>
      <c r="O46" s="5574"/>
      <c r="P46" s="2110"/>
      <c r="Q46" s="1495"/>
      <c r="R46" s="577"/>
      <c r="S46" s="2130"/>
      <c r="T46" s="2131"/>
      <c r="U46" s="969"/>
      <c r="V46" s="5700" t="s">
        <v>1849</v>
      </c>
      <c r="W46" s="5700"/>
      <c r="X46" s="5700"/>
      <c r="Y46" s="5675"/>
      <c r="Z46" s="5675"/>
      <c r="AA46" s="5675"/>
      <c r="AB46" s="5676"/>
      <c r="AC46" s="5676"/>
      <c r="AD46" s="5676"/>
      <c r="AE46" s="5676"/>
      <c r="AF46" s="5676"/>
      <c r="AG46" s="5676"/>
      <c r="AH46" s="5677"/>
      <c r="AI46" s="5677"/>
      <c r="AJ46" s="5678"/>
      <c r="AK46" s="737"/>
      <c r="AL46" s="2145"/>
      <c r="AM46" s="3085" t="s">
        <v>9592</v>
      </c>
      <c r="AN46" s="3085"/>
      <c r="AO46" s="3085"/>
      <c r="AP46" s="3085"/>
      <c r="AQ46" s="3085"/>
      <c r="AR46" s="3085"/>
      <c r="AS46" s="3085"/>
      <c r="AT46" s="3149"/>
      <c r="AU46" s="3085"/>
      <c r="AV46" s="3085"/>
      <c r="AW46" s="3085"/>
      <c r="AX46" s="3085"/>
      <c r="AY46" s="3085"/>
      <c r="AZ46" s="3085"/>
      <c r="BA46" s="3085"/>
      <c r="BB46" s="3085"/>
      <c r="BC46" s="3085"/>
      <c r="BD46" s="3085"/>
    </row>
    <row r="47" spans="1:56" ht="12" customHeight="1" thickBot="1" x14ac:dyDescent="0.25">
      <c r="A47" s="2131"/>
      <c r="B47" s="969"/>
      <c r="C47" s="5640" t="s">
        <v>8636</v>
      </c>
      <c r="D47" s="5641"/>
      <c r="E47" s="5641"/>
      <c r="F47" s="5641"/>
      <c r="G47" s="1708" t="s">
        <v>1381</v>
      </c>
      <c r="H47" s="2395"/>
      <c r="I47" s="5915"/>
      <c r="J47" s="5916"/>
      <c r="K47" s="5916"/>
      <c r="L47" s="5916"/>
      <c r="M47" s="5916"/>
      <c r="N47" s="5916"/>
      <c r="O47" s="5917"/>
      <c r="P47" s="1666"/>
      <c r="Q47" s="1665"/>
      <c r="R47" s="577"/>
      <c r="S47" s="2130"/>
      <c r="T47" s="2131"/>
      <c r="U47" s="969"/>
      <c r="V47" s="5930" t="s">
        <v>1850</v>
      </c>
      <c r="W47" s="5931"/>
      <c r="X47" s="5932"/>
      <c r="Y47" s="5670"/>
      <c r="Z47" s="5671"/>
      <c r="AA47" s="5672"/>
      <c r="AB47" s="5670"/>
      <c r="AC47" s="5671"/>
      <c r="AD47" s="5672"/>
      <c r="AE47" s="5670"/>
      <c r="AF47" s="5671"/>
      <c r="AG47" s="5672"/>
      <c r="AH47" s="5670"/>
      <c r="AI47" s="5671"/>
      <c r="AJ47" s="5933"/>
      <c r="AK47" s="737"/>
      <c r="AL47" s="2145"/>
      <c r="AM47" s="3085" t="s">
        <v>1234</v>
      </c>
      <c r="AN47" s="3085" t="s">
        <v>1398</v>
      </c>
      <c r="AO47" s="3085" t="s">
        <v>1370</v>
      </c>
      <c r="AP47" s="3085" t="s">
        <v>9588</v>
      </c>
      <c r="AQ47" s="3085" t="s">
        <v>9584</v>
      </c>
      <c r="AR47" s="3085" t="s">
        <v>9585</v>
      </c>
      <c r="AS47" s="3149" t="s">
        <v>9586</v>
      </c>
      <c r="AT47" s="3085" t="s">
        <v>9587</v>
      </c>
      <c r="AU47" s="3085" t="s">
        <v>8819</v>
      </c>
      <c r="AV47" s="3085" t="s">
        <v>1841</v>
      </c>
      <c r="AW47" s="3085" t="s">
        <v>1499</v>
      </c>
      <c r="AX47" s="3085" t="s">
        <v>9564</v>
      </c>
      <c r="AY47" s="3085" t="s">
        <v>2828</v>
      </c>
      <c r="AZ47" s="3085" t="s">
        <v>2829</v>
      </c>
      <c r="BA47" s="3085" t="s">
        <v>2820</v>
      </c>
      <c r="BB47" s="3085" t="s">
        <v>9591</v>
      </c>
      <c r="BC47" s="3085" t="s">
        <v>9590</v>
      </c>
      <c r="BD47" s="3085" t="s">
        <v>9589</v>
      </c>
    </row>
    <row r="48" spans="1:56" ht="12" customHeight="1" thickBot="1" x14ac:dyDescent="0.25">
      <c r="A48" s="2131"/>
      <c r="B48" s="969"/>
      <c r="C48" s="5913" t="s">
        <v>8640</v>
      </c>
      <c r="D48" s="5914"/>
      <c r="E48" s="5914"/>
      <c r="F48" s="5914"/>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39">
        <f>D58</f>
        <v>0</v>
      </c>
      <c r="AN48" s="3139">
        <f>D59</f>
        <v>0</v>
      </c>
      <c r="AO48" s="3139">
        <f>D60</f>
        <v>0</v>
      </c>
      <c r="AP48" s="3139">
        <f>H59</f>
        <v>0</v>
      </c>
      <c r="AQ48" s="3139" t="str">
        <f>J60&amp;" "&amp;K60</f>
        <v xml:space="preserve"> </v>
      </c>
      <c r="AR48" s="3139" t="str">
        <f>L60&amp;" "&amp;M60</f>
        <v xml:space="preserve"> </v>
      </c>
      <c r="AS48" s="3139" t="str">
        <f>N60&amp;" "&amp;O60</f>
        <v xml:space="preserve"> </v>
      </c>
      <c r="AT48" s="3139" t="str">
        <f>P60&amp;" "&amp;Q60</f>
        <v xml:space="preserve"> </v>
      </c>
      <c r="AU48" s="3139">
        <f t="shared" ref="AU48:BA48" si="0">K58</f>
        <v>0</v>
      </c>
      <c r="AV48" s="3139">
        <f t="shared" si="0"/>
        <v>0</v>
      </c>
      <c r="AW48" s="3139">
        <f t="shared" si="0"/>
        <v>0</v>
      </c>
      <c r="AX48" s="3139">
        <f t="shared" si="0"/>
        <v>0</v>
      </c>
      <c r="AY48" s="3139">
        <f t="shared" si="0"/>
        <v>0</v>
      </c>
      <c r="AZ48" s="3139">
        <f t="shared" si="0"/>
        <v>0</v>
      </c>
      <c r="BA48" s="3139">
        <f t="shared" si="0"/>
        <v>0</v>
      </c>
      <c r="BB48" s="3139">
        <f>L59</f>
        <v>0</v>
      </c>
      <c r="BC48" s="3139">
        <f>N59</f>
        <v>0</v>
      </c>
      <c r="BD48" s="3139">
        <f>P59</f>
        <v>0</v>
      </c>
    </row>
    <row r="49" spans="1:56" ht="12" customHeight="1" thickBot="1" x14ac:dyDescent="0.25">
      <c r="A49" s="2131"/>
      <c r="B49" s="969"/>
      <c r="C49" s="2395"/>
      <c r="D49" s="2395"/>
      <c r="E49" s="2395"/>
      <c r="F49" s="2395"/>
      <c r="G49" s="2395"/>
      <c r="H49" s="2395"/>
      <c r="I49" s="5934" t="s">
        <v>1925</v>
      </c>
      <c r="J49" s="5904" t="s">
        <v>8634</v>
      </c>
      <c r="K49" s="5904"/>
      <c r="L49" s="5904"/>
      <c r="M49" s="5904"/>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39">
        <f>D62</f>
        <v>0</v>
      </c>
      <c r="AN49" s="3139">
        <f>D63</f>
        <v>0</v>
      </c>
      <c r="AO49" s="3139">
        <f>D64</f>
        <v>0</v>
      </c>
      <c r="AP49" s="3139">
        <f>H63</f>
        <v>0</v>
      </c>
      <c r="AQ49" s="3139" t="str">
        <f>J64&amp;" "&amp;K64</f>
        <v xml:space="preserve"> </v>
      </c>
      <c r="AR49" s="3139" t="str">
        <f>L64&amp;" "&amp;M64</f>
        <v xml:space="preserve"> </v>
      </c>
      <c r="AS49" s="3139" t="str">
        <f>N64&amp;" "&amp;O64</f>
        <v xml:space="preserve"> </v>
      </c>
      <c r="AT49" s="3139" t="str">
        <f>P64&amp;" "&amp;Q64</f>
        <v xml:space="preserve"> </v>
      </c>
      <c r="AU49" s="3139">
        <f t="shared" ref="AU49:BA49" si="1">K62</f>
        <v>0</v>
      </c>
      <c r="AV49" s="3139">
        <f t="shared" si="1"/>
        <v>0</v>
      </c>
      <c r="AW49" s="3139">
        <f t="shared" si="1"/>
        <v>0</v>
      </c>
      <c r="AX49" s="3139">
        <f t="shared" si="1"/>
        <v>0</v>
      </c>
      <c r="AY49" s="3139">
        <f t="shared" si="1"/>
        <v>0</v>
      </c>
      <c r="AZ49" s="3139">
        <f t="shared" si="1"/>
        <v>0</v>
      </c>
      <c r="BA49" s="3139">
        <f t="shared" si="1"/>
        <v>0</v>
      </c>
      <c r="BB49" s="3139">
        <f>L63</f>
        <v>0</v>
      </c>
      <c r="BC49" s="3139">
        <f>N63</f>
        <v>0</v>
      </c>
      <c r="BD49" s="3139">
        <f>P63</f>
        <v>0</v>
      </c>
    </row>
    <row r="50" spans="1:56" ht="12" customHeight="1" thickBot="1" x14ac:dyDescent="0.25">
      <c r="A50" s="2131"/>
      <c r="B50" s="969"/>
      <c r="C50" s="4485" t="s">
        <v>8639</v>
      </c>
      <c r="D50" s="4487"/>
      <c r="E50" s="5938" t="s">
        <v>9323</v>
      </c>
      <c r="F50" s="5843"/>
      <c r="G50" s="5844"/>
      <c r="H50" s="2395"/>
      <c r="I50" s="5935"/>
      <c r="J50" s="5940" t="s">
        <v>8629</v>
      </c>
      <c r="K50" s="5940"/>
      <c r="L50" s="1593" t="s">
        <v>1381</v>
      </c>
      <c r="M50" s="5562" t="s">
        <v>8628</v>
      </c>
      <c r="N50" s="5562"/>
      <c r="O50" s="5562"/>
      <c r="P50" s="5936" t="s">
        <v>8632</v>
      </c>
      <c r="Q50" s="5937"/>
      <c r="R50" s="577"/>
      <c r="S50" s="2130"/>
      <c r="T50" s="2131"/>
      <c r="U50" s="969"/>
      <c r="V50" s="4960" t="s">
        <v>7114</v>
      </c>
      <c r="W50" s="4961"/>
      <c r="X50" s="4961"/>
      <c r="Y50" s="4961"/>
      <c r="Z50" s="4961"/>
      <c r="AA50" s="4961"/>
      <c r="AB50" s="4961"/>
      <c r="AC50" s="4961"/>
      <c r="AD50" s="4961"/>
      <c r="AE50" s="4961"/>
      <c r="AF50" s="4961"/>
      <c r="AG50" s="4961"/>
      <c r="AH50" s="4961"/>
      <c r="AI50" s="4961"/>
      <c r="AJ50" s="5536"/>
      <c r="AK50" s="737"/>
      <c r="AL50" s="2145"/>
      <c r="AM50" s="3139">
        <f>D66</f>
        <v>0</v>
      </c>
      <c r="AN50" s="3139">
        <f>D67</f>
        <v>0</v>
      </c>
      <c r="AO50" s="3139">
        <f>D68</f>
        <v>0</v>
      </c>
      <c r="AP50" s="3139">
        <f>H67</f>
        <v>0</v>
      </c>
      <c r="AQ50" s="3139" t="str">
        <f>J68&amp;" "&amp;K68</f>
        <v xml:space="preserve"> </v>
      </c>
      <c r="AR50" s="3139" t="str">
        <f>L68&amp;" "&amp;M68</f>
        <v xml:space="preserve"> </v>
      </c>
      <c r="AS50" s="3139" t="str">
        <f>N68&amp;" "&amp;O68</f>
        <v xml:space="preserve"> </v>
      </c>
      <c r="AT50" s="3139" t="str">
        <f>P68&amp;" "&amp;Q68</f>
        <v xml:space="preserve"> </v>
      </c>
      <c r="AU50" s="3139">
        <f t="shared" ref="AU50:BA50" si="2">K66</f>
        <v>0</v>
      </c>
      <c r="AV50" s="3139">
        <f t="shared" si="2"/>
        <v>0</v>
      </c>
      <c r="AW50" s="3139">
        <f t="shared" si="2"/>
        <v>0</v>
      </c>
      <c r="AX50" s="3139">
        <f t="shared" si="2"/>
        <v>0</v>
      </c>
      <c r="AY50" s="3139">
        <f t="shared" si="2"/>
        <v>0</v>
      </c>
      <c r="AZ50" s="3139">
        <f t="shared" si="2"/>
        <v>0</v>
      </c>
      <c r="BA50" s="3139">
        <f t="shared" si="2"/>
        <v>0</v>
      </c>
      <c r="BB50" s="3139">
        <f>L67</f>
        <v>0</v>
      </c>
      <c r="BC50" s="3139">
        <f>N67</f>
        <v>0</v>
      </c>
      <c r="BD50" s="3139">
        <f>P67</f>
        <v>0</v>
      </c>
    </row>
    <row r="51" spans="1:56" ht="12" customHeight="1" thickBot="1" x14ac:dyDescent="0.25">
      <c r="A51" s="2131"/>
      <c r="B51" s="969"/>
      <c r="C51" s="5546"/>
      <c r="D51" s="5548"/>
      <c r="E51" s="5939"/>
      <c r="F51" s="5845"/>
      <c r="G51" s="5846"/>
      <c r="H51" s="2395"/>
      <c r="I51" s="5800" t="str">
        <f>IF(IFERROR(VALUE(LEFT(N49,2)),0)+IFERROR(VALUE(LEFT(O49,2)),0)+IFERROR(VALUE(LEFT(P49,2)),0)+IFERROR(VALUE(LEFT(Q49,2)),0)&gt;3,"Exceso de bonos de transformación",IF($AQ$28=-1,"Sin poderes raciales",""))</f>
        <v/>
      </c>
      <c r="J51" s="5801"/>
      <c r="K51" s="5801"/>
      <c r="L51" s="5801"/>
      <c r="M51" s="5801"/>
      <c r="N51" s="5801"/>
      <c r="O51" s="5801"/>
      <c r="P51" s="5801"/>
      <c r="Q51" s="5802"/>
      <c r="R51" s="577"/>
      <c r="S51" s="2130"/>
      <c r="T51" s="2131"/>
      <c r="U51" s="969"/>
      <c r="V51" s="4963"/>
      <c r="W51" s="4964"/>
      <c r="X51" s="4964"/>
      <c r="Y51" s="4964"/>
      <c r="Z51" s="4964"/>
      <c r="AA51" s="4964"/>
      <c r="AB51" s="4964"/>
      <c r="AC51" s="4964"/>
      <c r="AD51" s="4964"/>
      <c r="AE51" s="4964"/>
      <c r="AF51" s="4964"/>
      <c r="AG51" s="4964"/>
      <c r="AH51" s="4964"/>
      <c r="AI51" s="4964"/>
      <c r="AJ51" s="5537"/>
      <c r="AK51" s="737"/>
      <c r="AL51" s="2145"/>
      <c r="AM51" s="3139">
        <f>D70</f>
        <v>0</v>
      </c>
      <c r="AN51" s="3139">
        <f>D71</f>
        <v>0</v>
      </c>
      <c r="AO51" s="3139">
        <f>D72</f>
        <v>0</v>
      </c>
      <c r="AP51" s="3139">
        <f>H71</f>
        <v>0</v>
      </c>
      <c r="AQ51" s="3139" t="str">
        <f>J72&amp;" "&amp;K72</f>
        <v xml:space="preserve"> </v>
      </c>
      <c r="AR51" s="3139" t="str">
        <f>L72&amp;" "&amp;M72</f>
        <v xml:space="preserve"> </v>
      </c>
      <c r="AS51" s="3139" t="str">
        <f>N72&amp;" "&amp;O72</f>
        <v xml:space="preserve"> </v>
      </c>
      <c r="AT51" s="3139" t="str">
        <f>P72&amp;" "&amp;Q72</f>
        <v xml:space="preserve"> </v>
      </c>
      <c r="AU51" s="3139">
        <f t="shared" ref="AU51:BA51" si="3">K70</f>
        <v>0</v>
      </c>
      <c r="AV51" s="3139">
        <f t="shared" si="3"/>
        <v>0</v>
      </c>
      <c r="AW51" s="3139">
        <f t="shared" si="3"/>
        <v>0</v>
      </c>
      <c r="AX51" s="3139">
        <f t="shared" si="3"/>
        <v>0</v>
      </c>
      <c r="AY51" s="3139">
        <f t="shared" si="3"/>
        <v>0</v>
      </c>
      <c r="AZ51" s="3139">
        <f t="shared" si="3"/>
        <v>0</v>
      </c>
      <c r="BA51" s="3139">
        <f t="shared" si="3"/>
        <v>0</v>
      </c>
      <c r="BB51" s="3139">
        <f>L71</f>
        <v>0</v>
      </c>
      <c r="BC51" s="3139">
        <f>N71</f>
        <v>0</v>
      </c>
      <c r="BD51" s="3139">
        <f>P71</f>
        <v>0</v>
      </c>
    </row>
    <row r="52" spans="1:56" ht="12" customHeight="1" thickBot="1" x14ac:dyDescent="0.25">
      <c r="A52" s="2131"/>
      <c r="B52" s="969"/>
      <c r="C52" s="5921" t="s">
        <v>8462</v>
      </c>
      <c r="D52" s="5921"/>
      <c r="E52" s="5921" t="s">
        <v>1381</v>
      </c>
      <c r="F52" s="5921"/>
      <c r="G52" s="5921"/>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39">
        <f>D74</f>
        <v>0</v>
      </c>
      <c r="AN52" s="3139">
        <f>D75</f>
        <v>0</v>
      </c>
      <c r="AO52" s="3139">
        <f>D76</f>
        <v>0</v>
      </c>
      <c r="AP52" s="3139">
        <f>H74</f>
        <v>0</v>
      </c>
      <c r="AQ52" s="3139" t="str">
        <f>J76&amp;" "&amp;K76</f>
        <v xml:space="preserve"> </v>
      </c>
      <c r="AR52" s="3139" t="str">
        <f>L76&amp;" "&amp;M76</f>
        <v xml:space="preserve"> </v>
      </c>
      <c r="AS52" s="3139" t="str">
        <f>N76&amp;" "&amp;O76</f>
        <v xml:space="preserve"> </v>
      </c>
      <c r="AT52" s="3139" t="str">
        <f>P76&amp;" "&amp;Q76</f>
        <v xml:space="preserve"> </v>
      </c>
      <c r="AU52" s="3139">
        <f t="shared" ref="AU52:BA52" si="4">K74</f>
        <v>0</v>
      </c>
      <c r="AV52" s="3139">
        <f t="shared" si="4"/>
        <v>0</v>
      </c>
      <c r="AW52" s="3139">
        <f t="shared" si="4"/>
        <v>0</v>
      </c>
      <c r="AX52" s="3139">
        <f t="shared" si="4"/>
        <v>0</v>
      </c>
      <c r="AY52" s="3139">
        <f t="shared" si="4"/>
        <v>0</v>
      </c>
      <c r="AZ52" s="3139">
        <f t="shared" si="4"/>
        <v>0</v>
      </c>
      <c r="BA52" s="3139">
        <f t="shared" si="4"/>
        <v>0</v>
      </c>
      <c r="BB52" s="3139">
        <f>L75</f>
        <v>0</v>
      </c>
      <c r="BC52" s="3139">
        <f>N75</f>
        <v>0</v>
      </c>
      <c r="BD52" s="3139">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676" t="s">
        <v>1830</v>
      </c>
      <c r="W53" s="3676"/>
      <c r="X53" s="3676"/>
      <c r="Y53" s="3676"/>
      <c r="Z53" s="3676"/>
      <c r="AA53" s="3676"/>
      <c r="AB53" s="3676"/>
      <c r="AC53" s="3676"/>
      <c r="AD53" s="2395"/>
      <c r="AE53" s="3684" t="s">
        <v>1831</v>
      </c>
      <c r="AF53" s="3685"/>
      <c r="AG53" s="3685"/>
      <c r="AH53" s="3685"/>
      <c r="AI53" s="3685"/>
      <c r="AJ53" s="3686"/>
      <c r="AK53" s="737"/>
      <c r="AL53" s="2145"/>
      <c r="AM53" s="3085"/>
      <c r="AN53" s="6017"/>
      <c r="AO53" s="6017"/>
      <c r="AP53" s="6017"/>
      <c r="AQ53" s="3085"/>
      <c r="AR53" s="3085"/>
      <c r="AS53" s="3131"/>
      <c r="AT53" s="3131"/>
      <c r="AU53" s="3131"/>
      <c r="AV53" s="3085"/>
      <c r="AW53" s="3085"/>
      <c r="AX53" s="3085"/>
      <c r="AY53" s="3085"/>
      <c r="AZ53" s="3085"/>
      <c r="BA53" s="3085"/>
      <c r="BB53" s="3085"/>
      <c r="BC53" s="3085"/>
      <c r="BD53" s="3085"/>
    </row>
    <row r="54" spans="1:56" ht="12" customHeight="1" x14ac:dyDescent="0.2">
      <c r="A54" s="2131"/>
      <c r="B54" s="969"/>
      <c r="C54" s="4960" t="s">
        <v>9563</v>
      </c>
      <c r="D54" s="4961"/>
      <c r="E54" s="4961"/>
      <c r="F54" s="4961"/>
      <c r="G54" s="4961"/>
      <c r="H54" s="4961"/>
      <c r="I54" s="4961"/>
      <c r="J54" s="4961"/>
      <c r="K54" s="4961"/>
      <c r="L54" s="4961"/>
      <c r="M54" s="4961"/>
      <c r="N54" s="4961"/>
      <c r="O54" s="4961"/>
      <c r="P54" s="4961"/>
      <c r="Q54" s="5536"/>
      <c r="R54" s="577"/>
      <c r="S54" s="2130"/>
      <c r="T54" s="2131"/>
      <c r="U54" s="969"/>
      <c r="V54" s="4974" t="s">
        <v>1440</v>
      </c>
      <c r="W54" s="4974"/>
      <c r="X54" s="4974"/>
      <c r="Y54" s="4974"/>
      <c r="Z54" s="4974"/>
      <c r="AA54" s="4974"/>
      <c r="AB54" s="2971" t="s">
        <v>1717</v>
      </c>
      <c r="AC54" s="16" t="s">
        <v>1508</v>
      </c>
      <c r="AD54" s="2395"/>
      <c r="AE54" s="1406" t="s">
        <v>1637</v>
      </c>
      <c r="AF54" s="5698" t="s">
        <v>1693</v>
      </c>
      <c r="AG54" s="4394"/>
      <c r="AH54" s="4394"/>
      <c r="AI54" s="4394"/>
      <c r="AJ54" s="1407" t="s">
        <v>1402</v>
      </c>
      <c r="AK54" s="737"/>
      <c r="AL54" s="2145"/>
      <c r="AM54" s="3085"/>
      <c r="AN54" s="3149"/>
      <c r="AO54" s="3149"/>
      <c r="AP54" s="3149"/>
      <c r="AQ54" s="3085"/>
      <c r="AR54" s="3085"/>
      <c r="AS54" s="3131"/>
      <c r="AT54" s="3131"/>
      <c r="AU54" s="3131"/>
      <c r="AV54" s="3085"/>
      <c r="AW54" s="3085"/>
      <c r="AX54" s="3085"/>
      <c r="AY54" s="3085"/>
      <c r="AZ54" s="3085"/>
      <c r="BA54" s="3085"/>
      <c r="BB54" s="3085"/>
      <c r="BC54" s="3085"/>
      <c r="BD54" s="3085"/>
    </row>
    <row r="55" spans="1:56" ht="12" customHeight="1" thickBot="1" x14ac:dyDescent="0.25">
      <c r="A55" s="2131"/>
      <c r="B55" s="969"/>
      <c r="C55" s="4963"/>
      <c r="D55" s="4964"/>
      <c r="E55" s="4964"/>
      <c r="F55" s="4964"/>
      <c r="G55" s="4964"/>
      <c r="H55" s="4964"/>
      <c r="I55" s="4964"/>
      <c r="J55" s="4964"/>
      <c r="K55" s="4964"/>
      <c r="L55" s="4964"/>
      <c r="M55" s="4964"/>
      <c r="N55" s="4964"/>
      <c r="O55" s="4964"/>
      <c r="P55" s="4964"/>
      <c r="Q55" s="5537"/>
      <c r="R55" s="577"/>
      <c r="S55" s="2130"/>
      <c r="T55" s="2131"/>
      <c r="U55" s="969"/>
      <c r="V55" s="5699"/>
      <c r="W55" s="5699"/>
      <c r="X55" s="5699"/>
      <c r="Y55" s="5699"/>
      <c r="Z55" s="5699"/>
      <c r="AA55" s="5699"/>
      <c r="AB55" s="2964"/>
      <c r="AC55" s="2117"/>
      <c r="AD55" s="2395"/>
      <c r="AE55" s="1408">
        <f>IF(Metamagia!X15=1,30,0)</f>
        <v>0</v>
      </c>
      <c r="AF55" s="4786"/>
      <c r="AG55" s="4787"/>
      <c r="AH55" s="4787"/>
      <c r="AI55" s="4788"/>
      <c r="AJ55" s="542" t="str">
        <f>IF(AF55=0,"",VLOOKUP(AF55,'Tablas Magia'!$D$6:$Z$680,3,FALSE))</f>
        <v/>
      </c>
      <c r="AK55" s="737"/>
      <c r="AL55" s="2145"/>
      <c r="AM55" s="3085"/>
      <c r="AN55" s="3149"/>
      <c r="AO55" s="3149"/>
      <c r="AP55" s="3149"/>
      <c r="AQ55" s="3085"/>
      <c r="AR55" s="3085"/>
      <c r="AS55" s="3131"/>
      <c r="AT55" s="3131"/>
      <c r="AU55" s="3085"/>
      <c r="AV55" s="3085"/>
      <c r="AW55" s="3085"/>
      <c r="AX55" s="3085"/>
      <c r="AY55" s="3085"/>
      <c r="AZ55" s="3085"/>
      <c r="BA55" s="3085"/>
      <c r="BB55" s="3085"/>
      <c r="BC55" s="3085"/>
      <c r="BD55" s="3085"/>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57"/>
      <c r="W56" s="5457"/>
      <c r="X56" s="5457"/>
      <c r="Y56" s="5457"/>
      <c r="Z56" s="5457"/>
      <c r="AA56" s="5457"/>
      <c r="AB56" s="1677"/>
      <c r="AC56" s="2118"/>
      <c r="AD56" s="2395"/>
      <c r="AE56" s="1409">
        <f>IF(Metamagia!AD15=1,30,0)</f>
        <v>0</v>
      </c>
      <c r="AF56" s="5695"/>
      <c r="AG56" s="5696"/>
      <c r="AH56" s="5696"/>
      <c r="AI56" s="5697"/>
      <c r="AJ56" s="1410" t="str">
        <f>IF(AF56=0,"",VLOOKUP(AF56,'Tablas Magia'!$D$6:$Z$680,3,FALSE))</f>
        <v/>
      </c>
      <c r="AK56" s="737"/>
      <c r="AL56" s="2145"/>
      <c r="AM56" s="3085"/>
      <c r="AN56" s="3085"/>
      <c r="AO56" s="3085"/>
      <c r="AP56" s="3085"/>
      <c r="AQ56" s="3085"/>
      <c r="AR56" s="3085"/>
      <c r="AS56" s="3085"/>
      <c r="AT56" s="3085"/>
      <c r="AU56" s="3085"/>
      <c r="AV56" s="3085"/>
      <c r="AW56" s="3085"/>
      <c r="AX56" s="3085"/>
      <c r="AY56" s="3085"/>
      <c r="AZ56" s="3085"/>
      <c r="BA56" s="3085"/>
      <c r="BB56" s="3085"/>
      <c r="BC56" s="3085"/>
      <c r="BD56" s="3085"/>
    </row>
    <row r="57" spans="1:56" ht="12" customHeight="1" thickBot="1" x14ac:dyDescent="0.25">
      <c r="A57" s="2131"/>
      <c r="B57" s="969"/>
      <c r="C57" s="3350" t="s">
        <v>9567</v>
      </c>
      <c r="D57" s="3351"/>
      <c r="E57" s="3351"/>
      <c r="F57" s="3351"/>
      <c r="G57" s="3351"/>
      <c r="H57" s="3351"/>
      <c r="I57" s="3351"/>
      <c r="J57" s="5575"/>
      <c r="K57" s="2111" t="s">
        <v>8819</v>
      </c>
      <c r="L57" s="2111" t="s">
        <v>1841</v>
      </c>
      <c r="M57" s="2111" t="s">
        <v>1499</v>
      </c>
      <c r="N57" s="2111" t="s">
        <v>9564</v>
      </c>
      <c r="O57" s="2111" t="s">
        <v>2828</v>
      </c>
      <c r="P57" s="2111" t="s">
        <v>2829</v>
      </c>
      <c r="Q57" s="2114" t="s">
        <v>2820</v>
      </c>
      <c r="R57" s="577"/>
      <c r="S57" s="2130"/>
      <c r="T57" s="2131"/>
      <c r="U57" s="969"/>
      <c r="V57" s="4819"/>
      <c r="W57" s="4819"/>
      <c r="X57" s="4819"/>
      <c r="Y57" s="4819"/>
      <c r="Z57" s="4819"/>
      <c r="AA57" s="4819"/>
      <c r="AB57" s="2964"/>
      <c r="AC57" s="2117"/>
      <c r="AD57" s="2395"/>
      <c r="AE57" s="1411">
        <f>IF(Metamagia!R29=1,50,0)</f>
        <v>0</v>
      </c>
      <c r="AF57" s="4768"/>
      <c r="AG57" s="5851"/>
      <c r="AH57" s="5851"/>
      <c r="AI57" s="4770"/>
      <c r="AJ57" s="542" t="str">
        <f>IF(AF57=0,"",VLOOKUP(AF57,'Tablas Magia'!$D$6:$Z$680,3,FALSE))</f>
        <v/>
      </c>
      <c r="AK57" s="737"/>
      <c r="AL57" s="2145"/>
      <c r="AM57" s="3085"/>
      <c r="AN57" s="3085" t="s">
        <v>10144</v>
      </c>
      <c r="AO57" s="3085"/>
      <c r="AP57" s="3085"/>
      <c r="AQ57" s="3085"/>
      <c r="AR57" s="3085"/>
      <c r="AS57" s="3085"/>
      <c r="AT57" s="3085"/>
      <c r="AU57" s="3085"/>
      <c r="AV57" s="3085"/>
      <c r="AW57" s="3085"/>
      <c r="AX57" s="3085"/>
      <c r="AY57" s="3085"/>
      <c r="AZ57" s="3085"/>
      <c r="BA57" s="3085"/>
      <c r="BB57" s="3085"/>
      <c r="BC57" s="3085"/>
      <c r="BD57" s="3085"/>
    </row>
    <row r="58" spans="1:56" ht="12" customHeight="1" x14ac:dyDescent="0.2">
      <c r="A58" s="2131"/>
      <c r="B58" s="969"/>
      <c r="C58" s="2096" t="s">
        <v>9565</v>
      </c>
      <c r="D58" s="5576"/>
      <c r="E58" s="5577"/>
      <c r="F58" s="5577"/>
      <c r="G58" s="5577"/>
      <c r="H58" s="5577"/>
      <c r="I58" s="5577"/>
      <c r="J58" s="5578"/>
      <c r="K58" s="2562"/>
      <c r="L58" s="2550"/>
      <c r="M58" s="2098"/>
      <c r="N58" s="2562"/>
      <c r="O58" s="2550"/>
      <c r="P58" s="2550"/>
      <c r="Q58" s="2099"/>
      <c r="R58" s="577"/>
      <c r="S58" s="2130"/>
      <c r="T58" s="2131"/>
      <c r="U58" s="969"/>
      <c r="V58" s="5457"/>
      <c r="W58" s="5457"/>
      <c r="X58" s="5457"/>
      <c r="Y58" s="5457"/>
      <c r="Z58" s="5457"/>
      <c r="AA58" s="5457"/>
      <c r="AB58" s="1677"/>
      <c r="AC58" s="2118"/>
      <c r="AD58" s="2395"/>
      <c r="AE58" s="874">
        <f>IF(Metamagia!AG24=1,60,0)</f>
        <v>0</v>
      </c>
      <c r="AF58" s="5695"/>
      <c r="AG58" s="5696"/>
      <c r="AH58" s="5696"/>
      <c r="AI58" s="5697"/>
      <c r="AJ58" s="1410" t="str">
        <f>IF(AF58=0,"",VLOOKUP(AF58,'Tablas Magia'!$D$6:$Z$680,3,FALSE))</f>
        <v/>
      </c>
      <c r="AK58" s="737"/>
      <c r="AL58" s="1379"/>
      <c r="AM58" s="3085"/>
      <c r="AN58" s="3085" t="s">
        <v>1440</v>
      </c>
      <c r="AO58" s="3085" t="s">
        <v>2251</v>
      </c>
      <c r="AP58" s="3085"/>
      <c r="AQ58" s="3085"/>
      <c r="AR58" s="3085"/>
      <c r="AS58" s="3085"/>
      <c r="AT58" s="3085"/>
      <c r="AU58" s="3085"/>
      <c r="AV58" s="3085"/>
      <c r="AW58" s="3085"/>
      <c r="AX58" s="3085"/>
      <c r="AY58" s="3085"/>
      <c r="AZ58" s="3085"/>
      <c r="BA58" s="3085"/>
      <c r="BB58" s="3085"/>
      <c r="BC58" s="3085"/>
      <c r="BD58" s="3085"/>
    </row>
    <row r="59" spans="1:56" ht="12" customHeight="1" x14ac:dyDescent="0.2">
      <c r="A59" s="2131"/>
      <c r="B59" s="969"/>
      <c r="C59" s="2095" t="s">
        <v>1835</v>
      </c>
      <c r="D59" s="5579"/>
      <c r="E59" s="5580"/>
      <c r="F59" s="5581" t="s">
        <v>9566</v>
      </c>
      <c r="G59" s="5582"/>
      <c r="H59" s="2098"/>
      <c r="I59" s="2097"/>
      <c r="J59" s="2097"/>
      <c r="K59" s="2551" t="s">
        <v>8809</v>
      </c>
      <c r="L59" s="5556"/>
      <c r="M59" s="5557"/>
      <c r="N59" s="5556"/>
      <c r="O59" s="5557"/>
      <c r="P59" s="5556"/>
      <c r="Q59" s="5558"/>
      <c r="R59" s="577"/>
      <c r="S59" s="2130"/>
      <c r="T59" s="2131"/>
      <c r="U59" s="969"/>
      <c r="V59" s="4819"/>
      <c r="W59" s="4819"/>
      <c r="X59" s="4819"/>
      <c r="Y59" s="4819"/>
      <c r="Z59" s="4819"/>
      <c r="AA59" s="4819"/>
      <c r="AB59" s="2964"/>
      <c r="AC59" s="2117"/>
      <c r="AD59" s="2395"/>
      <c r="AE59" s="1411">
        <f>IF(Metamagia!X24=1,60,0)</f>
        <v>0</v>
      </c>
      <c r="AF59" s="4768"/>
      <c r="AG59" s="5851"/>
      <c r="AH59" s="5851"/>
      <c r="AI59" s="4770"/>
      <c r="AJ59" s="542" t="str">
        <f>IF(AF59=0,"",VLOOKUP(AF59,'Tablas Magia'!$D$6:$Z$680,3,FALSE))</f>
        <v/>
      </c>
      <c r="AK59" s="737"/>
      <c r="AL59" s="1379"/>
      <c r="AM59" s="3085"/>
      <c r="AN59" s="3085" t="s">
        <v>10145</v>
      </c>
      <c r="AO59" s="3085">
        <f>COUNTIF($AC$63:$AJ$63,AN59)</f>
        <v>0</v>
      </c>
      <c r="AP59" s="3085"/>
      <c r="AQ59" s="3085"/>
      <c r="AR59" s="3085"/>
      <c r="AS59" s="3085"/>
      <c r="AT59" s="3085"/>
      <c r="AU59" s="3085"/>
      <c r="AV59" s="3085"/>
      <c r="AW59" s="3085"/>
      <c r="AX59" s="3085"/>
      <c r="AY59" s="3085"/>
      <c r="AZ59" s="3085"/>
      <c r="BA59" s="3085"/>
      <c r="BB59" s="3085"/>
      <c r="BC59" s="3085"/>
      <c r="BD59" s="3085"/>
    </row>
    <row r="60" spans="1:56" ht="12" customHeight="1" thickBot="1" x14ac:dyDescent="0.25">
      <c r="A60" s="2131"/>
      <c r="B60" s="969"/>
      <c r="C60" s="2549" t="s">
        <v>1363</v>
      </c>
      <c r="D60" s="5564"/>
      <c r="E60" s="5565"/>
      <c r="F60" s="5561" t="s">
        <v>9568</v>
      </c>
      <c r="G60" s="5562"/>
      <c r="H60" s="5562"/>
      <c r="I60" s="5563"/>
      <c r="J60" s="2100"/>
      <c r="K60" s="2159"/>
      <c r="L60" s="2100"/>
      <c r="M60" s="2159"/>
      <c r="N60" s="2100"/>
      <c r="O60" s="2100"/>
      <c r="P60" s="2100"/>
      <c r="Q60" s="2101"/>
      <c r="R60" s="577"/>
      <c r="S60" s="2130"/>
      <c r="T60" s="2131"/>
      <c r="U60" s="969"/>
      <c r="V60" s="5457"/>
      <c r="W60" s="5457"/>
      <c r="X60" s="5457"/>
      <c r="Y60" s="5457"/>
      <c r="Z60" s="5457"/>
      <c r="AA60" s="5457"/>
      <c r="AB60" s="1677"/>
      <c r="AC60" s="2118"/>
      <c r="AD60" s="2395"/>
      <c r="AE60" s="874">
        <f>IF(Metamagia!AG39=1,70,0)</f>
        <v>0</v>
      </c>
      <c r="AF60" s="5695"/>
      <c r="AG60" s="5696"/>
      <c r="AH60" s="5696"/>
      <c r="AI60" s="5697"/>
      <c r="AJ60" s="1410" t="str">
        <f>IF(AF60=0,"",VLOOKUP(AF60,'Tablas Magia'!$D$6:$Z$680,3,FALSE))</f>
        <v/>
      </c>
      <c r="AK60" s="737"/>
      <c r="AL60" s="1379"/>
      <c r="AM60" s="3085"/>
      <c r="AN60" s="3085" t="s">
        <v>1739</v>
      </c>
      <c r="AO60" s="3085">
        <f>COUNTIF($AC$63:$AJ$63,AN60)</f>
        <v>0</v>
      </c>
      <c r="AP60" s="3085"/>
      <c r="AQ60" s="3085"/>
      <c r="AR60" s="3085"/>
      <c r="AS60" s="3085"/>
      <c r="AT60" s="3085"/>
      <c r="AU60" s="3085"/>
      <c r="AV60" s="3085"/>
      <c r="AW60" s="3085"/>
      <c r="AX60" s="3085"/>
      <c r="AY60" s="3085"/>
      <c r="AZ60" s="3085"/>
      <c r="BA60" s="3085"/>
      <c r="BB60" s="3085"/>
      <c r="BC60" s="3085"/>
      <c r="BD60" s="3085"/>
    </row>
    <row r="61" spans="1:56" ht="12" customHeight="1" thickBot="1" x14ac:dyDescent="0.25">
      <c r="A61" s="2131"/>
      <c r="B61" s="969"/>
      <c r="C61" s="3350" t="s">
        <v>9571</v>
      </c>
      <c r="D61" s="3351"/>
      <c r="E61" s="3351"/>
      <c r="F61" s="3351"/>
      <c r="G61" s="3351"/>
      <c r="H61" s="3351"/>
      <c r="I61" s="3351"/>
      <c r="J61" s="5575"/>
      <c r="K61" s="2111" t="s">
        <v>8819</v>
      </c>
      <c r="L61" s="2111" t="s">
        <v>1841</v>
      </c>
      <c r="M61" s="2111" t="s">
        <v>1499</v>
      </c>
      <c r="N61" s="2111" t="s">
        <v>9564</v>
      </c>
      <c r="O61" s="2111" t="s">
        <v>2828</v>
      </c>
      <c r="P61" s="2111" t="s">
        <v>2829</v>
      </c>
      <c r="Q61" s="2114" t="s">
        <v>2820</v>
      </c>
      <c r="R61" s="577"/>
      <c r="S61" s="2130"/>
      <c r="T61" s="2131"/>
      <c r="U61" s="969"/>
      <c r="V61" s="5922"/>
      <c r="W61" s="5922"/>
      <c r="X61" s="5922"/>
      <c r="Y61" s="5922"/>
      <c r="Z61" s="5922"/>
      <c r="AA61" s="5922"/>
      <c r="AB61" s="2184"/>
      <c r="AC61" s="1676"/>
      <c r="AD61" s="2395"/>
      <c r="AE61" s="1412">
        <f>IF(Metamagia!AA29=1,80,0)</f>
        <v>0</v>
      </c>
      <c r="AF61" s="5923"/>
      <c r="AG61" s="4766"/>
      <c r="AH61" s="4766"/>
      <c r="AI61" s="4767"/>
      <c r="AJ61" s="2966" t="str">
        <f>IF(AF61=0,"",VLOOKUP(AF61,'Tablas Magia'!$D$6:$Z$680,3,FALSE))</f>
        <v/>
      </c>
      <c r="AK61" s="737"/>
      <c r="AL61" s="1379"/>
      <c r="AM61" s="3085"/>
      <c r="AN61" s="3085" t="s">
        <v>10146</v>
      </c>
      <c r="AO61" s="3085">
        <f>COUNTIF($AC$63:$AJ$63,AN61)</f>
        <v>0</v>
      </c>
      <c r="AP61" s="3085"/>
      <c r="AQ61" s="3085"/>
      <c r="AR61" s="3085"/>
      <c r="AS61" s="3085"/>
      <c r="AT61" s="3085"/>
      <c r="AU61" s="3085"/>
      <c r="AV61" s="3085"/>
      <c r="AW61" s="3085"/>
      <c r="AX61" s="3085"/>
      <c r="AY61" s="3085"/>
      <c r="AZ61" s="3085"/>
      <c r="BA61" s="3085"/>
      <c r="BB61" s="3085"/>
      <c r="BC61" s="3085"/>
      <c r="BD61" s="3085"/>
    </row>
    <row r="62" spans="1:56" ht="12" customHeight="1" thickBot="1" x14ac:dyDescent="0.25">
      <c r="A62" s="2131"/>
      <c r="B62" s="969"/>
      <c r="C62" s="2096" t="s">
        <v>9565</v>
      </c>
      <c r="D62" s="5576"/>
      <c r="E62" s="5577"/>
      <c r="F62" s="5577"/>
      <c r="G62" s="5577"/>
      <c r="H62" s="5577"/>
      <c r="I62" s="5577"/>
      <c r="J62" s="5578"/>
      <c r="K62" s="2562"/>
      <c r="L62" s="2550"/>
      <c r="M62" s="2098"/>
      <c r="N62" s="2562"/>
      <c r="O62" s="2550"/>
      <c r="P62" s="2550"/>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85"/>
      <c r="AN62" s="3085" t="s">
        <v>10147</v>
      </c>
      <c r="AO62" s="3085">
        <f>COUNTIF($AC$63:$AJ$63,AN62)</f>
        <v>0</v>
      </c>
      <c r="AP62" s="3085"/>
      <c r="AQ62" s="3085"/>
      <c r="AR62" s="3085"/>
      <c r="AS62" s="3085"/>
      <c r="AT62" s="3085"/>
      <c r="AU62" s="3085"/>
      <c r="AV62" s="3085"/>
      <c r="AW62" s="3085"/>
      <c r="AX62" s="3085"/>
      <c r="AY62" s="3085"/>
      <c r="AZ62" s="3085"/>
      <c r="BA62" s="3085"/>
      <c r="BB62" s="3085"/>
      <c r="BC62" s="3085"/>
      <c r="BD62" s="3085"/>
    </row>
    <row r="63" spans="1:56" ht="12" customHeight="1" thickBot="1" x14ac:dyDescent="0.25">
      <c r="A63" s="2131"/>
      <c r="B63" s="969"/>
      <c r="C63" s="2095" t="s">
        <v>1835</v>
      </c>
      <c r="D63" s="5579"/>
      <c r="E63" s="5580"/>
      <c r="F63" s="5581" t="s">
        <v>9566</v>
      </c>
      <c r="G63" s="5582"/>
      <c r="H63" s="2098"/>
      <c r="I63" s="2097"/>
      <c r="J63" s="2097"/>
      <c r="K63" s="2551" t="s">
        <v>8809</v>
      </c>
      <c r="L63" s="5556"/>
      <c r="M63" s="5557"/>
      <c r="N63" s="5556"/>
      <c r="O63" s="5557"/>
      <c r="P63" s="5556"/>
      <c r="Q63" s="5558"/>
      <c r="R63" s="577"/>
      <c r="S63" s="2130"/>
      <c r="T63" s="2131"/>
      <c r="U63" s="969"/>
      <c r="V63" s="3350" t="s">
        <v>10150</v>
      </c>
      <c r="W63" s="3351"/>
      <c r="X63" s="3351"/>
      <c r="Y63" s="3351"/>
      <c r="Z63" s="3351"/>
      <c r="AA63" s="6036"/>
      <c r="AB63" s="2972" t="s">
        <v>1381</v>
      </c>
      <c r="AC63" s="4534"/>
      <c r="AD63" s="5924"/>
      <c r="AE63" s="5924"/>
      <c r="AF63" s="5925"/>
      <c r="AG63" s="4534"/>
      <c r="AH63" s="5924"/>
      <c r="AI63" s="5924"/>
      <c r="AJ63" s="4535"/>
      <c r="AK63" s="737"/>
      <c r="AL63" s="1379"/>
      <c r="AM63" s="3085"/>
      <c r="AN63" s="3085" t="s">
        <v>10148</v>
      </c>
      <c r="AO63" s="3085">
        <f>COUNTIF($AC$63:$AJ$63,AN63)</f>
        <v>0</v>
      </c>
      <c r="AP63" s="3085"/>
      <c r="AQ63" s="3085"/>
      <c r="AR63" s="3085"/>
      <c r="AS63" s="3085"/>
      <c r="AT63" s="3085"/>
      <c r="AU63" s="3085"/>
      <c r="AV63" s="3085"/>
      <c r="AW63" s="3085"/>
      <c r="AX63" s="3085"/>
      <c r="AY63" s="3085"/>
      <c r="AZ63" s="3085"/>
      <c r="BA63" s="3085"/>
      <c r="BB63" s="3085"/>
      <c r="BC63" s="3085"/>
      <c r="BD63" s="3085"/>
    </row>
    <row r="64" spans="1:56" ht="12" customHeight="1" thickBot="1" x14ac:dyDescent="0.25">
      <c r="A64" s="2131"/>
      <c r="B64" s="969"/>
      <c r="C64" s="2549" t="s">
        <v>1363</v>
      </c>
      <c r="D64" s="5564"/>
      <c r="E64" s="5565"/>
      <c r="F64" s="5561" t="s">
        <v>9568</v>
      </c>
      <c r="G64" s="5562"/>
      <c r="H64" s="5562"/>
      <c r="I64" s="5563"/>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85"/>
      <c r="AN64" s="3085" t="str">
        <f>IF(COUNTIF($AC$63:$AJ$63,"*"),"Dones demoníacos: ","")&amp;IF($AC$63&lt;&gt;"",$AC$63&amp;", ","")&amp;IF($AG$63&lt;&gt;"",$AG$63&amp;", ","")</f>
        <v/>
      </c>
      <c r="AO64" s="3085"/>
      <c r="AP64" s="3085"/>
      <c r="AQ64" s="3085"/>
      <c r="AR64" s="3085"/>
      <c r="AS64" s="3085"/>
      <c r="AT64" s="3085"/>
      <c r="AU64" s="3085"/>
      <c r="AV64" s="3085"/>
      <c r="AW64" s="3085"/>
      <c r="AX64" s="3085"/>
      <c r="AY64" s="3085"/>
      <c r="AZ64" s="3085"/>
      <c r="BA64" s="3085"/>
      <c r="BB64" s="3085"/>
      <c r="BC64" s="3085"/>
      <c r="BD64" s="3085"/>
    </row>
    <row r="65" spans="1:56" ht="12" customHeight="1" thickBot="1" x14ac:dyDescent="0.25">
      <c r="A65" s="2131"/>
      <c r="B65" s="969"/>
      <c r="C65" s="3350" t="s">
        <v>9572</v>
      </c>
      <c r="D65" s="3351"/>
      <c r="E65" s="3351"/>
      <c r="F65" s="3351"/>
      <c r="G65" s="3351"/>
      <c r="H65" s="3351"/>
      <c r="I65" s="3351"/>
      <c r="J65" s="5575"/>
      <c r="K65" s="2111" t="s">
        <v>8819</v>
      </c>
      <c r="L65" s="2111" t="s">
        <v>1841</v>
      </c>
      <c r="M65" s="2111" t="s">
        <v>1499</v>
      </c>
      <c r="N65" s="2111" t="s">
        <v>9564</v>
      </c>
      <c r="O65" s="2111" t="s">
        <v>2828</v>
      </c>
      <c r="P65" s="2111" t="s">
        <v>2829</v>
      </c>
      <c r="Q65" s="2114" t="s">
        <v>2820</v>
      </c>
      <c r="R65" s="577"/>
      <c r="S65" s="2130"/>
      <c r="T65" s="2131"/>
      <c r="U65" s="969"/>
      <c r="V65" s="5746" t="s">
        <v>1839</v>
      </c>
      <c r="W65" s="5406" t="s">
        <v>1840</v>
      </c>
      <c r="X65" s="5406"/>
      <c r="Y65" s="5406"/>
      <c r="Z65" s="5406"/>
      <c r="AA65" s="5406"/>
      <c r="AB65" s="40" t="s">
        <v>1489</v>
      </c>
      <c r="AC65" s="85" t="s">
        <v>1841</v>
      </c>
      <c r="AD65" s="5023" t="s">
        <v>1548</v>
      </c>
      <c r="AE65" s="5023"/>
      <c r="AF65" s="5023"/>
      <c r="AG65" s="5023"/>
      <c r="AH65" s="5023"/>
      <c r="AI65" s="5023"/>
      <c r="AJ65" s="5023"/>
      <c r="AK65" s="737"/>
      <c r="AL65" s="1379"/>
      <c r="AM65" s="3085"/>
      <c r="AN65" s="3085"/>
      <c r="AO65" s="3085"/>
      <c r="AP65" s="3085"/>
      <c r="AQ65" s="3085"/>
      <c r="AR65" s="3085"/>
      <c r="AS65" s="3085"/>
      <c r="AT65" s="3085"/>
      <c r="AU65" s="3085"/>
      <c r="AV65" s="3085"/>
      <c r="AW65" s="3085"/>
      <c r="AX65" s="3085"/>
      <c r="AY65" s="3085"/>
      <c r="AZ65" s="3085"/>
      <c r="BA65" s="3085"/>
      <c r="BB65" s="3085"/>
      <c r="BC65" s="3085"/>
      <c r="BD65" s="3085"/>
    </row>
    <row r="66" spans="1:56" ht="12" customHeight="1" x14ac:dyDescent="0.2">
      <c r="A66" s="2131"/>
      <c r="B66" s="969"/>
      <c r="C66" s="2096" t="s">
        <v>9565</v>
      </c>
      <c r="D66" s="5576"/>
      <c r="E66" s="5577"/>
      <c r="F66" s="5577"/>
      <c r="G66" s="5577"/>
      <c r="H66" s="5577"/>
      <c r="I66" s="5577"/>
      <c r="J66" s="5578"/>
      <c r="K66" s="2562"/>
      <c r="L66" s="2550"/>
      <c r="M66" s="2098"/>
      <c r="N66" s="2562"/>
      <c r="O66" s="2550"/>
      <c r="P66" s="2550"/>
      <c r="Q66" s="2099"/>
      <c r="R66" s="577"/>
      <c r="S66" s="2130"/>
      <c r="T66" s="2131"/>
      <c r="U66" s="969"/>
      <c r="V66" s="5747"/>
      <c r="W66" s="5550"/>
      <c r="X66" s="5550"/>
      <c r="Y66" s="5550"/>
      <c r="Z66" s="5550"/>
      <c r="AA66" s="5550"/>
      <c r="AB66" s="1670"/>
      <c r="AC66" s="1670"/>
      <c r="AD66" s="5551"/>
      <c r="AE66" s="5551"/>
      <c r="AF66" s="5551"/>
      <c r="AG66" s="5551"/>
      <c r="AH66" s="5551"/>
      <c r="AI66" s="5551"/>
      <c r="AJ66" s="5551"/>
      <c r="AK66" s="737"/>
      <c r="AL66" s="1379"/>
      <c r="AM66" s="3085"/>
      <c r="AN66" s="3085"/>
      <c r="AO66" s="3085"/>
      <c r="AP66" s="3085"/>
      <c r="AQ66" s="3085"/>
      <c r="AR66" s="3085"/>
      <c r="AS66" s="3085"/>
      <c r="AT66" s="3085"/>
      <c r="AU66" s="3085"/>
      <c r="AV66" s="3085"/>
      <c r="AW66" s="3085"/>
      <c r="AX66" s="3085"/>
      <c r="AY66" s="3085"/>
      <c r="AZ66" s="3085"/>
      <c r="BA66" s="3085"/>
      <c r="BB66" s="3085"/>
      <c r="BC66" s="3085"/>
      <c r="BD66" s="3085"/>
    </row>
    <row r="67" spans="1:56" ht="12" customHeight="1" x14ac:dyDescent="0.2">
      <c r="A67" s="2131"/>
      <c r="B67" s="969"/>
      <c r="C67" s="2095" t="s">
        <v>1835</v>
      </c>
      <c r="D67" s="5579"/>
      <c r="E67" s="5580"/>
      <c r="F67" s="5581" t="s">
        <v>9566</v>
      </c>
      <c r="G67" s="5582"/>
      <c r="H67" s="2098"/>
      <c r="I67" s="2097"/>
      <c r="J67" s="2097"/>
      <c r="K67" s="2551" t="s">
        <v>8809</v>
      </c>
      <c r="L67" s="5556"/>
      <c r="M67" s="5557"/>
      <c r="N67" s="5556"/>
      <c r="O67" s="5557"/>
      <c r="P67" s="5556"/>
      <c r="Q67" s="5558"/>
      <c r="R67" s="577"/>
      <c r="S67" s="2130"/>
      <c r="T67" s="2131"/>
      <c r="U67" s="969"/>
      <c r="V67" s="5747"/>
      <c r="W67" s="6031" t="s">
        <v>1844</v>
      </c>
      <c r="X67" s="6032"/>
      <c r="Y67" s="5549"/>
      <c r="Z67" s="5549"/>
      <c r="AA67" s="5549"/>
      <c r="AB67" s="5549"/>
      <c r="AC67" s="5549"/>
      <c r="AD67" s="5549"/>
      <c r="AE67" s="5549"/>
      <c r="AF67" s="5549"/>
      <c r="AG67" s="5549"/>
      <c r="AH67" s="5549"/>
      <c r="AI67" s="5549"/>
      <c r="AJ67" s="5549"/>
      <c r="AK67" s="737"/>
      <c r="AL67" s="1379"/>
      <c r="AM67" s="3085"/>
      <c r="AN67" s="3085"/>
      <c r="AO67" s="3085"/>
      <c r="AP67" s="3085"/>
      <c r="AQ67" s="3085"/>
      <c r="AR67" s="3085"/>
      <c r="AS67" s="3085"/>
      <c r="AT67" s="3085"/>
      <c r="AU67" s="3085"/>
      <c r="AV67" s="3085"/>
      <c r="AW67" s="3085"/>
      <c r="AX67" s="3085"/>
      <c r="AY67" s="3085"/>
      <c r="AZ67" s="3085"/>
      <c r="BA67" s="3085"/>
      <c r="BB67" s="3085"/>
      <c r="BC67" s="3085"/>
      <c r="BD67" s="3085"/>
    </row>
    <row r="68" spans="1:56" ht="12" customHeight="1" thickBot="1" x14ac:dyDescent="0.25">
      <c r="A68" s="2131"/>
      <c r="B68" s="969"/>
      <c r="C68" s="2549" t="s">
        <v>1363</v>
      </c>
      <c r="D68" s="5564"/>
      <c r="E68" s="5565"/>
      <c r="F68" s="5561" t="s">
        <v>9568</v>
      </c>
      <c r="G68" s="5562"/>
      <c r="H68" s="5562"/>
      <c r="I68" s="5563"/>
      <c r="J68" s="2100"/>
      <c r="K68" s="2100"/>
      <c r="L68" s="2100"/>
      <c r="M68" s="2100"/>
      <c r="N68" s="2100"/>
      <c r="O68" s="2100"/>
      <c r="P68" s="2100"/>
      <c r="Q68" s="2101"/>
      <c r="R68" s="577"/>
      <c r="S68" s="2130"/>
      <c r="T68" s="2131"/>
      <c r="U68" s="969"/>
      <c r="V68" s="5747"/>
      <c r="W68" s="6033" t="s">
        <v>1845</v>
      </c>
      <c r="X68" s="6034"/>
      <c r="Y68" s="6035"/>
      <c r="Z68" s="6035"/>
      <c r="AA68" s="6035"/>
      <c r="AB68" s="6035"/>
      <c r="AC68" s="6035"/>
      <c r="AD68" s="6035"/>
      <c r="AE68" s="6035"/>
      <c r="AF68" s="6035"/>
      <c r="AG68" s="6035"/>
      <c r="AH68" s="6035"/>
      <c r="AI68" s="6035"/>
      <c r="AJ68" s="6035"/>
      <c r="AK68" s="1697"/>
      <c r="AL68" s="2145"/>
      <c r="AM68" s="3085"/>
      <c r="AN68" s="3085"/>
      <c r="AO68" s="3085"/>
      <c r="AP68" s="3085"/>
      <c r="AQ68" s="3085"/>
      <c r="AR68" s="3085"/>
      <c r="AS68" s="3085"/>
      <c r="AT68" s="3085"/>
      <c r="AU68" s="3085"/>
      <c r="AV68" s="3085"/>
      <c r="AW68" s="3085"/>
      <c r="AX68" s="3085"/>
      <c r="AY68" s="3085"/>
      <c r="AZ68" s="3085"/>
      <c r="BA68" s="3085"/>
      <c r="BB68" s="3085"/>
      <c r="BC68" s="3085"/>
      <c r="BD68" s="3085"/>
    </row>
    <row r="69" spans="1:56" ht="12" customHeight="1" thickBot="1" x14ac:dyDescent="0.25">
      <c r="A69" s="2131"/>
      <c r="B69" s="969"/>
      <c r="C69" s="3350" t="s">
        <v>9573</v>
      </c>
      <c r="D69" s="3351"/>
      <c r="E69" s="3351"/>
      <c r="F69" s="3351"/>
      <c r="G69" s="3351"/>
      <c r="H69" s="3351"/>
      <c r="I69" s="3351"/>
      <c r="J69" s="5575"/>
      <c r="K69" s="2111" t="s">
        <v>8819</v>
      </c>
      <c r="L69" s="2111" t="s">
        <v>1841</v>
      </c>
      <c r="M69" s="2111" t="s">
        <v>1499</v>
      </c>
      <c r="N69" s="2111" t="s">
        <v>9564</v>
      </c>
      <c r="O69" s="2111" t="s">
        <v>2828</v>
      </c>
      <c r="P69" s="2111" t="s">
        <v>2829</v>
      </c>
      <c r="Q69" s="2114" t="s">
        <v>2820</v>
      </c>
      <c r="R69" s="577"/>
      <c r="S69" s="2130"/>
      <c r="T69" s="2131"/>
      <c r="U69" s="969"/>
      <c r="V69" s="5747"/>
      <c r="W69" s="5406" t="s">
        <v>1840</v>
      </c>
      <c r="X69" s="5406"/>
      <c r="Y69" s="5406"/>
      <c r="Z69" s="5406"/>
      <c r="AA69" s="5406"/>
      <c r="AB69" s="40" t="s">
        <v>1489</v>
      </c>
      <c r="AC69" s="85" t="s">
        <v>1841</v>
      </c>
      <c r="AD69" s="5023" t="s">
        <v>1548</v>
      </c>
      <c r="AE69" s="5023"/>
      <c r="AF69" s="5023"/>
      <c r="AG69" s="5023"/>
      <c r="AH69" s="5023"/>
      <c r="AI69" s="5023"/>
      <c r="AJ69" s="5023"/>
      <c r="AK69" s="737"/>
      <c r="AL69" s="2145"/>
      <c r="AM69" s="3085"/>
      <c r="AN69" s="3085"/>
      <c r="AO69" s="3085"/>
      <c r="AP69" s="3085"/>
      <c r="AQ69" s="3085"/>
      <c r="AR69" s="3085"/>
      <c r="AS69" s="3085"/>
      <c r="AT69" s="3085"/>
      <c r="AU69" s="3085"/>
      <c r="AV69" s="3085"/>
      <c r="AW69" s="3085"/>
      <c r="AX69" s="3085"/>
      <c r="AY69" s="3085"/>
      <c r="AZ69" s="3085"/>
      <c r="BA69" s="3085"/>
      <c r="BB69" s="3085"/>
      <c r="BC69" s="3085"/>
      <c r="BD69" s="3085"/>
    </row>
    <row r="70" spans="1:56" ht="12" customHeight="1" x14ac:dyDescent="0.2">
      <c r="A70" s="2131"/>
      <c r="B70" s="969"/>
      <c r="C70" s="2096" t="s">
        <v>9565</v>
      </c>
      <c r="D70" s="5576"/>
      <c r="E70" s="5577"/>
      <c r="F70" s="5577"/>
      <c r="G70" s="5577"/>
      <c r="H70" s="5577"/>
      <c r="I70" s="5577"/>
      <c r="J70" s="5578"/>
      <c r="K70" s="2562"/>
      <c r="L70" s="2550"/>
      <c r="M70" s="2098"/>
      <c r="N70" s="2562"/>
      <c r="O70" s="2550"/>
      <c r="P70" s="2550"/>
      <c r="Q70" s="2099"/>
      <c r="R70" s="577"/>
      <c r="S70" s="2130"/>
      <c r="T70" s="2131"/>
      <c r="U70" s="969"/>
      <c r="V70" s="5747"/>
      <c r="W70" s="5550"/>
      <c r="X70" s="5550"/>
      <c r="Y70" s="5550"/>
      <c r="Z70" s="5550"/>
      <c r="AA70" s="5550"/>
      <c r="AB70" s="1670"/>
      <c r="AC70" s="1670"/>
      <c r="AD70" s="5551"/>
      <c r="AE70" s="5551"/>
      <c r="AF70" s="5551"/>
      <c r="AG70" s="5551"/>
      <c r="AH70" s="5551"/>
      <c r="AI70" s="5551"/>
      <c r="AJ70" s="5551"/>
      <c r="AK70" s="737"/>
      <c r="AL70" s="2145"/>
      <c r="AM70" s="3085"/>
      <c r="AN70" s="3085"/>
      <c r="AO70" s="3085"/>
      <c r="AP70" s="3085"/>
      <c r="AQ70" s="3085"/>
      <c r="AR70" s="3085"/>
      <c r="AS70" s="3085"/>
      <c r="AT70" s="3085"/>
      <c r="AU70" s="3085"/>
      <c r="AV70" s="3085"/>
      <c r="AW70" s="3085"/>
      <c r="AX70" s="3085"/>
      <c r="AY70" s="3085"/>
      <c r="AZ70" s="3085"/>
      <c r="BA70" s="3085"/>
      <c r="BB70" s="3085"/>
      <c r="BC70" s="3085"/>
      <c r="BD70" s="3085"/>
    </row>
    <row r="71" spans="1:56" ht="12" customHeight="1" x14ac:dyDescent="0.2">
      <c r="A71" s="2131"/>
      <c r="B71" s="969"/>
      <c r="C71" s="2095" t="s">
        <v>1835</v>
      </c>
      <c r="D71" s="5579"/>
      <c r="E71" s="5580"/>
      <c r="F71" s="5581" t="s">
        <v>9566</v>
      </c>
      <c r="G71" s="5582"/>
      <c r="H71" s="2098"/>
      <c r="I71" s="2097"/>
      <c r="J71" s="2097"/>
      <c r="K71" s="2551" t="s">
        <v>8809</v>
      </c>
      <c r="L71" s="5556"/>
      <c r="M71" s="5557"/>
      <c r="N71" s="5556"/>
      <c r="O71" s="5557"/>
      <c r="P71" s="5556"/>
      <c r="Q71" s="5558"/>
      <c r="R71" s="577"/>
      <c r="S71" s="2130"/>
      <c r="T71" s="2131"/>
      <c r="U71" s="969"/>
      <c r="V71" s="5747"/>
      <c r="W71" s="6031" t="s">
        <v>1844</v>
      </c>
      <c r="X71" s="6032"/>
      <c r="Y71" s="5549"/>
      <c r="Z71" s="5549"/>
      <c r="AA71" s="5549"/>
      <c r="AB71" s="5549"/>
      <c r="AC71" s="5549"/>
      <c r="AD71" s="5549"/>
      <c r="AE71" s="5549"/>
      <c r="AF71" s="5549"/>
      <c r="AG71" s="5549"/>
      <c r="AH71" s="5549"/>
      <c r="AI71" s="5549"/>
      <c r="AJ71" s="5549"/>
      <c r="AK71" s="737"/>
      <c r="AL71" s="2145"/>
      <c r="AM71" s="3085"/>
      <c r="AN71" s="3085"/>
      <c r="AO71" s="3085"/>
      <c r="AP71" s="3085"/>
      <c r="AQ71" s="3085"/>
      <c r="AR71" s="3085"/>
      <c r="AS71" s="3085"/>
      <c r="AT71" s="3085"/>
      <c r="AU71" s="3085"/>
      <c r="AV71" s="3085"/>
      <c r="AW71" s="3085"/>
      <c r="AX71" s="3085"/>
      <c r="AY71" s="3085"/>
      <c r="AZ71" s="3085"/>
      <c r="BA71" s="3085"/>
      <c r="BB71" s="3085"/>
      <c r="BC71" s="3085"/>
      <c r="BD71" s="3085"/>
    </row>
    <row r="72" spans="1:56" ht="12" customHeight="1" thickBot="1" x14ac:dyDescent="0.25">
      <c r="A72" s="2131"/>
      <c r="B72" s="969"/>
      <c r="C72" s="2549" t="s">
        <v>1363</v>
      </c>
      <c r="D72" s="5564"/>
      <c r="E72" s="5565"/>
      <c r="F72" s="5561" t="s">
        <v>9568</v>
      </c>
      <c r="G72" s="5562"/>
      <c r="H72" s="5562"/>
      <c r="I72" s="5563"/>
      <c r="J72" s="2100"/>
      <c r="K72" s="2100"/>
      <c r="L72" s="2100"/>
      <c r="M72" s="2100"/>
      <c r="N72" s="2100"/>
      <c r="O72" s="2100"/>
      <c r="P72" s="2100"/>
      <c r="Q72" s="2101"/>
      <c r="R72" s="577"/>
      <c r="S72" s="2130"/>
      <c r="T72" s="2131"/>
      <c r="U72" s="969"/>
      <c r="V72" s="5748"/>
      <c r="W72" s="6033" t="s">
        <v>1845</v>
      </c>
      <c r="X72" s="6034"/>
      <c r="Y72" s="6035"/>
      <c r="Z72" s="6035"/>
      <c r="AA72" s="6035"/>
      <c r="AB72" s="6035"/>
      <c r="AC72" s="6035"/>
      <c r="AD72" s="6035"/>
      <c r="AE72" s="6035"/>
      <c r="AF72" s="6035"/>
      <c r="AG72" s="6035"/>
      <c r="AH72" s="6035"/>
      <c r="AI72" s="6035"/>
      <c r="AJ72" s="6035"/>
      <c r="AK72" s="737"/>
      <c r="AL72" s="2145"/>
      <c r="AM72" s="3085"/>
      <c r="AN72" s="3085"/>
      <c r="AO72" s="3085"/>
      <c r="AP72" s="3085"/>
      <c r="AQ72" s="3085"/>
      <c r="AR72" s="3085"/>
      <c r="AS72" s="3085"/>
      <c r="AT72" s="3085"/>
      <c r="AU72" s="3085"/>
      <c r="AV72" s="3085"/>
      <c r="AW72" s="3085"/>
      <c r="AX72" s="3085"/>
      <c r="AY72" s="3085"/>
      <c r="AZ72" s="3085"/>
      <c r="BA72" s="3085"/>
      <c r="BB72" s="3085"/>
      <c r="BC72" s="3085"/>
      <c r="BD72" s="3085"/>
    </row>
    <row r="73" spans="1:56" ht="12" customHeight="1" thickBot="1" x14ac:dyDescent="0.25">
      <c r="A73" s="2131"/>
      <c r="B73" s="969"/>
      <c r="C73" s="3350" t="s">
        <v>9574</v>
      </c>
      <c r="D73" s="3351"/>
      <c r="E73" s="3351"/>
      <c r="F73" s="3351"/>
      <c r="G73" s="3351"/>
      <c r="H73" s="3351"/>
      <c r="I73" s="3351"/>
      <c r="J73" s="5575"/>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85"/>
      <c r="AN73" s="3085"/>
      <c r="AO73" s="3085"/>
      <c r="AP73" s="3085"/>
      <c r="AQ73" s="3085"/>
      <c r="AR73" s="3085"/>
      <c r="AS73" s="3085"/>
      <c r="AT73" s="3085"/>
      <c r="AU73" s="3085"/>
      <c r="AV73" s="3085"/>
      <c r="AW73" s="3085"/>
      <c r="AX73" s="3085"/>
      <c r="AY73" s="3085"/>
      <c r="AZ73" s="3085"/>
      <c r="BA73" s="3085"/>
      <c r="BB73" s="3085"/>
      <c r="BC73" s="3085"/>
      <c r="BD73" s="3085"/>
    </row>
    <row r="74" spans="1:56" ht="12" customHeight="1" thickBot="1" x14ac:dyDescent="0.25">
      <c r="A74" s="2131"/>
      <c r="B74" s="969"/>
      <c r="C74" s="2096" t="s">
        <v>9565</v>
      </c>
      <c r="D74" s="5576"/>
      <c r="E74" s="5577"/>
      <c r="F74" s="5577"/>
      <c r="G74" s="5577"/>
      <c r="H74" s="5577"/>
      <c r="I74" s="5577"/>
      <c r="J74" s="5578"/>
      <c r="K74" s="2562"/>
      <c r="L74" s="2550"/>
      <c r="M74" s="2098"/>
      <c r="N74" s="2562"/>
      <c r="O74" s="2550"/>
      <c r="P74" s="2550"/>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85"/>
      <c r="AN74" s="3085"/>
      <c r="AO74" s="3085"/>
      <c r="AP74" s="3085"/>
      <c r="AQ74" s="3085"/>
      <c r="AR74" s="3085"/>
      <c r="AS74" s="3085"/>
      <c r="AT74" s="3085"/>
      <c r="AU74" s="3085"/>
      <c r="AV74" s="3085"/>
      <c r="AW74" s="3085"/>
      <c r="AX74" s="3085"/>
      <c r="AY74" s="3085"/>
      <c r="AZ74" s="3085"/>
      <c r="BA74" s="3085"/>
      <c r="BB74" s="3085"/>
      <c r="BC74" s="3085"/>
      <c r="BD74" s="3085"/>
    </row>
    <row r="75" spans="1:56" ht="12" customHeight="1" x14ac:dyDescent="0.2">
      <c r="A75" s="2131"/>
      <c r="B75" s="969"/>
      <c r="C75" s="2095" t="s">
        <v>1835</v>
      </c>
      <c r="D75" s="5579"/>
      <c r="E75" s="5580"/>
      <c r="F75" s="5581" t="s">
        <v>9566</v>
      </c>
      <c r="G75" s="5582"/>
      <c r="H75" s="2098"/>
      <c r="I75" s="2097"/>
      <c r="J75" s="2097"/>
      <c r="K75" s="2551" t="s">
        <v>8809</v>
      </c>
      <c r="L75" s="5556"/>
      <c r="M75" s="5557"/>
      <c r="N75" s="5556"/>
      <c r="O75" s="5557"/>
      <c r="P75" s="5556"/>
      <c r="Q75" s="5558"/>
      <c r="R75" s="577"/>
      <c r="S75" s="2130"/>
      <c r="T75" s="2131"/>
      <c r="U75" s="969"/>
      <c r="V75" s="4960" t="s">
        <v>8585</v>
      </c>
      <c r="W75" s="4961"/>
      <c r="X75" s="4961"/>
      <c r="Y75" s="4961"/>
      <c r="Z75" s="4961"/>
      <c r="AA75" s="4961"/>
      <c r="AB75" s="4961"/>
      <c r="AC75" s="4961"/>
      <c r="AD75" s="4961"/>
      <c r="AE75" s="4961"/>
      <c r="AF75" s="4961"/>
      <c r="AG75" s="4961"/>
      <c r="AH75" s="4961"/>
      <c r="AI75" s="4961"/>
      <c r="AJ75" s="5536"/>
      <c r="AK75" s="737"/>
      <c r="AL75" s="2145"/>
      <c r="AM75" s="3085"/>
      <c r="AN75" s="3085"/>
      <c r="AO75" s="3085"/>
      <c r="AP75" s="3085"/>
      <c r="AQ75" s="3085"/>
      <c r="AR75" s="3085"/>
      <c r="AS75" s="3085"/>
      <c r="AT75" s="3085"/>
      <c r="AU75" s="3085"/>
      <c r="AV75" s="3085"/>
      <c r="AW75" s="3085"/>
      <c r="AX75" s="3085"/>
      <c r="AY75" s="3085"/>
      <c r="AZ75" s="3085"/>
      <c r="BA75" s="3085"/>
      <c r="BB75" s="3085"/>
      <c r="BC75" s="3085"/>
      <c r="BD75" s="3085"/>
    </row>
    <row r="76" spans="1:56" ht="12" customHeight="1" thickBot="1" x14ac:dyDescent="0.25">
      <c r="A76" s="2131"/>
      <c r="B76" s="969"/>
      <c r="C76" s="2549" t="s">
        <v>1363</v>
      </c>
      <c r="D76" s="5564"/>
      <c r="E76" s="5565"/>
      <c r="F76" s="5561" t="s">
        <v>9568</v>
      </c>
      <c r="G76" s="5562"/>
      <c r="H76" s="5562"/>
      <c r="I76" s="5563"/>
      <c r="J76" s="2100"/>
      <c r="K76" s="2100"/>
      <c r="L76" s="2100"/>
      <c r="M76" s="2100"/>
      <c r="N76" s="2100"/>
      <c r="O76" s="2100"/>
      <c r="P76" s="2100"/>
      <c r="Q76" s="2101"/>
      <c r="R76" s="577"/>
      <c r="S76" s="2130"/>
      <c r="T76" s="2131"/>
      <c r="U76" s="969"/>
      <c r="V76" s="4963"/>
      <c r="W76" s="4964"/>
      <c r="X76" s="4964"/>
      <c r="Y76" s="4964"/>
      <c r="Z76" s="4964"/>
      <c r="AA76" s="4964"/>
      <c r="AB76" s="4964"/>
      <c r="AC76" s="4964"/>
      <c r="AD76" s="4964"/>
      <c r="AE76" s="4964"/>
      <c r="AF76" s="4964"/>
      <c r="AG76" s="4964"/>
      <c r="AH76" s="4964"/>
      <c r="AI76" s="4964"/>
      <c r="AJ76" s="5537"/>
      <c r="AK76" s="737"/>
      <c r="AL76" s="2145"/>
      <c r="AM76" s="3085"/>
      <c r="AN76" s="3085"/>
      <c r="AO76" s="3085"/>
      <c r="AP76" s="3085"/>
      <c r="AQ76" s="3085"/>
      <c r="AR76" s="3085"/>
      <c r="AS76" s="3085"/>
      <c r="AT76" s="3085"/>
      <c r="AU76" s="3085"/>
      <c r="AV76" s="3085"/>
      <c r="AW76" s="3085"/>
      <c r="AX76" s="3085"/>
      <c r="AY76" s="3085"/>
      <c r="AZ76" s="3085"/>
      <c r="BA76" s="3085"/>
      <c r="BB76" s="3085"/>
      <c r="BC76" s="3085"/>
      <c r="BD76" s="3085"/>
    </row>
    <row r="77" spans="1:56" ht="12" customHeight="1" thickBot="1" x14ac:dyDescent="0.25">
      <c r="A77" s="2131"/>
      <c r="B77" s="969"/>
      <c r="C77" s="2661"/>
      <c r="D77" s="2662"/>
      <c r="E77" s="2662"/>
      <c r="F77" s="2661"/>
      <c r="G77" s="2661"/>
      <c r="H77" s="2661"/>
      <c r="I77" s="2661"/>
      <c r="J77" s="2662"/>
      <c r="K77" s="2662"/>
      <c r="L77" s="2662"/>
      <c r="M77" s="2662"/>
      <c r="N77" s="2662"/>
      <c r="O77" s="2662"/>
      <c r="P77" s="2662"/>
      <c r="Q77" s="2662"/>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85"/>
      <c r="AN77" s="3085"/>
      <c r="AO77" s="3085"/>
      <c r="AP77" s="3085"/>
      <c r="AQ77" s="3085"/>
      <c r="AR77" s="3085"/>
      <c r="AS77" s="3085"/>
      <c r="AT77" s="3085"/>
      <c r="AU77" s="3085"/>
      <c r="AV77" s="3085"/>
      <c r="AW77" s="3085"/>
      <c r="AX77" s="3085"/>
      <c r="AY77" s="3085"/>
      <c r="AZ77" s="3085"/>
      <c r="BA77" s="3085"/>
      <c r="BB77" s="3085"/>
      <c r="BC77" s="3085"/>
      <c r="BD77" s="3085"/>
    </row>
    <row r="78" spans="1:56" ht="12" customHeight="1" thickBot="1" x14ac:dyDescent="0.25">
      <c r="A78" s="2131"/>
      <c r="B78" s="969"/>
      <c r="C78" s="4485" t="s">
        <v>9578</v>
      </c>
      <c r="D78" s="4486"/>
      <c r="E78" s="4487"/>
      <c r="F78" s="6013" t="s">
        <v>9576</v>
      </c>
      <c r="G78" s="6009"/>
      <c r="H78" s="6009"/>
      <c r="I78" s="6009"/>
      <c r="J78" s="6009"/>
      <c r="K78" s="6009"/>
      <c r="L78" s="5585"/>
      <c r="M78" s="5584" t="s">
        <v>9575</v>
      </c>
      <c r="N78" s="5585"/>
      <c r="O78" s="5584" t="s">
        <v>1370</v>
      </c>
      <c r="P78" s="5585"/>
      <c r="Q78" s="2115" t="s">
        <v>1402</v>
      </c>
      <c r="R78" s="577"/>
      <c r="S78" s="2130"/>
      <c r="T78" s="2131"/>
      <c r="U78" s="969"/>
      <c r="V78" s="5418" t="s">
        <v>9580</v>
      </c>
      <c r="W78" s="5419"/>
      <c r="X78" s="5419"/>
      <c r="Y78" s="5419"/>
      <c r="Z78" s="5419"/>
      <c r="AA78" s="5419"/>
      <c r="AB78" s="6025"/>
      <c r="AC78" s="2104"/>
      <c r="AD78" s="3350" t="s">
        <v>9579</v>
      </c>
      <c r="AE78" s="3351"/>
      <c r="AF78" s="3351"/>
      <c r="AG78" s="3351"/>
      <c r="AH78" s="3351"/>
      <c r="AI78" s="3351"/>
      <c r="AJ78" s="3352"/>
      <c r="AK78" s="737"/>
      <c r="AL78" s="2145"/>
      <c r="AM78" s="3085"/>
      <c r="AN78" s="3085"/>
      <c r="AO78" s="3085"/>
      <c r="AP78" s="3085"/>
      <c r="AQ78" s="3085"/>
      <c r="AR78" s="3085"/>
      <c r="AS78" s="3085"/>
      <c r="AT78" s="3085"/>
      <c r="AU78" s="3085"/>
      <c r="AV78" s="3085"/>
      <c r="AW78" s="3085"/>
      <c r="AX78" s="3085"/>
      <c r="AY78" s="3085"/>
      <c r="AZ78" s="3085"/>
      <c r="BA78" s="3085"/>
      <c r="BB78" s="3085"/>
      <c r="BC78" s="3085"/>
      <c r="BD78" s="3085"/>
    </row>
    <row r="79" spans="1:56" ht="12" customHeight="1" x14ac:dyDescent="0.2">
      <c r="A79" s="2131"/>
      <c r="B79" s="969"/>
      <c r="C79" s="5543"/>
      <c r="D79" s="5544"/>
      <c r="E79" s="5545"/>
      <c r="F79" s="6010"/>
      <c r="G79" s="6011"/>
      <c r="H79" s="6011"/>
      <c r="I79" s="6011"/>
      <c r="J79" s="6011"/>
      <c r="K79" s="6011"/>
      <c r="L79" s="6012"/>
      <c r="M79" s="5552"/>
      <c r="N79" s="5553"/>
      <c r="O79" s="5552"/>
      <c r="P79" s="5553"/>
      <c r="Q79" s="2548"/>
      <c r="R79" s="577"/>
      <c r="S79" s="2130"/>
      <c r="T79" s="2131"/>
      <c r="U79" s="969"/>
      <c r="V79" s="6026" t="s">
        <v>1440</v>
      </c>
      <c r="W79" s="6027"/>
      <c r="X79" s="6027"/>
      <c r="Y79" s="6027"/>
      <c r="Z79" s="6027"/>
      <c r="AA79" s="6028"/>
      <c r="AB79" s="2993" t="s">
        <v>1489</v>
      </c>
      <c r="AC79" s="2335"/>
      <c r="AD79" s="6018" t="s">
        <v>1440</v>
      </c>
      <c r="AE79" s="6019"/>
      <c r="AF79" s="6019"/>
      <c r="AG79" s="6019"/>
      <c r="AH79" s="6020"/>
      <c r="AI79" s="2891" t="s">
        <v>1030</v>
      </c>
      <c r="AJ79" s="2993" t="s">
        <v>1499</v>
      </c>
      <c r="AK79" s="737"/>
      <c r="AL79" s="2145"/>
      <c r="AM79" s="3085"/>
      <c r="AN79" s="3085"/>
      <c r="AO79" s="3085"/>
      <c r="AP79" s="3085"/>
      <c r="AQ79" s="3085"/>
      <c r="AR79" s="3085"/>
      <c r="AS79" s="3085"/>
      <c r="AT79" s="3085"/>
      <c r="AU79" s="3085"/>
      <c r="AV79" s="3085"/>
      <c r="AW79" s="3085"/>
      <c r="AX79" s="3085"/>
      <c r="AY79" s="3085"/>
      <c r="AZ79" s="3085"/>
      <c r="BA79" s="3085"/>
      <c r="BB79" s="3085"/>
      <c r="BC79" s="3085"/>
      <c r="BD79" s="3085"/>
    </row>
    <row r="80" spans="1:56" ht="12" customHeight="1" x14ac:dyDescent="0.2">
      <c r="A80" s="2131"/>
      <c r="B80" s="1375"/>
      <c r="C80" s="5543"/>
      <c r="D80" s="5544"/>
      <c r="E80" s="5545"/>
      <c r="F80" s="5566"/>
      <c r="G80" s="5567"/>
      <c r="H80" s="5567"/>
      <c r="I80" s="5567"/>
      <c r="J80" s="5567"/>
      <c r="K80" s="5567"/>
      <c r="L80" s="5568"/>
      <c r="M80" s="5554"/>
      <c r="N80" s="5555"/>
      <c r="O80" s="5554"/>
      <c r="P80" s="5555"/>
      <c r="Q80" s="2547"/>
      <c r="R80" s="1376"/>
      <c r="S80" s="2130"/>
      <c r="T80" s="2131"/>
      <c r="U80" s="1375"/>
      <c r="V80" s="6010"/>
      <c r="W80" s="6011"/>
      <c r="X80" s="6011"/>
      <c r="Y80" s="6011"/>
      <c r="Z80" s="6011"/>
      <c r="AA80" s="6012"/>
      <c r="AB80" s="2102"/>
      <c r="AC80" s="2335"/>
      <c r="AD80" s="5712"/>
      <c r="AE80" s="5713"/>
      <c r="AF80" s="5713"/>
      <c r="AG80" s="5713"/>
      <c r="AH80" s="5713"/>
      <c r="AI80" s="2975"/>
      <c r="AJ80" s="2102"/>
      <c r="AK80" s="737"/>
      <c r="AL80" s="2145"/>
      <c r="AM80" s="3085"/>
      <c r="AN80" s="3085"/>
      <c r="AO80" s="3085"/>
      <c r="AP80" s="3085"/>
      <c r="AQ80" s="3085"/>
      <c r="AR80" s="3085"/>
      <c r="AS80" s="3085"/>
      <c r="AT80" s="3085"/>
      <c r="AU80" s="3085"/>
      <c r="AV80" s="3085"/>
      <c r="AW80" s="3085"/>
      <c r="AX80" s="3085"/>
      <c r="AY80" s="3085"/>
      <c r="AZ80" s="3085"/>
      <c r="BA80" s="3085"/>
      <c r="BB80" s="3085"/>
      <c r="BC80" s="3085"/>
      <c r="BD80" s="3085"/>
    </row>
    <row r="81" spans="1:56" ht="12" customHeight="1" x14ac:dyDescent="0.2">
      <c r="A81" s="949"/>
      <c r="B81" s="485"/>
      <c r="C81" s="5543"/>
      <c r="D81" s="5544"/>
      <c r="E81" s="5545"/>
      <c r="F81" s="5569"/>
      <c r="G81" s="5570"/>
      <c r="H81" s="5570"/>
      <c r="I81" s="5570"/>
      <c r="J81" s="5570"/>
      <c r="K81" s="5570"/>
      <c r="L81" s="5571"/>
      <c r="M81" s="5559"/>
      <c r="N81" s="5560"/>
      <c r="O81" s="5559"/>
      <c r="P81" s="5560"/>
      <c r="Q81" s="2660"/>
      <c r="R81" s="577"/>
      <c r="S81" s="949"/>
      <c r="T81" s="949"/>
      <c r="U81" s="485"/>
      <c r="V81" s="6023"/>
      <c r="W81" s="6024"/>
      <c r="X81" s="6024"/>
      <c r="Y81" s="6024"/>
      <c r="Z81" s="6024"/>
      <c r="AA81" s="6029"/>
      <c r="AB81" s="2103"/>
      <c r="AC81" s="2335"/>
      <c r="AD81" s="6023"/>
      <c r="AE81" s="6024"/>
      <c r="AF81" s="6024"/>
      <c r="AG81" s="6024"/>
      <c r="AH81" s="6024"/>
      <c r="AI81" s="2974"/>
      <c r="AJ81" s="2103"/>
      <c r="AK81" s="737"/>
      <c r="AL81" s="2145"/>
      <c r="AM81" s="3085"/>
      <c r="AN81" s="3085"/>
      <c r="AO81" s="3085"/>
      <c r="AP81" s="3085"/>
      <c r="AQ81" s="3085"/>
      <c r="AR81" s="3085"/>
      <c r="AS81" s="3085"/>
      <c r="AT81" s="3085"/>
      <c r="AU81" s="3085"/>
      <c r="AV81" s="3085"/>
      <c r="AW81" s="3085"/>
      <c r="AX81" s="3085"/>
      <c r="AY81" s="3085"/>
      <c r="AZ81" s="3085"/>
      <c r="BA81" s="3085"/>
      <c r="BB81" s="3085"/>
      <c r="BC81" s="3085"/>
      <c r="BD81" s="3085"/>
    </row>
    <row r="82" spans="1:56" ht="12" customHeight="1" thickBot="1" x14ac:dyDescent="0.25">
      <c r="A82" s="949"/>
      <c r="B82" s="485"/>
      <c r="C82" s="5543"/>
      <c r="D82" s="5544"/>
      <c r="E82" s="5545"/>
      <c r="F82" s="5566"/>
      <c r="G82" s="5567"/>
      <c r="H82" s="5567"/>
      <c r="I82" s="5567"/>
      <c r="J82" s="5567"/>
      <c r="K82" s="5567"/>
      <c r="L82" s="5568"/>
      <c r="M82" s="5554"/>
      <c r="N82" s="5555"/>
      <c r="O82" s="5583"/>
      <c r="P82" s="5555"/>
      <c r="Q82" s="2659"/>
      <c r="R82" s="1377"/>
      <c r="S82" s="1378"/>
      <c r="T82" s="1378"/>
      <c r="U82" s="969"/>
      <c r="V82" s="6021"/>
      <c r="W82" s="6022"/>
      <c r="X82" s="6022"/>
      <c r="Y82" s="6022"/>
      <c r="Z82" s="6022"/>
      <c r="AA82" s="6030"/>
      <c r="AB82" s="2994"/>
      <c r="AC82" s="2335"/>
      <c r="AD82" s="6021"/>
      <c r="AE82" s="6022"/>
      <c r="AF82" s="6022"/>
      <c r="AG82" s="6022"/>
      <c r="AH82" s="6022"/>
      <c r="AI82" s="2976"/>
      <c r="AJ82" s="2994"/>
      <c r="AK82" s="737"/>
      <c r="AL82" s="2145"/>
      <c r="AM82" s="3085"/>
      <c r="AN82" s="3085"/>
      <c r="AO82" s="3085"/>
      <c r="AP82" s="3085"/>
      <c r="AQ82" s="3085"/>
      <c r="AR82" s="3085"/>
      <c r="AS82" s="3085"/>
      <c r="AT82" s="3085"/>
      <c r="AU82" s="3085"/>
      <c r="AV82" s="3085"/>
      <c r="AW82" s="3085"/>
      <c r="AX82" s="3085"/>
      <c r="AY82" s="3085"/>
      <c r="AZ82" s="3085"/>
      <c r="BA82" s="3085"/>
      <c r="BB82" s="3085"/>
      <c r="BC82" s="3085"/>
      <c r="BD82" s="3085"/>
    </row>
    <row r="83" spans="1:56" ht="12" customHeight="1" thickBot="1" x14ac:dyDescent="0.25">
      <c r="A83" s="949"/>
      <c r="B83" s="485"/>
      <c r="C83" s="5546"/>
      <c r="D83" s="5547"/>
      <c r="E83" s="5548"/>
      <c r="F83" s="5538"/>
      <c r="G83" s="5539"/>
      <c r="H83" s="5539"/>
      <c r="I83" s="5539"/>
      <c r="J83" s="5539"/>
      <c r="K83" s="5539"/>
      <c r="L83" s="5540"/>
      <c r="M83" s="5541"/>
      <c r="N83" s="5542"/>
      <c r="O83" s="5541"/>
      <c r="P83" s="5542"/>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85"/>
      <c r="AN83" s="3085"/>
      <c r="AO83" s="3085"/>
      <c r="AP83" s="3085"/>
      <c r="AQ83" s="3085"/>
      <c r="AR83" s="3085"/>
      <c r="AS83" s="3085"/>
      <c r="AT83" s="3085"/>
      <c r="AU83" s="3085"/>
      <c r="AV83" s="3085"/>
      <c r="AW83" s="3085"/>
      <c r="AX83" s="3085"/>
      <c r="AY83" s="3085"/>
      <c r="AZ83" s="3085"/>
      <c r="BA83" s="3085"/>
      <c r="BB83" s="3085"/>
      <c r="BC83" s="3085"/>
      <c r="BD83" s="3085"/>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6014" t="s">
        <v>1915</v>
      </c>
      <c r="W84" s="6015"/>
      <c r="X84" s="6016"/>
      <c r="Y84" s="2995"/>
      <c r="Z84" s="5683" t="s">
        <v>8605</v>
      </c>
      <c r="AA84" s="5684"/>
      <c r="AB84" s="5685"/>
      <c r="AC84" s="2395"/>
      <c r="AD84" s="5653" t="s">
        <v>7111</v>
      </c>
      <c r="AE84" s="5654"/>
      <c r="AF84" s="5655"/>
      <c r="AG84" s="2395"/>
      <c r="AH84" s="5653" t="s">
        <v>7112</v>
      </c>
      <c r="AI84" s="5654"/>
      <c r="AJ84" s="5655"/>
      <c r="AK84" s="737"/>
      <c r="AL84" s="2145"/>
      <c r="AM84" s="3085"/>
      <c r="AN84" s="3085"/>
      <c r="AO84" s="3085"/>
      <c r="AP84" s="3085"/>
      <c r="AQ84" s="3085"/>
      <c r="AR84" s="3085"/>
      <c r="AS84" s="3085"/>
      <c r="AT84" s="3085"/>
      <c r="AU84" s="3085"/>
      <c r="AV84" s="3085"/>
      <c r="AW84" s="3085"/>
      <c r="AX84" s="3085"/>
      <c r="AY84" s="3085"/>
      <c r="AZ84" s="3085"/>
      <c r="BA84" s="3085"/>
      <c r="BB84" s="3085"/>
      <c r="BC84" s="3085"/>
      <c r="BD84" s="3085"/>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702"/>
      <c r="W85" s="5703"/>
      <c r="X85" s="5704"/>
      <c r="Y85" s="2995"/>
      <c r="Z85" s="5686"/>
      <c r="AA85" s="5687"/>
      <c r="AB85" s="5688"/>
      <c r="AC85" s="2395"/>
      <c r="AD85" s="5708" t="s">
        <v>8604</v>
      </c>
      <c r="AE85" s="5709"/>
      <c r="AF85" s="1693"/>
      <c r="AG85" s="2395"/>
      <c r="AH85" s="5662"/>
      <c r="AI85" s="5663"/>
      <c r="AJ85" s="5664"/>
      <c r="AK85" s="737"/>
      <c r="AL85" s="1379"/>
      <c r="AM85" s="3085"/>
      <c r="AN85" s="3085"/>
      <c r="AO85" s="3085"/>
      <c r="AP85" s="3085"/>
      <c r="AQ85" s="3085"/>
      <c r="AR85" s="3085"/>
      <c r="AS85" s="3085"/>
      <c r="AT85" s="3085"/>
      <c r="AU85" s="3085"/>
      <c r="AV85" s="3085"/>
      <c r="AW85" s="3085"/>
      <c r="AX85" s="3085"/>
      <c r="AY85" s="3085"/>
      <c r="AZ85" s="3085"/>
      <c r="BA85" s="3085"/>
      <c r="BB85" s="3085"/>
      <c r="BC85" s="3085"/>
      <c r="BD85" s="3085"/>
    </row>
    <row r="86" spans="1:56" ht="12" customHeight="1" thickBot="1" x14ac:dyDescent="0.25">
      <c r="A86" s="949"/>
      <c r="B86" s="485"/>
      <c r="C86" s="4960" t="s">
        <v>7291</v>
      </c>
      <c r="D86" s="4961"/>
      <c r="E86" s="4961"/>
      <c r="F86" s="4961"/>
      <c r="G86" s="4961"/>
      <c r="H86" s="4961"/>
      <c r="I86" s="4961"/>
      <c r="J86" s="4961"/>
      <c r="K86" s="4961"/>
      <c r="L86" s="4961"/>
      <c r="M86" s="4961"/>
      <c r="N86" s="4961"/>
      <c r="O86" s="4961"/>
      <c r="P86" s="4961"/>
      <c r="Q86" s="5536"/>
      <c r="R86" s="1377"/>
      <c r="S86" s="1378"/>
      <c r="T86" s="1378"/>
      <c r="U86" s="969"/>
      <c r="V86" s="5705"/>
      <c r="W86" s="5706"/>
      <c r="X86" s="5707"/>
      <c r="Y86" s="2996"/>
      <c r="Z86" s="4930" t="s">
        <v>8603</v>
      </c>
      <c r="AA86" s="5668"/>
      <c r="AB86" s="5669"/>
      <c r="AC86" s="2395"/>
      <c r="AD86" s="5662"/>
      <c r="AE86" s="5663"/>
      <c r="AF86" s="5664"/>
      <c r="AG86" s="2395"/>
      <c r="AH86" s="5656"/>
      <c r="AI86" s="5657"/>
      <c r="AJ86" s="5658"/>
      <c r="AK86" s="737"/>
      <c r="AL86" s="2145"/>
      <c r="AM86" s="3085"/>
      <c r="AN86" s="3085"/>
      <c r="AO86" s="3085"/>
      <c r="AP86" s="3085"/>
      <c r="AQ86" s="3085"/>
      <c r="AR86" s="3085"/>
      <c r="AS86" s="3085"/>
      <c r="AT86" s="3085"/>
      <c r="AU86" s="3085"/>
      <c r="AV86" s="3085"/>
      <c r="AW86" s="3085"/>
      <c r="AX86" s="3085"/>
      <c r="AY86" s="3085"/>
      <c r="AZ86" s="3085"/>
      <c r="BA86" s="3085"/>
      <c r="BB86" s="3085"/>
      <c r="BC86" s="3085"/>
      <c r="BD86" s="3085"/>
    </row>
    <row r="87" spans="1:56" ht="12" customHeight="1" thickBot="1" x14ac:dyDescent="0.25">
      <c r="A87" s="949"/>
      <c r="B87" s="485"/>
      <c r="C87" s="4963"/>
      <c r="D87" s="4964"/>
      <c r="E87" s="4964"/>
      <c r="F87" s="4964"/>
      <c r="G87" s="4964"/>
      <c r="H87" s="4964"/>
      <c r="I87" s="4964"/>
      <c r="J87" s="4964"/>
      <c r="K87" s="4964"/>
      <c r="L87" s="4964"/>
      <c r="M87" s="4964"/>
      <c r="N87" s="4964"/>
      <c r="O87" s="4964"/>
      <c r="P87" s="4964"/>
      <c r="Q87" s="5537"/>
      <c r="R87" s="577"/>
      <c r="S87" s="949"/>
      <c r="T87" s="949"/>
      <c r="U87" s="485"/>
      <c r="V87" s="5702"/>
      <c r="W87" s="5703"/>
      <c r="X87" s="5704"/>
      <c r="Y87" s="2996"/>
      <c r="Z87" s="5665"/>
      <c r="AA87" s="5666"/>
      <c r="AB87" s="5667"/>
      <c r="AC87" s="2395"/>
      <c r="AD87" s="5656"/>
      <c r="AE87" s="5657"/>
      <c r="AF87" s="5658"/>
      <c r="AG87" s="2395"/>
      <c r="AH87" s="5659"/>
      <c r="AI87" s="5660"/>
      <c r="AJ87" s="5661"/>
      <c r="AK87" s="737"/>
      <c r="AL87" s="2145"/>
      <c r="AM87" s="3085"/>
      <c r="AN87" s="3085"/>
      <c r="AO87" s="3085"/>
      <c r="AP87" s="3085"/>
      <c r="AQ87" s="3085"/>
      <c r="AR87" s="3085"/>
      <c r="AS87" s="3085"/>
      <c r="AT87" s="3085"/>
      <c r="AU87" s="3085"/>
      <c r="AV87" s="3085"/>
      <c r="AW87" s="3085"/>
      <c r="AX87" s="3085"/>
      <c r="AY87" s="3085"/>
      <c r="AZ87" s="3085"/>
      <c r="BA87" s="3085"/>
      <c r="BB87" s="3085"/>
      <c r="BC87" s="3085"/>
      <c r="BD87" s="3085"/>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705"/>
      <c r="W88" s="5706"/>
      <c r="X88" s="5707"/>
      <c r="Y88" s="2996"/>
      <c r="Z88" s="5710" t="s">
        <v>9596</v>
      </c>
      <c r="AA88" s="5711"/>
      <c r="AB88" s="3017"/>
      <c r="AC88" s="2395"/>
      <c r="AD88" s="5659"/>
      <c r="AE88" s="5660"/>
      <c r="AF88" s="5661"/>
      <c r="AG88" s="2395"/>
      <c r="AH88" s="2395"/>
      <c r="AI88" s="2395"/>
      <c r="AJ88" s="669"/>
      <c r="AK88" s="737"/>
      <c r="AL88" s="2145"/>
      <c r="AM88" s="3085"/>
      <c r="AN88" s="3085"/>
      <c r="AO88" s="3085"/>
      <c r="AP88" s="3085"/>
      <c r="AQ88" s="3085"/>
      <c r="AR88" s="3085"/>
      <c r="AS88" s="3085"/>
      <c r="AT88" s="3085"/>
      <c r="AU88" s="3085"/>
      <c r="AV88" s="3085"/>
      <c r="AW88" s="3085"/>
      <c r="AX88" s="3085"/>
      <c r="AY88" s="3085"/>
      <c r="AZ88" s="3085"/>
      <c r="BA88" s="3085"/>
      <c r="BB88" s="3085"/>
      <c r="BC88" s="3085"/>
      <c r="BD88" s="3085"/>
    </row>
    <row r="89" spans="1:56" ht="12" customHeight="1" thickBot="1" x14ac:dyDescent="0.25">
      <c r="A89" s="949"/>
      <c r="B89" s="485"/>
      <c r="C89" s="2395"/>
      <c r="D89" s="3158" t="s">
        <v>7305</v>
      </c>
      <c r="E89" s="3160"/>
      <c r="F89" s="6009" t="str">
        <f>"Poderes adquiridos: "&amp;IF(Tablas!$J$1864&gt;0,"Influjo Sobrenatural"&amp;IF(Tablas!$J$1869&gt;0,", Demiurgo",""),IF(Tablas!$J$1869&gt;0,"Demiurgo","Ninguno"))</f>
        <v>Poderes adquiridos: Ninguno</v>
      </c>
      <c r="G89" s="6009"/>
      <c r="H89" s="6009"/>
      <c r="I89" s="6009"/>
      <c r="J89" s="6009"/>
      <c r="K89" s="6009"/>
      <c r="L89" s="6009"/>
      <c r="M89" s="5585"/>
      <c r="N89" s="5950" t="s">
        <v>7292</v>
      </c>
      <c r="O89" s="5951"/>
      <c r="P89" s="5952"/>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85"/>
      <c r="AN89" s="3085"/>
      <c r="AO89" s="3085"/>
      <c r="AP89" s="3085"/>
      <c r="AQ89" s="3085"/>
      <c r="AR89" s="3085"/>
      <c r="AS89" s="3085"/>
      <c r="AT89" s="3085"/>
      <c r="AU89" s="3085"/>
      <c r="AV89" s="3085"/>
      <c r="AW89" s="3085"/>
      <c r="AX89" s="3085"/>
      <c r="AY89" s="3085"/>
      <c r="AZ89" s="3085"/>
      <c r="BA89" s="3085"/>
      <c r="BB89" s="3085"/>
      <c r="BC89" s="3085"/>
      <c r="BD89" s="3085"/>
    </row>
    <row r="90" spans="1:56" ht="12" customHeight="1" x14ac:dyDescent="0.2">
      <c r="A90" s="949"/>
      <c r="B90" s="485"/>
      <c r="C90" s="2395"/>
      <c r="D90" s="3188"/>
      <c r="E90" s="3247"/>
      <c r="F90" s="2563"/>
      <c r="G90" s="1674" t="s">
        <v>7290</v>
      </c>
      <c r="H90" s="1671"/>
      <c r="I90" s="1672"/>
      <c r="J90" s="1671"/>
      <c r="K90" s="1673"/>
      <c r="L90" s="1672"/>
      <c r="M90" s="2191"/>
      <c r="N90" s="1391" t="s">
        <v>1385</v>
      </c>
      <c r="O90" s="2564" t="s">
        <v>1390</v>
      </c>
      <c r="P90" s="2565" t="s">
        <v>1391</v>
      </c>
      <c r="Q90" s="2395"/>
      <c r="R90" s="577"/>
      <c r="S90" s="949"/>
      <c r="T90" s="949"/>
      <c r="U90" s="485"/>
      <c r="V90" s="5683" t="s">
        <v>8586</v>
      </c>
      <c r="W90" s="5684"/>
      <c r="X90" s="5684"/>
      <c r="Y90" s="5684"/>
      <c r="Z90" s="5684"/>
      <c r="AA90" s="5684"/>
      <c r="AB90" s="5684"/>
      <c r="AC90" s="5684"/>
      <c r="AD90" s="5684"/>
      <c r="AE90" s="5684"/>
      <c r="AF90" s="5684"/>
      <c r="AG90" s="5684"/>
      <c r="AH90" s="5684"/>
      <c r="AI90" s="5684"/>
      <c r="AJ90" s="5685"/>
      <c r="AK90" s="737"/>
      <c r="AL90" s="2145"/>
      <c r="AM90" s="3085"/>
      <c r="AN90" s="3085"/>
      <c r="AO90" s="3085"/>
      <c r="AP90" s="3085"/>
      <c r="AQ90" s="3085"/>
      <c r="AR90" s="3085"/>
      <c r="AS90" s="3085"/>
      <c r="AT90" s="3085"/>
      <c r="AU90" s="3085"/>
      <c r="AV90" s="3085"/>
      <c r="AW90" s="3085"/>
      <c r="AX90" s="3085"/>
      <c r="AY90" s="3085"/>
      <c r="AZ90" s="3085"/>
      <c r="BA90" s="3085"/>
      <c r="BB90" s="3085"/>
      <c r="BC90" s="3085"/>
      <c r="BD90" s="3085"/>
    </row>
    <row r="91" spans="1:56" ht="12" customHeight="1" thickBot="1" x14ac:dyDescent="0.25">
      <c r="A91" s="949"/>
      <c r="B91" s="485"/>
      <c r="C91" s="2395"/>
      <c r="D91" s="3252"/>
      <c r="E91" s="3773"/>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714"/>
      <c r="W91" s="5715"/>
      <c r="X91" s="5715"/>
      <c r="Y91" s="5715"/>
      <c r="Z91" s="5715"/>
      <c r="AA91" s="5715"/>
      <c r="AB91" s="5715"/>
      <c r="AC91" s="5715"/>
      <c r="AD91" s="5715"/>
      <c r="AE91" s="5715"/>
      <c r="AF91" s="5715"/>
      <c r="AG91" s="5715"/>
      <c r="AH91" s="5715"/>
      <c r="AI91" s="5715"/>
      <c r="AJ91" s="5716"/>
      <c r="AK91" s="737"/>
      <c r="AL91" s="2145"/>
      <c r="AM91" s="3085"/>
      <c r="AN91" s="3085"/>
      <c r="AO91" s="3085"/>
      <c r="AP91" s="3085"/>
      <c r="AQ91" s="3085"/>
      <c r="AR91" s="3085"/>
      <c r="AS91" s="3085"/>
      <c r="AT91" s="3085"/>
      <c r="AU91" s="3085"/>
      <c r="AV91" s="3085"/>
      <c r="AW91" s="3085"/>
      <c r="AX91" s="3085"/>
      <c r="AY91" s="3085"/>
      <c r="AZ91" s="3085"/>
      <c r="BA91" s="3085"/>
      <c r="BB91" s="3085"/>
      <c r="BC91" s="3085"/>
      <c r="BD91" s="3085"/>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599" t="s">
        <v>1323</v>
      </c>
      <c r="W92" s="5600"/>
      <c r="X92" s="5601" t="s">
        <v>8594</v>
      </c>
      <c r="Y92" s="5601"/>
      <c r="Z92" s="5601"/>
      <c r="AA92" s="5601"/>
      <c r="AB92" s="5602"/>
      <c r="AC92" s="5594" t="s">
        <v>8610</v>
      </c>
      <c r="AD92" s="5595"/>
      <c r="AE92" s="5595"/>
      <c r="AF92" s="5596" t="s">
        <v>1727</v>
      </c>
      <c r="AG92" s="5597"/>
      <c r="AH92" s="5594" t="s">
        <v>8606</v>
      </c>
      <c r="AI92" s="5598"/>
      <c r="AJ92" s="2973" t="s">
        <v>1381</v>
      </c>
      <c r="AK92" s="737"/>
      <c r="AL92" s="2145"/>
      <c r="AM92" s="3085"/>
      <c r="AN92" s="3085" t="s">
        <v>9307</v>
      </c>
      <c r="AO92" s="3085" t="s">
        <v>1392</v>
      </c>
      <c r="AP92" s="3085" t="s">
        <v>7224</v>
      </c>
      <c r="AQ92" s="3085" t="s">
        <v>8325</v>
      </c>
      <c r="AR92" s="3085" t="s">
        <v>1565</v>
      </c>
      <c r="AS92" s="3085"/>
      <c r="AT92" s="3085"/>
      <c r="AU92" s="3085"/>
      <c r="AV92" s="3085"/>
      <c r="AW92" s="3085"/>
      <c r="AX92" s="3085"/>
      <c r="AY92" s="3085"/>
      <c r="AZ92" s="3085"/>
      <c r="BA92" s="3085"/>
      <c r="BB92" s="3085"/>
      <c r="BC92" s="3085"/>
      <c r="BD92" s="3085"/>
    </row>
    <row r="93" spans="1:56" ht="12" customHeight="1" x14ac:dyDescent="0.2">
      <c r="A93" s="949"/>
      <c r="B93" s="485"/>
      <c r="C93" s="6005" t="s">
        <v>7294</v>
      </c>
      <c r="D93" s="6008" t="s">
        <v>1323</v>
      </c>
      <c r="E93" s="6008"/>
      <c r="F93" s="5970"/>
      <c r="G93" s="5971"/>
      <c r="H93" s="5971"/>
      <c r="I93" s="5971"/>
      <c r="J93" s="5971"/>
      <c r="K93" s="5971"/>
      <c r="L93" s="5971"/>
      <c r="M93" s="5971"/>
      <c r="N93" s="5971"/>
      <c r="O93" s="5971"/>
      <c r="P93" s="5971"/>
      <c r="Q93" s="5972"/>
      <c r="R93" s="577"/>
      <c r="S93" s="949"/>
      <c r="T93" s="949"/>
      <c r="U93" s="485"/>
      <c r="V93" s="4155" t="s">
        <v>8609</v>
      </c>
      <c r="W93" s="5624"/>
      <c r="X93" s="5625"/>
      <c r="Y93" s="5620" t="s">
        <v>1543</v>
      </c>
      <c r="Z93" s="5622">
        <f>IFERROR(VLOOKUP(V94,Tabla_CaracterísticasGéminis,2,0)+IF(COUNTIF(W101:Z106,"Metal")&gt;0,VLOOKUP(V94,Tabla_CaracterísticasGéminis,2,0),0)+IF(AF92="Grande",50,IF(AF92="Enorme",150,0)),0)</f>
        <v>40</v>
      </c>
      <c r="AA93" s="5626" t="s">
        <v>8617</v>
      </c>
      <c r="AB93" s="5627"/>
      <c r="AC93" s="5628"/>
      <c r="AD93" s="5629"/>
      <c r="AE93" s="5630"/>
      <c r="AF93" s="5626"/>
      <c r="AG93" s="5627"/>
      <c r="AH93" s="5628"/>
      <c r="AI93" s="5629"/>
      <c r="AJ93" s="5630"/>
      <c r="AK93" s="737"/>
      <c r="AL93" s="2145"/>
      <c r="AM93" s="3085"/>
      <c r="AN93" s="3085" t="b">
        <f>AA95&lt;&gt;"-"</f>
        <v>0</v>
      </c>
      <c r="AO93" s="3085" t="str">
        <f>IF(AN93,X92&amp;": "&amp;AD95&amp;" "&amp;AC93&amp;IF(AB99&gt;0," +"&amp;AB99,"")&amp;IF(AH93="",""," y "&amp;AH93&amp;IF(AG99&gt;0," +"&amp;AG99,"")),"")</f>
        <v/>
      </c>
      <c r="AP93" s="3085" t="str">
        <f>IF(AN93,X92&amp;": "&amp;AA95&amp;" "&amp;AC93&amp;IF(AB99&gt;0," +"&amp;AB99,"")&amp;IF(AH93="",""," y "&amp;AF95&amp;" "&amp;AH93&amp;IF(AG99&gt;0," +"&amp;AG99,"")),"")</f>
        <v/>
      </c>
      <c r="AQ93" s="3085" t="str">
        <f>IF(AN93,X92&amp;": "&amp;IFERROR(MAX(AB95,AG95),AB95)&amp;" "&amp;IF(Par_Esq="Esq","Esquiva",AC93&amp;IF(AB99&gt;0," +"&amp;AB99,"")&amp;IF(AH93="",""," y "&amp;AH93&amp;IF(AG99&gt;0," +"&amp;AG99,""))),"")</f>
        <v/>
      </c>
      <c r="AR93" s="3085"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85"/>
      <c r="AT93" s="3085"/>
      <c r="AU93" s="3085"/>
      <c r="AV93" s="3085"/>
      <c r="AW93" s="3085"/>
      <c r="AX93" s="3085"/>
      <c r="AY93" s="3085"/>
      <c r="AZ93" s="3085"/>
      <c r="BA93" s="3085"/>
      <c r="BB93" s="3085"/>
      <c r="BC93" s="3085"/>
      <c r="BD93" s="3085"/>
    </row>
    <row r="94" spans="1:56" ht="12" customHeight="1" thickBot="1" x14ac:dyDescent="0.25">
      <c r="A94" s="949"/>
      <c r="B94" s="485"/>
      <c r="C94" s="6006"/>
      <c r="D94" s="5991" t="s">
        <v>7302</v>
      </c>
      <c r="E94" s="3522"/>
      <c r="F94" s="3522"/>
      <c r="G94" s="2121" t="s">
        <v>1819</v>
      </c>
      <c r="H94" s="2546" t="s">
        <v>1489</v>
      </c>
      <c r="I94" s="5991" t="s">
        <v>1548</v>
      </c>
      <c r="J94" s="3522"/>
      <c r="K94" s="3522"/>
      <c r="L94" s="3522"/>
      <c r="M94" s="3522"/>
      <c r="N94" s="3522"/>
      <c r="O94" s="3522"/>
      <c r="P94" s="3522"/>
      <c r="Q94" s="5995"/>
      <c r="R94" s="577"/>
      <c r="S94" s="949"/>
      <c r="T94" s="949"/>
      <c r="U94" s="485"/>
      <c r="V94" s="5631" t="s">
        <v>1727</v>
      </c>
      <c r="W94" s="5632"/>
      <c r="X94" s="5633"/>
      <c r="Y94" s="5621"/>
      <c r="Z94" s="5623"/>
      <c r="AA94" s="1387" t="s">
        <v>1563</v>
      </c>
      <c r="AB94" s="5634" t="s">
        <v>1564</v>
      </c>
      <c r="AC94" s="5635"/>
      <c r="AD94" s="2116" t="s">
        <v>1392</v>
      </c>
      <c r="AE94" s="1388" t="s">
        <v>1565</v>
      </c>
      <c r="AF94" s="1387" t="s">
        <v>1563</v>
      </c>
      <c r="AG94" s="5634" t="s">
        <v>1564</v>
      </c>
      <c r="AH94" s="5635"/>
      <c r="AI94" s="2116" t="s">
        <v>1392</v>
      </c>
      <c r="AJ94" s="1388" t="s">
        <v>1565</v>
      </c>
      <c r="AK94" s="737" t="e">
        <f>IF(Z100&lt;1,0,VLOOKUP(Z100,Tabla_BonoStats,2))</f>
        <v>#N/A</v>
      </c>
      <c r="AL94" s="2145"/>
      <c r="AM94" s="3085"/>
      <c r="AN94" s="3085"/>
      <c r="AO94" s="3085"/>
      <c r="AP94" s="3085"/>
      <c r="AQ94" s="3085"/>
      <c r="AR94" s="3085"/>
      <c r="AS94" s="3085"/>
      <c r="AT94" s="3085"/>
      <c r="AU94" s="3085"/>
      <c r="AV94" s="3085"/>
      <c r="AW94" s="3085"/>
      <c r="AX94" s="3085"/>
      <c r="AY94" s="3085"/>
      <c r="AZ94" s="3085"/>
      <c r="BA94" s="3085"/>
      <c r="BB94" s="3085"/>
      <c r="BC94" s="3085"/>
      <c r="BD94" s="3085"/>
    </row>
    <row r="95" spans="1:56" ht="12" customHeight="1" x14ac:dyDescent="0.2">
      <c r="A95" s="949"/>
      <c r="B95" s="485"/>
      <c r="C95" s="6006"/>
      <c r="D95" s="5992"/>
      <c r="E95" s="5992"/>
      <c r="F95" s="5992"/>
      <c r="G95" s="1681"/>
      <c r="H95" s="1681"/>
      <c r="I95" s="5973"/>
      <c r="J95" s="5974"/>
      <c r="K95" s="5974"/>
      <c r="L95" s="5974"/>
      <c r="M95" s="5974"/>
      <c r="N95" s="5974"/>
      <c r="O95" s="5974"/>
      <c r="P95" s="5974"/>
      <c r="Q95" s="5975"/>
      <c r="R95" s="577"/>
      <c r="S95" s="949"/>
      <c r="T95" s="949"/>
      <c r="U95" s="485"/>
      <c r="V95" s="5614" t="s">
        <v>8602</v>
      </c>
      <c r="W95" s="5615"/>
      <c r="X95" s="5618">
        <f>IFERROR(VLOOKUP(V94,Tabla_CaracterísticasGéminis,4,0),0)</f>
        <v>0</v>
      </c>
      <c r="Y95" s="5620" t="s">
        <v>8599</v>
      </c>
      <c r="Z95" s="5622">
        <f>IFERROR(VLOOKUP(V94,Tabla_CaracterísticasGéminis,3,0)+IF(COUNTIF(W101:Z106,"Metal")&gt;0,4,0),0)</f>
        <v>2</v>
      </c>
      <c r="AA95" s="5590" t="str">
        <f>IFERROR(IF(OR(AC93="",Tablas!$H$1016=0),"-",IF(OR(AC93="Armas naturales",VLOOKUP(AC93,Tabla_ArmasyEscudos,9,0)="Conocida"),HA_final,"-")+AB99+AC105+5*MIN(4,COUNTIF(W101:Z106,"Capacidad de combate"))-10*MAX(0,AR96-Z100))+IF(AND(OR(AC93="Lanza",AC93="Vara"),AA93="A 1 mano"),-10,0),"-")</f>
        <v>-</v>
      </c>
      <c r="AB95" s="5592"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29" t="str">
        <f>IF(OR(AC93="",Tablas!$H$1016=0),"",Par_Esq)</f>
        <v/>
      </c>
      <c r="AD95" s="5603"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605"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90" t="str">
        <f>IFERROR(IF(OR(AH93="",Tablas!$H$1016=0),"-",IF(VLOOKUP(AH93,Tabla_ArmasyEscudos,9,0)="Conocida",HA_final,"-")-40+AG99+AH105+5*MIN(4,COUNTIF(W101:Z106,"Capacidad de combate"))-10*MAX(0,AR97-Z100))+IF(AND(OR(AH93="Lanza",AH93="Vara"),AF93="A 1 mano"),-10,0),"-")</f>
        <v>-</v>
      </c>
      <c r="AG95" s="5592"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29" t="str">
        <f>IF(OR(AH93="",Tablas!$H$1016=0),"",Par_Esq)</f>
        <v/>
      </c>
      <c r="AI95" s="5603" t="s">
        <v>1577</v>
      </c>
      <c r="AJ95" s="5605"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85"/>
      <c r="AN95" s="3085" t="s">
        <v>8611</v>
      </c>
      <c r="AO95" s="3085"/>
      <c r="AP95" s="3085"/>
      <c r="AQ95" s="3085" t="s">
        <v>8619</v>
      </c>
      <c r="AR95" s="3085" t="s">
        <v>8621</v>
      </c>
      <c r="AS95" s="3085" t="s">
        <v>8620</v>
      </c>
      <c r="AT95" s="3085" t="s">
        <v>1367</v>
      </c>
      <c r="AU95" s="3085" t="s">
        <v>8622</v>
      </c>
      <c r="AV95" s="3085"/>
      <c r="AW95" s="3085"/>
      <c r="AX95" s="3085"/>
      <c r="AY95" s="3085"/>
      <c r="AZ95" s="3085"/>
      <c r="BA95" s="3085"/>
      <c r="BB95" s="3085"/>
      <c r="BC95" s="3085"/>
      <c r="BD95" s="3085"/>
    </row>
    <row r="96" spans="1:56" ht="12" customHeight="1" thickBot="1" x14ac:dyDescent="0.25">
      <c r="A96" s="949"/>
      <c r="B96" s="485"/>
      <c r="C96" s="6006"/>
      <c r="D96" s="5959"/>
      <c r="E96" s="5959"/>
      <c r="F96" s="5959"/>
      <c r="G96" s="1682"/>
      <c r="H96" s="1682"/>
      <c r="I96" s="5967"/>
      <c r="J96" s="5968"/>
      <c r="K96" s="5968"/>
      <c r="L96" s="5968"/>
      <c r="M96" s="5968"/>
      <c r="N96" s="5968"/>
      <c r="O96" s="5968"/>
      <c r="P96" s="5968"/>
      <c r="Q96" s="5969"/>
      <c r="R96" s="577"/>
      <c r="S96" s="949"/>
      <c r="T96" s="949"/>
      <c r="U96" s="485"/>
      <c r="V96" s="5616"/>
      <c r="W96" s="5617"/>
      <c r="X96" s="5619"/>
      <c r="Y96" s="5621"/>
      <c r="Z96" s="5623"/>
      <c r="AA96" s="5591"/>
      <c r="AB96" s="5593"/>
      <c r="AC96" s="5530"/>
      <c r="AD96" s="5604"/>
      <c r="AE96" s="5606"/>
      <c r="AF96" s="5591"/>
      <c r="AG96" s="5593"/>
      <c r="AH96" s="5530"/>
      <c r="AI96" s="5604"/>
      <c r="AJ96" s="5606"/>
      <c r="AK96" s="737"/>
      <c r="AL96" s="2145"/>
      <c r="AM96" s="3085"/>
      <c r="AN96" s="3085" t="str">
        <f>ADDRESS(ROW(AN97),COLUMN(AN97))&amp;":"&amp;IF(AN101="",ADDRESS(ROW(AN99),COLUMN(AN99)),ADDRESS(ROW(AN101),COLUMN(AN101)))</f>
        <v>$AN$97:$AN$99</v>
      </c>
      <c r="AO96" s="3085"/>
      <c r="AP96" s="3085">
        <f>AC93</f>
        <v>0</v>
      </c>
      <c r="AQ96" s="3085" t="str">
        <f>IF(OR(AA93="A 2 manos",AA93="Proy. 2M"),"2M","")</f>
        <v/>
      </c>
      <c r="AR96" s="3085">
        <f ca="1">IFERROR(VLOOKUP(AC93,Tabla_ArmasyEscudos,IF(AQ96="2M",5,4),0),0)</f>
        <v>0</v>
      </c>
      <c r="AS96" s="3085">
        <f ca="1">IFERROR(IF(VLOOKUP(AC93,Tabla_ArmasyEscudos,18,0)&gt;0,IF(AC93="Atlatl",Z100+2,VLOOKUP(AC93,Tabla_ArmasyEscudos,18,0))+AB99/5,0),0)</f>
        <v>0</v>
      </c>
      <c r="AT96" s="3085">
        <f ca="1">IF(AS96&lt;1,0,VLOOKUP(AS96,Tablas!$C$14:$D$33,2))</f>
        <v>0</v>
      </c>
      <c r="AU96" s="3085" t="e">
        <f ca="1">VLOOKUP(AC93,Tabla_ArmasyEscudos,3,FALSE)+AE105+AB99</f>
        <v>#N/A</v>
      </c>
      <c r="AV96" s="3085"/>
      <c r="AW96" s="3085"/>
      <c r="AX96" s="3085"/>
      <c r="AY96" s="3085"/>
      <c r="AZ96" s="3085"/>
      <c r="BA96" s="3085"/>
      <c r="BB96" s="3085"/>
      <c r="BC96" s="3085"/>
      <c r="BD96" s="3085"/>
    </row>
    <row r="97" spans="1:56" ht="12" customHeight="1" x14ac:dyDescent="0.2">
      <c r="A97" s="949"/>
      <c r="B97" s="485"/>
      <c r="C97" s="6006"/>
      <c r="D97" s="5959"/>
      <c r="E97" s="5959"/>
      <c r="F97" s="5959"/>
      <c r="G97" s="1682"/>
      <c r="H97" s="1682"/>
      <c r="I97" s="5967"/>
      <c r="J97" s="5968"/>
      <c r="K97" s="5968"/>
      <c r="L97" s="5968"/>
      <c r="M97" s="5968"/>
      <c r="N97" s="5968"/>
      <c r="O97" s="5968"/>
      <c r="P97" s="5968"/>
      <c r="Q97" s="5969"/>
      <c r="R97" s="577"/>
      <c r="S97" s="949"/>
      <c r="T97" s="949"/>
      <c r="U97" s="485"/>
      <c r="V97" s="5607" t="s">
        <v>8607</v>
      </c>
      <c r="W97" s="2997"/>
      <c r="X97" s="2998" t="s">
        <v>1365</v>
      </c>
      <c r="Y97" s="2998" t="s">
        <v>8608</v>
      </c>
      <c r="Z97" s="2998" t="s">
        <v>1349</v>
      </c>
      <c r="AA97" s="2969" t="s">
        <v>8615</v>
      </c>
      <c r="AB97" s="2970" t="s">
        <v>8616</v>
      </c>
      <c r="AC97" s="2970" t="s">
        <v>1556</v>
      </c>
      <c r="AD97" s="2970" t="s">
        <v>1569</v>
      </c>
      <c r="AE97" s="1386" t="s">
        <v>1557</v>
      </c>
      <c r="AF97" s="2969" t="s">
        <v>8615</v>
      </c>
      <c r="AG97" s="2970" t="s">
        <v>8616</v>
      </c>
      <c r="AH97" s="2970" t="s">
        <v>1556</v>
      </c>
      <c r="AI97" s="2970" t="s">
        <v>1569</v>
      </c>
      <c r="AJ97" s="1386" t="s">
        <v>1557</v>
      </c>
      <c r="AK97" s="737"/>
      <c r="AL97" s="2145"/>
      <c r="AM97" s="3085"/>
      <c r="AN97" s="3085" t="s">
        <v>1964</v>
      </c>
      <c r="AO97" s="3085"/>
      <c r="AP97" s="3085">
        <f>AH93</f>
        <v>0</v>
      </c>
      <c r="AQ97" s="3085" t="str">
        <f>IF(OR(AF93="A 2 manos",AF93="Proy. 2M"),"2M","")</f>
        <v/>
      </c>
      <c r="AR97" s="3085">
        <f ca="1">IFERROR(VLOOKUP(AH93,Tabla_ArmasyEscudos,IF(AQ97="2M",5,4),0),0)</f>
        <v>0</v>
      </c>
      <c r="AS97" s="3085">
        <f ca="1">IFERROR(IF(VLOOKUP(AH93,Tabla_ArmasyEscudos,18,0)&gt;0,IF(AH93="Atlatl",Z100+2,VLOOKUP(AH93,Tabla_ArmasyEscudos,18,0))+AG99/5,0),0)</f>
        <v>0</v>
      </c>
      <c r="AT97" s="3085">
        <f ca="1">IF(AS97&lt;1,0,VLOOKUP(AS97,Tablas!$C$14:$D$33,2))</f>
        <v>0</v>
      </c>
      <c r="AU97" s="3085" t="e">
        <f ca="1">VLOOKUP(AH93,Tabla_ArmasyEscudos,3,FALSE)+AJ105+AG99</f>
        <v>#N/A</v>
      </c>
      <c r="AV97" s="3085"/>
      <c r="AW97" s="3085"/>
      <c r="AX97" s="3085"/>
      <c r="AY97" s="3085"/>
      <c r="AZ97" s="3085"/>
      <c r="BA97" s="3085"/>
      <c r="BB97" s="3085"/>
      <c r="BC97" s="3085"/>
      <c r="BD97" s="3085"/>
    </row>
    <row r="98" spans="1:56" ht="12" customHeight="1" x14ac:dyDescent="0.2">
      <c r="A98" s="949"/>
      <c r="B98" s="485"/>
      <c r="C98" s="6006"/>
      <c r="D98" s="5958"/>
      <c r="E98" s="5959"/>
      <c r="F98" s="5960"/>
      <c r="G98" s="1678"/>
      <c r="H98" s="1684"/>
      <c r="I98" s="5967"/>
      <c r="J98" s="5968"/>
      <c r="K98" s="5968"/>
      <c r="L98" s="5968"/>
      <c r="M98" s="5968"/>
      <c r="N98" s="5968"/>
      <c r="O98" s="5968"/>
      <c r="P98" s="5968"/>
      <c r="Q98" s="5969"/>
      <c r="R98" s="577"/>
      <c r="S98" s="949"/>
      <c r="T98" s="949"/>
      <c r="U98" s="485"/>
      <c r="V98" s="5608"/>
      <c r="W98" s="1446" t="s">
        <v>1373</v>
      </c>
      <c r="X98" s="2970" t="str">
        <f>IF(Tablas!$H$1016=0,"-",IF(Zen,DES,MIN(13,DES)))</f>
        <v>-</v>
      </c>
      <c r="Y98" s="2264"/>
      <c r="Z98" s="2970" t="str">
        <f>IFERROR(MIN(X98+Y98,IF(Zen,20,13)),"-")</f>
        <v>-</v>
      </c>
      <c r="AA98" s="1389" t="str">
        <f ca="1">IFERROR(IF(AC93="Armas naturales",IF(AD102="","-",AD102),VLOOKUP(IF(OR(AA93="Proy. 1M",AA93="Proy. 2M"),AD102,AC93),Tabla_ArmasyEscudos,6,0)),"-")</f>
        <v>-</v>
      </c>
      <c r="AB98" s="2999" t="str">
        <f ca="1">IFERROR(IF(AC93="Armas naturales",IF(AD103="","-",AD103),VLOOKUP(IF(OR(AA93="Proy. 1M",AA93="Proy. 2M"),AD102,AC93),Tabla_ArmasyEscudos,7,0)),"-")</f>
        <v>-</v>
      </c>
      <c r="AC98" s="3000"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00" t="str">
        <f>IFERROR(IF(OR(AC93="",Tablas!$H$1016=0),"-",IF(AC93="Armas naturales",AO106,IFERROR(VLOOKUP(AD102,Tabla_ArmasyEscudos,11,0)+2*AD103/5,VLOOKUP(AC93,Tabla_ArmasyEscudos,11,0)+2*AB99/5))+VLOOKUP(IF((AS96-AB99/5)&gt;0,AS96,Z100),Tabla_Fuerza,2)+IF(Extensióndelauraalarma,5,0)+IF(Ojos_de_la_Muerte,5,0)),"-")</f>
        <v>-</v>
      </c>
      <c r="AE98" s="3001"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2999" t="str">
        <f ca="1">IFERROR(IF(AH93="Armas naturales",IF(AI103="","-",AI103),VLOOKUP(IF(AF93="Proy. 1M",AI102,AH93),Tabla_ArmasyEscudos,7,0)),"-")</f>
        <v>-</v>
      </c>
      <c r="AH98" s="3000"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00" t="str">
        <f>IFERROR(IF(OR(AH93="",Tablas!$H$1016=0),"-",IF(AH93="Armas naturales",AO106,IFERROR(VLOOKUP(AI102,Tabla_ArmasyEscudos,11,0)+2*AI103/5,VLOOKUP(AH93,Tabla_ArmasyEscudos,11,0)+2*AG99/5))+VLOOKUP(IF((AS97-AG99/5)&gt;0,AS97,Z100),Tabla_Fuerza,2)+IF(Extensióndelauraalarma,5,0)+IF(Ojos_de_la_Muerte,5,0)),"-")</f>
        <v>-</v>
      </c>
      <c r="AJ98" s="3001" t="str">
        <f>IFERROR(IF(OR(AH93="",Tablas!$H$1016=0),"-",IF(AH93="Armas naturales",Presencia_final,VLOOKUP(AH93,Tabla_ArmasyEscudos,12,0)+50*MAX(AG99/5,0)&amp;IFERROR("/"&amp;VLOOKUP(AI102,Tabla_ArmasyEscudos,12,0)+50*MAX(AI103/5,0),""))),"-")</f>
        <v>-</v>
      </c>
      <c r="AK98" s="737"/>
      <c r="AL98" s="2145"/>
      <c r="AM98" s="3085"/>
      <c r="AN98" s="3085" t="s">
        <v>1965</v>
      </c>
      <c r="AO98" s="3085"/>
      <c r="AP98" s="3085"/>
      <c r="AQ98" s="3085"/>
      <c r="AR98" s="3085"/>
      <c r="AS98" s="3085"/>
      <c r="AT98" s="3085"/>
      <c r="AU98" s="3085"/>
      <c r="AV98" s="3085"/>
      <c r="AW98" s="3085"/>
      <c r="AX98" s="3085"/>
      <c r="AY98" s="3085"/>
      <c r="AZ98" s="3085"/>
      <c r="BA98" s="3085"/>
      <c r="BB98" s="3085"/>
      <c r="BC98" s="3085"/>
      <c r="BD98" s="3085"/>
    </row>
    <row r="99" spans="1:56" ht="12" customHeight="1" x14ac:dyDescent="0.2">
      <c r="A99" s="949"/>
      <c r="B99" s="485"/>
      <c r="C99" s="6006"/>
      <c r="D99" s="6037"/>
      <c r="E99" s="6038"/>
      <c r="F99" s="6039"/>
      <c r="G99" s="1685"/>
      <c r="H99" s="1678"/>
      <c r="I99" s="5976"/>
      <c r="J99" s="5977"/>
      <c r="K99" s="5977"/>
      <c r="L99" s="5977"/>
      <c r="M99" s="5977"/>
      <c r="N99" s="5977"/>
      <c r="O99" s="5977"/>
      <c r="P99" s="5977"/>
      <c r="Q99" s="5978"/>
      <c r="R99" s="1392"/>
      <c r="S99" s="949"/>
      <c r="T99" s="949"/>
      <c r="U99" s="485"/>
      <c r="V99" s="5608"/>
      <c r="W99" s="1446" t="s">
        <v>1378</v>
      </c>
      <c r="X99" s="1695" t="str">
        <f>IF(Tablas!$H$1016=0,"-",IF(Zen,DES,MIN(13,DES)))</f>
        <v>-</v>
      </c>
      <c r="Y99" s="2265"/>
      <c r="Z99" s="3002" t="str">
        <f>IFERROR(MIN(X99+Y99,IF(Zen,20,13)),"-")</f>
        <v>-</v>
      </c>
      <c r="AA99" s="1698" t="str">
        <f>IF(AND(AC93&lt;&gt;"",AC93&lt;&gt;"Armas naturales"),"Calidad:","")</f>
        <v/>
      </c>
      <c r="AB99" s="3003"/>
      <c r="AC99" s="5610" t="str">
        <f ca="1">IF(AA103="Calidad munición:",IF(AD103&lt;=0,"","TA defensor:"),IF(AB99&lt;=0,"","TA defensor:"))</f>
        <v/>
      </c>
      <c r="AD99" s="5610"/>
      <c r="AE99" s="3004" t="str">
        <f ca="1">IF(AC99="TA defensor:",IF(AA103="Calidad munición:",AD103/(-5),AB99/(-5)),"")</f>
        <v/>
      </c>
      <c r="AF99" s="1698" t="str">
        <f>IF(AND(AH93&lt;&gt;"",AH93&lt;&gt;"Armas naturales"),"Calidad:","")</f>
        <v/>
      </c>
      <c r="AG99" s="3005"/>
      <c r="AH99" s="5610" t="str">
        <f ca="1">IF(AF103="Calidad munición:",IF(AI103&lt;=0,"","TA defensor:"),IF(AG99&lt;=0,"","TA defensor:"))</f>
        <v/>
      </c>
      <c r="AI99" s="5610"/>
      <c r="AJ99" s="3004" t="str">
        <f ca="1">IF(AH99="TA defensor:",IF(AF103="Calidad munición:",AI103/(-5),AG99/(-5)),"")</f>
        <v/>
      </c>
      <c r="AK99" s="737"/>
      <c r="AL99" s="2145"/>
      <c r="AM99" s="3085"/>
      <c r="AN99" s="3085" t="s">
        <v>1727</v>
      </c>
      <c r="AO99" s="3085"/>
      <c r="AP99" s="3085"/>
      <c r="AQ99" s="3085"/>
      <c r="AR99" s="3085"/>
      <c r="AS99" s="3085"/>
      <c r="AT99" s="3085"/>
      <c r="AU99" s="3085"/>
      <c r="AV99" s="3085"/>
      <c r="AW99" s="3085"/>
      <c r="AX99" s="3085"/>
      <c r="AY99" s="3085"/>
      <c r="AZ99" s="3085"/>
      <c r="BA99" s="3085"/>
      <c r="BB99" s="3085"/>
      <c r="BC99" s="3085"/>
      <c r="BD99" s="3085"/>
    </row>
    <row r="100" spans="1:56" ht="12" customHeight="1" thickBot="1" x14ac:dyDescent="0.25">
      <c r="A100" s="949"/>
      <c r="B100" s="485"/>
      <c r="C100" s="6006"/>
      <c r="D100" s="6037"/>
      <c r="E100" s="6038"/>
      <c r="F100" s="6039"/>
      <c r="G100" s="1685"/>
      <c r="H100" s="1684"/>
      <c r="I100" s="5976"/>
      <c r="J100" s="5977"/>
      <c r="K100" s="5977"/>
      <c r="L100" s="5977"/>
      <c r="M100" s="5977"/>
      <c r="N100" s="5977"/>
      <c r="O100" s="5977"/>
      <c r="P100" s="5977"/>
      <c r="Q100" s="5978"/>
      <c r="R100" s="1392"/>
      <c r="S100" s="949"/>
      <c r="T100" s="949"/>
      <c r="U100" s="567"/>
      <c r="V100" s="5609"/>
      <c r="W100" s="1447" t="s">
        <v>1383</v>
      </c>
      <c r="X100" s="3006" t="str">
        <f>IF(Tablas!$H$1016=0,"-",IF(Zen,FUE-2,MIN(11,FUE-2)))</f>
        <v>-</v>
      </c>
      <c r="Y100" s="2266"/>
      <c r="Z100" s="2968" t="str">
        <f>IFERROR(MIN(20,MIN(X100+Y100,IF(Zen,20,13))+IF(COUNTIF(W101:Z106,"Fuerza excepcional")&gt;0,IF(X100+6&lt;15,6,MAX(15-X100,0)),0)),"-")</f>
        <v>-</v>
      </c>
      <c r="AA100" s="5611" t="str">
        <f ca="1">IFERROR(IF(AC93="Armas naturales","",SUBSTITUTE(VLOOKUP(AC93,Tabla_ArmasyEscudos,19,FALSE),"XXX",MAX(0,VLOOKUP(AC93,Tabla_ArmasyEscudos,17,FALSE)+VLOOKUP(Z100,Tabla_AlcanceFUE,2)))),"")</f>
        <v/>
      </c>
      <c r="AB100" s="5612"/>
      <c r="AC100" s="5612"/>
      <c r="AD100" s="5612"/>
      <c r="AE100" s="5613"/>
      <c r="AF100" s="5611" t="str">
        <f ca="1">IFERROR(IF(AH93="Armas naturales","",SUBSTITUTE(VLOOKUP(AH93,Tabla_ArmasyEscudos,19,FALSE),"XXX",MAX(0,VLOOKUP(AH93,Tabla_ArmasyEscudos,17,FALSE)+VLOOKUP(Z100,Tabla_AlcanceFUE,2)))),"")</f>
        <v/>
      </c>
      <c r="AG100" s="5612"/>
      <c r="AH100" s="5612"/>
      <c r="AI100" s="5612"/>
      <c r="AJ100" s="5613"/>
      <c r="AK100" s="737"/>
      <c r="AL100" s="2145"/>
      <c r="AM100" s="3085"/>
      <c r="AN100" s="3085" t="str">
        <f>IF(COUNTIF(W101:Z106,"Tamaño excepcional")&gt;0,"Grande","")</f>
        <v/>
      </c>
      <c r="AO100" s="3085"/>
      <c r="AP100" s="3085"/>
      <c r="AQ100" s="3085"/>
      <c r="AR100" s="3085"/>
      <c r="AS100" s="3085"/>
      <c r="AT100" s="3085"/>
      <c r="AU100" s="3085"/>
      <c r="AV100" s="3085"/>
      <c r="AW100" s="3085"/>
      <c r="AX100" s="3085"/>
      <c r="AY100" s="3085"/>
      <c r="AZ100" s="3085"/>
      <c r="BA100" s="3085"/>
      <c r="BB100" s="3085"/>
      <c r="BC100" s="3085"/>
      <c r="BD100" s="3085"/>
    </row>
    <row r="101" spans="1:56" ht="12" customHeight="1" x14ac:dyDescent="0.2">
      <c r="A101" s="949"/>
      <c r="B101" s="485"/>
      <c r="C101" s="6006"/>
      <c r="D101" s="6037"/>
      <c r="E101" s="6038"/>
      <c r="F101" s="6039"/>
      <c r="G101" s="1684"/>
      <c r="H101" s="1683"/>
      <c r="I101" s="5967"/>
      <c r="J101" s="5968"/>
      <c r="K101" s="5968"/>
      <c r="L101" s="5968"/>
      <c r="M101" s="5968"/>
      <c r="N101" s="5968"/>
      <c r="O101" s="5968"/>
      <c r="P101" s="5968"/>
      <c r="Q101" s="5969"/>
      <c r="R101" s="577"/>
      <c r="S101" s="949"/>
      <c r="T101" s="949"/>
      <c r="U101" s="485"/>
      <c r="V101" s="5608" t="s">
        <v>8587</v>
      </c>
      <c r="W101" s="5586"/>
      <c r="X101" s="5586"/>
      <c r="Y101" s="5586"/>
      <c r="Z101" s="5586"/>
      <c r="AA101" s="5587" t="str">
        <f ca="1">IFERROR(VLOOKUP(AD102,Tabla_ArmasyEscudos,19,0),"")</f>
        <v/>
      </c>
      <c r="AB101" s="5588"/>
      <c r="AC101" s="5588"/>
      <c r="AD101" s="5588"/>
      <c r="AE101" s="5589"/>
      <c r="AF101" s="5587" t="str">
        <f ca="1">IFERROR(VLOOKUP(AI102,Tabla_ArmasyEscudos,19,0),"")</f>
        <v/>
      </c>
      <c r="AG101" s="5588"/>
      <c r="AH101" s="5588"/>
      <c r="AI101" s="5588"/>
      <c r="AJ101" s="5589"/>
      <c r="AK101" s="737"/>
      <c r="AL101" s="1379"/>
      <c r="AM101" s="3085"/>
      <c r="AN101" s="3085" t="str">
        <f>IF(COUNTIF(W101:Z106,"Tamaño excepcional")&gt;0,"Enorme","")</f>
        <v/>
      </c>
      <c r="AO101" s="3085"/>
      <c r="AP101" s="3085"/>
      <c r="AQ101" s="3085"/>
      <c r="AR101" s="3085"/>
      <c r="AS101" s="3085"/>
      <c r="AT101" s="3085"/>
      <c r="AU101" s="3085"/>
      <c r="AV101" s="3085"/>
      <c r="AW101" s="3085"/>
      <c r="AX101" s="3085"/>
      <c r="AY101" s="3085"/>
      <c r="AZ101" s="3085"/>
      <c r="BA101" s="3085"/>
      <c r="BB101" s="3085"/>
      <c r="BC101" s="3085"/>
      <c r="BD101" s="3085"/>
    </row>
    <row r="102" spans="1:56" ht="12" customHeight="1" x14ac:dyDescent="0.2">
      <c r="A102" s="949"/>
      <c r="B102" s="485"/>
      <c r="C102" s="6006"/>
      <c r="D102" s="5964"/>
      <c r="E102" s="5964"/>
      <c r="F102" s="5964"/>
      <c r="G102" s="1684"/>
      <c r="H102" s="1678"/>
      <c r="I102" s="5965"/>
      <c r="J102" s="5713"/>
      <c r="K102" s="5713"/>
      <c r="L102" s="5713"/>
      <c r="M102" s="5713"/>
      <c r="N102" s="5713"/>
      <c r="O102" s="5713"/>
      <c r="P102" s="5713"/>
      <c r="Q102" s="5966"/>
      <c r="R102" s="1377"/>
      <c r="S102" s="1378"/>
      <c r="T102" s="1378"/>
      <c r="U102" s="969"/>
      <c r="V102" s="5608"/>
      <c r="W102" s="5637"/>
      <c r="X102" s="5638"/>
      <c r="Y102" s="5638"/>
      <c r="Z102" s="5639"/>
      <c r="AA102" s="4803" t="str">
        <f ca="1">IFERROR(IF(AC93="Armas naturales", "Armas naturales Crit. 1:",IF(ISNUMBER(FIND("Proyectiles",VLOOKUP(AC93,Tabla_ArmasyEscudos,8,0))),"Munición:","")),"")</f>
        <v/>
      </c>
      <c r="AB102" s="5647"/>
      <c r="AC102" s="5647"/>
      <c r="AD102" s="5648"/>
      <c r="AE102" s="5649"/>
      <c r="AF102" s="4803" t="str">
        <f ca="1">IFERROR(IF(AH93="Armas naturales", "Armas naturales Crit. 1:",IF(ISNUMBER(FIND("Proyectiles",VLOOKUP(AH93,Tabla_ArmasyEscudos,8,0))),"Munición:","")),"")</f>
        <v/>
      </c>
      <c r="AG102" s="5647"/>
      <c r="AH102" s="5647"/>
      <c r="AI102" s="5648"/>
      <c r="AJ102" s="5649"/>
      <c r="AK102" s="1697"/>
      <c r="AL102" s="2145"/>
      <c r="AM102" s="3085"/>
      <c r="AN102" s="5636" t="s">
        <v>1915</v>
      </c>
      <c r="AO102" s="5636"/>
      <c r="AP102" s="3085"/>
      <c r="AQ102" s="3085"/>
      <c r="AR102" s="3085"/>
      <c r="AS102" s="3085"/>
      <c r="AT102" s="3085"/>
      <c r="AU102" s="3085"/>
      <c r="AV102" s="3085"/>
      <c r="AW102" s="3085"/>
      <c r="AX102" s="3085"/>
      <c r="AY102" s="3085"/>
      <c r="AZ102" s="3085"/>
      <c r="BA102" s="3085"/>
      <c r="BB102" s="3085"/>
      <c r="BC102" s="3085"/>
      <c r="BD102" s="3085"/>
    </row>
    <row r="103" spans="1:56" ht="12" customHeight="1" x14ac:dyDescent="0.2">
      <c r="A103" s="949"/>
      <c r="B103" s="485"/>
      <c r="C103" s="6006"/>
      <c r="D103" s="5958"/>
      <c r="E103" s="5959"/>
      <c r="F103" s="5960"/>
      <c r="G103" s="1678"/>
      <c r="H103" s="1684"/>
      <c r="I103" s="5967"/>
      <c r="J103" s="5968"/>
      <c r="K103" s="5968"/>
      <c r="L103" s="5968"/>
      <c r="M103" s="5968"/>
      <c r="N103" s="5968"/>
      <c r="O103" s="5968"/>
      <c r="P103" s="5968"/>
      <c r="Q103" s="5969"/>
      <c r="R103" s="577"/>
      <c r="S103" s="949"/>
      <c r="T103" s="949"/>
      <c r="U103" s="485"/>
      <c r="V103" s="5608"/>
      <c r="W103" s="5637"/>
      <c r="X103" s="5638"/>
      <c r="Y103" s="5638"/>
      <c r="Z103" s="5639"/>
      <c r="AA103" s="5640" t="str">
        <f ca="1">IFERROR(IF(AC93="Armas naturales", "Armas naturales Crit. 2:",IF(ISNUMBER(FIND("Proyectiles",VLOOKUP(AC93,Tabla_ArmasyEscudos,8,0))),"Calidad Munición:","")),"")</f>
        <v/>
      </c>
      <c r="AB103" s="5641"/>
      <c r="AC103" s="5641"/>
      <c r="AD103" s="5642"/>
      <c r="AE103" s="5643"/>
      <c r="AF103" s="5640" t="str">
        <f ca="1">IFERROR(IF(AH93="Armas naturales", "Armas naturales Crit. 2:",IF(ISNUMBER(FIND("Proyectiles",VLOOKUP(AH93,Tabla_ArmasyEscudos,8,0))),"Calidad Munición:","")),"")</f>
        <v/>
      </c>
      <c r="AG103" s="5641"/>
      <c r="AH103" s="5641"/>
      <c r="AI103" s="5642"/>
      <c r="AJ103" s="5643"/>
      <c r="AK103" s="737"/>
      <c r="AL103" s="2145"/>
      <c r="AM103" s="3085"/>
      <c r="AN103" s="3085" t="s">
        <v>8613</v>
      </c>
      <c r="AO103" s="3085">
        <f>VLOOKUP(AF92,Tablas!$X$47:$AF$54,7,0)</f>
        <v>40</v>
      </c>
      <c r="AP103" s="3085"/>
      <c r="AQ103" s="3085"/>
      <c r="AR103" s="3085"/>
      <c r="AS103" s="3085"/>
      <c r="AT103" s="3085" t="s">
        <v>1455</v>
      </c>
      <c r="AU103" s="3085"/>
      <c r="AV103" s="3085"/>
      <c r="AW103" s="3085"/>
      <c r="AX103" s="3085"/>
      <c r="AY103" s="3085"/>
      <c r="AZ103" s="3085"/>
      <c r="BA103" s="3085"/>
      <c r="BB103" s="3085"/>
      <c r="BC103" s="3085"/>
      <c r="BD103" s="3085"/>
    </row>
    <row r="104" spans="1:56" ht="12" customHeight="1" x14ac:dyDescent="0.2">
      <c r="A104" s="949"/>
      <c r="B104" s="485"/>
      <c r="C104" s="6006"/>
      <c r="D104" s="5964"/>
      <c r="E104" s="5964"/>
      <c r="F104" s="5964"/>
      <c r="G104" s="1684"/>
      <c r="H104" s="1684"/>
      <c r="I104" s="5967"/>
      <c r="J104" s="5968"/>
      <c r="K104" s="5968"/>
      <c r="L104" s="5968"/>
      <c r="M104" s="5968"/>
      <c r="N104" s="5968"/>
      <c r="O104" s="5968"/>
      <c r="P104" s="5968"/>
      <c r="Q104" s="5969"/>
      <c r="R104" s="577"/>
      <c r="S104" s="949"/>
      <c r="T104" s="949"/>
      <c r="U104" s="485"/>
      <c r="V104" s="5608"/>
      <c r="W104" s="5637"/>
      <c r="X104" s="5638"/>
      <c r="Y104" s="5638"/>
      <c r="Z104" s="5639"/>
      <c r="AA104" s="1056" t="str">
        <f ca="1">IF(ISNUMBER(FIND("Proyectiles",VLOOKUP(AC93,Tabla_ArmasyEscudos,8,0))),"Rango:","")</f>
        <v/>
      </c>
      <c r="AB104" s="3007" t="str">
        <f ca="1">IFERROR(IF(AA104="Rango:",(VLOOKUP(AC93,Tabla_ArmasyEscudos,17,0)+IF((AS96-AB99/5)&gt;0,VLOOKUP(MIN(AS96,AB107),Tabla_AlcanceFUE,2,0),IF($Z100&lt;3,-30,VLOOKUP(MIN(IF(Zen_IP,20,13),AB107,$Z100),Tabla_AlcanceFUE,2))))*IF(AlcanceIncrementado,2,1)&amp;" m",""),"")</f>
        <v/>
      </c>
      <c r="AC104" s="5644" t="str">
        <f ca="1">IF(ISNUMBER(FIND("Proyectiles",VLOOKUP(AC93,Tabla_ArmasyEscudos,8,0))),"Recarga:","")</f>
        <v/>
      </c>
      <c r="AD104" s="5644"/>
      <c r="AE104" s="2967" t="str">
        <f ca="1">IFERROR(IF(AC104="Recarga:",VLOOKUP(AC93,Tabla_ArmasyEscudos,16,0),""),"")</f>
        <v/>
      </c>
      <c r="AF104" s="1056" t="str">
        <f ca="1">IF(ISNUMBER(FIND("Proyectiles",VLOOKUP(AH93,Tabla_ArmasyEscudos,8,0))),"Rango:","")</f>
        <v/>
      </c>
      <c r="AG104" s="3007" t="str">
        <f ca="1">IFERROR(IF(AF104="Rango:",(VLOOKUP(AH93,Tabla_ArmasyEscudos,17,0)+IF((AS97-AG99/5)&gt;0,VLOOKUP(MIN(AS97,AG107),Tabla_AlcanceFUE,2,0),IF($Z100&lt;3,-30,VLOOKUP(MIN(IF(Zen_IP,20,13),AG107,$Z100),Tabla_AlcanceFUE,2))))*IF(AlcanceIncrementado,2,1)&amp;" m",""),"")</f>
        <v/>
      </c>
      <c r="AH104" s="5644" t="str">
        <f ca="1">IF(ISNUMBER(FIND("Proyectiles",VLOOKUP(AH93,Tabla_ArmasyEscudos,8,0))),"Recarga:","")</f>
        <v/>
      </c>
      <c r="AI104" s="5644"/>
      <c r="AJ104" s="2967" t="str">
        <f ca="1">IFERROR(IF(AH104="Recarga:",VLOOKUP(AH93,Tabla_ArmasyEscudos,16,0),""),"")</f>
        <v/>
      </c>
      <c r="AK104" s="737"/>
      <c r="AL104" s="2145"/>
      <c r="AM104" s="3085"/>
      <c r="AN104" s="3085" t="s">
        <v>1392</v>
      </c>
      <c r="AO104" s="3085">
        <f>MIN(VLOOKUP(AF92,Tablas!$X$47:$AF$54,2,0),20)</f>
        <v>20</v>
      </c>
      <c r="AP104" s="3085"/>
      <c r="AQ104" s="3085"/>
      <c r="AR104" s="3085"/>
      <c r="AS104" s="3085"/>
      <c r="AT104" s="3085" t="s">
        <v>1455</v>
      </c>
      <c r="AU104" s="3085"/>
      <c r="AV104" s="3085"/>
      <c r="AW104" s="3085"/>
      <c r="AX104" s="3085"/>
      <c r="AY104" s="3085"/>
      <c r="AZ104" s="3085"/>
      <c r="BA104" s="3085"/>
      <c r="BB104" s="3085"/>
      <c r="BC104" s="3085"/>
      <c r="BD104" s="3085"/>
    </row>
    <row r="105" spans="1:56" ht="12" customHeight="1" x14ac:dyDescent="0.2">
      <c r="A105" s="1378"/>
      <c r="B105" s="485"/>
      <c r="C105" s="6006"/>
      <c r="D105" s="5958"/>
      <c r="E105" s="5959"/>
      <c r="F105" s="5960"/>
      <c r="G105" s="1683"/>
      <c r="H105" s="1684"/>
      <c r="I105" s="5961"/>
      <c r="J105" s="5962"/>
      <c r="K105" s="5962"/>
      <c r="L105" s="5962"/>
      <c r="M105" s="5962"/>
      <c r="N105" s="5962"/>
      <c r="O105" s="5962"/>
      <c r="P105" s="5962"/>
      <c r="Q105" s="5963"/>
      <c r="R105" s="577"/>
      <c r="S105" s="949"/>
      <c r="T105" s="949"/>
      <c r="U105" s="485"/>
      <c r="V105" s="5608"/>
      <c r="W105" s="5637"/>
      <c r="X105" s="5638"/>
      <c r="Y105" s="5638"/>
      <c r="Z105" s="5639"/>
      <c r="AA105" s="5645" t="s">
        <v>998</v>
      </c>
      <c r="AB105" s="2119" t="s">
        <v>7224</v>
      </c>
      <c r="AC105" s="2238"/>
      <c r="AD105" s="2119" t="s">
        <v>1392</v>
      </c>
      <c r="AE105" s="2240"/>
      <c r="AF105" s="5645" t="s">
        <v>998</v>
      </c>
      <c r="AG105" s="2119" t="s">
        <v>7224</v>
      </c>
      <c r="AH105" s="2242"/>
      <c r="AI105" s="2119" t="s">
        <v>1392</v>
      </c>
      <c r="AJ105" s="2240"/>
      <c r="AK105" s="737"/>
      <c r="AL105" s="2145"/>
      <c r="AM105" s="3085"/>
      <c r="AN105" s="3085" t="s">
        <v>1963</v>
      </c>
      <c r="AO105" s="3085">
        <f>VLOOKUP(AF92,Tablas!$X$47:$AF$54,9,0)</f>
        <v>12</v>
      </c>
      <c r="AP105" s="3085"/>
      <c r="AQ105" s="3085"/>
      <c r="AR105" s="3085"/>
      <c r="AS105" s="3085"/>
      <c r="AT105" s="3085" t="s">
        <v>1455</v>
      </c>
      <c r="AU105" s="3085"/>
      <c r="AV105" s="3085"/>
      <c r="AW105" s="3085"/>
      <c r="AX105" s="3085"/>
      <c r="AY105" s="3085"/>
      <c r="AZ105" s="3085"/>
      <c r="BA105" s="3085"/>
      <c r="BB105" s="3085"/>
      <c r="BC105" s="3085"/>
      <c r="BD105" s="3085"/>
    </row>
    <row r="106" spans="1:56" ht="12" customHeight="1" thickBot="1" x14ac:dyDescent="0.25">
      <c r="A106" s="1378"/>
      <c r="B106" s="969"/>
      <c r="C106" s="6006"/>
      <c r="D106" s="5964"/>
      <c r="E106" s="5964"/>
      <c r="F106" s="5964"/>
      <c r="G106" s="1678"/>
      <c r="H106" s="1684"/>
      <c r="I106" s="5967"/>
      <c r="J106" s="5968"/>
      <c r="K106" s="5968"/>
      <c r="L106" s="5968"/>
      <c r="M106" s="5968"/>
      <c r="N106" s="5968"/>
      <c r="O106" s="5968"/>
      <c r="P106" s="5968"/>
      <c r="Q106" s="5969"/>
      <c r="R106" s="577"/>
      <c r="S106" s="949"/>
      <c r="T106" s="949"/>
      <c r="U106" s="485"/>
      <c r="V106" s="5609"/>
      <c r="W106" s="5650"/>
      <c r="X106" s="5650"/>
      <c r="Y106" s="5650"/>
      <c r="Z106" s="5650"/>
      <c r="AA106" s="5646"/>
      <c r="AB106" s="1384" t="s">
        <v>8325</v>
      </c>
      <c r="AC106" s="2239"/>
      <c r="AD106" s="3008" t="s">
        <v>1565</v>
      </c>
      <c r="AE106" s="2241"/>
      <c r="AF106" s="5646"/>
      <c r="AG106" s="1384" t="s">
        <v>8325</v>
      </c>
      <c r="AH106" s="2243"/>
      <c r="AI106" s="3008" t="s">
        <v>1565</v>
      </c>
      <c r="AJ106" s="2241"/>
      <c r="AK106" s="737"/>
      <c r="AL106" s="2145"/>
      <c r="AM106" s="3085"/>
      <c r="AN106" s="3085" t="s">
        <v>1569</v>
      </c>
      <c r="AO106" s="3085">
        <f>VLOOKUP(AF92,Tablas!$X$47:$AF$54,8,0)</f>
        <v>0</v>
      </c>
      <c r="AP106" s="3085"/>
      <c r="AQ106" s="3085"/>
      <c r="AR106" s="3085"/>
      <c r="AS106" s="3085"/>
      <c r="AT106" s="3085" t="s">
        <v>1455</v>
      </c>
      <c r="AU106" s="3085"/>
      <c r="AV106" s="3085"/>
      <c r="AW106" s="3085"/>
      <c r="AX106" s="3085"/>
      <c r="AY106" s="3085"/>
      <c r="AZ106" s="3085"/>
      <c r="BA106" s="3085"/>
      <c r="BB106" s="3085"/>
      <c r="BC106" s="3085"/>
      <c r="BD106" s="3085"/>
    </row>
    <row r="107" spans="1:56" ht="12" customHeight="1" thickBot="1" x14ac:dyDescent="0.25">
      <c r="A107" s="949"/>
      <c r="B107" s="485"/>
      <c r="C107" s="6006"/>
      <c r="D107" s="5958"/>
      <c r="E107" s="5959"/>
      <c r="F107" s="5960"/>
      <c r="G107" s="1684"/>
      <c r="H107" s="1684"/>
      <c r="I107" s="5965"/>
      <c r="J107" s="5713"/>
      <c r="K107" s="5713"/>
      <c r="L107" s="5713"/>
      <c r="M107" s="5713"/>
      <c r="N107" s="5713"/>
      <c r="O107" s="5713"/>
      <c r="P107" s="5713"/>
      <c r="Q107" s="5966"/>
      <c r="R107" s="1377"/>
      <c r="S107" s="1378"/>
      <c r="T107" s="1378"/>
      <c r="U107" s="969"/>
      <c r="V107" s="2395"/>
      <c r="W107" s="2395"/>
      <c r="X107" s="2395"/>
      <c r="Y107" s="2395"/>
      <c r="Z107" s="2395"/>
      <c r="AA107" s="2395"/>
      <c r="AB107" s="2809">
        <f>IF(AB99&lt;0,10,IF(AB99&gt;20,20,INDEX(Tablas!$L$23:$L$33,MATCH(AB99,Tablas!$N$23:$N$33,0))))</f>
        <v>10</v>
      </c>
      <c r="AC107" s="2395"/>
      <c r="AD107" s="2395"/>
      <c r="AE107" s="2395"/>
      <c r="AF107" s="2395"/>
      <c r="AG107" s="2809">
        <f>IF(AG99&lt;0,10,IF(AG99&gt;20,20,INDEX(Tablas!$L$23:$L$33,MATCH(AG99,Tablas!$N$23:$N$33,0))))</f>
        <v>10</v>
      </c>
      <c r="AH107" s="2395"/>
      <c r="AI107" s="2395"/>
      <c r="AJ107" s="2395"/>
      <c r="AK107" s="737"/>
      <c r="AL107" s="2145"/>
      <c r="AM107" s="3085"/>
      <c r="AN107" s="3085"/>
      <c r="AO107" s="3085"/>
      <c r="AP107" s="3085"/>
      <c r="AQ107" s="3085"/>
      <c r="AR107" s="3085"/>
      <c r="AS107" s="3085"/>
      <c r="AT107" s="3085"/>
      <c r="AU107" s="3085"/>
      <c r="AV107" s="3085"/>
      <c r="AW107" s="3085"/>
      <c r="AX107" s="3085"/>
      <c r="AY107" s="3085"/>
      <c r="AZ107" s="3085"/>
      <c r="BA107" s="3085"/>
      <c r="BB107" s="3085"/>
      <c r="BC107" s="3085"/>
      <c r="BD107" s="3085"/>
    </row>
    <row r="108" spans="1:56" ht="12" customHeight="1" thickBot="1" x14ac:dyDescent="0.25">
      <c r="A108" s="949"/>
      <c r="B108" s="485"/>
      <c r="C108" s="6006"/>
      <c r="D108" s="5958"/>
      <c r="E108" s="5959"/>
      <c r="F108" s="5960"/>
      <c r="G108" s="1678"/>
      <c r="H108" s="1684"/>
      <c r="I108" s="5967"/>
      <c r="J108" s="5968"/>
      <c r="K108" s="5968"/>
      <c r="L108" s="5968"/>
      <c r="M108" s="5968"/>
      <c r="N108" s="5968"/>
      <c r="O108" s="5968"/>
      <c r="P108" s="5968"/>
      <c r="Q108" s="5969"/>
      <c r="R108" s="1377"/>
      <c r="S108" s="1378"/>
      <c r="T108" s="1378"/>
      <c r="U108" s="969"/>
      <c r="V108" s="5599" t="s">
        <v>1323</v>
      </c>
      <c r="W108" s="5600"/>
      <c r="X108" s="5601" t="s">
        <v>8595</v>
      </c>
      <c r="Y108" s="5601"/>
      <c r="Z108" s="5601"/>
      <c r="AA108" s="5601"/>
      <c r="AB108" s="5602"/>
      <c r="AC108" s="5594" t="s">
        <v>8610</v>
      </c>
      <c r="AD108" s="5595"/>
      <c r="AE108" s="5595"/>
      <c r="AF108" s="5596" t="s">
        <v>1727</v>
      </c>
      <c r="AG108" s="5597"/>
      <c r="AH108" s="5594" t="s">
        <v>8606</v>
      </c>
      <c r="AI108" s="5598"/>
      <c r="AJ108" s="2973"/>
      <c r="AK108" s="737"/>
      <c r="AL108" s="2145"/>
      <c r="AM108" s="3085"/>
      <c r="AN108" s="3085" t="s">
        <v>9307</v>
      </c>
      <c r="AO108" s="3085" t="s">
        <v>1392</v>
      </c>
      <c r="AP108" s="3085" t="s">
        <v>7224</v>
      </c>
      <c r="AQ108" s="3085" t="s">
        <v>8325</v>
      </c>
      <c r="AR108" s="3085" t="s">
        <v>1565</v>
      </c>
      <c r="AS108" s="3085"/>
      <c r="AT108" s="3085"/>
      <c r="AU108" s="3085"/>
      <c r="AV108" s="3085"/>
      <c r="AW108" s="3085"/>
      <c r="AX108" s="3085"/>
      <c r="AY108" s="3085"/>
      <c r="AZ108" s="3085"/>
      <c r="BA108" s="3085"/>
      <c r="BB108" s="3085"/>
      <c r="BC108" s="3085"/>
      <c r="BD108" s="3085"/>
    </row>
    <row r="109" spans="1:56" ht="12" customHeight="1" x14ac:dyDescent="0.2">
      <c r="A109" s="949"/>
      <c r="B109" s="485"/>
      <c r="C109" s="6006"/>
      <c r="D109" s="5964"/>
      <c r="E109" s="5964"/>
      <c r="F109" s="5964"/>
      <c r="G109" s="1684"/>
      <c r="H109" s="1683"/>
      <c r="I109" s="5965"/>
      <c r="J109" s="5713"/>
      <c r="K109" s="5713"/>
      <c r="L109" s="5713"/>
      <c r="M109" s="5713"/>
      <c r="N109" s="5713"/>
      <c r="O109" s="5713"/>
      <c r="P109" s="5713"/>
      <c r="Q109" s="5966"/>
      <c r="R109" s="1377"/>
      <c r="S109" s="1378"/>
      <c r="T109" s="1378"/>
      <c r="U109" s="969"/>
      <c r="V109" s="4155" t="s">
        <v>8609</v>
      </c>
      <c r="W109" s="5624"/>
      <c r="X109" s="5625"/>
      <c r="Y109" s="5620" t="s">
        <v>1543</v>
      </c>
      <c r="Z109" s="5622">
        <f>IFERROR(VLOOKUP(V110,Tabla_CaracterísticasGéminis,2,0)+IF(COUNTIF(W117:Z122,"Metal")&gt;0,VLOOKUP(V110,Tabla_CaracterísticasGéminis,2,0),0)+IF(AF108="Grande",50,IF(AF108="Enorme",150,0)),0)</f>
        <v>0</v>
      </c>
      <c r="AA109" s="5626" t="s">
        <v>8617</v>
      </c>
      <c r="AB109" s="5627"/>
      <c r="AC109" s="5628"/>
      <c r="AD109" s="5629"/>
      <c r="AE109" s="5630"/>
      <c r="AF109" s="5626"/>
      <c r="AG109" s="5627"/>
      <c r="AH109" s="5628"/>
      <c r="AI109" s="5629"/>
      <c r="AJ109" s="5630"/>
      <c r="AK109" s="737"/>
      <c r="AL109" s="2145"/>
      <c r="AM109" s="3085"/>
      <c r="AN109" s="3085" t="b">
        <f>AA111&lt;&gt;"-"</f>
        <v>0</v>
      </c>
      <c r="AO109" s="3085" t="str">
        <f>IF(AN109,X108&amp;": "&amp;AD111&amp;" "&amp;AC109&amp;IF(AB115&gt;0," +"&amp;AB115,"")&amp;IF(AH109="",""," y "&amp;AH109&amp;IF(AG115&gt;0," +"&amp;AG115,"")),"")</f>
        <v/>
      </c>
      <c r="AP109" s="3085" t="str">
        <f>IF(AN109,X108&amp;": "&amp;AA111&amp;" "&amp;AC109&amp;IF(AB115&gt;0," +"&amp;AB115,"")&amp;IF(AH109="",""," y "&amp;AF111&amp;" "&amp;AH109&amp;IF(AG115&gt;0," +"&amp;AG115,"")),"")</f>
        <v/>
      </c>
      <c r="AQ109" s="3085" t="str">
        <f>IF(AN109,X108&amp;": "&amp;IFERROR(MAX(AB111,AG111),AB111)&amp;" "&amp;IF(Par_Esq="Esq","Esquiva",AC109&amp;IF(AB115&gt;0," +"&amp;AB115,"")&amp;IF(AH109="",""," y "&amp;AH109&amp;IF(AG115&gt;0," +"&amp;AG115,""))),"")</f>
        <v/>
      </c>
      <c r="AR109" s="3085"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85"/>
      <c r="AT109" s="3085"/>
      <c r="AU109" s="3085"/>
      <c r="AV109" s="3085"/>
      <c r="AW109" s="3085"/>
      <c r="AX109" s="3085"/>
      <c r="AY109" s="3085"/>
      <c r="AZ109" s="3085"/>
      <c r="BA109" s="3085"/>
      <c r="BB109" s="3085"/>
      <c r="BC109" s="3085"/>
      <c r="BD109" s="3085"/>
    </row>
    <row r="110" spans="1:56" ht="12" customHeight="1" thickBot="1" x14ac:dyDescent="0.25">
      <c r="A110" s="949"/>
      <c r="B110" s="485"/>
      <c r="C110" s="6007"/>
      <c r="D110" s="5996"/>
      <c r="E110" s="5997"/>
      <c r="F110" s="5998"/>
      <c r="G110" s="2552"/>
      <c r="H110" s="2552"/>
      <c r="I110" s="5999"/>
      <c r="J110" s="6000"/>
      <c r="K110" s="6000"/>
      <c r="L110" s="6000"/>
      <c r="M110" s="6000"/>
      <c r="N110" s="6000"/>
      <c r="O110" s="6000"/>
      <c r="P110" s="6000"/>
      <c r="Q110" s="6001"/>
      <c r="R110" s="1377"/>
      <c r="S110" s="1378"/>
      <c r="T110" s="1378"/>
      <c r="U110" s="2127"/>
      <c r="V110" s="5631"/>
      <c r="W110" s="5632"/>
      <c r="X110" s="5633"/>
      <c r="Y110" s="5621"/>
      <c r="Z110" s="5623"/>
      <c r="AA110" s="1387" t="s">
        <v>1563</v>
      </c>
      <c r="AB110" s="5634" t="s">
        <v>1564</v>
      </c>
      <c r="AC110" s="5635"/>
      <c r="AD110" s="2116" t="s">
        <v>1392</v>
      </c>
      <c r="AE110" s="1388" t="s">
        <v>1565</v>
      </c>
      <c r="AF110" s="1387" t="s">
        <v>1563</v>
      </c>
      <c r="AG110" s="5634" t="s">
        <v>1564</v>
      </c>
      <c r="AH110" s="5635"/>
      <c r="AI110" s="2116" t="s">
        <v>1392</v>
      </c>
      <c r="AJ110" s="1388" t="s">
        <v>1565</v>
      </c>
      <c r="AK110" s="737" t="e">
        <f>IF(Z116&lt;1,0,VLOOKUP(Z116,Tabla_BonoStats,2))</f>
        <v>#N/A</v>
      </c>
      <c r="AL110" s="2145"/>
      <c r="AM110" s="3085"/>
      <c r="AN110" s="3085"/>
      <c r="AO110" s="3085"/>
      <c r="AP110" s="3085"/>
      <c r="AQ110" s="3085"/>
      <c r="AR110" s="3085" t="str">
        <f>IF(AN109,X108&amp;": "&amp;FLOOR(AE111*1.5,5)&amp;" "&amp;AC109&amp;IF(AB115&gt;0," +"&amp;AB115,"")&amp;IF(AH109="",""," y "&amp;FLOOR(AJ111*1.5,5)&amp;" "&amp;AH109&amp;IF(AG115&gt;0," +"&amp;AG115,"")),"")</f>
        <v/>
      </c>
      <c r="AS110" s="3085"/>
      <c r="AT110" s="3085"/>
      <c r="AU110" s="3085"/>
      <c r="AV110" s="3085"/>
      <c r="AW110" s="3085"/>
      <c r="AX110" s="3085"/>
      <c r="AY110" s="3085"/>
      <c r="AZ110" s="3085"/>
      <c r="BA110" s="3085"/>
      <c r="BB110" s="3085"/>
      <c r="BC110" s="3085"/>
      <c r="BD110" s="3085"/>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614" t="s">
        <v>8602</v>
      </c>
      <c r="W111" s="5615"/>
      <c r="X111" s="5618">
        <f>IFERROR(VLOOKUP(V110,Tabla_CaracterísticasGéminis,4,0),0)</f>
        <v>0</v>
      </c>
      <c r="Y111" s="5620" t="s">
        <v>8599</v>
      </c>
      <c r="Z111" s="5622">
        <f>IFERROR(VLOOKUP(V110,Tabla_CaracterísticasGéminis,3,0)+IF(COUNTIF(W117:Z122,"Metal")&gt;0,4,0),0)</f>
        <v>0</v>
      </c>
      <c r="AA111" s="5590" t="str">
        <f>IFERROR(IF(OR(AC109="",Tablas!$H$1016=0),"-",IF(OR(AC109="Armas naturales",VLOOKUP(AC109,Tabla_ArmasyEscudos,9,0)="Conocida"),HA_final,"-")+AB115+AC121+5*MIN(4,COUNTIF(W117:Z122,"Capacidad de combate"))-10*MAX(0,AR112-Z116))+IF(AND(OR(AC109="Lanza",AC109="Vara"),AA109="A 1 mano"),-10,0),"-")</f>
        <v>-</v>
      </c>
      <c r="AB111" s="5592"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29" t="str">
        <f>IF(OR(AC109="",Tablas!$H$1016=0),"",Par_Esq)</f>
        <v/>
      </c>
      <c r="AD111" s="5603" t="str">
        <f>IFERROR(IF(OR(AC109="",Tablas!$H$1016=0),"-",IF(AC109="Armas naturales",Turno_Nat_final-20+AO120,Turno_Nat_final-20+IF(ISNA(AU113),AU112,IF((AU112-AB115)=(AU113-AG115),MIN(AU112,AU113)-IF(VLOOKUP(AC109,Tabla_ArmasyEscudos,3,FALSE)&gt;=0,10,20),MIN(AU112,AU113))))+IF(COUNTIF(W117:Z122,"Metal")&gt;0,-40,0)),"-")</f>
        <v>-</v>
      </c>
      <c r="AE111" s="5605"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90" t="str">
        <f>IFERROR(IF(OR(AH109="",Tablas!$H$1016=0),"-",IF(VLOOKUP(AH109,Tabla_ArmasyEscudos,9,0)="Conocida",HA_final,"-")-40+AG115+AH121+5*MIN(4,COUNTIF(W117:Z122,"Capacidad de combate"))-10*MAX(0,AR113-Z116))+IF(AND(OR(AH109="Lanza",AH109="Vara"),AF109="A 1 mano"),-10,0),"-")</f>
        <v>-</v>
      </c>
      <c r="AG111" s="5592"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29" t="str">
        <f>IF(OR(AH109="",Tablas!$H$1016=0),"",Par_Esq)</f>
        <v/>
      </c>
      <c r="AI111" s="5603" t="s">
        <v>1577</v>
      </c>
      <c r="AJ111" s="5605"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85"/>
      <c r="AN111" s="3085" t="s">
        <v>8611</v>
      </c>
      <c r="AO111" s="3085"/>
      <c r="AP111" s="3085"/>
      <c r="AQ111" s="3085" t="s">
        <v>8619</v>
      </c>
      <c r="AR111" s="3085" t="s">
        <v>8621</v>
      </c>
      <c r="AS111" s="3085" t="s">
        <v>8620</v>
      </c>
      <c r="AT111" s="3085" t="s">
        <v>1367</v>
      </c>
      <c r="AU111" s="3085" t="s">
        <v>8622</v>
      </c>
      <c r="AV111" s="3085"/>
      <c r="AW111" s="3085"/>
      <c r="AX111" s="3085"/>
      <c r="AY111" s="3085"/>
      <c r="AZ111" s="3085"/>
      <c r="BA111" s="3085"/>
      <c r="BB111" s="3085"/>
      <c r="BC111" s="3085"/>
      <c r="BD111" s="3085"/>
    </row>
    <row r="112" spans="1:56" ht="12" customHeight="1" thickBot="1" x14ac:dyDescent="0.25">
      <c r="A112" s="949"/>
      <c r="B112" s="485"/>
      <c r="C112" s="2395"/>
      <c r="D112" s="2395"/>
      <c r="E112" s="5979" t="s">
        <v>6599</v>
      </c>
      <c r="F112" s="5980"/>
      <c r="G112" s="5980"/>
      <c r="H112" s="5980"/>
      <c r="I112" s="5980"/>
      <c r="J112" s="5980"/>
      <c r="K112" s="5981"/>
      <c r="L112" s="5993" t="s">
        <v>6601</v>
      </c>
      <c r="M112" s="5993"/>
      <c r="N112" s="5993"/>
      <c r="O112" s="5994"/>
      <c r="P112" s="2395"/>
      <c r="Q112" s="2395"/>
      <c r="R112" s="1377"/>
      <c r="S112" s="1378"/>
      <c r="T112" s="1378"/>
      <c r="U112" s="969"/>
      <c r="V112" s="5616"/>
      <c r="W112" s="5617"/>
      <c r="X112" s="5619"/>
      <c r="Y112" s="5621"/>
      <c r="Z112" s="5623"/>
      <c r="AA112" s="5591"/>
      <c r="AB112" s="5593"/>
      <c r="AC112" s="5530"/>
      <c r="AD112" s="5604"/>
      <c r="AE112" s="5606"/>
      <c r="AF112" s="5591"/>
      <c r="AG112" s="5593"/>
      <c r="AH112" s="5530"/>
      <c r="AI112" s="5604"/>
      <c r="AJ112" s="5606"/>
      <c r="AK112" s="737"/>
      <c r="AL112" s="2145"/>
      <c r="AM112" s="3085"/>
      <c r="AN112" s="3085" t="str">
        <f>ADDRESS(ROW(AN113),COLUMN(AN113))&amp;":"&amp;IF(AN117="",ADDRESS(ROW(AN115),COLUMN(AN115)),ADDRESS(ROW(AN117),COLUMN(AN117)))</f>
        <v>$AN$113:$AN$115</v>
      </c>
      <c r="AO112" s="3085"/>
      <c r="AP112" s="3085">
        <f>AC109</f>
        <v>0</v>
      </c>
      <c r="AQ112" s="3085" t="str">
        <f>IF(OR(AA109="A 2 manos",AA109="Proy. 2M"),"2M","")</f>
        <v/>
      </c>
      <c r="AR112" s="3085">
        <f ca="1">IFERROR(VLOOKUP(AC109,Tabla_ArmasyEscudos,IF(AQ112="2M",5,4),0),0)</f>
        <v>0</v>
      </c>
      <c r="AS112" s="3085">
        <f ca="1">IFERROR(IF(VLOOKUP(AC109,Tabla_ArmasyEscudos,18,0)&gt;0,IF(AC109="Atlatl",Z116+2,VLOOKUP(AC109,Tabla_ArmasyEscudos,18,0))+AB115/5,0),0)</f>
        <v>0</v>
      </c>
      <c r="AT112" s="3085">
        <f ca="1">IF(AS112&lt;1,0,VLOOKUP(AS112,Tablas!$C$14:$D$33,2))</f>
        <v>0</v>
      </c>
      <c r="AU112" s="3085" t="e">
        <f ca="1">VLOOKUP(AC109,Tabla_ArmasyEscudos,3,FALSE)+AE121+AB115</f>
        <v>#N/A</v>
      </c>
      <c r="AV112" s="3085"/>
      <c r="AW112" s="3085"/>
      <c r="AX112" s="3085"/>
      <c r="AY112" s="3085"/>
      <c r="AZ112" s="3085"/>
      <c r="BA112" s="3085"/>
      <c r="BB112" s="3085"/>
      <c r="BC112" s="3085"/>
      <c r="BD112" s="3085"/>
    </row>
    <row r="113" spans="1:56" ht="12" customHeight="1" x14ac:dyDescent="0.2">
      <c r="A113" s="949"/>
      <c r="B113" s="485"/>
      <c r="C113" s="2395"/>
      <c r="D113" s="2395"/>
      <c r="E113" s="6002"/>
      <c r="F113" s="6003"/>
      <c r="G113" s="6003"/>
      <c r="H113" s="6003"/>
      <c r="I113" s="6003"/>
      <c r="J113" s="6004"/>
      <c r="K113" s="1679"/>
      <c r="L113" s="5954"/>
      <c r="M113" s="5954"/>
      <c r="N113" s="5954"/>
      <c r="O113" s="5953"/>
      <c r="P113" s="2395"/>
      <c r="Q113" s="2395"/>
      <c r="R113" s="1377"/>
      <c r="S113" s="1378"/>
      <c r="T113" s="1378"/>
      <c r="U113" s="969"/>
      <c r="V113" s="5607" t="s">
        <v>8607</v>
      </c>
      <c r="W113" s="2997"/>
      <c r="X113" s="2998" t="s">
        <v>1365</v>
      </c>
      <c r="Y113" s="2998" t="s">
        <v>8608</v>
      </c>
      <c r="Z113" s="2998" t="s">
        <v>1349</v>
      </c>
      <c r="AA113" s="2969" t="s">
        <v>8615</v>
      </c>
      <c r="AB113" s="2970" t="s">
        <v>8616</v>
      </c>
      <c r="AC113" s="2970" t="s">
        <v>1556</v>
      </c>
      <c r="AD113" s="2970" t="s">
        <v>1569</v>
      </c>
      <c r="AE113" s="1386" t="s">
        <v>1557</v>
      </c>
      <c r="AF113" s="2969" t="s">
        <v>8615</v>
      </c>
      <c r="AG113" s="2970" t="s">
        <v>8616</v>
      </c>
      <c r="AH113" s="2970" t="s">
        <v>1556</v>
      </c>
      <c r="AI113" s="2970" t="s">
        <v>1569</v>
      </c>
      <c r="AJ113" s="1386" t="s">
        <v>1557</v>
      </c>
      <c r="AK113" s="737"/>
      <c r="AL113" s="2145"/>
      <c r="AM113" s="3085"/>
      <c r="AN113" s="3085" t="s">
        <v>1964</v>
      </c>
      <c r="AO113" s="3085"/>
      <c r="AP113" s="3085">
        <f>AH109</f>
        <v>0</v>
      </c>
      <c r="AQ113" s="3085" t="str">
        <f>IF(OR(AF109="A 2 manos",AF109="Proy. 2M"),"2M","")</f>
        <v/>
      </c>
      <c r="AR113" s="3085">
        <f ca="1">IFERROR(VLOOKUP(AH109,Tabla_ArmasyEscudos,IF(AQ113="2M",5,4),0),0)</f>
        <v>0</v>
      </c>
      <c r="AS113" s="3085">
        <f ca="1">IFERROR(IF(VLOOKUP(AH109,Tabla_ArmasyEscudos,18,0)&gt;0,IF(AH109="Atlatl",Z116+2,VLOOKUP(AH109,Tabla_ArmasyEscudos,18,0))+AG115/5,0),0)</f>
        <v>0</v>
      </c>
      <c r="AT113" s="3085">
        <f ca="1">IF(AS113&lt;1,0,VLOOKUP(AS113,Tablas!$C$14:$D$33,2))</f>
        <v>0</v>
      </c>
      <c r="AU113" s="3085" t="e">
        <f ca="1">VLOOKUP(AH109,Tabla_ArmasyEscudos,3,FALSE)+AJ121+AG115</f>
        <v>#N/A</v>
      </c>
      <c r="AV113" s="3085"/>
      <c r="AW113" s="3085"/>
      <c r="AX113" s="3085"/>
      <c r="AY113" s="3085"/>
      <c r="AZ113" s="3085"/>
      <c r="BA113" s="3085"/>
      <c r="BB113" s="3085"/>
      <c r="BC113" s="3085"/>
      <c r="BD113" s="3085"/>
    </row>
    <row r="114" spans="1:56" ht="12" customHeight="1" x14ac:dyDescent="0.2">
      <c r="A114" s="949"/>
      <c r="B114" s="485"/>
      <c r="C114" s="2395"/>
      <c r="D114" s="2395"/>
      <c r="E114" s="5941"/>
      <c r="F114" s="5942"/>
      <c r="G114" s="5942"/>
      <c r="H114" s="5942"/>
      <c r="I114" s="5942"/>
      <c r="J114" s="5943"/>
      <c r="K114" s="1686"/>
      <c r="L114" s="5954"/>
      <c r="M114" s="5954"/>
      <c r="N114" s="5954"/>
      <c r="O114" s="5953"/>
      <c r="P114" s="2395"/>
      <c r="Q114" s="2395"/>
      <c r="R114" s="1377"/>
      <c r="S114" s="1378"/>
      <c r="T114" s="1378"/>
      <c r="U114" s="969"/>
      <c r="V114" s="5608"/>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2999" t="str">
        <f ca="1">IFERROR(IF(AC109="Armas naturales",IF(AD119="","-",AD119),VLOOKUP(IF(OR(AA109="Proy. 1M",AA109="Proy. 2M"),AD118,AC109),Tabla_ArmasyEscudos,7,0)),"-")</f>
        <v>-</v>
      </c>
      <c r="AC114" s="3000"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5" t="str">
        <f>IFERROR(IF(OR(AC109="",Tablas!$H$1016=0),"-",IF(AC109="Armas naturales",AO122,IFERROR(VLOOKUP(AD118,Tabla_ArmasyEscudos,11,0)+2*AD119/5,VLOOKUP(AC109,Tabla_ArmasyEscudos,11,0)+2*AB115/5))+VLOOKUP(IF((AS112-AB115/5)&gt;0,AS112,Z116),Tabla_Fuerza,2)+IF(Extensióndelauraalarma,5,0)+IF(Ojos_de_la_Muerte,5,0)),"-")</f>
        <v>-</v>
      </c>
      <c r="AE114" s="3001"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2999" t="str">
        <f ca="1">IFERROR(IF(AH109="Armas naturales",IF(AI119="","-",AI119),VLOOKUP(IF(AF109="Proy. 1M",AI118,AH109),Tabla_ArmasyEscudos,7,0)),"-")</f>
        <v>-</v>
      </c>
      <c r="AH114" s="3000"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5" t="str">
        <f>IFERROR(IF(OR(AH109="",Tablas!$H$1016=0),"-",IF(AH109="Armas naturales",AO122,IFERROR(VLOOKUP(AI118,Tabla_ArmasyEscudos,11,0)+2*AI119/5,VLOOKUP(AH109,Tabla_ArmasyEscudos,11,0)+2*AG115/5))+VLOOKUP(IF((AS113-AG115/5)&gt;0,AS113,Z116),Tabla_Fuerza,2)+IF(Extensióndelauraalarma,5,0)+IF(Ojos_de_la_Muerte,5,0)),"-")</f>
        <v>-</v>
      </c>
      <c r="AJ114" s="3001" t="str">
        <f>IFERROR(IF(OR(AH109="",Tablas!$H$1016=0),"-",IF(AH109="Armas naturales",Presencia_final,VLOOKUP(AH109,Tabla_ArmasyEscudos,12,0)+50*MAX(AG115/5,0)&amp;IFERROR("/"&amp;VLOOKUP(AI118,Tabla_ArmasyEscudos,12,0)+50*MAX(AI119/5,0),""))),"-")</f>
        <v>-</v>
      </c>
      <c r="AK114" s="737"/>
      <c r="AL114" s="2145"/>
      <c r="AM114" s="3085"/>
      <c r="AN114" s="3085" t="s">
        <v>1965</v>
      </c>
      <c r="AO114" s="3085"/>
      <c r="AP114" s="3085"/>
      <c r="AQ114" s="3085"/>
      <c r="AR114" s="3085"/>
      <c r="AS114" s="3085"/>
      <c r="AT114" s="3085"/>
      <c r="AU114" s="3085"/>
      <c r="AV114" s="3085"/>
      <c r="AW114" s="3085"/>
      <c r="AX114" s="3085"/>
      <c r="AY114" s="3085"/>
      <c r="AZ114" s="3085"/>
      <c r="BA114" s="3085"/>
      <c r="BB114" s="3085"/>
      <c r="BC114" s="3085"/>
      <c r="BD114" s="3085"/>
    </row>
    <row r="115" spans="1:56" ht="12" customHeight="1" x14ac:dyDescent="0.2">
      <c r="A115" s="949"/>
      <c r="B115" s="485"/>
      <c r="C115" s="2395"/>
      <c r="D115" s="2395"/>
      <c r="E115" s="5982"/>
      <c r="F115" s="5983"/>
      <c r="G115" s="5983"/>
      <c r="H115" s="5983"/>
      <c r="I115" s="5983"/>
      <c r="J115" s="5984"/>
      <c r="K115" s="1686"/>
      <c r="L115" s="5954"/>
      <c r="M115" s="5954"/>
      <c r="N115" s="5954"/>
      <c r="O115" s="5953"/>
      <c r="P115" s="2395"/>
      <c r="Q115" s="2395"/>
      <c r="R115" s="1377"/>
      <c r="S115" s="1378"/>
      <c r="T115" s="1378"/>
      <c r="U115" s="969"/>
      <c r="V115" s="5608"/>
      <c r="W115" s="1446" t="s">
        <v>1378</v>
      </c>
      <c r="X115" s="1695" t="str">
        <f>IF(Tablas!$H$1016=0,"-",IF(Zen,DES,MIN(13,DES)))</f>
        <v>-</v>
      </c>
      <c r="Y115" s="2262"/>
      <c r="Z115" s="3002" t="str">
        <f>IFERROR(MIN(X115+Y115,IF(Zen,20,13)),"-")</f>
        <v>-</v>
      </c>
      <c r="AA115" s="1698" t="str">
        <f>IF(AND(AC109&lt;&gt;"",AC109&lt;&gt;"Armas naturales"),"Calidad:","")</f>
        <v/>
      </c>
      <c r="AB115" s="3005"/>
      <c r="AC115" s="5610" t="str">
        <f ca="1">IF(AA119="Calidad munición:",IF(AD119&lt;=0,"","TA defensor:"),IF(AB115&lt;=0,"","TA defensor:"))</f>
        <v/>
      </c>
      <c r="AD115" s="5610"/>
      <c r="AE115" s="3004" t="str">
        <f ca="1">IF(AC115="TA defensor:",IF(AA119="Calidad munición:",AD119/(-5),AB115/(-5)),"")</f>
        <v/>
      </c>
      <c r="AF115" s="1698" t="str">
        <f>IF(AND(AH109&lt;&gt;"",AH109&lt;&gt;"Armas naturales"),"Calidad:","")</f>
        <v/>
      </c>
      <c r="AG115" s="3005"/>
      <c r="AH115" s="5610" t="str">
        <f ca="1">IF(AF119="Calidad munición:",IF(AI119&lt;=0,"","TA defensor:"),IF(AG115&lt;=0,"","TA defensor:"))</f>
        <v/>
      </c>
      <c r="AI115" s="5610"/>
      <c r="AJ115" s="3004" t="str">
        <f ca="1">IF(AH115="TA defensor:",IF(AF119="Calidad munición:",AI119/(-5),AG115/(-5)),"")</f>
        <v/>
      </c>
      <c r="AK115" s="737"/>
      <c r="AL115" s="2145"/>
      <c r="AM115" s="3085"/>
      <c r="AN115" s="3085" t="s">
        <v>1727</v>
      </c>
      <c r="AO115" s="3085"/>
      <c r="AP115" s="3085"/>
      <c r="AQ115" s="3085"/>
      <c r="AR115" s="3085"/>
      <c r="AS115" s="3085"/>
      <c r="AT115" s="3085"/>
      <c r="AU115" s="3085"/>
      <c r="AV115" s="3085"/>
      <c r="AW115" s="3085"/>
      <c r="AX115" s="3085"/>
      <c r="AY115" s="3085"/>
      <c r="AZ115" s="3085"/>
      <c r="BA115" s="3085"/>
      <c r="BB115" s="3085"/>
      <c r="BC115" s="3085"/>
      <c r="BD115" s="3085"/>
    </row>
    <row r="116" spans="1:56" ht="12" customHeight="1" thickBot="1" x14ac:dyDescent="0.25">
      <c r="A116" s="949"/>
      <c r="B116" s="485"/>
      <c r="C116" s="2395"/>
      <c r="D116" s="2395"/>
      <c r="E116" s="5955"/>
      <c r="F116" s="5956"/>
      <c r="G116" s="5956"/>
      <c r="H116" s="5956"/>
      <c r="I116" s="5956"/>
      <c r="J116" s="5957"/>
      <c r="K116" s="1680"/>
      <c r="L116" s="5954"/>
      <c r="M116" s="5954"/>
      <c r="N116" s="5954"/>
      <c r="O116" s="5953"/>
      <c r="P116" s="2395"/>
      <c r="Q116" s="2395"/>
      <c r="R116" s="1377"/>
      <c r="S116" s="1378"/>
      <c r="T116" s="1378"/>
      <c r="U116" s="969"/>
      <c r="V116" s="5609"/>
      <c r="W116" s="1447" t="s">
        <v>1383</v>
      </c>
      <c r="X116" s="3006" t="str">
        <f>IF(Tablas!$H$1016=0,"-",IF(Zen,FUE-2,MIN(11,FUE-2)))</f>
        <v>-</v>
      </c>
      <c r="Y116" s="2263"/>
      <c r="Z116" s="2968" t="str">
        <f>IFERROR(MIN(20,MIN(X116+Y116,IF(Zen,20,13))+IF(COUNTIF(W117:Z122,"Fuerza excepcional")&gt;0,IF(X116+6&lt;15,6,MAX(15-X116,0)),0)),"-")</f>
        <v>-</v>
      </c>
      <c r="AA116" s="5611" t="str">
        <f ca="1">IFERROR(IF(AC109="Armas naturales","",SUBSTITUTE(VLOOKUP(AC109,Tabla_ArmasyEscudos,19,FALSE),"XXX",MAX(0,VLOOKUP(AC109,Tabla_ArmasyEscudos,17,FALSE)+VLOOKUP(Z116,Tabla_AlcanceFUE,2)))),"")</f>
        <v/>
      </c>
      <c r="AB116" s="5612"/>
      <c r="AC116" s="5612"/>
      <c r="AD116" s="5612"/>
      <c r="AE116" s="5613"/>
      <c r="AF116" s="5611" t="str">
        <f ca="1">IFERROR(IF(AH109="Armas naturales","",SUBSTITUTE(VLOOKUP(AH109,Tabla_ArmasyEscudos,19,FALSE),"XXX",MAX(0,VLOOKUP(AH109,Tabla_ArmasyEscudos,17,FALSE)+VLOOKUP(Z116,Tabla_AlcanceFUE,2)))),"")</f>
        <v/>
      </c>
      <c r="AG116" s="5612"/>
      <c r="AH116" s="5612"/>
      <c r="AI116" s="5612"/>
      <c r="AJ116" s="5613"/>
      <c r="AK116" s="737"/>
      <c r="AL116" s="2145"/>
      <c r="AM116" s="3085"/>
      <c r="AN116" s="3085" t="str">
        <f>IF(COUNTIF(W117:Z122,"Tamaño excepcional")&gt;0,"Grande","")</f>
        <v/>
      </c>
      <c r="AO116" s="3085"/>
      <c r="AP116" s="3085"/>
      <c r="AQ116" s="3085"/>
      <c r="AR116" s="3085"/>
      <c r="AS116" s="3085"/>
      <c r="AT116" s="3085"/>
      <c r="AU116" s="3085"/>
      <c r="AV116" s="3085"/>
      <c r="AW116" s="3085"/>
      <c r="AX116" s="3085"/>
      <c r="AY116" s="3085"/>
      <c r="AZ116" s="3085"/>
      <c r="BA116" s="3085"/>
      <c r="BB116" s="3085"/>
      <c r="BC116" s="3085"/>
      <c r="BD116" s="3085"/>
    </row>
    <row r="117" spans="1:56" ht="12" customHeight="1" x14ac:dyDescent="0.2">
      <c r="A117" s="949"/>
      <c r="B117" s="485"/>
      <c r="C117" s="2395"/>
      <c r="D117" s="2395"/>
      <c r="E117" s="5982"/>
      <c r="F117" s="5983"/>
      <c r="G117" s="5983"/>
      <c r="H117" s="5983"/>
      <c r="I117" s="5983"/>
      <c r="J117" s="5984"/>
      <c r="K117" s="1686"/>
      <c r="L117" s="5954"/>
      <c r="M117" s="5954"/>
      <c r="N117" s="5954"/>
      <c r="O117" s="5953"/>
      <c r="P117" s="2395"/>
      <c r="Q117" s="2395"/>
      <c r="R117" s="1377"/>
      <c r="S117" s="1378"/>
      <c r="T117" s="1378"/>
      <c r="U117" s="969"/>
      <c r="V117" s="5608" t="s">
        <v>8587</v>
      </c>
      <c r="W117" s="5586"/>
      <c r="X117" s="5586"/>
      <c r="Y117" s="5586"/>
      <c r="Z117" s="5586"/>
      <c r="AA117" s="5587" t="str">
        <f ca="1">IFERROR(VLOOKUP(AD118,Tabla_ArmasyEscudos,19,0),"")</f>
        <v/>
      </c>
      <c r="AB117" s="5588"/>
      <c r="AC117" s="5588"/>
      <c r="AD117" s="5588"/>
      <c r="AE117" s="5589"/>
      <c r="AF117" s="5587" t="str">
        <f ca="1">IFERROR(VLOOKUP(AI118,Tabla_ArmasyEscudos,19,0),"")</f>
        <v/>
      </c>
      <c r="AG117" s="5588"/>
      <c r="AH117" s="5588"/>
      <c r="AI117" s="5588"/>
      <c r="AJ117" s="5589"/>
      <c r="AK117" s="737"/>
      <c r="AL117" s="1379"/>
      <c r="AM117" s="3085"/>
      <c r="AN117" s="3085" t="str">
        <f>IF(COUNTIF(W117:Z122,"Tamaño excepcional")&gt;0,"Enorme","")</f>
        <v/>
      </c>
      <c r="AO117" s="3085"/>
      <c r="AP117" s="3085"/>
      <c r="AQ117" s="3085"/>
      <c r="AR117" s="3085"/>
      <c r="AS117" s="3085"/>
      <c r="AT117" s="3085"/>
      <c r="AU117" s="3085"/>
      <c r="AV117" s="3085"/>
      <c r="AW117" s="3085"/>
      <c r="AX117" s="3085"/>
      <c r="AY117" s="3085"/>
      <c r="AZ117" s="3085"/>
      <c r="BA117" s="3085"/>
      <c r="BB117" s="3085"/>
      <c r="BC117" s="3085"/>
      <c r="BD117" s="3085"/>
    </row>
    <row r="118" spans="1:56" ht="12" customHeight="1" x14ac:dyDescent="0.2">
      <c r="A118" s="949"/>
      <c r="B118" s="485"/>
      <c r="C118" s="2395"/>
      <c r="D118" s="2395"/>
      <c r="E118" s="5955"/>
      <c r="F118" s="5956"/>
      <c r="G118" s="5956"/>
      <c r="H118" s="5956"/>
      <c r="I118" s="5956"/>
      <c r="J118" s="5957"/>
      <c r="K118" s="1686"/>
      <c r="L118" s="5954"/>
      <c r="M118" s="5954"/>
      <c r="N118" s="5954"/>
      <c r="O118" s="5953"/>
      <c r="P118" s="2395"/>
      <c r="Q118" s="2395"/>
      <c r="R118" s="1377"/>
      <c r="S118" s="1378"/>
      <c r="T118" s="1378"/>
      <c r="U118" s="969"/>
      <c r="V118" s="5608"/>
      <c r="W118" s="5637"/>
      <c r="X118" s="5638"/>
      <c r="Y118" s="5638"/>
      <c r="Z118" s="5639"/>
      <c r="AA118" s="4803" t="str">
        <f ca="1">IFERROR(IF(AC109="Armas naturales", "Armas naturales Crit. 1:",IF(ISNUMBER(FIND("Proyectiles",VLOOKUP(AC109,Tabla_ArmasyEscudos,8,0))),"Munición:","")),"")</f>
        <v/>
      </c>
      <c r="AB118" s="5647"/>
      <c r="AC118" s="5647"/>
      <c r="AD118" s="5648"/>
      <c r="AE118" s="5649"/>
      <c r="AF118" s="4803" t="str">
        <f ca="1">IFERROR(IF(AH109="Armas naturales", "Armas naturales Crit. 1:",IF(ISNUMBER(FIND("Proyectiles",VLOOKUP(AH109,Tabla_ArmasyEscudos,8,0))),"Munición:","")),"")</f>
        <v/>
      </c>
      <c r="AG118" s="5647"/>
      <c r="AH118" s="5647"/>
      <c r="AI118" s="5648"/>
      <c r="AJ118" s="5649"/>
      <c r="AK118" s="1697"/>
      <c r="AL118" s="1379"/>
      <c r="AM118" s="3085"/>
      <c r="AN118" s="5636" t="s">
        <v>1915</v>
      </c>
      <c r="AO118" s="5636"/>
      <c r="AP118" s="3085"/>
      <c r="AQ118" s="3085"/>
      <c r="AR118" s="3085"/>
      <c r="AS118" s="3085"/>
      <c r="AT118" s="3085"/>
      <c r="AU118" s="3085"/>
      <c r="AV118" s="3085"/>
      <c r="AW118" s="3085"/>
      <c r="AX118" s="3085"/>
      <c r="AY118" s="3085"/>
      <c r="AZ118" s="3085"/>
      <c r="BA118" s="3085"/>
      <c r="BB118" s="3085"/>
      <c r="BC118" s="3085"/>
      <c r="BD118" s="3085"/>
    </row>
    <row r="119" spans="1:56" ht="12" customHeight="1" x14ac:dyDescent="0.2">
      <c r="A119" s="949"/>
      <c r="B119" s="485"/>
      <c r="C119" s="2395"/>
      <c r="D119" s="2395"/>
      <c r="E119" s="5985"/>
      <c r="F119" s="5986"/>
      <c r="G119" s="5986"/>
      <c r="H119" s="5986"/>
      <c r="I119" s="5986"/>
      <c r="J119" s="5987"/>
      <c r="K119" s="1680"/>
      <c r="L119" s="5954"/>
      <c r="M119" s="5954"/>
      <c r="N119" s="5954"/>
      <c r="O119" s="5953"/>
      <c r="P119" s="2395"/>
      <c r="Q119" s="2395"/>
      <c r="R119" s="1377"/>
      <c r="S119" s="1378"/>
      <c r="T119" s="1378"/>
      <c r="U119" s="969"/>
      <c r="V119" s="5608"/>
      <c r="W119" s="5637"/>
      <c r="X119" s="5638"/>
      <c r="Y119" s="5638"/>
      <c r="Z119" s="5639"/>
      <c r="AA119" s="5640" t="str">
        <f ca="1">IFERROR(IF(AC109="Armas naturales", "Armas naturales Crit. 2:",IF(ISNUMBER(FIND("Proyectiles",VLOOKUP(AC109,Tabla_ArmasyEscudos,8,0))),"Calidad Munición:","")),"")</f>
        <v/>
      </c>
      <c r="AB119" s="5641"/>
      <c r="AC119" s="5641"/>
      <c r="AD119" s="5642"/>
      <c r="AE119" s="5643"/>
      <c r="AF119" s="5640" t="str">
        <f ca="1">IFERROR(IF(AH109="Armas naturales", "Armas naturales Crit. 2:",IF(ISNUMBER(FIND("Proyectiles",VLOOKUP(AH109,Tabla_ArmasyEscudos,8,0))),"Calidad Munición:","")),"")</f>
        <v/>
      </c>
      <c r="AG119" s="5641"/>
      <c r="AH119" s="5641"/>
      <c r="AI119" s="5642"/>
      <c r="AJ119" s="5643"/>
      <c r="AK119" s="737"/>
      <c r="AL119" s="1379"/>
      <c r="AM119" s="3085"/>
      <c r="AN119" s="3085" t="s">
        <v>8613</v>
      </c>
      <c r="AO119" s="3085">
        <f>VLOOKUP(AF108,Tablas!$X$47:$AF$54,7,0)</f>
        <v>40</v>
      </c>
      <c r="AP119" s="3085"/>
      <c r="AQ119" s="3085"/>
      <c r="AR119" s="3085"/>
      <c r="AS119" s="3085"/>
      <c r="AT119" s="3085" t="s">
        <v>1455</v>
      </c>
      <c r="AU119" s="3085"/>
      <c r="AV119" s="3085"/>
      <c r="AW119" s="3085"/>
      <c r="AX119" s="3085"/>
      <c r="AY119" s="3085"/>
      <c r="AZ119" s="3085"/>
      <c r="BA119" s="3085"/>
      <c r="BB119" s="3085"/>
      <c r="BC119" s="3085"/>
      <c r="BD119" s="3085"/>
    </row>
    <row r="120" spans="1:56" ht="12" customHeight="1" x14ac:dyDescent="0.2">
      <c r="A120" s="949"/>
      <c r="B120" s="485"/>
      <c r="C120" s="2395"/>
      <c r="D120" s="2395"/>
      <c r="E120" s="5947" t="s">
        <v>6600</v>
      </c>
      <c r="F120" s="5948"/>
      <c r="G120" s="5948"/>
      <c r="H120" s="5948"/>
      <c r="I120" s="5948"/>
      <c r="J120" s="5948"/>
      <c r="K120" s="5949"/>
      <c r="L120" s="5954"/>
      <c r="M120" s="5954"/>
      <c r="N120" s="5954"/>
      <c r="O120" s="5953"/>
      <c r="P120" s="2395"/>
      <c r="Q120" s="2395"/>
      <c r="R120" s="1377"/>
      <c r="S120" s="1378"/>
      <c r="T120" s="1378"/>
      <c r="U120" s="969"/>
      <c r="V120" s="5608"/>
      <c r="W120" s="5586"/>
      <c r="X120" s="5586"/>
      <c r="Y120" s="5586"/>
      <c r="Z120" s="5586"/>
      <c r="AA120" s="1056" t="str">
        <f ca="1">IF(ISNUMBER(FIND("Proyectiles",VLOOKUP(AC109,Tabla_ArmasyEscudos,8,0))),"Rango:","")</f>
        <v/>
      </c>
      <c r="AB120" s="3007" t="str">
        <f ca="1">IFERROR(IF(AA120="Rango:",(VLOOKUP(AC109,Tabla_ArmasyEscudos,17,0)+IF((AS112-AB115/5)&gt;0,VLOOKUP(MIN(AS112,AB123),Tabla_AlcanceFUE,2,0),IF($Z116&lt;3,-30,VLOOKUP(MIN(IF(Zen_IP,20,13),AB123,$Z116),Tabla_AlcanceFUE,2))))*IF(AlcanceIncrementado,2,1)&amp;" m",""),"")</f>
        <v/>
      </c>
      <c r="AC120" s="5644" t="str">
        <f ca="1">IF(ISNUMBER(FIND("Proyectiles",VLOOKUP(AC109,Tabla_ArmasyEscudos,8,0))),"Recarga:","")</f>
        <v/>
      </c>
      <c r="AD120" s="5644"/>
      <c r="AE120" s="2967" t="str">
        <f ca="1">IFERROR(IF(AC120="Recarga:",VLOOKUP(AC109,Tabla_ArmasyEscudos,16,0),""),"")</f>
        <v/>
      </c>
      <c r="AF120" s="1056" t="str">
        <f ca="1">IF(ISNUMBER(FIND("Proyectiles",VLOOKUP(AH109,Tabla_ArmasyEscudos,8,0))),"Rango:","")</f>
        <v/>
      </c>
      <c r="AG120" s="3007" t="str">
        <f ca="1">IFERROR(IF(AF120="Rango:",(VLOOKUP(AH109,Tabla_ArmasyEscudos,17,0)+IF((AS113-AG115/5)&gt;0,VLOOKUP(MIN(AS113,AG123),Tabla_AlcanceFUE,2,0),IF($Z116&lt;3,-30,VLOOKUP(MIN(IF(Zen_IP,20,13),AG123,$Z116),Tabla_AlcanceFUE,2))))*IF(AlcanceIncrementado,2,1)&amp;" m",""),"")</f>
        <v/>
      </c>
      <c r="AH120" s="5644" t="str">
        <f ca="1">IF(ISNUMBER(FIND("Proyectiles",VLOOKUP(AH109,Tabla_ArmasyEscudos,8,0))),"Recarga:","")</f>
        <v/>
      </c>
      <c r="AI120" s="5644"/>
      <c r="AJ120" s="2967" t="str">
        <f ca="1">IFERROR(IF(AH120="Recarga:",VLOOKUP(AH109,Tabla_ArmasyEscudos,16,0),""),"")</f>
        <v/>
      </c>
      <c r="AK120" s="737"/>
      <c r="AL120" s="1379"/>
      <c r="AM120" s="3085"/>
      <c r="AN120" s="3085" t="s">
        <v>1392</v>
      </c>
      <c r="AO120" s="3085">
        <f>MIN(VLOOKUP(AF108,Tablas!$X$47:$AF$54,2,0),20)</f>
        <v>20</v>
      </c>
      <c r="AP120" s="3085"/>
      <c r="AQ120" s="3085"/>
      <c r="AR120" s="3085"/>
      <c r="AS120" s="3085"/>
      <c r="AT120" s="3085" t="s">
        <v>1455</v>
      </c>
      <c r="AU120" s="3085"/>
      <c r="AV120" s="3085"/>
      <c r="AW120" s="3085"/>
      <c r="AX120" s="3085"/>
      <c r="AY120" s="3085"/>
      <c r="AZ120" s="3085"/>
      <c r="BA120" s="3085"/>
      <c r="BB120" s="3085"/>
      <c r="BC120" s="3085"/>
      <c r="BD120" s="3085"/>
    </row>
    <row r="121" spans="1:56" ht="12" customHeight="1" x14ac:dyDescent="0.2">
      <c r="A121" s="949"/>
      <c r="B121" s="485"/>
      <c r="C121" s="2395"/>
      <c r="D121" s="2395"/>
      <c r="E121" s="5988"/>
      <c r="F121" s="5989"/>
      <c r="G121" s="5989"/>
      <c r="H121" s="5989"/>
      <c r="I121" s="5989"/>
      <c r="J121" s="5990"/>
      <c r="K121" s="1679"/>
      <c r="L121" s="5954"/>
      <c r="M121" s="5954"/>
      <c r="N121" s="5954"/>
      <c r="O121" s="5953"/>
      <c r="P121" s="2395"/>
      <c r="Q121" s="2395"/>
      <c r="R121" s="1377"/>
      <c r="S121" s="1378"/>
      <c r="T121" s="1378"/>
      <c r="U121" s="969"/>
      <c r="V121" s="5608"/>
      <c r="W121" s="5637"/>
      <c r="X121" s="5638"/>
      <c r="Y121" s="5638"/>
      <c r="Z121" s="5639"/>
      <c r="AA121" s="5645" t="s">
        <v>998</v>
      </c>
      <c r="AB121" s="2119" t="s">
        <v>7224</v>
      </c>
      <c r="AC121" s="2242"/>
      <c r="AD121" s="2119" t="s">
        <v>1392</v>
      </c>
      <c r="AE121" s="2240"/>
      <c r="AF121" s="5645" t="s">
        <v>998</v>
      </c>
      <c r="AG121" s="2119" t="s">
        <v>7224</v>
      </c>
      <c r="AH121" s="2242"/>
      <c r="AI121" s="2119" t="s">
        <v>1392</v>
      </c>
      <c r="AJ121" s="2240"/>
      <c r="AK121" s="737"/>
      <c r="AL121" s="1379"/>
      <c r="AM121" s="3085"/>
      <c r="AN121" s="3085" t="s">
        <v>1963</v>
      </c>
      <c r="AO121" s="3085">
        <f>VLOOKUP(AF108,Tablas!$X$47:$AF$54,9,0)</f>
        <v>12</v>
      </c>
      <c r="AP121" s="3085"/>
      <c r="AQ121" s="3085"/>
      <c r="AR121" s="3085"/>
      <c r="AS121" s="3085"/>
      <c r="AT121" s="3085" t="s">
        <v>1455</v>
      </c>
      <c r="AU121" s="3085"/>
      <c r="AV121" s="3085"/>
      <c r="AW121" s="3085"/>
      <c r="AX121" s="3085"/>
      <c r="AY121" s="3085"/>
      <c r="AZ121" s="3085"/>
      <c r="BA121" s="3085"/>
      <c r="BB121" s="3085"/>
      <c r="BC121" s="3085"/>
      <c r="BD121" s="3085"/>
    </row>
    <row r="122" spans="1:56" ht="12" customHeight="1" thickBot="1" x14ac:dyDescent="0.25">
      <c r="A122" s="949"/>
      <c r="B122" s="485"/>
      <c r="C122" s="2395"/>
      <c r="D122" s="2395"/>
      <c r="E122" s="5982"/>
      <c r="F122" s="5983"/>
      <c r="G122" s="5983"/>
      <c r="H122" s="5983"/>
      <c r="I122" s="5983"/>
      <c r="J122" s="5984"/>
      <c r="K122" s="1686"/>
      <c r="L122" s="5954"/>
      <c r="M122" s="5954"/>
      <c r="N122" s="5954"/>
      <c r="O122" s="5953"/>
      <c r="P122" s="2395"/>
      <c r="Q122" s="2395"/>
      <c r="R122" s="1377"/>
      <c r="S122" s="1378"/>
      <c r="T122" s="1378"/>
      <c r="U122" s="969"/>
      <c r="V122" s="5609"/>
      <c r="W122" s="5650"/>
      <c r="X122" s="5650"/>
      <c r="Y122" s="5650"/>
      <c r="Z122" s="5650"/>
      <c r="AA122" s="5646"/>
      <c r="AB122" s="1384" t="s">
        <v>8325</v>
      </c>
      <c r="AC122" s="2243"/>
      <c r="AD122" s="3008" t="s">
        <v>1565</v>
      </c>
      <c r="AE122" s="2241"/>
      <c r="AF122" s="5646"/>
      <c r="AG122" s="1384" t="s">
        <v>8325</v>
      </c>
      <c r="AH122" s="2243"/>
      <c r="AI122" s="3008" t="s">
        <v>1565</v>
      </c>
      <c r="AJ122" s="2241"/>
      <c r="AK122" s="737"/>
      <c r="AL122" s="1379"/>
      <c r="AM122" s="3085"/>
      <c r="AN122" s="3085" t="s">
        <v>1569</v>
      </c>
      <c r="AO122" s="3085">
        <f>VLOOKUP(AF108,Tablas!$X$47:$AF$54,8,0)</f>
        <v>0</v>
      </c>
      <c r="AP122" s="3085"/>
      <c r="AQ122" s="3085"/>
      <c r="AR122" s="3085"/>
      <c r="AS122" s="3085"/>
      <c r="AT122" s="3085" t="s">
        <v>1455</v>
      </c>
      <c r="AU122" s="3085"/>
      <c r="AV122" s="3085"/>
      <c r="AW122" s="3085"/>
      <c r="AX122" s="3085"/>
      <c r="AY122" s="3085"/>
      <c r="AZ122" s="3085"/>
      <c r="BA122" s="3085"/>
      <c r="BB122" s="3085"/>
      <c r="BC122" s="3085"/>
      <c r="BD122" s="3085"/>
    </row>
    <row r="123" spans="1:56" ht="12" customHeight="1" thickBot="1" x14ac:dyDescent="0.25">
      <c r="A123" s="949"/>
      <c r="B123" s="485"/>
      <c r="C123" s="2395"/>
      <c r="D123" s="2395"/>
      <c r="E123" s="5955"/>
      <c r="F123" s="5956"/>
      <c r="G123" s="5956"/>
      <c r="H123" s="5956"/>
      <c r="I123" s="5956"/>
      <c r="J123" s="5957"/>
      <c r="K123" s="1687"/>
      <c r="L123" s="5954"/>
      <c r="M123" s="5954"/>
      <c r="N123" s="5954"/>
      <c r="O123" s="5953"/>
      <c r="P123" s="2395"/>
      <c r="Q123" s="2395"/>
      <c r="R123" s="1377"/>
      <c r="S123" s="1378"/>
      <c r="T123" s="1378"/>
      <c r="U123" s="969"/>
      <c r="V123" s="2395"/>
      <c r="W123" s="2395"/>
      <c r="X123" s="2395"/>
      <c r="Y123" s="2395"/>
      <c r="Z123" s="2395"/>
      <c r="AA123" s="2395"/>
      <c r="AB123" s="2809">
        <f>IF(AB115&lt;0,10,IF(AB115&gt;20,20,INDEX(Tablas!$L$23:$L$33,MATCH(AB115,Tablas!$N$23:$N$33,0))))</f>
        <v>10</v>
      </c>
      <c r="AC123" s="2395"/>
      <c r="AD123" s="2395"/>
      <c r="AE123" s="2395"/>
      <c r="AF123" s="2395"/>
      <c r="AG123" s="2809">
        <f>IF(AG115&lt;0,10,IF(AG115&gt;20,20,INDEX(Tablas!$L$23:$L$33,MATCH(AG115,Tablas!$N$23:$N$33,0))))</f>
        <v>10</v>
      </c>
      <c r="AH123" s="2395"/>
      <c r="AI123" s="2395"/>
      <c r="AJ123" s="2128"/>
      <c r="AK123" s="737"/>
      <c r="AL123" s="1394"/>
      <c r="AM123" s="3085"/>
      <c r="AN123" s="3085"/>
      <c r="AO123" s="3085"/>
      <c r="AP123" s="3131"/>
      <c r="AQ123" s="3131"/>
      <c r="AR123" s="3131"/>
      <c r="AS123" s="3131"/>
      <c r="AT123" s="3131"/>
      <c r="AU123" s="3131"/>
      <c r="AV123" s="3085"/>
      <c r="AW123" s="3085"/>
      <c r="AX123" s="3085"/>
      <c r="AY123" s="3085"/>
      <c r="AZ123" s="3085"/>
      <c r="BA123" s="3085"/>
      <c r="BB123" s="3085"/>
      <c r="BC123" s="3085"/>
      <c r="BD123" s="3085"/>
    </row>
    <row r="124" spans="1:56" ht="12" customHeight="1" thickBot="1" x14ac:dyDescent="0.25">
      <c r="A124" s="949"/>
      <c r="B124" s="485"/>
      <c r="C124" s="2395"/>
      <c r="D124" s="2395"/>
      <c r="E124" s="5941"/>
      <c r="F124" s="5942"/>
      <c r="G124" s="5942"/>
      <c r="H124" s="5942"/>
      <c r="I124" s="5942"/>
      <c r="J124" s="5943"/>
      <c r="K124" s="1687"/>
      <c r="L124" s="5954"/>
      <c r="M124" s="5954"/>
      <c r="N124" s="5954"/>
      <c r="O124" s="5953"/>
      <c r="P124" s="2395"/>
      <c r="Q124" s="2395"/>
      <c r="R124" s="1377"/>
      <c r="S124" s="1378"/>
      <c r="T124" s="1378"/>
      <c r="U124" s="969"/>
      <c r="V124" s="5599" t="s">
        <v>1323</v>
      </c>
      <c r="W124" s="5600"/>
      <c r="X124" s="5601" t="s">
        <v>8596</v>
      </c>
      <c r="Y124" s="5601"/>
      <c r="Z124" s="5601"/>
      <c r="AA124" s="5601"/>
      <c r="AB124" s="5602"/>
      <c r="AC124" s="5594" t="s">
        <v>8610</v>
      </c>
      <c r="AD124" s="5595"/>
      <c r="AE124" s="5595"/>
      <c r="AF124" s="5596" t="s">
        <v>1727</v>
      </c>
      <c r="AG124" s="5597"/>
      <c r="AH124" s="5594" t="s">
        <v>8606</v>
      </c>
      <c r="AI124" s="5598"/>
      <c r="AJ124" s="2973"/>
      <c r="AK124" s="737"/>
      <c r="AL124" s="1379"/>
      <c r="AM124" s="3085"/>
      <c r="AN124" s="3085" t="s">
        <v>9307</v>
      </c>
      <c r="AO124" s="3085" t="s">
        <v>1392</v>
      </c>
      <c r="AP124" s="3085" t="s">
        <v>7224</v>
      </c>
      <c r="AQ124" s="3085" t="s">
        <v>8325</v>
      </c>
      <c r="AR124" s="3085" t="s">
        <v>1565</v>
      </c>
      <c r="AS124" s="3085"/>
      <c r="AT124" s="3085"/>
      <c r="AU124" s="3085"/>
      <c r="AV124" s="3085"/>
      <c r="AW124" s="3085"/>
      <c r="AX124" s="3085"/>
      <c r="AY124" s="3085"/>
      <c r="AZ124" s="3085"/>
      <c r="BA124" s="3085"/>
      <c r="BB124" s="3085"/>
      <c r="BC124" s="3085"/>
      <c r="BD124" s="3085"/>
    </row>
    <row r="125" spans="1:56" ht="12" customHeight="1" x14ac:dyDescent="0.2">
      <c r="A125" s="949"/>
      <c r="B125" s="485"/>
      <c r="C125" s="2395"/>
      <c r="D125" s="2395"/>
      <c r="E125" s="5982"/>
      <c r="F125" s="5983"/>
      <c r="G125" s="5983"/>
      <c r="H125" s="5983"/>
      <c r="I125" s="5983"/>
      <c r="J125" s="5984"/>
      <c r="K125" s="1680"/>
      <c r="L125" s="5954"/>
      <c r="M125" s="5954"/>
      <c r="N125" s="5954"/>
      <c r="O125" s="5953"/>
      <c r="P125" s="2395"/>
      <c r="Q125" s="2395"/>
      <c r="R125" s="1377"/>
      <c r="S125" s="1378"/>
      <c r="T125" s="1378"/>
      <c r="U125" s="969"/>
      <c r="V125" s="4155" t="s">
        <v>8609</v>
      </c>
      <c r="W125" s="5624"/>
      <c r="X125" s="5625"/>
      <c r="Y125" s="5620" t="s">
        <v>1543</v>
      </c>
      <c r="Z125" s="5622">
        <f>IFERROR(VLOOKUP(V126,Tabla_CaracterísticasGéminis,2,0)+IF(COUNTIF(W133:Z138,"Metal")&gt;0,VLOOKUP(V126,Tabla_CaracterísticasGéminis,2,0),0)+IF(AF124="Grande",50,IF(AF124="Enorme",150,0)),0)</f>
        <v>0</v>
      </c>
      <c r="AA125" s="5626" t="s">
        <v>8617</v>
      </c>
      <c r="AB125" s="5627"/>
      <c r="AC125" s="5628"/>
      <c r="AD125" s="5629"/>
      <c r="AE125" s="5630"/>
      <c r="AF125" s="5626"/>
      <c r="AG125" s="5627"/>
      <c r="AH125" s="5628"/>
      <c r="AI125" s="5629"/>
      <c r="AJ125" s="5630"/>
      <c r="AK125" s="737"/>
      <c r="AL125" s="1379"/>
      <c r="AM125" s="3085"/>
      <c r="AN125" s="3085" t="b">
        <f>AA127&lt;&gt;"-"</f>
        <v>0</v>
      </c>
      <c r="AO125" s="3085" t="str">
        <f>IF(AN125,X124&amp;": "&amp;AD127&amp;" "&amp;AC125&amp;IF(AB131&gt;0," +"&amp;AB131,"")&amp;IF(AH125="",""," y "&amp;AH125&amp;IF(AG131&gt;0," +"&amp;AG131,"")),"")</f>
        <v/>
      </c>
      <c r="AP125" s="3085" t="str">
        <f>IF(AN125,X124&amp;": "&amp;AA127&amp;" "&amp;AC125&amp;IF(AB131&gt;0," +"&amp;AB131,"")&amp;IF(AH125="",""," y "&amp;AF127&amp;" "&amp;AH125&amp;IF(AG131&gt;0," +"&amp;AG131,"")),"")</f>
        <v/>
      </c>
      <c r="AQ125" s="3085" t="str">
        <f>IF(AN125,X124&amp;": "&amp;IFERROR(MAX(AB127,AG127),AB127)&amp;" "&amp;IF(Par_Esq="Esq","Esquiva",AC125&amp;IF(AB131&gt;0," +"&amp;AB131,"")&amp;IF(AH125="",""," y "&amp;AH125&amp;IF(AG131&gt;0," +"&amp;AG131,""))),"")</f>
        <v/>
      </c>
      <c r="AR125" s="3085"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85"/>
      <c r="AT125" s="3085"/>
      <c r="AU125" s="3085"/>
      <c r="AV125" s="3085"/>
      <c r="AW125" s="3085"/>
      <c r="AX125" s="3085"/>
      <c r="AY125" s="3085"/>
      <c r="AZ125" s="3085"/>
      <c r="BA125" s="3085"/>
      <c r="BB125" s="3085"/>
      <c r="BC125" s="3085"/>
      <c r="BD125" s="3085"/>
    </row>
    <row r="126" spans="1:56" ht="12" customHeight="1" thickBot="1" x14ac:dyDescent="0.25">
      <c r="A126" s="949"/>
      <c r="B126" s="485"/>
      <c r="C126" s="2395"/>
      <c r="D126" s="2395"/>
      <c r="E126" s="5941"/>
      <c r="F126" s="5942"/>
      <c r="G126" s="5942"/>
      <c r="H126" s="5942"/>
      <c r="I126" s="5942"/>
      <c r="J126" s="5943"/>
      <c r="K126" s="1686"/>
      <c r="L126" s="5954"/>
      <c r="M126" s="5954"/>
      <c r="N126" s="5954"/>
      <c r="O126" s="5953"/>
      <c r="P126" s="2395"/>
      <c r="Q126" s="2395"/>
      <c r="R126" s="1377"/>
      <c r="S126" s="1378"/>
      <c r="T126" s="1378"/>
      <c r="U126" s="969"/>
      <c r="V126" s="5631"/>
      <c r="W126" s="5632"/>
      <c r="X126" s="5633"/>
      <c r="Y126" s="5621"/>
      <c r="Z126" s="5623"/>
      <c r="AA126" s="1387" t="s">
        <v>1563</v>
      </c>
      <c r="AB126" s="5634" t="s">
        <v>1564</v>
      </c>
      <c r="AC126" s="5635"/>
      <c r="AD126" s="2116" t="s">
        <v>1392</v>
      </c>
      <c r="AE126" s="1388" t="s">
        <v>1565</v>
      </c>
      <c r="AF126" s="1387" t="s">
        <v>1563</v>
      </c>
      <c r="AG126" s="5634" t="s">
        <v>1564</v>
      </c>
      <c r="AH126" s="5635"/>
      <c r="AI126" s="2116" t="s">
        <v>1392</v>
      </c>
      <c r="AJ126" s="1388" t="s">
        <v>1565</v>
      </c>
      <c r="AK126" s="737" t="e">
        <f>IF(Z132&lt;1,0,VLOOKUP(Z132,Tabla_BonoStats,2))</f>
        <v>#N/A</v>
      </c>
      <c r="AL126" s="1379"/>
      <c r="AM126" s="3085"/>
      <c r="AN126" s="3085"/>
      <c r="AO126" s="3085"/>
      <c r="AP126" s="3085"/>
      <c r="AQ126" s="3085"/>
      <c r="AR126" s="3085"/>
      <c r="AS126" s="3085"/>
      <c r="AT126" s="3085"/>
      <c r="AU126" s="3085"/>
      <c r="AV126" s="3085"/>
      <c r="AW126" s="3085"/>
      <c r="AX126" s="3085"/>
      <c r="AY126" s="3085"/>
      <c r="AZ126" s="3085"/>
      <c r="BA126" s="3085"/>
      <c r="BB126" s="3085"/>
      <c r="BC126" s="3085"/>
      <c r="BD126" s="3085"/>
    </row>
    <row r="127" spans="1:56" ht="12" customHeight="1" thickBot="1" x14ac:dyDescent="0.25">
      <c r="A127" s="949"/>
      <c r="B127" s="485"/>
      <c r="C127" s="2395"/>
      <c r="D127" s="2395"/>
      <c r="E127" s="5944"/>
      <c r="F127" s="5945"/>
      <c r="G127" s="5945"/>
      <c r="H127" s="5945"/>
      <c r="I127" s="5945"/>
      <c r="J127" s="5946"/>
      <c r="K127" s="2122"/>
      <c r="L127" s="6041"/>
      <c r="M127" s="6041"/>
      <c r="N127" s="6041"/>
      <c r="O127" s="6040"/>
      <c r="P127" s="2395"/>
      <c r="Q127" s="2395"/>
      <c r="R127" s="1377"/>
      <c r="S127" s="1378"/>
      <c r="T127" s="1378"/>
      <c r="U127" s="969"/>
      <c r="V127" s="5614" t="s">
        <v>8602</v>
      </c>
      <c r="W127" s="5615"/>
      <c r="X127" s="5618">
        <f>IFERROR(VLOOKUP(V126,Tabla_CaracterísticasGéminis,4,0),0)</f>
        <v>0</v>
      </c>
      <c r="Y127" s="5620" t="s">
        <v>8599</v>
      </c>
      <c r="Z127" s="5622">
        <f>IFERROR(VLOOKUP(V126,Tabla_CaracterísticasGéminis,3,0)+IF(COUNTIF(W133:Z138,"Metal")&gt;0,4,0),0)</f>
        <v>0</v>
      </c>
      <c r="AA127" s="5590" t="str">
        <f>IFERROR(IF(OR(AC125="",Tablas!$H$1016=0),"-",IF(OR(AC125="Armas naturales",VLOOKUP(AC125,Tabla_ArmasyEscudos,9,0)="Conocida"),HA_final,"-")+AB131+AC137+5*MIN(4,COUNTIF(W133:Z138,"Capacidad de combate"))-10*MAX(0,AR128-Z132))+IF(AND(OR(AC125="Lanza",AC125="Vara"),AA125="A 1 mano"),-10,0),"-")</f>
        <v>-</v>
      </c>
      <c r="AB127" s="5592"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29" t="str">
        <f>IF(OR(AC125="",Tablas!$H$1016=0),"",Par_Esq)</f>
        <v/>
      </c>
      <c r="AD127" s="5603" t="str">
        <f>IFERROR(IF(OR(AC125="",Tablas!$H$1016=0),"-",IF(AC125="Armas naturales",Turno_Nat_final-20+AO136,Turno_Nat_final-20+IF(ISNA(AU129),AU128,IF((AU128-AB131)=(AU129-AG131),MIN(AU128,AU129)-IF(VLOOKUP(AC125,Tabla_ArmasyEscudos,3,FALSE)&gt;=0,10,20),MIN(AU128,AU129))))+IF(COUNTIF(W133:Z138,"Metal")&gt;0,-40,0)),"-")</f>
        <v>-</v>
      </c>
      <c r="AE127" s="5605"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90" t="str">
        <f>IFERROR(IF(OR(AH125="",Tablas!$H$1016=0),"-",IF(VLOOKUP(AH125,Tabla_ArmasyEscudos,9,0)="Conocida",HA_final,"-")-40+AG131+AH137+5*MIN(4,COUNTIF(W133:Z138,"Capacidad de combate"))-10*MAX(0,AR129-Z132))+IF(AND(OR(AH125="Lanza",AH125="Vara"),AF125="A 1 mano"),-10,0),"-")</f>
        <v>-</v>
      </c>
      <c r="AG127" s="5592"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29" t="str">
        <f>IF(OR(AH125="",Tablas!$H$1016=0),"",Par_Esq)</f>
        <v/>
      </c>
      <c r="AI127" s="5603" t="s">
        <v>1577</v>
      </c>
      <c r="AJ127" s="5605"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85"/>
      <c r="AN127" s="3085" t="s">
        <v>8611</v>
      </c>
      <c r="AO127" s="3085"/>
      <c r="AP127" s="3085"/>
      <c r="AQ127" s="3085" t="s">
        <v>8619</v>
      </c>
      <c r="AR127" s="3085" t="s">
        <v>8621</v>
      </c>
      <c r="AS127" s="3085" t="s">
        <v>8620</v>
      </c>
      <c r="AT127" s="3085" t="s">
        <v>1367</v>
      </c>
      <c r="AU127" s="3085" t="s">
        <v>8622</v>
      </c>
      <c r="AV127" s="3085"/>
      <c r="AW127" s="3085"/>
      <c r="AX127" s="3085"/>
      <c r="AY127" s="3085"/>
      <c r="AZ127" s="3085"/>
      <c r="BA127" s="3085"/>
      <c r="BB127" s="3085"/>
      <c r="BC127" s="3085"/>
      <c r="BD127" s="3085"/>
    </row>
    <row r="128" spans="1:56" ht="12" customHeight="1" thickBot="1" x14ac:dyDescent="0.25">
      <c r="A128" s="949"/>
      <c r="B128" s="485"/>
      <c r="R128" s="1377"/>
      <c r="S128" s="1378"/>
      <c r="T128" s="1378"/>
      <c r="U128" s="969"/>
      <c r="V128" s="5616"/>
      <c r="W128" s="5617"/>
      <c r="X128" s="5619"/>
      <c r="Y128" s="5621"/>
      <c r="Z128" s="5623"/>
      <c r="AA128" s="5591"/>
      <c r="AB128" s="5593"/>
      <c r="AC128" s="5530"/>
      <c r="AD128" s="5604"/>
      <c r="AE128" s="5606"/>
      <c r="AF128" s="5591"/>
      <c r="AG128" s="5593"/>
      <c r="AH128" s="5530"/>
      <c r="AI128" s="5604"/>
      <c r="AJ128" s="5606"/>
      <c r="AK128" s="737"/>
      <c r="AL128" s="1379"/>
      <c r="AM128" s="3096"/>
      <c r="AN128" s="3085" t="str">
        <f>ADDRESS(ROW(AN129),COLUMN(AN129))&amp;":"&amp;IF(AN133="",ADDRESS(ROW(AN131),COLUMN(AN131)),ADDRESS(ROW(AN133),COLUMN(AN133)))</f>
        <v>$AN$129:$AN$131</v>
      </c>
      <c r="AO128" s="3085"/>
      <c r="AP128" s="3085">
        <f>AC125</f>
        <v>0</v>
      </c>
      <c r="AQ128" s="3085" t="str">
        <f>IF(OR(AA125="A 2 manos",AA125="Proy. 2M"),"2M","")</f>
        <v/>
      </c>
      <c r="AR128" s="3085">
        <f ca="1">IFERROR(VLOOKUP(AC125,Tabla_ArmasyEscudos,IF(AQ128="2M",5,4),0),0)</f>
        <v>0</v>
      </c>
      <c r="AS128" s="3085">
        <f ca="1">IFERROR(IF(VLOOKUP(AC125,Tabla_ArmasyEscudos,18,0)&gt;0,IF(AC125="Atlatl",Z132+2,VLOOKUP(AC125,Tabla_ArmasyEscudos,18,0))+AB131/5,0),0)</f>
        <v>0</v>
      </c>
      <c r="AT128" s="3085">
        <f ca="1">IF(AS128&lt;1,0,VLOOKUP(AS128,Tablas!$C$14:$D$33,2))</f>
        <v>0</v>
      </c>
      <c r="AU128" s="3085" t="e">
        <f ca="1">VLOOKUP(AC125,Tabla_ArmasyEscudos,3,FALSE)+AE137+AB131</f>
        <v>#N/A</v>
      </c>
      <c r="AV128" s="3085"/>
      <c r="AW128" s="3085"/>
      <c r="AX128" s="3085"/>
      <c r="AY128" s="3085"/>
      <c r="AZ128" s="3085"/>
      <c r="BA128" s="3085"/>
      <c r="BB128" s="3085"/>
      <c r="BC128" s="3085"/>
      <c r="BD128" s="3085"/>
    </row>
    <row r="129" spans="1:56" ht="12" customHeight="1" thickBot="1" x14ac:dyDescent="0.25">
      <c r="A129" s="949"/>
      <c r="B129" s="485"/>
      <c r="C129" s="2675"/>
      <c r="D129" s="2752"/>
      <c r="E129" s="2752"/>
      <c r="F129" s="2752"/>
      <c r="G129" s="2752"/>
      <c r="H129" s="2752"/>
      <c r="I129" s="2752"/>
      <c r="J129" s="2752"/>
      <c r="K129" s="2752"/>
      <c r="L129" s="2752"/>
      <c r="M129" s="2752"/>
      <c r="N129" s="2752"/>
      <c r="O129" s="2752"/>
      <c r="P129" s="2752"/>
      <c r="Q129" s="2752"/>
      <c r="R129" s="1377"/>
      <c r="S129" s="1378"/>
      <c r="T129" s="1378"/>
      <c r="U129" s="969"/>
      <c r="V129" s="5607" t="s">
        <v>8607</v>
      </c>
      <c r="W129" s="2997"/>
      <c r="X129" s="2998" t="s">
        <v>1365</v>
      </c>
      <c r="Y129" s="2998" t="s">
        <v>8608</v>
      </c>
      <c r="Z129" s="2998" t="s">
        <v>1349</v>
      </c>
      <c r="AA129" s="2969" t="s">
        <v>8615</v>
      </c>
      <c r="AB129" s="2970" t="s">
        <v>8616</v>
      </c>
      <c r="AC129" s="2970" t="s">
        <v>1556</v>
      </c>
      <c r="AD129" s="2970" t="s">
        <v>1569</v>
      </c>
      <c r="AE129" s="1386" t="s">
        <v>1557</v>
      </c>
      <c r="AF129" s="2969" t="s">
        <v>8615</v>
      </c>
      <c r="AG129" s="2970" t="s">
        <v>8616</v>
      </c>
      <c r="AH129" s="2970" t="s">
        <v>1556</v>
      </c>
      <c r="AI129" s="2970" t="s">
        <v>1569</v>
      </c>
      <c r="AJ129" s="1386" t="s">
        <v>1557</v>
      </c>
      <c r="AK129" s="737"/>
      <c r="AL129" s="1379"/>
      <c r="AM129" s="3085"/>
      <c r="AN129" s="3085" t="s">
        <v>1964</v>
      </c>
      <c r="AO129" s="3085"/>
      <c r="AP129" s="3085">
        <f>AH125</f>
        <v>0</v>
      </c>
      <c r="AQ129" s="3085" t="str">
        <f>IF(OR(AF125="A 2 manos",AF125="Proy. 2M"),"2M","")</f>
        <v/>
      </c>
      <c r="AR129" s="3085">
        <f ca="1">IFERROR(VLOOKUP(AH125,Tabla_ArmasyEscudos,IF(AQ129="2M",5,4),0),0)</f>
        <v>0</v>
      </c>
      <c r="AS129" s="3085">
        <f ca="1">IFERROR(IF(VLOOKUP(AH125,Tabla_ArmasyEscudos,18,0)&gt;0,IF(AH125="Atlatl",Z132+2,VLOOKUP(AH125,Tabla_ArmasyEscudos,18,0))+AG131/5,0),0)</f>
        <v>0</v>
      </c>
      <c r="AT129" s="3085">
        <f ca="1">IF(AS129&lt;1,0,VLOOKUP(AS129,Tablas!$C$14:$D$33,2))</f>
        <v>0</v>
      </c>
      <c r="AU129" s="3085" t="e">
        <f ca="1">VLOOKUP(AH125,Tabla_ArmasyEscudos,3,FALSE)+AJ137+AG131</f>
        <v>#N/A</v>
      </c>
      <c r="AV129" s="3085"/>
      <c r="AW129" s="3085"/>
      <c r="AX129" s="3085"/>
      <c r="AY129" s="3085"/>
      <c r="AZ129" s="3085"/>
      <c r="BA129" s="3085"/>
      <c r="BB129" s="3085"/>
      <c r="BC129" s="3085"/>
      <c r="BD129" s="3085"/>
    </row>
    <row r="130" spans="1:56" ht="12" customHeight="1" x14ac:dyDescent="0.2">
      <c r="A130" s="949"/>
      <c r="B130" s="485"/>
      <c r="C130" s="4960" t="s">
        <v>9611</v>
      </c>
      <c r="D130" s="4961"/>
      <c r="E130" s="4961"/>
      <c r="F130" s="4961"/>
      <c r="G130" s="4961"/>
      <c r="H130" s="4961"/>
      <c r="I130" s="4961"/>
      <c r="J130" s="4961"/>
      <c r="K130" s="4961"/>
      <c r="L130" s="4961"/>
      <c r="M130" s="4961"/>
      <c r="N130" s="4961"/>
      <c r="O130" s="4961"/>
      <c r="P130" s="4961"/>
      <c r="Q130" s="5536"/>
      <c r="R130" s="1377"/>
      <c r="S130" s="1378"/>
      <c r="T130" s="1378"/>
      <c r="U130" s="969"/>
      <c r="V130" s="5608"/>
      <c r="W130" s="1446" t="s">
        <v>1373</v>
      </c>
      <c r="X130" s="1694" t="str">
        <f>IF(Tablas!$H$1016=0,"-",IF(Zen,DES,MIN(13,DES)))</f>
        <v>-</v>
      </c>
      <c r="Y130" s="2264"/>
      <c r="Z130" s="2970" t="str">
        <f>IFERROR(MIN(X130+Y130,IF(Zen,20,13)),"-")</f>
        <v>-</v>
      </c>
      <c r="AA130" s="1389" t="str">
        <f ca="1">IFERROR(IF(AC125="Armas naturales",IF(AD134="","-",AD134),VLOOKUP(IF(OR(AA125="Proy. 1M",AA125="Proy. 2M"),AD134,AC125),Tabla_ArmasyEscudos,6,0)),"-")</f>
        <v>-</v>
      </c>
      <c r="AB130" s="2999" t="str">
        <f ca="1">IFERROR(IF(AC125="Armas naturales",IF(AD135="","-",AD135),VLOOKUP(IF(OR(AA125="Proy. 1M",AA125="Proy. 2M"),AD134,AC125),Tabla_ArmasyEscudos,7,0)),"-")</f>
        <v>-</v>
      </c>
      <c r="AC130" s="3000"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5" t="str">
        <f>IFERROR(IF(OR(AC125="",Tablas!$H$1016=0),"-",IF(AC125="Armas naturales",AO138,IFERROR(VLOOKUP(AD134,Tabla_ArmasyEscudos,11,0)+2*AD135/5,VLOOKUP(AC125,Tabla_ArmasyEscudos,11,0)+2*AB131/5))+VLOOKUP(IF((AS128-AB131/5)&gt;0,AS128,Z132),Tabla_Fuerza,2)+IF(Extensióndelauraalarma,5,0)+IF(Ojos_de_la_Muerte,5,0)),"-")</f>
        <v>-</v>
      </c>
      <c r="AE130" s="3001"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2999" t="str">
        <f ca="1">IFERROR(IF(AH125="Armas naturales",IF(AI135="","-",AI135),VLOOKUP(IF(AF125="Proy. 1M",AI134,AH125),Tabla_ArmasyEscudos,7,0)),"-")</f>
        <v>-</v>
      </c>
      <c r="AH130" s="3000"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5" t="str">
        <f>IFERROR(IF(OR(AH125="",Tablas!$H$1016=0),"-",IF(AH125="Armas naturales",AO138,IFERROR(VLOOKUP(AI134,Tabla_ArmasyEscudos,11,0)+2*AI135/5,VLOOKUP(AH125,Tabla_ArmasyEscudos,11,0)+2*AG131/5))+VLOOKUP(IF((AS129-AG131/5)&gt;0,AS129,Z132),Tabla_Fuerza,2)+IF(Extensióndelauraalarma,5,0)+IF(Ojos_de_la_Muerte,5,0)),"-")</f>
        <v>-</v>
      </c>
      <c r="AJ130" s="3001" t="str">
        <f>IFERROR(IF(OR(AH125="",Tablas!$H$1016=0),"-",IF(AH125="Armas naturales",Presencia_final,VLOOKUP(AH125,Tabla_ArmasyEscudos,12,0)+50*MAX(AG131/5,0)&amp;IFERROR("/"&amp;VLOOKUP(AI134,Tabla_ArmasyEscudos,12,0)+50*MAX(AI135/5,0),""))),"-")</f>
        <v>-</v>
      </c>
      <c r="AK130" s="737"/>
      <c r="AL130" s="1379"/>
      <c r="AM130" s="3085"/>
      <c r="AN130" s="3085" t="s">
        <v>1965</v>
      </c>
      <c r="AO130" s="3085"/>
      <c r="AP130" s="3085"/>
      <c r="AQ130" s="3085"/>
      <c r="AR130" s="3085"/>
      <c r="AS130" s="3085"/>
      <c r="AT130" s="3085"/>
      <c r="AU130" s="3085"/>
      <c r="AV130" s="3085"/>
      <c r="AW130" s="3085"/>
      <c r="AX130" s="3085"/>
      <c r="AY130" s="3085"/>
      <c r="AZ130" s="3085"/>
      <c r="BA130" s="3085"/>
      <c r="BB130" s="3085"/>
      <c r="BC130" s="3085"/>
      <c r="BD130" s="3085"/>
    </row>
    <row r="131" spans="1:56" ht="12" customHeight="1" thickBot="1" x14ac:dyDescent="0.25">
      <c r="A131" s="949"/>
      <c r="B131" s="485"/>
      <c r="C131" s="4963"/>
      <c r="D131" s="4964"/>
      <c r="E131" s="4964"/>
      <c r="F131" s="4964"/>
      <c r="G131" s="4964"/>
      <c r="H131" s="4964"/>
      <c r="I131" s="4964"/>
      <c r="J131" s="4964"/>
      <c r="K131" s="4964"/>
      <c r="L131" s="4964"/>
      <c r="M131" s="4964"/>
      <c r="N131" s="4964"/>
      <c r="O131" s="4964"/>
      <c r="P131" s="4964"/>
      <c r="Q131" s="5537"/>
      <c r="R131" s="1377"/>
      <c r="S131" s="1378"/>
      <c r="T131" s="1378"/>
      <c r="U131" s="969"/>
      <c r="V131" s="5608"/>
      <c r="W131" s="1446" t="s">
        <v>1378</v>
      </c>
      <c r="X131" s="1695" t="str">
        <f>IF(Tablas!$H$1016=0,"-",IF(Zen,DES,MIN(13,DES)))</f>
        <v>-</v>
      </c>
      <c r="Y131" s="2265"/>
      <c r="Z131" s="3002" t="str">
        <f>IFERROR(MIN(X131+Y131,IF(Zen,20,13)),"-")</f>
        <v>-</v>
      </c>
      <c r="AA131" s="1698" t="str">
        <f>IF(AND(AC125&lt;&gt;"",AC125&lt;&gt;"Armas naturales"),"Calidad:","")</f>
        <v/>
      </c>
      <c r="AB131" s="3005"/>
      <c r="AC131" s="5610" t="str">
        <f ca="1">IF(AA135="Calidad munición:",IF(AD135&lt;=0,"","TA defensor:"),IF(AB131&lt;=0,"","TA defensor:"))</f>
        <v/>
      </c>
      <c r="AD131" s="5610"/>
      <c r="AE131" s="3004" t="str">
        <f ca="1">IF(AC131="TA defensor:",IF(AA135="Calidad munición:",AD135/(-5),AB131/(-5)),"")</f>
        <v/>
      </c>
      <c r="AF131" s="1698" t="str">
        <f>IF(AND(AH125&lt;&gt;"",AH125&lt;&gt;"Armas naturales"),"Calidad:","")</f>
        <v/>
      </c>
      <c r="AG131" s="3005"/>
      <c r="AH131" s="5610" t="str">
        <f ca="1">IF(AF135="Calidad munición:",IF(AI135&lt;=0,"","TA defensor:"),IF(AG131&lt;=0,"","TA defensor:"))</f>
        <v/>
      </c>
      <c r="AI131" s="5610"/>
      <c r="AJ131" s="3004" t="str">
        <f ca="1">IF(AH131="TA defensor:",IF(AF135="Calidad munición:",AI135/(-5),AG131/(-5)),"")</f>
        <v/>
      </c>
      <c r="AK131" s="737"/>
      <c r="AL131" s="1379"/>
      <c r="AM131" s="3085"/>
      <c r="AN131" s="3085" t="s">
        <v>1727</v>
      </c>
      <c r="AO131" s="3085"/>
      <c r="AP131" s="3085"/>
      <c r="AQ131" s="3085"/>
      <c r="AR131" s="3085"/>
      <c r="AS131" s="3085"/>
      <c r="AT131" s="3085"/>
      <c r="AU131" s="3085"/>
      <c r="AV131" s="3085"/>
      <c r="AW131" s="3085"/>
      <c r="AX131" s="3085"/>
      <c r="AY131" s="3085"/>
      <c r="AZ131" s="3085"/>
      <c r="BA131" s="3085"/>
      <c r="BB131" s="3085"/>
      <c r="BC131" s="3085"/>
      <c r="BD131" s="3085"/>
    </row>
    <row r="132" spans="1:56" ht="12" customHeight="1" thickBot="1" x14ac:dyDescent="0.25">
      <c r="A132" s="949"/>
      <c r="B132" s="485"/>
      <c r="C132" s="2752"/>
      <c r="D132" s="2752"/>
      <c r="E132" s="2752"/>
      <c r="F132" s="2752"/>
      <c r="G132" s="2752"/>
      <c r="H132" s="2752"/>
      <c r="I132" s="2752"/>
      <c r="J132" s="2752"/>
      <c r="K132" s="2752"/>
      <c r="L132" s="2752"/>
      <c r="M132" s="2752"/>
      <c r="N132" s="2752"/>
      <c r="O132" s="2752"/>
      <c r="P132" s="2752"/>
      <c r="Q132" s="2752"/>
      <c r="R132" s="1377"/>
      <c r="S132" s="1378"/>
      <c r="T132" s="1378"/>
      <c r="U132" s="969"/>
      <c r="V132" s="5609"/>
      <c r="W132" s="1447" t="s">
        <v>1383</v>
      </c>
      <c r="X132" s="3006" t="str">
        <f>IF(Tablas!$H$1016=0,"-",IF(Zen,FUE-2,MIN(11,FUE-2)))</f>
        <v>-</v>
      </c>
      <c r="Y132" s="2266"/>
      <c r="Z132" s="2968" t="str">
        <f>IFERROR(MIN(20,MIN(X132+Y132,IF(Zen,20,13))+IF(COUNTIF(W133:Z138,"Fuerza excepcional")&gt;0,IF(X132+6&lt;15,6,MAX(15-X132,0)),0)),"-")</f>
        <v>-</v>
      </c>
      <c r="AA132" s="5611" t="str">
        <f ca="1">IFERROR(IF(AC125="Armas naturales","",SUBSTITUTE(VLOOKUP(AC125,Tabla_ArmasyEscudos,19,FALSE),"XXX",MAX(0,VLOOKUP(AC125,Tabla_ArmasyEscudos,17,FALSE)+VLOOKUP(Z132,Tabla_AlcanceFUE,2)))),"")</f>
        <v/>
      </c>
      <c r="AB132" s="5612"/>
      <c r="AC132" s="5612"/>
      <c r="AD132" s="5612"/>
      <c r="AE132" s="5613"/>
      <c r="AF132" s="5611" t="str">
        <f ca="1">IFERROR(IF(AH125="Armas naturales","",SUBSTITUTE(VLOOKUP(AH125,Tabla_ArmasyEscudos,19,FALSE),"XXX",MAX(0,VLOOKUP(AH125,Tabla_ArmasyEscudos,17,FALSE)+VLOOKUP(Z132,Tabla_AlcanceFUE,2)))),"")</f>
        <v/>
      </c>
      <c r="AG132" s="5612"/>
      <c r="AH132" s="5612"/>
      <c r="AI132" s="5612"/>
      <c r="AJ132" s="5613"/>
      <c r="AK132" s="737"/>
      <c r="AL132" s="1379"/>
      <c r="AM132" s="3085"/>
      <c r="AN132" s="3085" t="str">
        <f>IF(COUNTIF(W133:Z138,"Tamaño excepcional")&gt;0,"Grande","")</f>
        <v/>
      </c>
      <c r="AO132" s="3085"/>
      <c r="AP132" s="3085"/>
      <c r="AQ132" s="3085"/>
      <c r="AR132" s="3085"/>
      <c r="AS132" s="3085"/>
      <c r="AT132" s="3085"/>
      <c r="AU132" s="3085"/>
      <c r="AV132" s="3085"/>
      <c r="AW132" s="3085"/>
      <c r="AX132" s="3085"/>
      <c r="AY132" s="3085"/>
      <c r="AZ132" s="3085"/>
      <c r="BA132" s="3085"/>
      <c r="BB132" s="3085"/>
      <c r="BC132" s="3085"/>
      <c r="BD132" s="3085"/>
    </row>
    <row r="133" spans="1:56" ht="12" customHeight="1" thickBot="1" x14ac:dyDescent="0.25">
      <c r="A133" s="949"/>
      <c r="B133" s="485"/>
      <c r="C133" s="3350" t="s">
        <v>9610</v>
      </c>
      <c r="D133" s="3351"/>
      <c r="E133" s="3351"/>
      <c r="F133" s="3351"/>
      <c r="G133" s="3351"/>
      <c r="H133" s="3351"/>
      <c r="I133" s="3351"/>
      <c r="J133" s="3351"/>
      <c r="K133" s="3351"/>
      <c r="L133" s="3351"/>
      <c r="M133" s="3351"/>
      <c r="N133" s="3351"/>
      <c r="O133" s="3351"/>
      <c r="P133" s="3351"/>
      <c r="Q133" s="3352"/>
      <c r="R133" s="1377"/>
      <c r="S133" s="1378"/>
      <c r="T133" s="1378"/>
      <c r="U133" s="969"/>
      <c r="V133" s="5608" t="s">
        <v>8587</v>
      </c>
      <c r="W133" s="5586"/>
      <c r="X133" s="5586"/>
      <c r="Y133" s="5586"/>
      <c r="Z133" s="5586"/>
      <c r="AA133" s="5587" t="str">
        <f ca="1">IFERROR(VLOOKUP(AD134,Tabla_ArmasyEscudos,19,0),"")</f>
        <v/>
      </c>
      <c r="AB133" s="5588"/>
      <c r="AC133" s="5588"/>
      <c r="AD133" s="5588"/>
      <c r="AE133" s="5589"/>
      <c r="AF133" s="5587" t="str">
        <f ca="1">IFERROR(VLOOKUP(AI134,Tabla_ArmasyEscudos,19,0),"")</f>
        <v/>
      </c>
      <c r="AG133" s="5588"/>
      <c r="AH133" s="5588"/>
      <c r="AI133" s="5588"/>
      <c r="AJ133" s="5589"/>
      <c r="AK133" s="737"/>
      <c r="AL133" s="1379"/>
      <c r="AM133" s="3085"/>
      <c r="AN133" s="3085" t="str">
        <f>IF(COUNTIF(W133:Z138,"Tamaño excepcional")&gt;0,"Enorme","")</f>
        <v/>
      </c>
      <c r="AO133" s="3085"/>
      <c r="AP133" s="3085"/>
      <c r="AQ133" s="3085"/>
      <c r="AR133" s="3085"/>
      <c r="AS133" s="3085"/>
      <c r="AT133" s="3085"/>
      <c r="AU133" s="3085"/>
      <c r="AV133" s="3085"/>
      <c r="AW133" s="3085"/>
      <c r="AX133" s="3085"/>
      <c r="AY133" s="3085"/>
      <c r="AZ133" s="3085"/>
      <c r="BA133" s="3085"/>
      <c r="BB133" s="3085"/>
      <c r="BC133" s="3085"/>
      <c r="BD133" s="3085"/>
    </row>
    <row r="134" spans="1:56" ht="12" customHeight="1" x14ac:dyDescent="0.2">
      <c r="A134" s="949"/>
      <c r="B134" s="485"/>
      <c r="C134" s="3802"/>
      <c r="D134" s="3803"/>
      <c r="E134" s="3803"/>
      <c r="F134" s="3803"/>
      <c r="G134" s="3803"/>
      <c r="H134" s="3803"/>
      <c r="I134" s="3803"/>
      <c r="J134" s="3803"/>
      <c r="K134" s="3803"/>
      <c r="L134" s="3803"/>
      <c r="M134" s="3803"/>
      <c r="N134" s="3803"/>
      <c r="O134" s="3803"/>
      <c r="P134" s="3803"/>
      <c r="Q134" s="3804"/>
      <c r="R134" s="1377"/>
      <c r="S134" s="1378"/>
      <c r="T134" s="1378"/>
      <c r="U134" s="969"/>
      <c r="V134" s="5608"/>
      <c r="W134" s="5637"/>
      <c r="X134" s="5638"/>
      <c r="Y134" s="5638"/>
      <c r="Z134" s="5639"/>
      <c r="AA134" s="4803" t="str">
        <f ca="1">IFERROR(IF(AC125="Armas naturales", "Armas naturales Crit. 1:",IF(ISNUMBER(FIND("Proyectiles",VLOOKUP(AC125,Tabla_ArmasyEscudos,8,0))),"Munición:","")),"")</f>
        <v/>
      </c>
      <c r="AB134" s="5647"/>
      <c r="AC134" s="5647"/>
      <c r="AD134" s="5648"/>
      <c r="AE134" s="5649"/>
      <c r="AF134" s="4803" t="str">
        <f ca="1">IFERROR(IF(AH125="Armas naturales", "Armas naturales Crit. 1:",IF(ISNUMBER(FIND("Proyectiles",VLOOKUP(AH125,Tabla_ArmasyEscudos,8,0))),"Munición:","")),"")</f>
        <v/>
      </c>
      <c r="AG134" s="5647"/>
      <c r="AH134" s="5647"/>
      <c r="AI134" s="5648"/>
      <c r="AJ134" s="5649"/>
      <c r="AK134" s="737"/>
      <c r="AL134" s="1379"/>
      <c r="AM134" s="3085"/>
      <c r="AN134" s="5636" t="s">
        <v>1915</v>
      </c>
      <c r="AO134" s="5636"/>
      <c r="AP134" s="3085"/>
      <c r="AQ134" s="3085"/>
      <c r="AR134" s="3085"/>
      <c r="AS134" s="3085"/>
      <c r="AT134" s="3085"/>
      <c r="AU134" s="3085"/>
      <c r="AV134" s="3085"/>
      <c r="AW134" s="3085"/>
      <c r="AX134" s="3085"/>
      <c r="AY134" s="3085"/>
      <c r="AZ134" s="3085"/>
      <c r="BA134" s="3085"/>
      <c r="BB134" s="3085"/>
      <c r="BC134" s="3085"/>
      <c r="BD134" s="3085"/>
    </row>
    <row r="135" spans="1:56" ht="12" customHeight="1" x14ac:dyDescent="0.2">
      <c r="A135" s="949"/>
      <c r="B135" s="485"/>
      <c r="C135" s="3805"/>
      <c r="D135" s="3578"/>
      <c r="E135" s="3578"/>
      <c r="F135" s="3578"/>
      <c r="G135" s="3578"/>
      <c r="H135" s="3578"/>
      <c r="I135" s="3578"/>
      <c r="J135" s="3578"/>
      <c r="K135" s="3578"/>
      <c r="L135" s="3578"/>
      <c r="M135" s="3578"/>
      <c r="N135" s="3578"/>
      <c r="O135" s="3578"/>
      <c r="P135" s="3578"/>
      <c r="Q135" s="3807"/>
      <c r="R135" s="1377"/>
      <c r="S135" s="1378"/>
      <c r="T135" s="1378"/>
      <c r="U135" s="969"/>
      <c r="V135" s="5608"/>
      <c r="W135" s="5637"/>
      <c r="X135" s="5638"/>
      <c r="Y135" s="5638"/>
      <c r="Z135" s="5639"/>
      <c r="AA135" s="5640" t="str">
        <f ca="1">IFERROR(IF(AC125="Armas naturales", "Armas naturales Crit. 2:",IF(ISNUMBER(FIND("Proyectiles",VLOOKUP(AC125,Tabla_ArmasyEscudos,8,0))),"Calidad Munición:","")),"")</f>
        <v/>
      </c>
      <c r="AB135" s="5641"/>
      <c r="AC135" s="5641"/>
      <c r="AD135" s="5642"/>
      <c r="AE135" s="5643"/>
      <c r="AF135" s="5640" t="str">
        <f ca="1">IFERROR(IF(AH125="Armas naturales", "Armas naturales Crit. 2:",IF(ISNUMBER(FIND("Proyectiles",VLOOKUP(AH125,Tabla_ArmasyEscudos,8,0))),"Calidad Munición:","")),"")</f>
        <v/>
      </c>
      <c r="AG135" s="5641"/>
      <c r="AH135" s="5641"/>
      <c r="AI135" s="5642"/>
      <c r="AJ135" s="5643"/>
      <c r="AK135" s="737"/>
      <c r="AL135" s="1379"/>
      <c r="AM135" s="3085"/>
      <c r="AN135" s="3085" t="s">
        <v>8613</v>
      </c>
      <c r="AO135" s="3085">
        <f>VLOOKUP(AF124,Tablas!$X$47:$AF$54,7,0)</f>
        <v>40</v>
      </c>
      <c r="AP135" s="3085"/>
      <c r="AQ135" s="3085"/>
      <c r="AR135" s="3085"/>
      <c r="AS135" s="3085"/>
      <c r="AT135" s="3085" t="s">
        <v>1455</v>
      </c>
      <c r="AU135" s="3085"/>
      <c r="AV135" s="3085"/>
      <c r="AW135" s="3085"/>
      <c r="AX135" s="3085"/>
      <c r="AY135" s="3085"/>
      <c r="AZ135" s="3085"/>
      <c r="BA135" s="3085"/>
      <c r="BB135" s="3085"/>
      <c r="BC135" s="3085"/>
      <c r="BD135" s="3085"/>
    </row>
    <row r="136" spans="1:56" ht="12" customHeight="1" x14ac:dyDescent="0.2">
      <c r="A136" s="949"/>
      <c r="B136" s="485"/>
      <c r="C136" s="3805"/>
      <c r="D136" s="3578"/>
      <c r="E136" s="3578"/>
      <c r="F136" s="3578"/>
      <c r="G136" s="3578"/>
      <c r="H136" s="3578"/>
      <c r="I136" s="3578"/>
      <c r="J136" s="3578"/>
      <c r="K136" s="3578"/>
      <c r="L136" s="3578"/>
      <c r="M136" s="3578"/>
      <c r="N136" s="3578"/>
      <c r="O136" s="3578"/>
      <c r="P136" s="3578"/>
      <c r="Q136" s="3807"/>
      <c r="R136" s="1377"/>
      <c r="S136" s="1378"/>
      <c r="T136" s="1378"/>
      <c r="U136" s="969"/>
      <c r="V136" s="5608"/>
      <c r="W136" s="5586"/>
      <c r="X136" s="5586"/>
      <c r="Y136" s="5586"/>
      <c r="Z136" s="5586"/>
      <c r="AA136" s="1056" t="str">
        <f ca="1">IF(ISNUMBER(FIND("Proyectiles",VLOOKUP(AC125,Tabla_ArmasyEscudos,8,0))),"Rango:","")</f>
        <v/>
      </c>
      <c r="AB136" s="3007" t="str">
        <f ca="1">IFERROR(IF(AA136="Rango:",(VLOOKUP(AC125,Tabla_ArmasyEscudos,17,0)+IF((AS128-AB131/5)&gt;0,VLOOKUP(MIN(AS128,AB139),Tabla_AlcanceFUE,2,0),IF($Z132&lt;3,-30,VLOOKUP(MIN(IF(Zen_IP,20,13),AB139,$Z132),Tabla_AlcanceFUE,2))))*IF(AlcanceIncrementado,2,1)&amp;" m",""),"")</f>
        <v/>
      </c>
      <c r="AC136" s="5644" t="str">
        <f ca="1">IF(ISNUMBER(FIND("Proyectiles",VLOOKUP(AC125,Tabla_ArmasyEscudos,8,0))),"Recarga:","")</f>
        <v/>
      </c>
      <c r="AD136" s="5644"/>
      <c r="AE136" s="2967" t="str">
        <f ca="1">IFERROR(IF(AC136="Recarga:",VLOOKUP(AC125,Tabla_ArmasyEscudos,16,0),""),"")</f>
        <v/>
      </c>
      <c r="AF136" s="1056" t="str">
        <f ca="1">IF(ISNUMBER(FIND("Proyectiles",VLOOKUP(AH125,Tabla_ArmasyEscudos,8,0))),"Rango:","")</f>
        <v/>
      </c>
      <c r="AG136" s="3007" t="str">
        <f ca="1">IFERROR(IF(AF136="Rango:",(VLOOKUP(AH125,Tabla_ArmasyEscudos,17,0)+IF((AS129-AG131/5)&gt;0,VLOOKUP(MIN(AS129,AG139),Tabla_AlcanceFUE,2,0),IF($Z132&lt;3,-30,VLOOKUP(MIN(IF(Zen_IP,20,13),AG139,$Z132),Tabla_AlcanceFUE,2))))*IF(AlcanceIncrementado,2,1)&amp;" m",""),"")</f>
        <v/>
      </c>
      <c r="AH136" s="5644" t="str">
        <f ca="1">IF(ISNUMBER(FIND("Proyectiles",VLOOKUP(AH125,Tabla_ArmasyEscudos,8,0))),"Recarga:","")</f>
        <v/>
      </c>
      <c r="AI136" s="5644"/>
      <c r="AJ136" s="2967" t="str">
        <f ca="1">IFERROR(IF(AH136="Recarga:",VLOOKUP(AH125,Tabla_ArmasyEscudos,16,0),""),"")</f>
        <v/>
      </c>
      <c r="AK136" s="737"/>
      <c r="AL136" s="1379"/>
      <c r="AM136" s="3085"/>
      <c r="AN136" s="3085" t="s">
        <v>1392</v>
      </c>
      <c r="AO136" s="3085">
        <f>MIN(VLOOKUP(AF124,Tablas!$X$47:$AF$54,2,0),20)</f>
        <v>20</v>
      </c>
      <c r="AP136" s="3085"/>
      <c r="AQ136" s="3085"/>
      <c r="AR136" s="3085"/>
      <c r="AS136" s="3085"/>
      <c r="AT136" s="3085" t="s">
        <v>1455</v>
      </c>
      <c r="AU136" s="3085"/>
      <c r="AV136" s="3085"/>
      <c r="AW136" s="3085"/>
      <c r="AX136" s="3085"/>
      <c r="AY136" s="3085"/>
      <c r="AZ136" s="3085"/>
      <c r="BA136" s="3085"/>
      <c r="BB136" s="3085"/>
      <c r="BC136" s="3085"/>
      <c r="BD136" s="3085"/>
    </row>
    <row r="137" spans="1:56" ht="12" customHeight="1" x14ac:dyDescent="0.2">
      <c r="A137" s="949"/>
      <c r="B137" s="485"/>
      <c r="C137" s="3805"/>
      <c r="D137" s="3578"/>
      <c r="E137" s="3578"/>
      <c r="F137" s="3578"/>
      <c r="G137" s="3578"/>
      <c r="H137" s="3578"/>
      <c r="I137" s="3578"/>
      <c r="J137" s="3578"/>
      <c r="K137" s="3578"/>
      <c r="L137" s="3578"/>
      <c r="M137" s="3578"/>
      <c r="N137" s="3578"/>
      <c r="O137" s="3578"/>
      <c r="P137" s="3578"/>
      <c r="Q137" s="3807"/>
      <c r="R137" s="1377"/>
      <c r="S137" s="1378"/>
      <c r="T137" s="1378"/>
      <c r="U137" s="969"/>
      <c r="V137" s="5608"/>
      <c r="W137" s="5637"/>
      <c r="X137" s="5638"/>
      <c r="Y137" s="5638"/>
      <c r="Z137" s="5639"/>
      <c r="AA137" s="5645" t="s">
        <v>998</v>
      </c>
      <c r="AB137" s="2119" t="s">
        <v>7224</v>
      </c>
      <c r="AC137" s="2242"/>
      <c r="AD137" s="2119" t="s">
        <v>1392</v>
      </c>
      <c r="AE137" s="2240"/>
      <c r="AF137" s="5645" t="s">
        <v>998</v>
      </c>
      <c r="AG137" s="2119" t="s">
        <v>7224</v>
      </c>
      <c r="AH137" s="2242"/>
      <c r="AI137" s="2119" t="s">
        <v>1392</v>
      </c>
      <c r="AJ137" s="2240"/>
      <c r="AK137" s="737"/>
      <c r="AL137" s="1379"/>
      <c r="AM137" s="3085"/>
      <c r="AN137" s="3085" t="s">
        <v>1963</v>
      </c>
      <c r="AO137" s="3085">
        <f>VLOOKUP(AF124,Tablas!$X$47:$AF$54,9,0)</f>
        <v>12</v>
      </c>
      <c r="AP137" s="3085"/>
      <c r="AQ137" s="3085"/>
      <c r="AR137" s="3085"/>
      <c r="AS137" s="3085"/>
      <c r="AT137" s="3085" t="s">
        <v>1455</v>
      </c>
      <c r="AU137" s="3085"/>
      <c r="AV137" s="3085"/>
      <c r="AW137" s="3085"/>
      <c r="AX137" s="3085"/>
      <c r="AY137" s="3085"/>
      <c r="AZ137" s="3085"/>
      <c r="BA137" s="3085"/>
      <c r="BB137" s="3085"/>
      <c r="BC137" s="3085"/>
      <c r="BD137" s="3085"/>
    </row>
    <row r="138" spans="1:56" ht="12" customHeight="1" thickBot="1" x14ac:dyDescent="0.25">
      <c r="A138" s="949"/>
      <c r="B138" s="485"/>
      <c r="C138" s="3808"/>
      <c r="D138" s="3809"/>
      <c r="E138" s="3809"/>
      <c r="F138" s="3809"/>
      <c r="G138" s="3809"/>
      <c r="H138" s="3809"/>
      <c r="I138" s="3809"/>
      <c r="J138" s="3809"/>
      <c r="K138" s="3809"/>
      <c r="L138" s="3809"/>
      <c r="M138" s="3809"/>
      <c r="N138" s="3809"/>
      <c r="O138" s="3809"/>
      <c r="P138" s="3809"/>
      <c r="Q138" s="3810"/>
      <c r="R138" s="1377"/>
      <c r="S138" s="1378"/>
      <c r="T138" s="1378"/>
      <c r="U138" s="969"/>
      <c r="V138" s="5609"/>
      <c r="W138" s="5650"/>
      <c r="X138" s="5650"/>
      <c r="Y138" s="5650"/>
      <c r="Z138" s="5650"/>
      <c r="AA138" s="5646"/>
      <c r="AB138" s="1384" t="s">
        <v>8325</v>
      </c>
      <c r="AC138" s="2243"/>
      <c r="AD138" s="3008" t="s">
        <v>1565</v>
      </c>
      <c r="AE138" s="2241"/>
      <c r="AF138" s="5646"/>
      <c r="AG138" s="1384" t="s">
        <v>8325</v>
      </c>
      <c r="AH138" s="2243"/>
      <c r="AI138" s="3008" t="s">
        <v>1565</v>
      </c>
      <c r="AJ138" s="2241"/>
      <c r="AK138" s="737"/>
      <c r="AL138" s="1379"/>
      <c r="AM138" s="3085"/>
      <c r="AN138" s="3085" t="s">
        <v>1569</v>
      </c>
      <c r="AO138" s="3085">
        <f>VLOOKUP(AF124,Tablas!$X$47:$AF$54,8,0)</f>
        <v>0</v>
      </c>
      <c r="AP138" s="3085"/>
      <c r="AQ138" s="3085"/>
      <c r="AR138" s="3085"/>
      <c r="AS138" s="3085"/>
      <c r="AT138" s="3085" t="s">
        <v>1455</v>
      </c>
      <c r="AU138" s="3085"/>
      <c r="AV138" s="3085"/>
      <c r="AW138" s="3085"/>
      <c r="AX138" s="3085"/>
      <c r="AY138" s="3085"/>
      <c r="AZ138" s="3085"/>
      <c r="BA138" s="3085"/>
      <c r="BB138" s="3085"/>
      <c r="BC138" s="3085"/>
      <c r="BD138" s="3085"/>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09">
        <f>IF(AB131&lt;0,10,IF(AB131&gt;20,20,INDEX(Tablas!$L$23:$L$33,MATCH(AB131,Tablas!$N$23:$N$33,0))))</f>
        <v>10</v>
      </c>
      <c r="AC139" s="573"/>
      <c r="AD139" s="573"/>
      <c r="AE139" s="573"/>
      <c r="AF139" s="573"/>
      <c r="AG139" s="3009">
        <f>IF(AG131&lt;0,10,IF(AG131&gt;20,20,INDEX(Tablas!$L$23:$L$33,MATCH(AG131,Tablas!$N$23:$N$33,0))))</f>
        <v>10</v>
      </c>
      <c r="AH139" s="573"/>
      <c r="AI139" s="573"/>
      <c r="AJ139" s="573"/>
      <c r="AK139" s="740"/>
      <c r="AL139" s="1379"/>
      <c r="AM139" s="3085"/>
      <c r="AN139" s="3085"/>
      <c r="AO139" s="3085"/>
      <c r="AP139" s="3085"/>
      <c r="AQ139" s="3085"/>
      <c r="AR139" s="3085"/>
      <c r="AS139" s="3085"/>
      <c r="AT139" s="3085"/>
      <c r="AU139" s="3085"/>
      <c r="AV139" s="3085"/>
      <c r="AW139" s="3085"/>
      <c r="AX139" s="3085"/>
      <c r="AY139" s="3085"/>
      <c r="AZ139" s="3085"/>
      <c r="BA139" s="3085"/>
      <c r="BB139" s="3085"/>
      <c r="BC139" s="3085"/>
      <c r="BD139" s="3085"/>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85"/>
      <c r="AN140" s="3085"/>
      <c r="AO140" s="3085"/>
      <c r="AP140" s="3085"/>
      <c r="AQ140" s="3085"/>
      <c r="AR140" s="3085"/>
      <c r="AS140" s="3085"/>
      <c r="AT140" s="3085"/>
      <c r="AU140" s="3085"/>
      <c r="AV140" s="3085"/>
      <c r="AW140" s="3085"/>
      <c r="AX140" s="3085"/>
      <c r="AY140" s="3085"/>
      <c r="AZ140" s="3085"/>
      <c r="BA140" s="3085"/>
      <c r="BB140" s="3085"/>
      <c r="BC140" s="3085"/>
      <c r="BD140" s="3085"/>
    </row>
  </sheetData>
  <sheetProtection sheet="1" scenarios="1"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AJ92 AJ108 AJ124 L50 G34 G46:G48 AB63">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Normal="100"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042"/>
      <c r="C2" s="6059" t="s">
        <v>7314</v>
      </c>
      <c r="D2" s="6059"/>
      <c r="E2" s="6059"/>
      <c r="F2" s="6059"/>
      <c r="G2" s="6059"/>
      <c r="H2" s="6059"/>
      <c r="I2" s="6059"/>
      <c r="J2" s="6059"/>
      <c r="K2" s="6059"/>
      <c r="L2" s="6059"/>
      <c r="M2" s="6059"/>
      <c r="N2" s="6059"/>
      <c r="O2" s="6059"/>
      <c r="P2" s="6059"/>
      <c r="Q2" s="6059"/>
      <c r="R2" s="6059"/>
      <c r="S2" s="6059"/>
      <c r="T2" s="6059"/>
      <c r="U2" s="6059"/>
      <c r="V2" s="6059"/>
      <c r="W2" s="6059"/>
      <c r="X2" s="6059"/>
      <c r="Y2" s="6059"/>
      <c r="Z2" s="6059"/>
      <c r="AA2" s="6059"/>
      <c r="AB2" s="6059"/>
      <c r="AC2" s="6059"/>
      <c r="AD2" s="6059"/>
      <c r="AE2" s="6059"/>
      <c r="AF2" s="6059"/>
      <c r="AG2" s="6059"/>
      <c r="AH2" s="6059"/>
      <c r="AI2" s="6059"/>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042"/>
      <c r="C3" s="6059"/>
      <c r="D3" s="6059"/>
      <c r="E3" s="6059"/>
      <c r="F3" s="6059"/>
      <c r="G3" s="6059"/>
      <c r="H3" s="6059"/>
      <c r="I3" s="6059"/>
      <c r="J3" s="6059"/>
      <c r="K3" s="6059"/>
      <c r="L3" s="6059"/>
      <c r="M3" s="6059"/>
      <c r="N3" s="6059"/>
      <c r="O3" s="6059"/>
      <c r="P3" s="6059"/>
      <c r="Q3" s="6059"/>
      <c r="R3" s="6059"/>
      <c r="S3" s="6059"/>
      <c r="T3" s="6059"/>
      <c r="U3" s="6059"/>
      <c r="V3" s="6059"/>
      <c r="W3" s="6059"/>
      <c r="X3" s="6059"/>
      <c r="Y3" s="6059"/>
      <c r="Z3" s="6059"/>
      <c r="AA3" s="6059"/>
      <c r="AB3" s="6059"/>
      <c r="AC3" s="6059"/>
      <c r="AD3" s="6059"/>
      <c r="AE3" s="6059"/>
      <c r="AF3" s="6059"/>
      <c r="AG3" s="6059"/>
      <c r="AH3" s="6059"/>
      <c r="AI3" s="6059"/>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042"/>
      <c r="C4" s="6059"/>
      <c r="D4" s="6059"/>
      <c r="E4" s="6059"/>
      <c r="F4" s="6059"/>
      <c r="G4" s="6059"/>
      <c r="H4" s="6059"/>
      <c r="I4" s="6059"/>
      <c r="J4" s="6059"/>
      <c r="K4" s="6059"/>
      <c r="L4" s="6059"/>
      <c r="M4" s="6059"/>
      <c r="N4" s="6059"/>
      <c r="O4" s="6059"/>
      <c r="P4" s="6059"/>
      <c r="Q4" s="6059"/>
      <c r="R4" s="6059"/>
      <c r="S4" s="6059"/>
      <c r="T4" s="6059"/>
      <c r="U4" s="6059"/>
      <c r="V4" s="6059"/>
      <c r="W4" s="6059"/>
      <c r="X4" s="6059"/>
      <c r="Y4" s="6059"/>
      <c r="Z4" s="6059"/>
      <c r="AA4" s="6059"/>
      <c r="AB4" s="6059"/>
      <c r="AC4" s="6059"/>
      <c r="AD4" s="6059"/>
      <c r="AE4" s="6059"/>
      <c r="AF4" s="6059"/>
      <c r="AG4" s="6059"/>
      <c r="AH4" s="6059"/>
      <c r="AI4" s="6059"/>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042"/>
      <c r="H5"/>
      <c r="I5" s="555"/>
      <c r="N5"/>
      <c r="O5" s="555"/>
    </row>
    <row r="6" spans="1:110" ht="12.75" customHeight="1" thickBot="1" x14ac:dyDescent="0.25">
      <c r="A6" s="227">
        <v>6</v>
      </c>
      <c r="B6" s="6042"/>
      <c r="C6" s="3676" t="s">
        <v>2086</v>
      </c>
      <c r="E6" s="3676" t="s">
        <v>1303</v>
      </c>
      <c r="G6" s="3676" t="s">
        <v>810</v>
      </c>
      <c r="H6" s="3676"/>
      <c r="I6" s="555"/>
      <c r="J6" s="6163" t="s">
        <v>8660</v>
      </c>
      <c r="K6" s="6163"/>
      <c r="L6" s="6163"/>
      <c r="M6" s="6163"/>
      <c r="N6" s="6163"/>
      <c r="O6" s="6163"/>
      <c r="P6" s="6163"/>
      <c r="Q6" s="6163"/>
      <c r="S6" s="6091" t="s">
        <v>6588</v>
      </c>
      <c r="T6" s="6092"/>
      <c r="U6" s="6092"/>
      <c r="V6" s="6092"/>
      <c r="W6" s="6092"/>
      <c r="X6" s="6093"/>
      <c r="Y6" s="1204"/>
      <c r="Z6" s="1204"/>
    </row>
    <row r="7" spans="1:110" ht="12.75" customHeight="1" thickBot="1" x14ac:dyDescent="0.25">
      <c r="A7" s="227">
        <v>7</v>
      </c>
      <c r="B7" s="6042"/>
      <c r="C7" s="3676"/>
      <c r="E7" s="3676"/>
      <c r="G7" s="3676"/>
      <c r="H7" s="3676"/>
      <c r="I7" s="555"/>
      <c r="J7" s="6163" t="s">
        <v>8661</v>
      </c>
      <c r="K7" s="6163"/>
      <c r="L7" s="6163"/>
      <c r="M7" s="6163"/>
      <c r="N7" s="6163"/>
      <c r="O7" s="6163"/>
      <c r="P7" s="6163"/>
      <c r="Q7" s="6163"/>
      <c r="S7" s="6094"/>
      <c r="T7" s="6095"/>
      <c r="U7" s="6095"/>
      <c r="V7" s="6095"/>
      <c r="W7" s="6095"/>
      <c r="X7" s="6096"/>
      <c r="Y7" s="1204"/>
      <c r="Z7" s="1204"/>
    </row>
    <row r="8" spans="1:110" ht="12.75" customHeight="1" thickBot="1" x14ac:dyDescent="0.25">
      <c r="A8" s="227">
        <v>8</v>
      </c>
      <c r="B8" s="6042"/>
      <c r="C8" s="214" t="s">
        <v>2583</v>
      </c>
      <c r="E8" s="224" t="s">
        <v>1304</v>
      </c>
      <c r="G8" s="183" t="s">
        <v>811</v>
      </c>
      <c r="H8" s="36"/>
      <c r="I8" s="555"/>
      <c r="J8" s="6160" t="s">
        <v>10076</v>
      </c>
      <c r="K8" s="6160"/>
      <c r="L8" s="6160"/>
      <c r="M8" s="6160"/>
      <c r="N8" s="6160"/>
      <c r="O8" s="6160"/>
      <c r="P8" s="6160"/>
      <c r="Q8" s="6160"/>
      <c r="S8" s="679"/>
      <c r="T8" s="174" t="s">
        <v>6598</v>
      </c>
      <c r="U8" s="187" t="s">
        <v>6597</v>
      </c>
      <c r="V8" s="187" t="s">
        <v>6592</v>
      </c>
      <c r="W8" s="187" t="s">
        <v>6593</v>
      </c>
      <c r="X8" s="680" t="s">
        <v>647</v>
      </c>
    </row>
    <row r="9" spans="1:110" ht="12.75" customHeight="1" thickBot="1" x14ac:dyDescent="0.25">
      <c r="A9" s="227">
        <v>9</v>
      </c>
      <c r="B9" s="6042"/>
      <c r="C9" s="215" t="s">
        <v>1381</v>
      </c>
      <c r="E9" s="225" t="s">
        <v>1305</v>
      </c>
      <c r="G9" s="184" t="s">
        <v>812</v>
      </c>
      <c r="H9" s="69"/>
      <c r="I9" s="555"/>
      <c r="J9" s="6160"/>
      <c r="K9" s="6160"/>
      <c r="L9" s="6160"/>
      <c r="M9" s="6160"/>
      <c r="N9" s="6160"/>
      <c r="O9" s="6160"/>
      <c r="P9" s="6160"/>
      <c r="Q9" s="6160"/>
      <c r="S9" s="615" t="s">
        <v>6589</v>
      </c>
      <c r="T9" s="86">
        <f>VLOOKUP($S9&amp;$X$15,$U$14:$W$22,2,FALSE)</f>
        <v>0</v>
      </c>
      <c r="U9" s="86">
        <f>VLOOKUP($S9&amp;$X$15,$U$14:$W$22,3,FALSE)</f>
        <v>0</v>
      </c>
      <c r="V9" s="86">
        <f>1/4</f>
        <v>0.25</v>
      </c>
      <c r="W9" s="86"/>
      <c r="X9" s="486">
        <v>0</v>
      </c>
    </row>
    <row r="10" spans="1:110" ht="12.75" customHeight="1" thickBot="1" x14ac:dyDescent="0.25">
      <c r="A10" s="227">
        <v>10</v>
      </c>
      <c r="B10" s="6042"/>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042"/>
      <c r="C11" s="6173" t="s">
        <v>1980</v>
      </c>
      <c r="D11" s="6173"/>
      <c r="E11" s="6173"/>
      <c r="G11" s="6164" t="s">
        <v>2002</v>
      </c>
      <c r="H11" s="6164"/>
      <c r="I11" s="6164"/>
      <c r="J11" s="6164"/>
      <c r="L11" s="6086" t="s">
        <v>1144</v>
      </c>
      <c r="M11" s="6087"/>
      <c r="N11" s="6088"/>
      <c r="O11" s="555"/>
      <c r="P11" s="4977" t="s">
        <v>1202</v>
      </c>
      <c r="Q11" s="4977"/>
      <c r="S11" s="615" t="s">
        <v>6590</v>
      </c>
      <c r="T11" s="86">
        <f>VLOOKUP($S11&amp;$X$15,$U$14:$W$22,2,FALSE)</f>
        <v>20</v>
      </c>
      <c r="U11" s="86">
        <f>VLOOKUP($S11&amp;$X$15,$U$14:$W$22,3,FALSE)</f>
        <v>0.25</v>
      </c>
      <c r="V11" s="86">
        <v>1</v>
      </c>
      <c r="W11" s="86"/>
      <c r="X11" s="486">
        <v>1</v>
      </c>
    </row>
    <row r="12" spans="1:110" ht="12.75" customHeight="1" thickBot="1" x14ac:dyDescent="0.25">
      <c r="A12" s="227">
        <v>12</v>
      </c>
      <c r="B12" s="6042"/>
      <c r="C12" s="6173"/>
      <c r="D12" s="6173"/>
      <c r="E12" s="6173"/>
      <c r="G12" s="6164"/>
      <c r="H12" s="6164"/>
      <c r="I12" s="6164"/>
      <c r="J12" s="6164"/>
      <c r="L12" s="6089"/>
      <c r="M12" s="4977"/>
      <c r="N12" s="6090"/>
      <c r="O12" s="555"/>
      <c r="P12" s="4977"/>
      <c r="Q12" s="4977"/>
      <c r="S12" s="743" t="s">
        <v>7071</v>
      </c>
      <c r="T12" s="488" t="s">
        <v>1455</v>
      </c>
      <c r="U12" s="488" t="s">
        <v>1455</v>
      </c>
      <c r="V12" s="488" t="s">
        <v>1455</v>
      </c>
      <c r="W12" s="488" t="s">
        <v>1455</v>
      </c>
      <c r="X12" s="681" t="s">
        <v>1455</v>
      </c>
    </row>
    <row r="13" spans="1:110" ht="12.75" customHeight="1" thickBot="1" x14ac:dyDescent="0.25">
      <c r="A13" s="227">
        <v>13</v>
      </c>
      <c r="B13" s="6042"/>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042"/>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042"/>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042"/>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042"/>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042"/>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042"/>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154" t="s">
        <v>7154</v>
      </c>
    </row>
    <row r="20" spans="1:36" ht="12.75" customHeight="1" x14ac:dyDescent="0.2">
      <c r="A20" s="227">
        <v>20</v>
      </c>
      <c r="B20" s="6042"/>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155"/>
    </row>
    <row r="21" spans="1:36" ht="12.75" customHeight="1" x14ac:dyDescent="0.2">
      <c r="A21" s="227">
        <v>21</v>
      </c>
      <c r="B21" s="6042"/>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161" t="b">
        <f>AND(Nivel_Sobrenatural&lt;&gt;Tablas!S12,General!$X$12="")</f>
        <v>0</v>
      </c>
    </row>
    <row r="22" spans="1:36" ht="12.75" customHeight="1" thickBot="1" x14ac:dyDescent="0.25">
      <c r="A22" s="227">
        <v>22</v>
      </c>
      <c r="B22" s="6042"/>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162"/>
    </row>
    <row r="23" spans="1:36" ht="12.75" customHeight="1" thickBot="1" x14ac:dyDescent="0.25">
      <c r="A23" s="227">
        <v>23</v>
      </c>
      <c r="B23" s="6042"/>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042"/>
      <c r="C24" s="598">
        <v>11</v>
      </c>
      <c r="D24" s="86">
        <v>20</v>
      </c>
      <c r="E24" s="50">
        <v>20</v>
      </c>
      <c r="G24" s="88">
        <v>11</v>
      </c>
      <c r="H24" s="86">
        <v>3</v>
      </c>
      <c r="I24" s="86">
        <v>200</v>
      </c>
      <c r="J24" s="50">
        <v>600</v>
      </c>
      <c r="L24" s="615">
        <v>11</v>
      </c>
      <c r="M24" s="86">
        <v>100</v>
      </c>
      <c r="N24" s="486">
        <v>5</v>
      </c>
      <c r="O24" s="555"/>
      <c r="P24" s="71">
        <v>11</v>
      </c>
      <c r="Q24" s="232">
        <v>2</v>
      </c>
      <c r="T24" s="6156" t="s">
        <v>7173</v>
      </c>
      <c r="U24" s="6157"/>
      <c r="W24" s="6086" t="s">
        <v>1142</v>
      </c>
      <c r="X24" s="6087"/>
      <c r="Y24" s="6088"/>
      <c r="AA24" s="6133" t="s">
        <v>2072</v>
      </c>
      <c r="AB24" s="6134"/>
      <c r="AC24" s="6135"/>
      <c r="AE24" s="6133" t="s">
        <v>2075</v>
      </c>
      <c r="AF24" s="6134"/>
      <c r="AG24" s="6135"/>
      <c r="AI24" s="6060" t="s">
        <v>1474</v>
      </c>
      <c r="AJ24" s="6061"/>
    </row>
    <row r="25" spans="1:36" ht="12.75" customHeight="1" x14ac:dyDescent="0.2">
      <c r="A25" s="227">
        <v>25</v>
      </c>
      <c r="B25" s="6042"/>
      <c r="C25" s="598">
        <v>12</v>
      </c>
      <c r="D25" s="86">
        <v>20</v>
      </c>
      <c r="E25" s="50">
        <v>30</v>
      </c>
      <c r="G25" s="88">
        <v>12</v>
      </c>
      <c r="H25" s="86">
        <v>3</v>
      </c>
      <c r="I25" s="86">
        <v>350</v>
      </c>
      <c r="J25" s="50">
        <v>1000</v>
      </c>
      <c r="L25" s="615">
        <v>12</v>
      </c>
      <c r="M25" s="86">
        <v>250</v>
      </c>
      <c r="N25" s="486"/>
      <c r="O25" s="555"/>
      <c r="P25" s="71">
        <v>12</v>
      </c>
      <c r="Q25" s="232">
        <v>2</v>
      </c>
      <c r="T25" s="6158"/>
      <c r="U25" s="6159"/>
      <c r="W25" s="6089"/>
      <c r="X25" s="4977"/>
      <c r="Y25" s="6090"/>
      <c r="AA25" s="6136"/>
      <c r="AB25" s="6137"/>
      <c r="AC25" s="6138"/>
      <c r="AE25" s="6136"/>
      <c r="AF25" s="6137"/>
      <c r="AG25" s="6138"/>
      <c r="AI25" s="6062"/>
      <c r="AJ25" s="6063"/>
    </row>
    <row r="26" spans="1:36" ht="13.5" customHeight="1" thickBot="1" x14ac:dyDescent="0.25">
      <c r="A26" s="227">
        <v>26</v>
      </c>
      <c r="B26" s="6042"/>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042"/>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042"/>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042"/>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042"/>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042"/>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042"/>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042"/>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042"/>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042"/>
      <c r="C35" s="3158" t="s">
        <v>1982</v>
      </c>
      <c r="D35" s="3159"/>
      <c r="E35" s="3159"/>
      <c r="F35" s="3159"/>
      <c r="G35" s="3159"/>
      <c r="H35" s="3160"/>
      <c r="J35" s="6171" t="s">
        <v>2006</v>
      </c>
      <c r="K35" s="6172"/>
      <c r="M35" s="6091" t="s">
        <v>2091</v>
      </c>
      <c r="N35" s="6092"/>
      <c r="O35" s="6093"/>
      <c r="Q35" s="3158" t="s">
        <v>2088</v>
      </c>
      <c r="R35" s="3160"/>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042"/>
      <c r="C36" s="3188"/>
      <c r="D36" s="4783"/>
      <c r="E36" s="4783"/>
      <c r="F36" s="4783"/>
      <c r="G36" s="4783"/>
      <c r="H36" s="3247"/>
      <c r="J36" s="6171"/>
      <c r="K36" s="6172"/>
      <c r="M36" s="1187" t="s">
        <v>2092</v>
      </c>
      <c r="N36" s="174" t="s">
        <v>2093</v>
      </c>
      <c r="O36" s="1166" t="s">
        <v>2094</v>
      </c>
      <c r="Q36" s="3188"/>
      <c r="R36" s="3247"/>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042"/>
      <c r="C37" s="1179" t="s">
        <v>1497</v>
      </c>
      <c r="D37" s="1180" t="s">
        <v>1368</v>
      </c>
      <c r="E37" s="6085" t="s">
        <v>1983</v>
      </c>
      <c r="F37" s="6085"/>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042"/>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042"/>
      <c r="C39" s="615">
        <v>2</v>
      </c>
      <c r="D39" s="47">
        <v>0</v>
      </c>
      <c r="E39" s="58"/>
      <c r="F39" s="58" t="s">
        <v>1985</v>
      </c>
      <c r="G39" s="264" t="s">
        <v>1985</v>
      </c>
      <c r="H39" s="1161" t="str">
        <f>""</f>
        <v/>
      </c>
      <c r="J39" s="88">
        <v>2</v>
      </c>
      <c r="K39" s="196" t="s">
        <v>2009</v>
      </c>
      <c r="M39" s="1188">
        <v>3</v>
      </c>
      <c r="N39" s="86">
        <v>40</v>
      </c>
      <c r="O39" s="1137">
        <v>0</v>
      </c>
      <c r="Q39" s="615">
        <v>11</v>
      </c>
      <c r="R39" s="486">
        <v>2</v>
      </c>
      <c r="W39" s="6086" t="s">
        <v>7064</v>
      </c>
      <c r="X39" s="6088"/>
      <c r="AI39" s="1212">
        <v>13</v>
      </c>
      <c r="AJ39" s="1211">
        <v>8</v>
      </c>
    </row>
    <row r="40" spans="1:41" ht="12.75" customHeight="1" thickBot="1" x14ac:dyDescent="0.25">
      <c r="A40" s="227">
        <v>40</v>
      </c>
      <c r="B40" s="6042"/>
      <c r="C40" s="615">
        <v>3</v>
      </c>
      <c r="D40" s="47">
        <v>1</v>
      </c>
      <c r="E40" s="58">
        <f>I40*IF($G$516,0.5,1)*IF(Acumulacion="Sí",PDs!$T$188,1)</f>
        <v>10</v>
      </c>
      <c r="F40" s="58" t="s">
        <v>10112</v>
      </c>
      <c r="G40" s="1184" t="s">
        <v>1986</v>
      </c>
      <c r="H40" s="1161" t="str">
        <f>""</f>
        <v/>
      </c>
      <c r="I40" s="2654">
        <v>10</v>
      </c>
      <c r="J40" s="88">
        <v>3</v>
      </c>
      <c r="K40" s="196" t="s">
        <v>2010</v>
      </c>
      <c r="M40" s="1188">
        <v>4</v>
      </c>
      <c r="N40" s="86">
        <v>55</v>
      </c>
      <c r="O40" s="1137">
        <v>0</v>
      </c>
      <c r="Q40" s="615">
        <v>15</v>
      </c>
      <c r="R40" s="486">
        <v>3</v>
      </c>
      <c r="T40" s="3158" t="s">
        <v>1246</v>
      </c>
      <c r="U40" s="3160"/>
      <c r="W40" s="6143"/>
      <c r="X40" s="6144"/>
      <c r="AI40" s="1212">
        <v>14</v>
      </c>
      <c r="AJ40" s="1211">
        <v>9</v>
      </c>
    </row>
    <row r="41" spans="1:41" ht="12.75" customHeight="1" x14ac:dyDescent="0.2">
      <c r="A41" s="227">
        <v>41</v>
      </c>
      <c r="B41" s="6042"/>
      <c r="C41" s="615">
        <v>4</v>
      </c>
      <c r="D41" s="47">
        <v>1</v>
      </c>
      <c r="E41" s="58">
        <f>I41*IF($G$516,0.5,1)*IF(Acumulacion="Sí",PDs!$T$188,1)</f>
        <v>10</v>
      </c>
      <c r="F41" s="58" t="s">
        <v>10112</v>
      </c>
      <c r="G41" s="1184" t="s">
        <v>1986</v>
      </c>
      <c r="H41" s="1161" t="str">
        <f>""</f>
        <v/>
      </c>
      <c r="I41" s="2654">
        <v>10</v>
      </c>
      <c r="J41" s="88">
        <v>4</v>
      </c>
      <c r="K41" s="196" t="s">
        <v>2011</v>
      </c>
      <c r="M41" s="1188">
        <v>5</v>
      </c>
      <c r="N41" s="86">
        <v>70</v>
      </c>
      <c r="O41" s="1137">
        <v>5</v>
      </c>
      <c r="Q41" s="615">
        <v>20</v>
      </c>
      <c r="R41" s="486">
        <v>4</v>
      </c>
      <c r="T41" s="3188"/>
      <c r="U41" s="3247"/>
      <c r="W41" s="326" t="s">
        <v>1377</v>
      </c>
      <c r="X41" s="617"/>
      <c r="AI41" s="1212">
        <v>15</v>
      </c>
      <c r="AJ41" s="1211">
        <v>10</v>
      </c>
    </row>
    <row r="42" spans="1:41" ht="12.75" customHeight="1" thickBot="1" x14ac:dyDescent="0.25">
      <c r="A42" s="227">
        <v>42</v>
      </c>
      <c r="B42" s="6042"/>
      <c r="C42" s="615">
        <v>5</v>
      </c>
      <c r="D42" s="47">
        <v>1</v>
      </c>
      <c r="E42" s="58">
        <f>I42*IF($G$516,0.5,1)*IF(Acumulacion="Sí",PDs!$T$188,1)</f>
        <v>10</v>
      </c>
      <c r="F42" s="58" t="s">
        <v>10112</v>
      </c>
      <c r="G42" s="1184" t="s">
        <v>1986</v>
      </c>
      <c r="H42" s="1161" t="str">
        <f>""</f>
        <v/>
      </c>
      <c r="I42" s="2654">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042"/>
      <c r="C43" s="615">
        <v>6</v>
      </c>
      <c r="D43" s="47">
        <v>1</v>
      </c>
      <c r="E43" s="58">
        <f>I43*IF($G$516,0.5,1)*IF(Acumulacion="Sí",PDs!$T$188,1)</f>
        <v>10</v>
      </c>
      <c r="F43" s="58" t="s">
        <v>10112</v>
      </c>
      <c r="G43" s="1184" t="s">
        <v>1986</v>
      </c>
      <c r="H43" s="1161" t="str">
        <f>""</f>
        <v/>
      </c>
      <c r="I43" s="2654">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042"/>
      <c r="C44" s="615">
        <v>7</v>
      </c>
      <c r="D44" s="47">
        <v>1</v>
      </c>
      <c r="E44" s="58">
        <f>I44*IF($G$516,0.5,1)*IF(Acumulacion="Sí",PDs!$T$188,1)</f>
        <v>10</v>
      </c>
      <c r="F44" s="58" t="s">
        <v>10112</v>
      </c>
      <c r="G44" s="1184" t="s">
        <v>1986</v>
      </c>
      <c r="H44" s="1161" t="str">
        <f>""</f>
        <v/>
      </c>
      <c r="I44" s="2654">
        <v>10</v>
      </c>
      <c r="J44" s="88">
        <v>7</v>
      </c>
      <c r="K44" s="196" t="s">
        <v>2014</v>
      </c>
      <c r="M44" s="1188">
        <v>8</v>
      </c>
      <c r="N44" s="86">
        <v>110</v>
      </c>
      <c r="O44" s="1137">
        <v>10</v>
      </c>
      <c r="Q44" s="615">
        <v>29</v>
      </c>
      <c r="R44" s="486">
        <v>8</v>
      </c>
      <c r="T44" s="1193">
        <v>7</v>
      </c>
      <c r="U44" s="486">
        <v>320</v>
      </c>
      <c r="W44" s="6086" t="s">
        <v>1956</v>
      </c>
      <c r="X44" s="6087"/>
      <c r="Y44" s="6087"/>
      <c r="Z44" s="6087"/>
      <c r="AA44" s="6087"/>
      <c r="AB44" s="6087"/>
      <c r="AC44" s="6087"/>
      <c r="AD44" s="6087"/>
      <c r="AE44" s="6087"/>
      <c r="AF44" s="6088"/>
      <c r="AI44" s="1212">
        <v>18</v>
      </c>
      <c r="AJ44" s="1211">
        <v>10</v>
      </c>
    </row>
    <row r="45" spans="1:41" ht="14.85" customHeight="1" thickBot="1" x14ac:dyDescent="0.25">
      <c r="A45" s="227">
        <v>45</v>
      </c>
      <c r="B45" s="6042"/>
      <c r="C45" s="615">
        <v>8</v>
      </c>
      <c r="D45" s="47">
        <v>2</v>
      </c>
      <c r="E45" s="58">
        <f>I45*IF($G$516,0.5,1)*IF(Acumulacion="Sí",PDs!$T$188,1)</f>
        <v>20</v>
      </c>
      <c r="F45" s="58" t="s">
        <v>10112</v>
      </c>
      <c r="G45" s="1184" t="s">
        <v>1986</v>
      </c>
      <c r="H45" s="1161" t="str">
        <f>""</f>
        <v/>
      </c>
      <c r="I45" s="2654">
        <v>20</v>
      </c>
      <c r="J45" s="88">
        <v>8</v>
      </c>
      <c r="K45" s="196" t="s">
        <v>2015</v>
      </c>
      <c r="M45" s="1188">
        <v>9</v>
      </c>
      <c r="N45" s="86">
        <v>120</v>
      </c>
      <c r="O45" s="1137">
        <v>10</v>
      </c>
      <c r="Q45" s="709">
        <v>32</v>
      </c>
      <c r="R45" s="681">
        <v>10</v>
      </c>
      <c r="T45" s="1194">
        <v>10</v>
      </c>
      <c r="U45" s="681">
        <v>1000</v>
      </c>
      <c r="W45" s="6143"/>
      <c r="X45" s="6151"/>
      <c r="Y45" s="6151"/>
      <c r="Z45" s="6151"/>
      <c r="AA45" s="6151"/>
      <c r="AB45" s="6151"/>
      <c r="AC45" s="6151"/>
      <c r="AD45" s="6151"/>
      <c r="AE45" s="6151"/>
      <c r="AF45" s="6144"/>
      <c r="AI45" s="1212">
        <v>19</v>
      </c>
      <c r="AJ45" s="1211">
        <v>10</v>
      </c>
    </row>
    <row r="46" spans="1:41" ht="14.85" customHeight="1" thickBot="1" x14ac:dyDescent="0.25">
      <c r="A46" s="227">
        <v>46</v>
      </c>
      <c r="B46" s="6042"/>
      <c r="C46" s="615">
        <v>9</v>
      </c>
      <c r="D46" s="47">
        <v>2</v>
      </c>
      <c r="E46" s="58">
        <f>I46*IF($G$516,0.5,1)*IF(Acumulacion="Sí",PDs!$T$188,1)</f>
        <v>20</v>
      </c>
      <c r="F46" s="58" t="s">
        <v>10112</v>
      </c>
      <c r="G46" s="1184" t="s">
        <v>1986</v>
      </c>
      <c r="H46" s="1161" t="str">
        <f>""</f>
        <v/>
      </c>
      <c r="I46" s="2654">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042"/>
      <c r="C47" s="615">
        <v>10</v>
      </c>
      <c r="D47" s="47">
        <v>3</v>
      </c>
      <c r="E47" s="58">
        <f>I47*IF($G$516,0.5,1)*IF(Acumulacion="Sí",PDs!$T$188,1)</f>
        <v>30</v>
      </c>
      <c r="F47" s="58" t="s">
        <v>10112</v>
      </c>
      <c r="G47" s="1184" t="s">
        <v>1986</v>
      </c>
      <c r="H47" s="1161" t="str">
        <f>""</f>
        <v/>
      </c>
      <c r="I47" s="2654">
        <v>30</v>
      </c>
      <c r="J47" s="88">
        <v>10</v>
      </c>
      <c r="K47" s="196" t="s">
        <v>2017</v>
      </c>
      <c r="M47" s="1188">
        <v>11</v>
      </c>
      <c r="N47" s="86">
        <v>150</v>
      </c>
      <c r="O47" s="1137">
        <v>10</v>
      </c>
      <c r="Q47" s="3676"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042"/>
      <c r="C48" s="615">
        <v>11</v>
      </c>
      <c r="D48" s="47">
        <v>4</v>
      </c>
      <c r="E48" s="58">
        <f>I48*IF($G$516,0.5,1)*IF(Acumulacion="Sí",PDs!$T$188,1)</f>
        <v>40</v>
      </c>
      <c r="F48" s="58" t="s">
        <v>10112</v>
      </c>
      <c r="G48" s="1184" t="s">
        <v>1987</v>
      </c>
      <c r="H48" s="1161" t="str">
        <f>""</f>
        <v/>
      </c>
      <c r="I48" s="2654">
        <v>40</v>
      </c>
      <c r="J48" s="88">
        <v>11</v>
      </c>
      <c r="K48" s="196" t="s">
        <v>2018</v>
      </c>
      <c r="M48" s="1188">
        <v>12</v>
      </c>
      <c r="N48" s="86">
        <v>160</v>
      </c>
      <c r="O48" s="1137">
        <v>15</v>
      </c>
      <c r="Q48" s="3676"/>
      <c r="W48" s="88">
        <v>1</v>
      </c>
      <c r="X48" s="86" t="s">
        <v>1964</v>
      </c>
      <c r="Y48" s="47">
        <v>40</v>
      </c>
      <c r="Z48" s="47">
        <v>-4</v>
      </c>
      <c r="AA48" s="47">
        <v>1</v>
      </c>
      <c r="AB48" s="47">
        <v>1</v>
      </c>
      <c r="AC48" s="47">
        <f>5</f>
        <v>5</v>
      </c>
      <c r="AD48" s="47">
        <f>20-IF(Raza="Daimah",10,0)</f>
        <v>20</v>
      </c>
      <c r="AE48" s="47">
        <v>-4</v>
      </c>
      <c r="AF48" s="135">
        <v>4</v>
      </c>
      <c r="AH48" s="6145" t="s">
        <v>9673</v>
      </c>
      <c r="AI48" s="6146"/>
      <c r="AJ48" s="6147"/>
    </row>
    <row r="49" spans="1:36" ht="14.85" customHeight="1" thickBot="1" x14ac:dyDescent="0.25">
      <c r="A49" s="227">
        <v>49</v>
      </c>
      <c r="B49" s="6042"/>
      <c r="C49" s="615">
        <v>12</v>
      </c>
      <c r="D49" s="47">
        <v>5</v>
      </c>
      <c r="E49" s="58">
        <f>I49*IF($G$516,0.5,1)*IF(Acumulacion="Sí",PDs!$T$188,1)</f>
        <v>50</v>
      </c>
      <c r="F49" s="58" t="s">
        <v>10113</v>
      </c>
      <c r="G49" s="1184" t="s">
        <v>1987</v>
      </c>
      <c r="H49" s="1161" t="s">
        <v>8396</v>
      </c>
      <c r="I49" s="2654">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042"/>
      <c r="C50" s="615">
        <v>13</v>
      </c>
      <c r="D50" s="47">
        <v>6</v>
      </c>
      <c r="E50" s="58">
        <f>I50*IF($G$516,0.5,1)*IF(Acumulacion="Sí",PDs!$T$188,1)</f>
        <v>75</v>
      </c>
      <c r="F50" s="58" t="s">
        <v>10113</v>
      </c>
      <c r="G50" s="1184" t="s">
        <v>1988</v>
      </c>
      <c r="H50" s="1161" t="s">
        <v>8397</v>
      </c>
      <c r="I50" s="2654">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042"/>
      <c r="C51" s="615">
        <v>14</v>
      </c>
      <c r="D51" s="47">
        <v>7</v>
      </c>
      <c r="E51" s="58">
        <f>I51*IF($G$516,0.5,1)*IF(Acumulacion="Sí",PDs!$T$188,1)</f>
        <v>100</v>
      </c>
      <c r="F51" s="58" t="s">
        <v>10113</v>
      </c>
      <c r="G51" s="1184" t="s">
        <v>1989</v>
      </c>
      <c r="H51" s="1161" t="s">
        <v>8398</v>
      </c>
      <c r="I51" s="2654">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042"/>
      <c r="C52" s="615">
        <v>15</v>
      </c>
      <c r="D52" s="47">
        <v>8</v>
      </c>
      <c r="E52" s="58">
        <f>I52*IF($G$516,0.5,1)*IF(Acumulacion="Sí",PDs!$T$188,1)</f>
        <v>250</v>
      </c>
      <c r="F52" s="58" t="s">
        <v>10113</v>
      </c>
      <c r="G52" s="1184" t="s">
        <v>1990</v>
      </c>
      <c r="H52" s="1161" t="s">
        <v>8399</v>
      </c>
      <c r="I52" s="2654">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042"/>
      <c r="C53" s="615">
        <v>16</v>
      </c>
      <c r="D53" s="47">
        <v>9</v>
      </c>
      <c r="E53" s="58">
        <f>I53*IF($G$516,0.5,1)*IF(Acumulacion="Sí",PDs!$T$188,1)</f>
        <v>500</v>
      </c>
      <c r="F53" s="58" t="s">
        <v>10113</v>
      </c>
      <c r="G53" s="1184" t="s">
        <v>1991</v>
      </c>
      <c r="H53" s="1161" t="s">
        <v>8400</v>
      </c>
      <c r="I53" s="2654">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042"/>
      <c r="C54" s="615">
        <v>17</v>
      </c>
      <c r="D54" s="47">
        <v>10</v>
      </c>
      <c r="E54" s="58">
        <f>I54*IF($G$516,0.5,1)*IF(Acumulacion="Sí",PDs!$T$188,1)</f>
        <v>1</v>
      </c>
      <c r="F54" s="58" t="s">
        <v>10114</v>
      </c>
      <c r="G54" s="1184" t="s">
        <v>1992</v>
      </c>
      <c r="H54" s="1161" t="s">
        <v>8401</v>
      </c>
      <c r="I54" s="2654">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3" t="s">
        <v>10149</v>
      </c>
      <c r="AI54" s="2345" t="b">
        <f>Personalización!$AO$60&gt;0</f>
        <v>0</v>
      </c>
      <c r="AJ54" s="2346" t="b">
        <v>0</v>
      </c>
    </row>
    <row r="55" spans="1:36" ht="12.75" customHeight="1" thickBot="1" x14ac:dyDescent="0.25">
      <c r="A55" s="227">
        <v>55</v>
      </c>
      <c r="B55" s="6042"/>
      <c r="C55" s="615">
        <v>18</v>
      </c>
      <c r="D55" s="47">
        <v>11</v>
      </c>
      <c r="E55" s="58">
        <f>I55*IF($G$516,0.5,1)*IF(Acumulacion="Sí",PDs!$T$188,1)</f>
        <v>2</v>
      </c>
      <c r="F55" s="58" t="s">
        <v>10114</v>
      </c>
      <c r="G55" s="1184" t="s">
        <v>1993</v>
      </c>
      <c r="H55" s="1161" t="s">
        <v>8402</v>
      </c>
      <c r="I55" s="2654">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042"/>
      <c r="C56" s="615">
        <v>19</v>
      </c>
      <c r="D56" s="47">
        <v>12</v>
      </c>
      <c r="E56" s="58">
        <f>I56*IF($G$516,0.5,1)*IF(Acumulacion="Sí",PDs!$T$188,1)</f>
        <v>5</v>
      </c>
      <c r="F56" s="58" t="s">
        <v>10114</v>
      </c>
      <c r="G56" s="1184" t="s">
        <v>1994</v>
      </c>
      <c r="H56" s="1161" t="s">
        <v>8403</v>
      </c>
      <c r="I56" s="2654">
        <v>5</v>
      </c>
      <c r="J56" s="88">
        <v>19</v>
      </c>
      <c r="K56" s="196" t="s">
        <v>2026</v>
      </c>
      <c r="M56" s="1189">
        <v>20</v>
      </c>
      <c r="N56" s="488">
        <v>265</v>
      </c>
      <c r="O56" s="1190">
        <v>35</v>
      </c>
      <c r="Q56" s="262" t="s">
        <v>1555</v>
      </c>
      <c r="S56" s="4461" t="s">
        <v>8502</v>
      </c>
      <c r="T56" s="4462"/>
      <c r="U56" s="4462"/>
      <c r="V56" s="4462"/>
      <c r="W56" s="4462"/>
      <c r="X56" s="4463"/>
      <c r="AH56" s="6140" t="s">
        <v>9964</v>
      </c>
      <c r="AI56" s="6141"/>
      <c r="AJ56" s="6142"/>
    </row>
    <row r="57" spans="1:36" ht="12.75" customHeight="1" thickBot="1" x14ac:dyDescent="0.25">
      <c r="A57" s="227">
        <v>57</v>
      </c>
      <c r="B57" s="6042"/>
      <c r="C57" s="615">
        <v>20</v>
      </c>
      <c r="D57" s="47">
        <v>12</v>
      </c>
      <c r="E57" s="58">
        <f>I57*IF($G$516,0.5,1)*IF(Acumulacion="Sí",PDs!$T$188,1)</f>
        <v>5</v>
      </c>
      <c r="F57" s="58" t="s">
        <v>10114</v>
      </c>
      <c r="G57" s="1184" t="s">
        <v>1994</v>
      </c>
      <c r="H57" s="1161" t="s">
        <v>8403</v>
      </c>
      <c r="I57" s="2654">
        <v>5</v>
      </c>
      <c r="J57" s="189">
        <v>20</v>
      </c>
      <c r="K57" s="198" t="s">
        <v>2027</v>
      </c>
      <c r="N57"/>
      <c r="O57" s="555"/>
      <c r="S57" s="1319" t="s">
        <v>1440</v>
      </c>
      <c r="T57" s="1320" t="s">
        <v>8507</v>
      </c>
      <c r="U57" s="1320" t="s">
        <v>8508</v>
      </c>
      <c r="V57" s="1320" t="s">
        <v>8512</v>
      </c>
      <c r="W57" s="4462" t="s">
        <v>6394</v>
      </c>
      <c r="X57" s="4463"/>
      <c r="AA57" s="2411" t="s">
        <v>1264</v>
      </c>
      <c r="AH57" s="2344" t="s">
        <v>9928</v>
      </c>
      <c r="AI57" s="2345" t="b">
        <f>Místicos!$BB$61</f>
        <v>0</v>
      </c>
      <c r="AJ57" s="2346" t="b">
        <f>Místicos!$BC$61</f>
        <v>0</v>
      </c>
    </row>
    <row r="58" spans="1:36" ht="12.75" customHeight="1" thickBot="1" x14ac:dyDescent="0.25">
      <c r="A58" s="227">
        <v>58</v>
      </c>
      <c r="B58" s="6042"/>
      <c r="C58" s="485"/>
      <c r="D58" s="47">
        <v>13</v>
      </c>
      <c r="E58" s="58">
        <f>I58*IF($G$516,0.5,1)*IF(Acumulacion="Sí",PDs!$T$188,1)</f>
        <v>10</v>
      </c>
      <c r="F58" s="58" t="s">
        <v>10114</v>
      </c>
      <c r="G58" s="1184" t="s">
        <v>1995</v>
      </c>
      <c r="H58" s="1161" t="s">
        <v>8404</v>
      </c>
      <c r="I58" s="2654">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042"/>
      <c r="C59" s="485"/>
      <c r="D59" s="47">
        <v>14</v>
      </c>
      <c r="E59" s="58">
        <f>I59*IF($G$516,0.5,1)*IF(Acumulacion="Sí",PDs!$T$188,1)</f>
        <v>1</v>
      </c>
      <c r="F59" s="58" t="s">
        <v>10115</v>
      </c>
      <c r="G59" s="1184" t="s">
        <v>1996</v>
      </c>
      <c r="H59" s="1161" t="s">
        <v>8405</v>
      </c>
      <c r="I59" s="2654">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042"/>
      <c r="C60" s="485"/>
      <c r="D60" s="47">
        <v>15</v>
      </c>
      <c r="E60" s="58">
        <f>I60*IF($G$516,0.5,1)*IF(Acumulacion="Sí",PDs!$T$188,1)</f>
        <v>5</v>
      </c>
      <c r="F60" s="58" t="s">
        <v>10115</v>
      </c>
      <c r="G60" s="1184" t="s">
        <v>1997</v>
      </c>
      <c r="H60" s="1161" t="s">
        <v>8406</v>
      </c>
      <c r="I60" s="2654">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042"/>
      <c r="C61" s="485"/>
      <c r="D61" s="47">
        <v>16</v>
      </c>
      <c r="E61" s="58">
        <f>I61*IF($G$516,0.5,1)*IF(Acumulacion="Sí",PDs!$T$188,1)</f>
        <v>10</v>
      </c>
      <c r="F61" s="58" t="s">
        <v>10115</v>
      </c>
      <c r="G61" s="1184" t="s">
        <v>1998</v>
      </c>
      <c r="H61" s="1161" t="s">
        <v>8407</v>
      </c>
      <c r="I61" s="2654">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042"/>
      <c r="C62" s="485"/>
      <c r="D62" s="47">
        <v>17</v>
      </c>
      <c r="E62" s="58">
        <f>I62*IF($G$516,0.5,1)*IF(Acumulacion="Sí",PDs!$T$188,1)</f>
        <v>25</v>
      </c>
      <c r="F62" s="58" t="s">
        <v>10115</v>
      </c>
      <c r="G62" s="1184" t="s">
        <v>1999</v>
      </c>
      <c r="H62" s="1161" t="s">
        <v>8408</v>
      </c>
      <c r="I62" s="2654">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042"/>
      <c r="C63" s="485"/>
      <c r="D63" s="47">
        <v>18</v>
      </c>
      <c r="E63" s="58">
        <f>I63*IF($G$516,0.5,1)*IF(Acumulacion="Sí",PDs!$T$188,1)</f>
        <v>50</v>
      </c>
      <c r="F63" s="58" t="s">
        <v>10115</v>
      </c>
      <c r="G63" s="1184" t="s">
        <v>2000</v>
      </c>
      <c r="H63" s="1161" t="s">
        <v>8409</v>
      </c>
      <c r="I63" s="2654">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042"/>
      <c r="C64" s="485"/>
      <c r="D64" s="47">
        <v>19</v>
      </c>
      <c r="E64" s="58">
        <f>I64*IF($G$516,0.5,1)*IF(Acumulacion="Sí",PDs!$T$188,1)</f>
        <v>100</v>
      </c>
      <c r="F64" s="58" t="s">
        <v>10115</v>
      </c>
      <c r="G64" s="1184" t="s">
        <v>2001</v>
      </c>
      <c r="H64" s="1161" t="s">
        <v>8410</v>
      </c>
      <c r="I64" s="2654">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042"/>
      <c r="C65" s="487"/>
      <c r="D65" s="607">
        <v>20</v>
      </c>
      <c r="E65" s="997">
        <f>I65*IF($G$516,0.5,1)*IF(Acumulacion="Sí",PDs!$T$188,1)</f>
        <v>250</v>
      </c>
      <c r="F65" s="997" t="s">
        <v>10115</v>
      </c>
      <c r="G65" s="1185" t="s">
        <v>2001</v>
      </c>
      <c r="H65" s="1186" t="s">
        <v>8411</v>
      </c>
      <c r="I65" s="2654">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152" t="str">
        <f>IF(COUNTIF(T59:T64,TRUE)&gt;0,"Tablas!"&amp;ADDRESS(ROW(W58),COLUMN(W58))&amp;":"&amp;ADDRESS(ROW(W58)+MATCH("",$W$58:$W$64,0)-2,COLUMN(W58)),"")</f>
        <v/>
      </c>
      <c r="X65" s="6153"/>
      <c r="AH65" s="2352" t="s">
        <v>9931</v>
      </c>
      <c r="AI65" s="2347" t="b">
        <f>OR($AI$57,$AI$59,$AI$61,$AI$62,$AI$63,Inhumanidad,Zen_IP)</f>
        <v>0</v>
      </c>
      <c r="AJ65" s="2348" t="b">
        <f>OR($AJ$57,$AJ$59,$AJ$62,$AJ$63,Zen)</f>
        <v>0</v>
      </c>
    </row>
    <row r="66" spans="1:36" ht="12.75" customHeight="1" thickBot="1" x14ac:dyDescent="0.25">
      <c r="A66" s="227">
        <v>66</v>
      </c>
      <c r="B66" s="6042"/>
      <c r="H66"/>
      <c r="I66" s="555"/>
      <c r="N66"/>
      <c r="O66" s="555"/>
    </row>
    <row r="67" spans="1:36" ht="12.75" customHeight="1" x14ac:dyDescent="0.2">
      <c r="A67" s="227">
        <v>67</v>
      </c>
      <c r="B67" s="6042"/>
      <c r="C67" s="6148" t="s">
        <v>8323</v>
      </c>
      <c r="D67" s="6149"/>
      <c r="E67" s="6149"/>
      <c r="F67" s="6149"/>
      <c r="G67" s="6149"/>
      <c r="H67" s="6149"/>
      <c r="I67" s="6149"/>
      <c r="J67" s="6149"/>
      <c r="K67" s="6149"/>
      <c r="L67" s="6149"/>
      <c r="M67" s="6149"/>
      <c r="N67" s="6150"/>
      <c r="P67" s="6148" t="s">
        <v>8322</v>
      </c>
      <c r="Q67" s="6149"/>
      <c r="R67" s="6149"/>
      <c r="S67" s="6149"/>
      <c r="T67" s="6149"/>
      <c r="U67" s="6149"/>
      <c r="V67" s="6149"/>
      <c r="W67" s="6149"/>
      <c r="X67" s="6149"/>
      <c r="Y67" s="6149"/>
      <c r="Z67" s="6149"/>
      <c r="AA67" s="6150"/>
    </row>
    <row r="68" spans="1:36" ht="12.75" customHeight="1" x14ac:dyDescent="0.2">
      <c r="A68" s="227">
        <v>68</v>
      </c>
      <c r="B68" s="6042"/>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042"/>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042"/>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042"/>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042"/>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042"/>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042"/>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042"/>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042"/>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042"/>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042"/>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042"/>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042"/>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042"/>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042"/>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042"/>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042"/>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042"/>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042"/>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042"/>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042"/>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042"/>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042"/>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042"/>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042"/>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042"/>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042"/>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042"/>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042"/>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042"/>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042"/>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042"/>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042"/>
    </row>
    <row r="101" spans="1:109" ht="12.75" customHeight="1" x14ac:dyDescent="0.2">
      <c r="A101" s="227">
        <v>101</v>
      </c>
      <c r="B101" s="6042"/>
      <c r="C101" s="6059" t="s">
        <v>7313</v>
      </c>
      <c r="D101" s="6059"/>
      <c r="E101" s="6059"/>
      <c r="F101" s="6059"/>
      <c r="G101" s="6059"/>
      <c r="H101" s="6059"/>
      <c r="I101" s="6059"/>
      <c r="J101" s="6059"/>
      <c r="K101" s="6059"/>
      <c r="L101" s="6059"/>
      <c r="M101" s="6059"/>
      <c r="N101" s="6059"/>
      <c r="O101" s="6059"/>
      <c r="P101" s="6059"/>
      <c r="Q101" s="6059"/>
      <c r="R101" s="6059"/>
      <c r="S101" s="6059"/>
      <c r="T101" s="6059"/>
      <c r="U101" s="6059"/>
      <c r="V101" s="6059"/>
      <c r="W101" s="6059"/>
      <c r="X101" s="6059"/>
      <c r="Y101" s="6059"/>
      <c r="Z101" s="6059"/>
      <c r="AA101" s="6059"/>
      <c r="AB101" s="6059"/>
      <c r="AC101" s="6059"/>
      <c r="AD101" s="6059"/>
      <c r="AE101" s="6059"/>
      <c r="AF101" s="6059"/>
      <c r="AG101" s="6059"/>
      <c r="AH101" s="6059"/>
      <c r="AI101" s="6059"/>
      <c r="AJ101" s="6059"/>
      <c r="AK101" s="6059"/>
      <c r="AL101" s="6059"/>
      <c r="AM101" s="6059"/>
      <c r="AN101" s="6059"/>
      <c r="AO101" s="6059"/>
      <c r="AP101" s="6059"/>
      <c r="AQ101" s="6059"/>
      <c r="AR101" s="6059"/>
      <c r="AS101" s="6059"/>
      <c r="AT101" s="6059"/>
      <c r="AU101" s="6059"/>
      <c r="AV101" s="6059"/>
      <c r="AW101" s="6059"/>
      <c r="AX101" s="6059"/>
      <c r="AY101" s="6059"/>
      <c r="AZ101" s="6059"/>
      <c r="BA101" s="6059"/>
      <c r="BB101" s="6059"/>
      <c r="BC101" s="6059"/>
      <c r="BD101" s="6059"/>
      <c r="BE101" s="6059"/>
      <c r="BF101" s="6059"/>
      <c r="BG101" s="6059"/>
      <c r="BH101" s="6059"/>
      <c r="BI101" s="6059"/>
      <c r="BJ101" s="6059"/>
      <c r="BK101" s="6059"/>
      <c r="BL101" s="6059"/>
      <c r="BM101" s="6059"/>
      <c r="BN101" s="6059"/>
      <c r="BO101" s="6059"/>
      <c r="BP101" s="6059"/>
      <c r="BQ101" s="6059"/>
      <c r="BR101" s="6059"/>
      <c r="BS101" s="6059"/>
      <c r="BT101" s="6059"/>
      <c r="BU101" s="6059"/>
      <c r="BV101" s="6059"/>
      <c r="BW101" s="6059"/>
      <c r="BX101" s="6059"/>
      <c r="BY101" s="6059"/>
      <c r="BZ101" s="6059"/>
      <c r="CA101" s="6059"/>
      <c r="CB101" s="6059"/>
      <c r="CC101" s="6059"/>
      <c r="CD101" s="6059"/>
      <c r="CE101" s="6059"/>
      <c r="CF101" s="6059"/>
      <c r="CG101" s="6059"/>
      <c r="CH101" s="6059"/>
      <c r="CI101" s="6059"/>
      <c r="CJ101" s="6059"/>
      <c r="CK101" s="6059"/>
      <c r="CL101" s="6059"/>
      <c r="CM101" s="6059"/>
      <c r="CN101" s="6059"/>
      <c r="CO101" s="6059"/>
      <c r="CP101" s="6059"/>
      <c r="CQ101" s="6059"/>
      <c r="CR101" s="6059"/>
      <c r="CS101" s="6059"/>
      <c r="CT101" s="6059"/>
      <c r="CU101" s="6059"/>
      <c r="CV101" s="6059"/>
      <c r="CW101" s="6059"/>
      <c r="CX101" s="6059"/>
      <c r="CY101" s="6059"/>
      <c r="CZ101" s="6059"/>
      <c r="DA101" s="6059"/>
      <c r="DB101" s="6059"/>
      <c r="DC101" s="6059"/>
      <c r="DD101" s="6059"/>
      <c r="DE101" s="6059"/>
    </row>
    <row r="102" spans="1:109" ht="12.75" customHeight="1" x14ac:dyDescent="0.2">
      <c r="A102" s="227">
        <v>102</v>
      </c>
      <c r="B102" s="6042"/>
      <c r="C102" s="6059"/>
      <c r="D102" s="6059"/>
      <c r="E102" s="6059"/>
      <c r="F102" s="6059"/>
      <c r="G102" s="6059"/>
      <c r="H102" s="6059"/>
      <c r="I102" s="6059"/>
      <c r="J102" s="6059"/>
      <c r="K102" s="6059"/>
      <c r="L102" s="6059"/>
      <c r="M102" s="6059"/>
      <c r="N102" s="6059"/>
      <c r="O102" s="6059"/>
      <c r="P102" s="6059"/>
      <c r="Q102" s="6059"/>
      <c r="R102" s="6059"/>
      <c r="S102" s="6059"/>
      <c r="T102" s="6059"/>
      <c r="U102" s="6059"/>
      <c r="V102" s="6059"/>
      <c r="W102" s="6059"/>
      <c r="X102" s="6059"/>
      <c r="Y102" s="6059"/>
      <c r="Z102" s="6059"/>
      <c r="AA102" s="6059"/>
      <c r="AB102" s="6059"/>
      <c r="AC102" s="6059"/>
      <c r="AD102" s="6059"/>
      <c r="AE102" s="6059"/>
      <c r="AF102" s="6059"/>
      <c r="AG102" s="6059"/>
      <c r="AH102" s="6059"/>
      <c r="AI102" s="6059"/>
      <c r="AJ102" s="6059"/>
      <c r="AK102" s="6059"/>
      <c r="AL102" s="6059"/>
      <c r="AM102" s="6059"/>
      <c r="AN102" s="6059"/>
      <c r="AO102" s="6059"/>
      <c r="AP102" s="6059"/>
      <c r="AQ102" s="6059"/>
      <c r="AR102" s="6059"/>
      <c r="AS102" s="6059"/>
      <c r="AT102" s="6059"/>
      <c r="AU102" s="6059"/>
      <c r="AV102" s="6059"/>
      <c r="AW102" s="6059"/>
      <c r="AX102" s="6059"/>
      <c r="AY102" s="6059"/>
      <c r="AZ102" s="6059"/>
      <c r="BA102" s="6059"/>
      <c r="BB102" s="6059"/>
      <c r="BC102" s="6059"/>
      <c r="BD102" s="6059"/>
      <c r="BE102" s="6059"/>
      <c r="BF102" s="6059"/>
      <c r="BG102" s="6059"/>
      <c r="BH102" s="6059"/>
      <c r="BI102" s="6059"/>
      <c r="BJ102" s="6059"/>
      <c r="BK102" s="6059"/>
      <c r="BL102" s="6059"/>
      <c r="BM102" s="6059"/>
      <c r="BN102" s="6059"/>
      <c r="BO102" s="6059"/>
      <c r="BP102" s="6059"/>
      <c r="BQ102" s="6059"/>
      <c r="BR102" s="6059"/>
      <c r="BS102" s="6059"/>
      <c r="BT102" s="6059"/>
      <c r="BU102" s="6059"/>
      <c r="BV102" s="6059"/>
      <c r="BW102" s="6059"/>
      <c r="BX102" s="6059"/>
      <c r="BY102" s="6059"/>
      <c r="BZ102" s="6059"/>
      <c r="CA102" s="6059"/>
      <c r="CB102" s="6059"/>
      <c r="CC102" s="6059"/>
      <c r="CD102" s="6059"/>
      <c r="CE102" s="6059"/>
      <c r="CF102" s="6059"/>
      <c r="CG102" s="6059"/>
      <c r="CH102" s="6059"/>
      <c r="CI102" s="6059"/>
      <c r="CJ102" s="6059"/>
      <c r="CK102" s="6059"/>
      <c r="CL102" s="6059"/>
      <c r="CM102" s="6059"/>
      <c r="CN102" s="6059"/>
      <c r="CO102" s="6059"/>
      <c r="CP102" s="6059"/>
      <c r="CQ102" s="6059"/>
      <c r="CR102" s="6059"/>
      <c r="CS102" s="6059"/>
      <c r="CT102" s="6059"/>
      <c r="CU102" s="6059"/>
      <c r="CV102" s="6059"/>
      <c r="CW102" s="6059"/>
      <c r="CX102" s="6059"/>
      <c r="CY102" s="6059"/>
      <c r="CZ102" s="6059"/>
      <c r="DA102" s="6059"/>
      <c r="DB102" s="6059"/>
      <c r="DC102" s="6059"/>
      <c r="DD102" s="6059"/>
      <c r="DE102" s="6059"/>
    </row>
    <row r="103" spans="1:109" ht="12.75" customHeight="1" x14ac:dyDescent="0.2">
      <c r="A103" s="227">
        <v>103</v>
      </c>
      <c r="B103" s="6042"/>
      <c r="C103" s="6059"/>
      <c r="D103" s="6059"/>
      <c r="E103" s="6059"/>
      <c r="F103" s="6059"/>
      <c r="G103" s="6059"/>
      <c r="H103" s="6059"/>
      <c r="I103" s="6059"/>
      <c r="J103" s="6059"/>
      <c r="K103" s="6059"/>
      <c r="L103" s="6059"/>
      <c r="M103" s="6059"/>
      <c r="N103" s="6059"/>
      <c r="O103" s="6059"/>
      <c r="P103" s="6059"/>
      <c r="Q103" s="6059"/>
      <c r="R103" s="6059"/>
      <c r="S103" s="6059"/>
      <c r="T103" s="6059"/>
      <c r="U103" s="6059"/>
      <c r="V103" s="6059"/>
      <c r="W103" s="6059"/>
      <c r="X103" s="6059"/>
      <c r="Y103" s="6059"/>
      <c r="Z103" s="6059"/>
      <c r="AA103" s="6059"/>
      <c r="AB103" s="6059"/>
      <c r="AC103" s="6059"/>
      <c r="AD103" s="6059"/>
      <c r="AE103" s="6059"/>
      <c r="AF103" s="6059"/>
      <c r="AG103" s="6059"/>
      <c r="AH103" s="6059"/>
      <c r="AI103" s="6059"/>
      <c r="AJ103" s="6059"/>
      <c r="AK103" s="6059"/>
      <c r="AL103" s="6059"/>
      <c r="AM103" s="6059"/>
      <c r="AN103" s="6059"/>
      <c r="AO103" s="6059"/>
      <c r="AP103" s="6059"/>
      <c r="AQ103" s="6059"/>
      <c r="AR103" s="6059"/>
      <c r="AS103" s="6059"/>
      <c r="AT103" s="6059"/>
      <c r="AU103" s="6059"/>
      <c r="AV103" s="6059"/>
      <c r="AW103" s="6059"/>
      <c r="AX103" s="6059"/>
      <c r="AY103" s="6059"/>
      <c r="AZ103" s="6059"/>
      <c r="BA103" s="6059"/>
      <c r="BB103" s="6059"/>
      <c r="BC103" s="6059"/>
      <c r="BD103" s="6059"/>
      <c r="BE103" s="6059"/>
      <c r="BF103" s="6059"/>
      <c r="BG103" s="6059"/>
      <c r="BH103" s="6059"/>
      <c r="BI103" s="6059"/>
      <c r="BJ103" s="6059"/>
      <c r="BK103" s="6059"/>
      <c r="BL103" s="6059"/>
      <c r="BM103" s="6059"/>
      <c r="BN103" s="6059"/>
      <c r="BO103" s="6059"/>
      <c r="BP103" s="6059"/>
      <c r="BQ103" s="6059"/>
      <c r="BR103" s="6059"/>
      <c r="BS103" s="6059"/>
      <c r="BT103" s="6059"/>
      <c r="BU103" s="6059"/>
      <c r="BV103" s="6059"/>
      <c r="BW103" s="6059"/>
      <c r="BX103" s="6059"/>
      <c r="BY103" s="6059"/>
      <c r="BZ103" s="6059"/>
      <c r="CA103" s="6059"/>
      <c r="CB103" s="6059"/>
      <c r="CC103" s="6059"/>
      <c r="CD103" s="6059"/>
      <c r="CE103" s="6059"/>
      <c r="CF103" s="6059"/>
      <c r="CG103" s="6059"/>
      <c r="CH103" s="6059"/>
      <c r="CI103" s="6059"/>
      <c r="CJ103" s="6059"/>
      <c r="CK103" s="6059"/>
      <c r="CL103" s="6059"/>
      <c r="CM103" s="6059"/>
      <c r="CN103" s="6059"/>
      <c r="CO103" s="6059"/>
      <c r="CP103" s="6059"/>
      <c r="CQ103" s="6059"/>
      <c r="CR103" s="6059"/>
      <c r="CS103" s="6059"/>
      <c r="CT103" s="6059"/>
      <c r="CU103" s="6059"/>
      <c r="CV103" s="6059"/>
      <c r="CW103" s="6059"/>
      <c r="CX103" s="6059"/>
      <c r="CY103" s="6059"/>
      <c r="CZ103" s="6059"/>
      <c r="DA103" s="6059"/>
      <c r="DB103" s="6059"/>
      <c r="DC103" s="6059"/>
      <c r="DD103" s="6059"/>
      <c r="DE103" s="6059"/>
    </row>
    <row r="104" spans="1:109" ht="12.75" customHeight="1" thickBot="1" x14ac:dyDescent="0.25">
      <c r="A104" s="227">
        <v>104</v>
      </c>
      <c r="B104" s="6042"/>
      <c r="H104"/>
      <c r="N104"/>
    </row>
    <row r="105" spans="1:109" ht="12.75" customHeight="1" thickBot="1" x14ac:dyDescent="0.25">
      <c r="A105" s="227">
        <v>105</v>
      </c>
      <c r="B105" s="6042"/>
      <c r="C105" s="6122" t="s">
        <v>1929</v>
      </c>
      <c r="D105" s="6123"/>
      <c r="F105" s="6068" t="s">
        <v>1955</v>
      </c>
      <c r="G105" s="6068"/>
      <c r="H105"/>
      <c r="I105" s="6341" t="s">
        <v>1898</v>
      </c>
      <c r="J105" s="6342"/>
      <c r="K105" s="6342"/>
      <c r="L105" s="6342"/>
      <c r="M105" s="6342"/>
      <c r="N105" s="6342"/>
      <c r="O105" s="6342"/>
      <c r="P105" s="6342"/>
      <c r="Q105" s="6342"/>
      <c r="R105" s="6342"/>
      <c r="S105" s="6342"/>
      <c r="T105" s="6342"/>
      <c r="U105" s="6342"/>
      <c r="V105" s="6342"/>
      <c r="W105" s="6342"/>
      <c r="X105" s="6342"/>
      <c r="Y105" s="6342"/>
      <c r="Z105" s="6342"/>
      <c r="AA105" s="6342"/>
      <c r="AB105" s="6342"/>
      <c r="AC105" s="6342"/>
      <c r="AD105" s="6342"/>
      <c r="AE105" s="6342"/>
      <c r="AF105" s="6342"/>
      <c r="AG105" s="6342"/>
      <c r="AH105" s="6342"/>
      <c r="AI105" s="6342"/>
      <c r="AJ105" s="6342"/>
      <c r="AK105" s="6342"/>
      <c r="AL105" s="6342"/>
      <c r="AM105" s="6342"/>
      <c r="AN105" s="6342"/>
      <c r="AO105" s="6342"/>
      <c r="AP105" s="6342"/>
      <c r="AQ105" s="6342"/>
      <c r="AR105" s="6342"/>
      <c r="AS105" s="6342"/>
      <c r="AT105" s="6342"/>
      <c r="AU105" s="6342"/>
      <c r="AV105" s="6342"/>
      <c r="AW105" s="6342"/>
      <c r="AX105" s="6342"/>
      <c r="AY105" s="6342"/>
      <c r="AZ105" s="6342"/>
      <c r="BA105" s="6342"/>
      <c r="BB105" s="6342"/>
      <c r="BC105" s="6342"/>
      <c r="BD105" s="6342"/>
      <c r="BE105" s="6342"/>
      <c r="BF105" s="6342"/>
      <c r="BG105" s="6342"/>
      <c r="BH105" s="6342"/>
      <c r="BI105" s="6342"/>
      <c r="BJ105" s="6342"/>
      <c r="BK105" s="6342"/>
      <c r="BL105" s="6343"/>
      <c r="BN105" s="6158" t="s">
        <v>10199</v>
      </c>
      <c r="BO105" s="6386"/>
      <c r="BP105" s="6386"/>
      <c r="BQ105" s="6386"/>
      <c r="BR105" s="6386"/>
      <c r="BS105" s="6386"/>
      <c r="BT105" s="6386"/>
      <c r="BU105" s="6386"/>
      <c r="BV105" s="6386"/>
      <c r="BW105" s="6386"/>
      <c r="BX105" s="6386"/>
      <c r="BY105" s="6386"/>
      <c r="BZ105" s="6386"/>
      <c r="CA105" s="6386"/>
      <c r="CB105" s="6386"/>
      <c r="CC105" s="6386"/>
      <c r="CD105" s="6386"/>
      <c r="CE105" s="6386"/>
      <c r="CF105" s="6386"/>
      <c r="CG105" s="6386"/>
      <c r="CH105" s="6386"/>
      <c r="CI105" s="6386"/>
      <c r="CJ105" s="6386"/>
      <c r="CK105" s="6386"/>
      <c r="CL105" s="6386"/>
      <c r="CM105" s="6386"/>
      <c r="CN105" s="6386"/>
      <c r="CO105" s="6386"/>
      <c r="CP105" s="6386"/>
      <c r="CQ105" s="6386"/>
      <c r="CR105" s="6386"/>
      <c r="CS105" s="6386"/>
      <c r="CT105" s="6386"/>
      <c r="CU105" s="6386"/>
      <c r="CV105" s="6386"/>
      <c r="CW105" s="6386"/>
      <c r="CX105" s="6386"/>
      <c r="CY105" s="6386"/>
      <c r="CZ105" s="6386"/>
      <c r="DA105" s="6386"/>
      <c r="DB105" s="6386"/>
      <c r="DC105" s="6386"/>
    </row>
    <row r="106" spans="1:109" ht="12.75" customHeight="1" thickBot="1" x14ac:dyDescent="0.25">
      <c r="A106" s="227">
        <v>106</v>
      </c>
      <c r="B106" s="6042"/>
      <c r="C106" s="6124"/>
      <c r="D106" s="6125"/>
      <c r="F106" s="6068"/>
      <c r="G106" s="6068"/>
      <c r="H106"/>
      <c r="I106" s="6344"/>
      <c r="J106" s="6111"/>
      <c r="K106" s="6111"/>
      <c r="L106" s="6111"/>
      <c r="M106" s="6111"/>
      <c r="N106" s="6111"/>
      <c r="O106" s="6111"/>
      <c r="P106" s="6111"/>
      <c r="Q106" s="6111"/>
      <c r="R106" s="6111"/>
      <c r="S106" s="6111"/>
      <c r="T106" s="6111"/>
      <c r="U106" s="6111"/>
      <c r="V106" s="6111"/>
      <c r="W106" s="6111"/>
      <c r="X106" s="6111"/>
      <c r="Y106" s="6111"/>
      <c r="Z106" s="6111"/>
      <c r="AA106" s="6111"/>
      <c r="AB106" s="6111"/>
      <c r="AC106" s="6111"/>
      <c r="AD106" s="6111"/>
      <c r="AE106" s="6111"/>
      <c r="AF106" s="6111"/>
      <c r="AG106" s="6111"/>
      <c r="AH106" s="6111"/>
      <c r="AI106" s="6111"/>
      <c r="AJ106" s="6111"/>
      <c r="AK106" s="6111"/>
      <c r="AL106" s="6111"/>
      <c r="AM106" s="6111"/>
      <c r="AN106" s="6111"/>
      <c r="AO106" s="6111"/>
      <c r="AP106" s="6111"/>
      <c r="AQ106" s="6111"/>
      <c r="AR106" s="6111"/>
      <c r="AS106" s="6111"/>
      <c r="AT106" s="6111"/>
      <c r="AU106" s="6111"/>
      <c r="AV106" s="6111"/>
      <c r="AW106" s="6111"/>
      <c r="AX106" s="6111"/>
      <c r="AY106" s="6111"/>
      <c r="AZ106" s="6111"/>
      <c r="BA106" s="6111"/>
      <c r="BB106" s="6111"/>
      <c r="BC106" s="6111"/>
      <c r="BD106" s="6111"/>
      <c r="BE106" s="6111"/>
      <c r="BF106" s="6111"/>
      <c r="BG106" s="6111"/>
      <c r="BH106" s="6111"/>
      <c r="BI106" s="6111"/>
      <c r="BJ106" s="6111"/>
      <c r="BK106" s="6111"/>
      <c r="BL106" s="6345"/>
      <c r="BN106" s="6158"/>
      <c r="BO106" s="6386"/>
      <c r="BP106" s="6386"/>
      <c r="BQ106" s="6386"/>
      <c r="BR106" s="6386"/>
      <c r="BS106" s="6386"/>
      <c r="BT106" s="6386"/>
      <c r="BU106" s="6386"/>
      <c r="BV106" s="6386"/>
      <c r="BW106" s="6386"/>
      <c r="BX106" s="6386"/>
      <c r="BY106" s="6386"/>
      <c r="BZ106" s="6386"/>
      <c r="CA106" s="6386"/>
      <c r="CB106" s="6386"/>
      <c r="CC106" s="6386"/>
      <c r="CD106" s="6386"/>
      <c r="CE106" s="6386"/>
      <c r="CF106" s="6386"/>
      <c r="CG106" s="6386"/>
      <c r="CH106" s="6386"/>
      <c r="CI106" s="6386"/>
      <c r="CJ106" s="6386"/>
      <c r="CK106" s="6386"/>
      <c r="CL106" s="6386"/>
      <c r="CM106" s="6386"/>
      <c r="CN106" s="6386"/>
      <c r="CO106" s="6386"/>
      <c r="CP106" s="6386"/>
      <c r="CQ106" s="6386"/>
      <c r="CR106" s="6386"/>
      <c r="CS106" s="6386"/>
      <c r="CT106" s="6386"/>
      <c r="CU106" s="6386"/>
      <c r="CV106" s="6386"/>
      <c r="CW106" s="6386"/>
      <c r="CX106" s="6386"/>
      <c r="CY106" s="6386"/>
      <c r="CZ106" s="6386"/>
      <c r="DA106" s="6386"/>
      <c r="DB106" s="6386"/>
      <c r="DC106" s="6386"/>
    </row>
    <row r="107" spans="1:109" ht="13.5" customHeight="1" thickBot="1" x14ac:dyDescent="0.25">
      <c r="A107" s="227">
        <v>107</v>
      </c>
      <c r="B107" s="6042"/>
      <c r="C107" s="2841"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129">
        <v>20</v>
      </c>
      <c r="AD107" s="6129"/>
      <c r="AE107" s="744"/>
      <c r="AF107" s="6129"/>
      <c r="AG107" s="6129"/>
      <c r="AH107" s="744"/>
      <c r="AI107" s="6129"/>
      <c r="AJ107" s="6129"/>
      <c r="AK107" s="744"/>
      <c r="AL107" s="6129"/>
      <c r="AM107" s="6129"/>
      <c r="AN107" s="744"/>
      <c r="AO107" s="6118"/>
      <c r="AP107" s="6118"/>
      <c r="AQ107" s="1125"/>
      <c r="AR107" s="6118"/>
      <c r="AS107" s="6118"/>
      <c r="AT107" s="1125"/>
      <c r="AU107" s="6118"/>
      <c r="AV107" s="6118"/>
      <c r="AW107" s="1125"/>
      <c r="AX107" s="6118"/>
      <c r="AY107" s="6118"/>
      <c r="AZ107" s="1125"/>
      <c r="BA107" s="6118"/>
      <c r="BB107" s="6118"/>
      <c r="BC107" s="1125"/>
      <c r="BD107" s="6118"/>
      <c r="BE107" s="6118"/>
      <c r="BF107" s="1125"/>
      <c r="BG107" s="6118"/>
      <c r="BH107" s="6118"/>
      <c r="BI107" s="1125"/>
      <c r="BJ107" s="6118"/>
      <c r="BK107" s="6118"/>
      <c r="BL107" s="1134"/>
      <c r="BN107" s="326"/>
      <c r="BO107" s="2757" t="s">
        <v>10212</v>
      </c>
      <c r="BP107" s="2757" t="s">
        <v>10168</v>
      </c>
      <c r="BQ107" s="2757" t="s">
        <v>10178</v>
      </c>
      <c r="BR107" s="2757" t="s">
        <v>10165</v>
      </c>
      <c r="BS107" s="2757" t="s">
        <v>10182</v>
      </c>
      <c r="BT107" s="2757" t="s">
        <v>10166</v>
      </c>
      <c r="BU107" s="2757" t="s">
        <v>10173</v>
      </c>
      <c r="BV107" s="2757" t="s">
        <v>10170</v>
      </c>
      <c r="BW107" s="2757" t="s">
        <v>10171</v>
      </c>
      <c r="BX107" s="2757" t="s">
        <v>10174</v>
      </c>
      <c r="BY107" s="2757" t="s">
        <v>10164</v>
      </c>
      <c r="BZ107" s="2757" t="s">
        <v>10177</v>
      </c>
      <c r="CA107" s="2757" t="s">
        <v>10180</v>
      </c>
      <c r="CB107" s="2757" t="s">
        <v>10169</v>
      </c>
      <c r="CC107" s="2757" t="s">
        <v>10172</v>
      </c>
      <c r="CD107" s="2757" t="s">
        <v>10167</v>
      </c>
      <c r="CE107" s="2757" t="s">
        <v>10181</v>
      </c>
      <c r="CF107" s="2757" t="s">
        <v>10179</v>
      </c>
      <c r="CG107" s="2757" t="s">
        <v>10175</v>
      </c>
      <c r="CH107" s="2757" t="s">
        <v>10176</v>
      </c>
      <c r="CI107" s="2757" t="s">
        <v>10211</v>
      </c>
      <c r="CJ107" s="2757" t="s">
        <v>10187</v>
      </c>
      <c r="CK107" s="2757" t="s">
        <v>10194</v>
      </c>
      <c r="CL107" s="2757" t="s">
        <v>10195</v>
      </c>
      <c r="CM107" s="2757" t="s">
        <v>10196</v>
      </c>
      <c r="CN107" s="2757" t="s">
        <v>10488</v>
      </c>
      <c r="CO107" s="2757" t="s">
        <v>10184</v>
      </c>
      <c r="CP107" s="2757" t="s">
        <v>10193</v>
      </c>
      <c r="CQ107" s="2757" t="s">
        <v>10188</v>
      </c>
      <c r="CR107" s="2757" t="s">
        <v>10185</v>
      </c>
      <c r="CS107" s="2757" t="s">
        <v>10189</v>
      </c>
      <c r="CT107" s="2757" t="s">
        <v>10183</v>
      </c>
      <c r="CU107" s="2757" t="s">
        <v>10197</v>
      </c>
      <c r="CV107" s="2757" t="s">
        <v>10191</v>
      </c>
      <c r="CW107" s="2757" t="s">
        <v>10192</v>
      </c>
      <c r="CX107" s="2757" t="s">
        <v>10186</v>
      </c>
      <c r="CY107" s="2757" t="s">
        <v>10190</v>
      </c>
      <c r="CZ107" s="2757" t="s">
        <v>10210</v>
      </c>
      <c r="DA107" s="2757" t="str">
        <f>IF(Personalización!C24="","Lengua P. #1",Personalización!C24)</f>
        <v>Lengua P. #1</v>
      </c>
      <c r="DB107" s="2757" t="str">
        <f>IF(Personalización!C25="","Lengua P. #2",Personalización!C25)</f>
        <v>Lengua P. #2</v>
      </c>
      <c r="DC107" s="2758" t="str">
        <f>IF(Personalización!C26="","Lengua P. #3",Personalización!C26)</f>
        <v>Lengua P. #3</v>
      </c>
    </row>
    <row r="108" spans="1:109" ht="12.75" customHeight="1" thickBot="1" x14ac:dyDescent="0.25">
      <c r="A108" s="227">
        <v>108</v>
      </c>
      <c r="B108" s="6042"/>
      <c r="C108" s="2841"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139" t="s">
        <v>8393</v>
      </c>
      <c r="AD108" s="6139"/>
      <c r="AE108" s="594"/>
      <c r="AF108" s="6139"/>
      <c r="AG108" s="6139"/>
      <c r="AH108" s="594"/>
      <c r="AI108" s="6139"/>
      <c r="AJ108" s="6139"/>
      <c r="AK108" s="594"/>
      <c r="AL108" s="6139"/>
      <c r="AM108" s="6139"/>
      <c r="AN108" s="594"/>
      <c r="AO108" s="6117"/>
      <c r="AP108" s="6117"/>
      <c r="AQ108" s="174"/>
      <c r="AR108" s="6117"/>
      <c r="AS108" s="6117"/>
      <c r="AT108" s="174"/>
      <c r="AU108" s="6117"/>
      <c r="AV108" s="6117"/>
      <c r="AW108" s="174"/>
      <c r="AX108" s="6117"/>
      <c r="AY108" s="6117"/>
      <c r="AZ108" s="174"/>
      <c r="BA108" s="6117"/>
      <c r="BB108" s="6117"/>
      <c r="BC108" s="174"/>
      <c r="BD108" s="6117"/>
      <c r="BE108" s="6117"/>
      <c r="BF108" s="174"/>
      <c r="BG108" s="6117"/>
      <c r="BH108" s="6117"/>
      <c r="BI108" s="174"/>
      <c r="BJ108" s="6117"/>
      <c r="BK108" s="6117"/>
      <c r="BL108" s="1166"/>
      <c r="BN108" s="2759" t="s">
        <v>9322</v>
      </c>
      <c r="BO108" s="2761" t="b">
        <v>1</v>
      </c>
      <c r="BP108" s="2761" t="b">
        <v>1</v>
      </c>
      <c r="BQ108" s="2761" t="b">
        <v>1</v>
      </c>
      <c r="BR108" s="2761" t="b">
        <v>1</v>
      </c>
      <c r="BS108" s="2761" t="b">
        <v>1</v>
      </c>
      <c r="BT108" s="2761" t="b">
        <v>1</v>
      </c>
      <c r="BU108" s="2761" t="b">
        <v>1</v>
      </c>
      <c r="BV108" s="2761" t="b">
        <v>1</v>
      </c>
      <c r="BW108" s="2761" t="b">
        <v>1</v>
      </c>
      <c r="BX108" s="2761" t="b">
        <v>1</v>
      </c>
      <c r="BY108" s="2761" t="b">
        <v>1</v>
      </c>
      <c r="BZ108" s="2761" t="b">
        <v>1</v>
      </c>
      <c r="CA108" s="2761" t="b">
        <v>1</v>
      </c>
      <c r="CB108" s="2761" t="b">
        <v>1</v>
      </c>
      <c r="CC108" s="2761" t="b">
        <v>1</v>
      </c>
      <c r="CD108" s="2761" t="b">
        <v>1</v>
      </c>
      <c r="CE108" s="2761" t="b">
        <v>1</v>
      </c>
      <c r="CF108" s="2761" t="b">
        <v>1</v>
      </c>
      <c r="CG108" s="2761" t="b">
        <v>1</v>
      </c>
      <c r="CH108" s="2761" t="b">
        <v>1</v>
      </c>
      <c r="CI108" s="2761" t="b">
        <v>1</v>
      </c>
      <c r="CJ108" s="2761"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1"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1"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1"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1"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1"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1"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1"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1"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1"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1"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1"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1"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1"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1"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1"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1"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1"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1"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2"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042"/>
      <c r="C109" s="2842"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6005"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042"/>
      <c r="F110" s="3676" t="s">
        <v>1822</v>
      </c>
      <c r="G110" s="3676"/>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6006"/>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042"/>
      <c r="C111" s="6068" t="s">
        <v>1935</v>
      </c>
      <c r="D111" s="6068"/>
      <c r="F111" s="3676"/>
      <c r="G111" s="3676"/>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6006"/>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042"/>
      <c r="C112" s="6068"/>
      <c r="D112" s="6068"/>
      <c r="F112" s="6082" t="s">
        <v>1931</v>
      </c>
      <c r="G112" s="6082"/>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6007"/>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042"/>
      <c r="C113" s="185" t="s">
        <v>1938</v>
      </c>
      <c r="D113" s="36"/>
      <c r="F113" s="6082" t="s">
        <v>1933</v>
      </c>
      <c r="G113" s="6082"/>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60"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042"/>
      <c r="C114" s="185" t="s">
        <v>1940</v>
      </c>
      <c r="D114" s="36"/>
      <c r="F114" s="6082" t="s">
        <v>1934</v>
      </c>
      <c r="G114" s="6082"/>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042"/>
      <c r="C115" s="185" t="s">
        <v>1941</v>
      </c>
      <c r="D115" s="36"/>
      <c r="F115" s="6082" t="s">
        <v>1936</v>
      </c>
      <c r="G115" s="6082"/>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042"/>
      <c r="C116" s="185" t="s">
        <v>1942</v>
      </c>
      <c r="D116" s="36"/>
      <c r="F116" s="6082" t="s">
        <v>1937</v>
      </c>
      <c r="G116" s="6082"/>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042"/>
      <c r="C117" s="185" t="s">
        <v>1943</v>
      </c>
      <c r="D117" s="36"/>
      <c r="F117" s="6081" t="s">
        <v>1939</v>
      </c>
      <c r="G117" s="6081"/>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042"/>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042"/>
      <c r="C119" s="185" t="s">
        <v>1945</v>
      </c>
      <c r="D119" s="36"/>
      <c r="F119" s="6068" t="s">
        <v>1970</v>
      </c>
      <c r="G119" s="6068"/>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042"/>
      <c r="C120" s="185" t="s">
        <v>1946</v>
      </c>
      <c r="D120" s="36"/>
      <c r="F120" s="6068"/>
      <c r="G120" s="6068"/>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042"/>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042"/>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042"/>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042"/>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042"/>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042"/>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042"/>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042"/>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042"/>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042"/>
      <c r="C130" s="3684" t="s">
        <v>8465</v>
      </c>
      <c r="D130" s="3686"/>
      <c r="H130"/>
      <c r="J130" s="6079"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042"/>
      <c r="C131" s="6064"/>
      <c r="D131" s="5771"/>
      <c r="H131"/>
      <c r="J131" s="6080"/>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042"/>
      <c r="C132" s="1294" t="s">
        <v>1381</v>
      </c>
      <c r="D132" s="1295"/>
      <c r="F132" s="555"/>
      <c r="H132"/>
      <c r="L132" s="555"/>
      <c r="N132"/>
    </row>
    <row r="133" spans="1:110" ht="12.75" customHeight="1" x14ac:dyDescent="0.2">
      <c r="A133" s="227">
        <v>133</v>
      </c>
      <c r="B133" s="6042"/>
      <c r="C133" s="1296" t="s">
        <v>8466</v>
      </c>
      <c r="D133" s="1297"/>
      <c r="F133" s="6069" t="s">
        <v>6350</v>
      </c>
      <c r="G133" s="6130"/>
      <c r="H133" s="6130"/>
      <c r="I133" s="6130"/>
      <c r="J133" s="6130"/>
      <c r="K133" s="6130"/>
      <c r="L133" s="6130"/>
      <c r="M133" s="6130"/>
      <c r="N133" s="6130"/>
      <c r="O133" s="6130"/>
      <c r="P133" s="6130"/>
      <c r="Q133" s="6130"/>
      <c r="R133" s="6130"/>
      <c r="S133" s="6130"/>
      <c r="T133" s="6130"/>
      <c r="U133" s="6130"/>
      <c r="V133" s="6130"/>
      <c r="W133" s="6130"/>
      <c r="X133" s="6130"/>
      <c r="Y133" s="6130"/>
      <c r="Z133" s="6130"/>
      <c r="AA133" s="6130"/>
      <c r="AB133" s="6130"/>
      <c r="AC133" s="6130"/>
      <c r="AD133" s="6130"/>
      <c r="AE133" s="6130"/>
      <c r="AF133" s="6130"/>
      <c r="AG133" s="6130"/>
      <c r="AH133" s="6130"/>
      <c r="AI133" s="6130"/>
      <c r="AJ133" s="6130"/>
      <c r="AK133" s="6130"/>
      <c r="AL133" s="6130"/>
      <c r="AM133" s="6130"/>
      <c r="AN133" s="6130"/>
      <c r="AO133" s="6130"/>
      <c r="AP133" s="6130"/>
      <c r="AQ133" s="6130"/>
      <c r="AR133" s="6130"/>
      <c r="AS133" s="6130"/>
      <c r="AT133" s="6130"/>
      <c r="AU133" s="6130"/>
      <c r="AV133" s="6130"/>
      <c r="AW133" s="6130"/>
      <c r="AX133" s="6130"/>
      <c r="AY133" s="6130"/>
      <c r="AZ133" s="6130"/>
      <c r="BA133" s="6130"/>
      <c r="BB133" s="6130"/>
      <c r="BC133" s="6130"/>
      <c r="BD133" s="6130"/>
      <c r="BE133" s="6130"/>
      <c r="BF133" s="6130"/>
      <c r="BG133" s="6130"/>
      <c r="BH133" s="6130"/>
      <c r="BI133" s="6130"/>
      <c r="BJ133" s="6130"/>
      <c r="BK133" s="6130"/>
      <c r="BL133" s="6130"/>
      <c r="BM133" s="6130"/>
      <c r="BN133" s="6130"/>
      <c r="BO133" s="6130"/>
      <c r="BP133" s="6130"/>
      <c r="BQ133" s="6130"/>
      <c r="BR133" s="6130"/>
      <c r="BS133" s="6130"/>
      <c r="BT133" s="6130"/>
      <c r="BU133" s="6130"/>
      <c r="BV133" s="6130"/>
      <c r="BW133" s="6130"/>
      <c r="BX133" s="6130"/>
      <c r="BY133" s="6130"/>
      <c r="BZ133" s="6130"/>
      <c r="CA133" s="6130"/>
      <c r="CB133" s="6130"/>
      <c r="CC133" s="6130"/>
      <c r="CD133" s="6130"/>
      <c r="CE133" s="6130"/>
      <c r="CF133" s="6130"/>
      <c r="CG133" s="6130"/>
      <c r="CH133" s="6130"/>
      <c r="CI133" s="6130"/>
      <c r="CJ133" s="6130"/>
      <c r="CK133" s="6130"/>
      <c r="CL133" s="6130"/>
      <c r="CM133" s="6130"/>
      <c r="CN133" s="6130"/>
      <c r="CO133" s="6130"/>
      <c r="CP133" s="6130"/>
      <c r="CQ133" s="6130"/>
      <c r="CR133" s="6130"/>
      <c r="CS133" s="6130"/>
      <c r="CT133" s="6130"/>
      <c r="CU133" s="6130"/>
      <c r="CV133" s="6130"/>
      <c r="CW133" s="6130"/>
      <c r="CX133" s="6130"/>
      <c r="CY133" s="6130"/>
      <c r="CZ133" s="6130"/>
      <c r="DA133" s="6130"/>
      <c r="DB133" s="6130"/>
      <c r="DC133" s="6130"/>
      <c r="DD133" s="6130"/>
      <c r="DE133" s="6130"/>
      <c r="DF133" s="6070"/>
    </row>
    <row r="134" spans="1:110" ht="12.75" customHeight="1" thickBot="1" x14ac:dyDescent="0.25">
      <c r="A134" s="227">
        <v>134</v>
      </c>
      <c r="B134" s="6042"/>
      <c r="C134" s="1298" t="s">
        <v>8728</v>
      </c>
      <c r="D134" s="1299"/>
      <c r="F134" s="6071"/>
      <c r="G134" s="6131"/>
      <c r="H134" s="6131"/>
      <c r="I134" s="6131"/>
      <c r="J134" s="6131"/>
      <c r="K134" s="6131"/>
      <c r="L134" s="6131"/>
      <c r="M134" s="6131"/>
      <c r="N134" s="6131"/>
      <c r="O134" s="6131"/>
      <c r="P134" s="6131"/>
      <c r="Q134" s="6131"/>
      <c r="R134" s="6131"/>
      <c r="S134" s="6131"/>
      <c r="T134" s="6131"/>
      <c r="U134" s="6131"/>
      <c r="V134" s="6131"/>
      <c r="W134" s="6131"/>
      <c r="X134" s="6131"/>
      <c r="Y134" s="6131"/>
      <c r="Z134" s="6131"/>
      <c r="AA134" s="6131"/>
      <c r="AB134" s="6131"/>
      <c r="AC134" s="6131"/>
      <c r="AD134" s="6131"/>
      <c r="AE134" s="6131"/>
      <c r="AF134" s="6131"/>
      <c r="AG134" s="6131"/>
      <c r="AH134" s="6131"/>
      <c r="AI134" s="6131"/>
      <c r="AJ134" s="6131"/>
      <c r="AK134" s="6131"/>
      <c r="AL134" s="6131"/>
      <c r="AM134" s="6131"/>
      <c r="AN134" s="6131"/>
      <c r="AO134" s="6131"/>
      <c r="AP134" s="6131"/>
      <c r="AQ134" s="6131"/>
      <c r="AR134" s="6131"/>
      <c r="AS134" s="6131"/>
      <c r="AT134" s="6131"/>
      <c r="AU134" s="6131"/>
      <c r="AV134" s="6131"/>
      <c r="AW134" s="6131"/>
      <c r="AX134" s="6131"/>
      <c r="AY134" s="6131"/>
      <c r="AZ134" s="6131"/>
      <c r="BA134" s="6131"/>
      <c r="BB134" s="6131"/>
      <c r="BC134" s="6131"/>
      <c r="BD134" s="6131"/>
      <c r="BE134" s="6131"/>
      <c r="BF134" s="6131"/>
      <c r="BG134" s="6131"/>
      <c r="BH134" s="6131"/>
      <c r="BI134" s="6131"/>
      <c r="BJ134" s="6131"/>
      <c r="BK134" s="6131"/>
      <c r="BL134" s="6131"/>
      <c r="BM134" s="6131"/>
      <c r="BN134" s="6131"/>
      <c r="BO134" s="6131"/>
      <c r="BP134" s="6131"/>
      <c r="BQ134" s="6131"/>
      <c r="BR134" s="6131"/>
      <c r="BS134" s="6131"/>
      <c r="BT134" s="6131"/>
      <c r="BU134" s="6131"/>
      <c r="BV134" s="6131"/>
      <c r="BW134" s="6131"/>
      <c r="BX134" s="6131"/>
      <c r="BY134" s="6131"/>
      <c r="BZ134" s="6131"/>
      <c r="CA134" s="6131"/>
      <c r="CB134" s="6131"/>
      <c r="CC134" s="6131"/>
      <c r="CD134" s="6131"/>
      <c r="CE134" s="6131"/>
      <c r="CF134" s="6131"/>
      <c r="CG134" s="6131"/>
      <c r="CH134" s="6131"/>
      <c r="CI134" s="6131"/>
      <c r="CJ134" s="6131"/>
      <c r="CK134" s="6131"/>
      <c r="CL134" s="6131"/>
      <c r="CM134" s="6131"/>
      <c r="CN134" s="6131"/>
      <c r="CO134" s="6131"/>
      <c r="CP134" s="6131"/>
      <c r="CQ134" s="6131"/>
      <c r="CR134" s="6131"/>
      <c r="CS134" s="6131"/>
      <c r="CT134" s="6131"/>
      <c r="CU134" s="6131"/>
      <c r="CV134" s="6131"/>
      <c r="CW134" s="6131"/>
      <c r="CX134" s="6131"/>
      <c r="CY134" s="6131"/>
      <c r="CZ134" s="6131"/>
      <c r="DA134" s="6131"/>
      <c r="DB134" s="6131"/>
      <c r="DC134" s="6131"/>
      <c r="DD134" s="6131"/>
      <c r="DE134" s="6131"/>
      <c r="DF134" s="6072"/>
    </row>
    <row r="135" spans="1:110" ht="12.75" customHeight="1" thickBot="1" x14ac:dyDescent="0.25">
      <c r="A135" s="227">
        <v>135</v>
      </c>
      <c r="B135" s="6042"/>
      <c r="F135" s="6077" t="s">
        <v>6358</v>
      </c>
      <c r="G135" s="6078"/>
      <c r="H135" s="2579">
        <v>1</v>
      </c>
      <c r="I135" s="2579">
        <v>2</v>
      </c>
      <c r="J135" s="2579">
        <v>3</v>
      </c>
      <c r="K135" s="2579">
        <v>4</v>
      </c>
      <c r="L135" s="2579">
        <v>5</v>
      </c>
      <c r="M135" s="2579">
        <v>6</v>
      </c>
      <c r="N135" s="2579">
        <v>7</v>
      </c>
      <c r="O135" s="2579">
        <v>8</v>
      </c>
      <c r="P135" s="2579">
        <v>9</v>
      </c>
      <c r="Q135" s="2579">
        <v>10</v>
      </c>
      <c r="R135" s="2579">
        <v>11</v>
      </c>
      <c r="S135" s="2579">
        <v>12</v>
      </c>
      <c r="T135" s="2579">
        <v>13</v>
      </c>
      <c r="U135" s="2579">
        <v>14</v>
      </c>
      <c r="V135" s="2579">
        <v>15</v>
      </c>
      <c r="W135" s="2579">
        <v>16</v>
      </c>
      <c r="X135" s="2579">
        <v>17</v>
      </c>
      <c r="Y135" s="2580">
        <v>18</v>
      </c>
      <c r="Z135" s="2580">
        <v>19</v>
      </c>
      <c r="AA135" s="2580">
        <v>20</v>
      </c>
      <c r="AB135" s="2580">
        <v>21</v>
      </c>
      <c r="AC135" s="2580">
        <v>22</v>
      </c>
      <c r="AD135" s="2580">
        <v>23</v>
      </c>
      <c r="AE135" s="2580">
        <v>24</v>
      </c>
      <c r="AF135" s="2580">
        <v>25</v>
      </c>
      <c r="AG135" s="2580">
        <v>26</v>
      </c>
      <c r="AH135" s="2580">
        <v>27</v>
      </c>
      <c r="AI135" s="2580">
        <v>28</v>
      </c>
      <c r="AJ135" s="2580">
        <v>29</v>
      </c>
      <c r="AK135" s="2580">
        <v>30</v>
      </c>
      <c r="AL135" s="2580">
        <v>31</v>
      </c>
      <c r="AM135" s="2580">
        <v>32</v>
      </c>
      <c r="AN135" s="2580">
        <v>33</v>
      </c>
      <c r="AO135" s="2580">
        <v>34</v>
      </c>
      <c r="AP135" s="2579">
        <v>35</v>
      </c>
      <c r="AQ135" s="2579">
        <v>36</v>
      </c>
      <c r="AR135" s="2579">
        <v>37</v>
      </c>
      <c r="AS135" s="2579">
        <v>38</v>
      </c>
      <c r="AT135" s="2579">
        <v>39</v>
      </c>
      <c r="AU135" s="2579">
        <v>40</v>
      </c>
      <c r="AV135" s="2579">
        <v>41</v>
      </c>
      <c r="AW135" s="2579">
        <v>42</v>
      </c>
      <c r="AX135" s="2579">
        <v>43</v>
      </c>
      <c r="AY135" s="2579">
        <v>44</v>
      </c>
      <c r="AZ135" s="2579">
        <v>45</v>
      </c>
      <c r="BA135" s="2579">
        <v>46</v>
      </c>
      <c r="BB135" s="2579">
        <v>47</v>
      </c>
      <c r="BC135" s="2579">
        <v>48</v>
      </c>
      <c r="BD135" s="2579">
        <v>49</v>
      </c>
      <c r="BE135" s="2579">
        <v>50</v>
      </c>
      <c r="BF135" s="2579">
        <v>51</v>
      </c>
      <c r="BG135" s="2579">
        <v>52</v>
      </c>
      <c r="BH135" s="2579">
        <v>53</v>
      </c>
      <c r="BI135" s="2579">
        <v>54</v>
      </c>
      <c r="BJ135" s="2579">
        <v>55</v>
      </c>
      <c r="BK135" s="2579">
        <v>56</v>
      </c>
      <c r="BL135" s="2579">
        <v>57</v>
      </c>
      <c r="BM135" s="2579">
        <v>58</v>
      </c>
      <c r="BN135" s="2579">
        <v>59</v>
      </c>
      <c r="BO135" s="2579">
        <v>60</v>
      </c>
      <c r="BP135" s="2579">
        <v>61</v>
      </c>
      <c r="BQ135" s="2579">
        <v>62</v>
      </c>
      <c r="BR135" s="2579">
        <v>63</v>
      </c>
      <c r="BS135" s="2579">
        <v>64</v>
      </c>
      <c r="BT135" s="2579">
        <v>65</v>
      </c>
      <c r="BU135" s="2579">
        <v>66</v>
      </c>
      <c r="BV135" s="2579">
        <v>67</v>
      </c>
      <c r="BW135" s="2579">
        <v>68</v>
      </c>
      <c r="BX135" s="2579">
        <v>69</v>
      </c>
      <c r="BY135" s="2579">
        <v>70</v>
      </c>
      <c r="BZ135" s="2579">
        <v>71</v>
      </c>
      <c r="CA135" s="2579">
        <v>72</v>
      </c>
      <c r="CB135" s="2579">
        <v>73</v>
      </c>
      <c r="CC135" s="2579">
        <v>74</v>
      </c>
      <c r="CD135" s="2579">
        <v>75</v>
      </c>
      <c r="CE135" s="2579">
        <v>76</v>
      </c>
      <c r="CF135" s="2579">
        <v>77</v>
      </c>
      <c r="CG135" s="2579">
        <v>78</v>
      </c>
      <c r="CH135" s="2579">
        <v>79</v>
      </c>
      <c r="CI135" s="2579">
        <v>80</v>
      </c>
      <c r="CJ135" s="2579">
        <v>81</v>
      </c>
      <c r="CK135" s="2579">
        <v>82</v>
      </c>
      <c r="CL135" s="2579">
        <v>83</v>
      </c>
      <c r="CM135" s="2579">
        <v>84</v>
      </c>
      <c r="CN135" s="2579">
        <v>85</v>
      </c>
      <c r="CO135" s="2579">
        <v>86</v>
      </c>
      <c r="CP135" s="2579">
        <v>87</v>
      </c>
      <c r="CQ135" s="2579">
        <v>88</v>
      </c>
      <c r="CR135" s="2579">
        <v>89</v>
      </c>
      <c r="CS135" s="2579">
        <v>90</v>
      </c>
      <c r="CT135" s="2579">
        <v>91</v>
      </c>
      <c r="CU135" s="2579">
        <v>92</v>
      </c>
      <c r="CV135" s="2579">
        <v>93</v>
      </c>
      <c r="CW135" s="2579">
        <v>94</v>
      </c>
      <c r="CX135" s="2579">
        <v>95</v>
      </c>
      <c r="CY135" s="2579">
        <v>96</v>
      </c>
      <c r="CZ135" s="2579">
        <v>97</v>
      </c>
      <c r="DA135" s="2579">
        <v>98</v>
      </c>
      <c r="DB135" s="2579">
        <v>99</v>
      </c>
      <c r="DC135" s="2579">
        <v>100</v>
      </c>
      <c r="DD135" s="2579">
        <v>101</v>
      </c>
      <c r="DE135" s="2579">
        <v>102</v>
      </c>
      <c r="DF135" s="2581">
        <v>103</v>
      </c>
    </row>
    <row r="136" spans="1:110" ht="12.75" customHeight="1" x14ac:dyDescent="0.2">
      <c r="A136" s="227">
        <v>136</v>
      </c>
      <c r="B136" s="6042"/>
      <c r="C136" s="6069" t="s">
        <v>6343</v>
      </c>
      <c r="D136" s="6070"/>
      <c r="F136" s="2582" t="str">
        <f>IF(ISNA(HLOOKUP($I$136&amp;$A1,$H$139:$DF$140,2,FALSE))," ",HLOOKUP($I$136&amp;$A1,$H$139:$DF$140,2,FALSE))</f>
        <v xml:space="preserve"> </v>
      </c>
      <c r="G136" s="971"/>
      <c r="H136" s="2583" t="s">
        <v>6357</v>
      </c>
      <c r="I136" s="6075" t="str">
        <f>IF(Region="","",Region)</f>
        <v/>
      </c>
      <c r="J136" s="6076"/>
      <c r="K136" s="2584" t="s">
        <v>7286</v>
      </c>
      <c r="L136" s="2585" t="str">
        <f>IF(OR(I136="",I137=""),"",IF(AND(I136="Elcia",OR(I137=F137,I137=F139)),Personalización!$E$15,MID(HLOOKUP($I$136&amp;$I$137,Tabla_RaicesCulturales,53,FALSE),4,10)))</f>
        <v/>
      </c>
      <c r="M136" s="2586" t="str">
        <f>LEFT(HLOOKUP($I$136&amp;$I$137,Tabla_RaicesCulturales,53,FALSE),2)</f>
        <v>0</v>
      </c>
      <c r="N136" s="2585" t="str">
        <f>IF(OR(I136="",I137=""),"",MID(HLOOKUP($I$136&amp;$I$137,Tabla_RaicesCulturales,55,FALSE),4,25))</f>
        <v/>
      </c>
      <c r="O136" s="2587" t="str">
        <f>LEFT(HLOOKUP($I$136&amp;$I$137,Tabla_RaicesCulturales,55,FALSE),2)</f>
        <v>0</v>
      </c>
      <c r="P136" s="2577"/>
      <c r="Q136" s="2577"/>
      <c r="R136" s="2577"/>
      <c r="S136" s="2577"/>
      <c r="T136" s="2577"/>
      <c r="U136" s="2577"/>
      <c r="V136" s="2577"/>
      <c r="W136" s="2577"/>
      <c r="X136" s="2577"/>
      <c r="Y136" s="2577"/>
      <c r="Z136" s="2577"/>
      <c r="AA136" s="2577"/>
      <c r="AB136" s="2577"/>
      <c r="AC136" s="2577"/>
      <c r="AD136" s="2577"/>
      <c r="AE136" s="2577"/>
      <c r="AF136" s="2577"/>
      <c r="AG136" s="2577"/>
      <c r="AH136" s="2577"/>
      <c r="AI136" s="2577"/>
      <c r="AJ136" s="2577"/>
      <c r="AK136" s="2577"/>
      <c r="AL136" s="2577"/>
      <c r="AM136" s="2577"/>
      <c r="AN136" s="2577"/>
      <c r="AO136" s="2577"/>
      <c r="AP136" s="2577"/>
      <c r="AQ136" s="2577"/>
      <c r="AR136" s="2577"/>
      <c r="AS136" s="2577"/>
      <c r="AT136" s="2577"/>
      <c r="AU136" s="2577"/>
      <c r="AV136" s="2577"/>
      <c r="AW136" s="2577"/>
      <c r="AX136" s="2577"/>
      <c r="AY136" s="2577"/>
      <c r="AZ136" s="2577"/>
      <c r="BA136" s="2577"/>
      <c r="BB136" s="2577"/>
      <c r="BC136" s="2577"/>
      <c r="BD136" s="2577"/>
      <c r="BE136" s="2577"/>
      <c r="BF136" s="2577"/>
      <c r="BG136" s="2577"/>
      <c r="BH136" s="2577"/>
      <c r="BI136" s="2577"/>
      <c r="BJ136" s="2577"/>
      <c r="BK136" s="2577"/>
      <c r="BL136" s="2577"/>
      <c r="BM136" s="2577"/>
      <c r="BN136" s="2577"/>
      <c r="BO136" s="2577"/>
      <c r="BP136" s="2577"/>
      <c r="BQ136" s="2577"/>
      <c r="BR136" s="2577"/>
      <c r="BS136" s="2577"/>
      <c r="BT136" s="2577"/>
      <c r="BU136" s="2577"/>
      <c r="BV136" s="2577"/>
      <c r="BW136" s="2577"/>
      <c r="BX136" s="2577"/>
      <c r="BY136" s="2577"/>
      <c r="BZ136" s="2577"/>
      <c r="CA136" s="2577"/>
      <c r="CB136" s="2577"/>
      <c r="CC136" s="2577"/>
      <c r="CD136" s="2577"/>
      <c r="CE136" s="2577"/>
      <c r="CF136" s="2577"/>
      <c r="CG136" s="2577"/>
      <c r="CH136" s="2577"/>
      <c r="CI136" s="2577"/>
      <c r="CJ136" s="2577"/>
      <c r="CK136" s="2577"/>
      <c r="CL136" s="2577"/>
      <c r="CM136" s="2577"/>
      <c r="CN136" s="2577"/>
      <c r="CO136" s="2577"/>
      <c r="CP136" s="2577"/>
      <c r="CQ136" s="2577"/>
      <c r="CR136" s="2577"/>
      <c r="CS136" s="2577"/>
      <c r="CT136" s="2577"/>
      <c r="CU136" s="2577"/>
      <c r="CV136" s="2577"/>
      <c r="CW136" s="2577"/>
      <c r="CX136" s="2577"/>
      <c r="CY136" s="2577"/>
      <c r="CZ136" s="2577"/>
      <c r="DA136" s="2577"/>
      <c r="DB136" s="2577"/>
      <c r="DC136" s="2577"/>
      <c r="DD136" s="2577"/>
      <c r="DE136" s="2577"/>
      <c r="DF136" s="561"/>
    </row>
    <row r="137" spans="1:110" ht="12.75" customHeight="1" x14ac:dyDescent="0.2">
      <c r="A137" s="227">
        <v>137</v>
      </c>
      <c r="B137" s="6042"/>
      <c r="C137" s="6071"/>
      <c r="D137" s="6072"/>
      <c r="F137" s="2582" t="str">
        <f>IF(ISNA(HLOOKUP($I$136&amp;$A2,$H$139:$DF$140,2,FALSE))," ",HLOOKUP($I$136&amp;$A2,$H$139:$DF$140,2,FALSE))</f>
        <v xml:space="preserve"> </v>
      </c>
      <c r="G137" s="971"/>
      <c r="H137" s="972" t="s">
        <v>1363</v>
      </c>
      <c r="I137" s="6073" t="str">
        <f>IF(ClaseSocial="","",ClaseSocial)</f>
        <v/>
      </c>
      <c r="J137" s="6074"/>
      <c r="K137" s="2588"/>
      <c r="L137" s="2589" t="str">
        <f>IF(L136="","",MID(HLOOKUP($I$136&amp;$I$137,Tabla_RaicesCulturales,54,FALSE),4,10))</f>
        <v/>
      </c>
      <c r="M137" s="2590" t="str">
        <f>LEFT(HLOOKUP($I$136&amp;$I$137,Tabla_RaicesCulturales,54,FALSE),2)</f>
        <v>0</v>
      </c>
      <c r="N137" s="2589" t="str">
        <f>IF(N136="","",MID(HLOOKUP($I$136&amp;$I$137,Tabla_RaicesCulturales,56,FALSE),4,25))</f>
        <v/>
      </c>
      <c r="O137" s="2591" t="str">
        <f>LEFT(HLOOKUP($I$136&amp;$I$137,Tabla_RaicesCulturales,56,FALSE),2)</f>
        <v>0</v>
      </c>
      <c r="P137" s="2577"/>
      <c r="Q137" s="2577"/>
      <c r="R137" s="2577"/>
      <c r="S137" s="2577"/>
      <c r="T137" s="2577"/>
      <c r="U137" s="2577"/>
      <c r="V137" s="2577"/>
      <c r="W137" s="2577"/>
      <c r="X137" s="2577"/>
      <c r="Y137" s="2577"/>
      <c r="Z137" s="2577"/>
      <c r="AA137" s="2577"/>
      <c r="AB137" s="2577"/>
      <c r="AC137" s="2577"/>
      <c r="AD137" s="2577"/>
      <c r="AE137" s="2577"/>
      <c r="AF137" s="2577"/>
      <c r="AG137" s="2577"/>
      <c r="AH137" s="2577"/>
      <c r="AI137" s="2577"/>
      <c r="AJ137" s="2577"/>
      <c r="AK137" s="2577"/>
      <c r="AL137" s="2577"/>
      <c r="AM137" s="2577"/>
      <c r="AN137" s="2577"/>
      <c r="AO137" s="2577"/>
      <c r="AP137" s="2577"/>
      <c r="AQ137" s="2577"/>
      <c r="AR137" s="2577"/>
      <c r="AS137" s="2577"/>
      <c r="AT137" s="2577"/>
      <c r="AU137" s="2577"/>
      <c r="AV137" s="2577"/>
      <c r="AW137" s="2577"/>
      <c r="AX137" s="2577"/>
      <c r="AY137" s="2577"/>
      <c r="AZ137" s="2577"/>
      <c r="BA137" s="2577"/>
      <c r="BB137" s="2577"/>
      <c r="BC137" s="2577"/>
      <c r="BD137" s="2577"/>
      <c r="BE137" s="2577"/>
      <c r="BF137" s="2577"/>
      <c r="BG137" s="2577"/>
      <c r="BH137" s="2577"/>
      <c r="BI137" s="2577"/>
      <c r="BJ137" s="2577"/>
      <c r="BK137" s="2577"/>
      <c r="BL137" s="2577"/>
      <c r="BM137" s="2577"/>
      <c r="BN137" s="2577"/>
      <c r="BO137" s="2577"/>
      <c r="BP137" s="2577"/>
      <c r="BQ137" s="2577"/>
      <c r="BR137" s="2577"/>
      <c r="BS137" s="2577"/>
      <c r="BT137" s="2577"/>
      <c r="BU137" s="2577"/>
      <c r="BV137" s="2577"/>
      <c r="BW137" s="2577"/>
      <c r="BX137" s="2577"/>
      <c r="BY137" s="2577"/>
      <c r="BZ137" s="2577"/>
      <c r="CA137" s="2577"/>
      <c r="CB137" s="2577"/>
      <c r="CC137" s="2577"/>
      <c r="CD137" s="2577"/>
      <c r="CE137" s="2577"/>
      <c r="CF137" s="2577"/>
      <c r="CG137" s="2577"/>
      <c r="CH137" s="2577"/>
      <c r="CI137" s="2577"/>
      <c r="CJ137" s="2577"/>
      <c r="CK137" s="2577"/>
      <c r="CL137" s="2577"/>
      <c r="CM137" s="2577"/>
      <c r="CN137" s="2577"/>
      <c r="CO137" s="2577"/>
      <c r="CP137" s="2577"/>
      <c r="CQ137" s="2577"/>
      <c r="CR137" s="2577"/>
      <c r="CS137" s="2577"/>
      <c r="CT137" s="2577"/>
      <c r="CU137" s="2577"/>
      <c r="CV137" s="2577"/>
      <c r="CW137" s="2577"/>
      <c r="CX137" s="2577"/>
      <c r="CY137" s="2577"/>
      <c r="CZ137" s="2577"/>
      <c r="DA137" s="2577"/>
      <c r="DB137" s="2577"/>
      <c r="DC137" s="2577"/>
      <c r="DD137" s="2577"/>
      <c r="DE137" s="2578"/>
      <c r="DF137" s="561"/>
    </row>
    <row r="138" spans="1:110" ht="12.75" customHeight="1" x14ac:dyDescent="0.2">
      <c r="A138" s="227">
        <v>138</v>
      </c>
      <c r="B138" s="6042"/>
      <c r="C138" s="560" t="s">
        <v>6351</v>
      </c>
      <c r="D138" s="557"/>
      <c r="F138" s="2582" t="str">
        <f>IF(ISNA(HLOOKUP($I$136&amp;$A3,$H$139:$DF$140,2,FALSE))," ",HLOOKUP($I$136&amp;$A3,$H$139:$DF$140,2,FALSE))</f>
        <v xml:space="preserve"> </v>
      </c>
      <c r="G138" s="971"/>
      <c r="H138" s="6084" t="s">
        <v>6295</v>
      </c>
      <c r="I138" s="6084"/>
      <c r="J138" s="6084"/>
      <c r="K138" s="6084" t="s">
        <v>6296</v>
      </c>
      <c r="L138" s="6084"/>
      <c r="M138" s="6084" t="s">
        <v>6297</v>
      </c>
      <c r="N138" s="6084"/>
      <c r="O138" s="6084"/>
      <c r="P138" s="6084" t="s">
        <v>6298</v>
      </c>
      <c r="Q138" s="6084"/>
      <c r="R138" s="6084" t="s">
        <v>6299</v>
      </c>
      <c r="S138" s="6084"/>
      <c r="T138" s="2553" t="s">
        <v>6300</v>
      </c>
      <c r="U138" s="6084" t="s">
        <v>6301</v>
      </c>
      <c r="V138" s="6084"/>
      <c r="W138" s="6066" t="s">
        <v>6302</v>
      </c>
      <c r="X138" s="6067"/>
      <c r="Y138" s="6119" t="s">
        <v>6303</v>
      </c>
      <c r="Z138" s="6120"/>
      <c r="AA138" s="6121"/>
      <c r="AB138" s="6119" t="s">
        <v>6304</v>
      </c>
      <c r="AC138" s="6121"/>
      <c r="AD138" s="6119" t="s">
        <v>6305</v>
      </c>
      <c r="AE138" s="6121"/>
      <c r="AF138" s="6119" t="s">
        <v>6306</v>
      </c>
      <c r="AG138" s="6120"/>
      <c r="AH138" s="6121"/>
      <c r="AI138" s="6119" t="s">
        <v>6307</v>
      </c>
      <c r="AJ138" s="6120"/>
      <c r="AK138" s="6121"/>
      <c r="AL138" s="6119" t="s">
        <v>6308</v>
      </c>
      <c r="AM138" s="6120"/>
      <c r="AN138" s="6120"/>
      <c r="AO138" s="6121"/>
      <c r="AP138" s="6066" t="s">
        <v>6309</v>
      </c>
      <c r="AQ138" s="6083"/>
      <c r="AR138" s="6067"/>
      <c r="AS138" s="6066" t="s">
        <v>6310</v>
      </c>
      <c r="AT138" s="6067"/>
      <c r="AU138" s="6066" t="s">
        <v>6311</v>
      </c>
      <c r="AV138" s="6083"/>
      <c r="AW138" s="6067"/>
      <c r="AX138" s="6066" t="s">
        <v>6312</v>
      </c>
      <c r="AY138" s="6067"/>
      <c r="AZ138" s="6066" t="s">
        <v>6313</v>
      </c>
      <c r="BA138" s="6067"/>
      <c r="BB138" s="6066" t="s">
        <v>6314</v>
      </c>
      <c r="BC138" s="6067"/>
      <c r="BD138" s="6066" t="s">
        <v>6315</v>
      </c>
      <c r="BE138" s="6067"/>
      <c r="BF138" s="6066" t="s">
        <v>6316</v>
      </c>
      <c r="BG138" s="6067"/>
      <c r="BH138" s="2553" t="s">
        <v>6317</v>
      </c>
      <c r="BI138" s="6066" t="s">
        <v>6279</v>
      </c>
      <c r="BJ138" s="6067"/>
      <c r="BK138" s="6132" t="s">
        <v>6280</v>
      </c>
      <c r="BL138" s="6121"/>
      <c r="BM138" s="2553" t="s">
        <v>10051</v>
      </c>
      <c r="BN138" s="6066" t="s">
        <v>6281</v>
      </c>
      <c r="BO138" s="6067"/>
      <c r="BP138" s="6066" t="s">
        <v>6318</v>
      </c>
      <c r="BQ138" s="6083"/>
      <c r="BR138" s="6067"/>
      <c r="BS138" s="6066" t="s">
        <v>6319</v>
      </c>
      <c r="BT138" s="6067"/>
      <c r="BU138" s="6066" t="s">
        <v>6282</v>
      </c>
      <c r="BV138" s="6083"/>
      <c r="BW138" s="6083"/>
      <c r="BX138" s="6067"/>
      <c r="BY138" s="6066" t="s">
        <v>6283</v>
      </c>
      <c r="BZ138" s="6083"/>
      <c r="CA138" s="6067"/>
      <c r="CB138" s="6066" t="s">
        <v>6284</v>
      </c>
      <c r="CC138" s="6083"/>
      <c r="CD138" s="6067"/>
      <c r="CE138" s="6066" t="s">
        <v>6285</v>
      </c>
      <c r="CF138" s="6067"/>
      <c r="CG138" s="6066" t="s">
        <v>6286</v>
      </c>
      <c r="CH138" s="6083"/>
      <c r="CI138" s="6067"/>
      <c r="CJ138" s="6066" t="s">
        <v>8324</v>
      </c>
      <c r="CK138" s="6083"/>
      <c r="CL138" s="6083"/>
      <c r="CM138" s="6067"/>
      <c r="CN138" s="6066" t="s">
        <v>6287</v>
      </c>
      <c r="CO138" s="6067"/>
      <c r="CP138" s="6066" t="s">
        <v>6288</v>
      </c>
      <c r="CQ138" s="6067"/>
      <c r="CR138" s="6066" t="s">
        <v>6289</v>
      </c>
      <c r="CS138" s="6083"/>
      <c r="CT138" s="6067"/>
      <c r="CU138" s="6066" t="s">
        <v>6290</v>
      </c>
      <c r="CV138" s="6067"/>
      <c r="CW138" s="6066" t="s">
        <v>6291</v>
      </c>
      <c r="CX138" s="6083"/>
      <c r="CY138" s="6067"/>
      <c r="CZ138" s="2592" t="s">
        <v>6292</v>
      </c>
      <c r="DA138" s="6066" t="s">
        <v>6293</v>
      </c>
      <c r="DB138" s="6083"/>
      <c r="DC138" s="6067"/>
      <c r="DD138" s="6066" t="s">
        <v>6294</v>
      </c>
      <c r="DE138" s="6067"/>
      <c r="DF138" s="2601" t="str">
        <f>IF(Personalización!C20="","",Personalización!C20)</f>
        <v/>
      </c>
    </row>
    <row r="139" spans="1:110" ht="12.75" customHeight="1" x14ac:dyDescent="0.2">
      <c r="A139" s="227">
        <v>139</v>
      </c>
      <c r="B139" s="6042"/>
      <c r="C139" s="560" t="s">
        <v>6352</v>
      </c>
      <c r="D139" s="557"/>
      <c r="F139" s="2582" t="str">
        <f>IF(ISNA(HLOOKUP($I$136&amp;$A4,$H$139:$DF$140,2,FALSE))," ",HLOOKUP($I$136&amp;$A4,$H$139:$DF$140,2,FALSE))</f>
        <v xml:space="preserve"> </v>
      </c>
      <c r="G139" s="971"/>
      <c r="H139" s="2595" t="str">
        <f>H138&amp;1</f>
        <v>Abel1</v>
      </c>
      <c r="I139" s="2595" t="str">
        <f>H138&amp;2</f>
        <v>Abel2</v>
      </c>
      <c r="J139" s="565" t="str">
        <f>H138&amp;3</f>
        <v>Abel3</v>
      </c>
      <c r="K139" s="2595" t="str">
        <f>K138&amp;1</f>
        <v>Ilmora1</v>
      </c>
      <c r="L139" s="2595" t="str">
        <f>K138&amp;2</f>
        <v>Ilmora2</v>
      </c>
      <c r="M139" s="564" t="str">
        <f>M138&amp;1</f>
        <v>Helenia1</v>
      </c>
      <c r="N139" s="2595" t="str">
        <f>M138&amp;2</f>
        <v>Helenia2</v>
      </c>
      <c r="O139" s="565" t="str">
        <f>M138&amp;3</f>
        <v>Helenia3</v>
      </c>
      <c r="P139" s="2595" t="str">
        <f>P138&amp;1</f>
        <v>Dalaborn1</v>
      </c>
      <c r="Q139" s="2595" t="str">
        <f>P138&amp;2</f>
        <v>Dalaborn2</v>
      </c>
      <c r="R139" s="564" t="str">
        <f>R138&amp;1</f>
        <v>Alberia1</v>
      </c>
      <c r="S139" s="565" t="str">
        <f>R138&amp;2</f>
        <v>Alberia2</v>
      </c>
      <c r="T139" s="2595" t="str">
        <f>T138&amp;1</f>
        <v>Galgados1</v>
      </c>
      <c r="U139" s="564" t="str">
        <f>U138&amp;1</f>
        <v>Arlan1</v>
      </c>
      <c r="V139" s="565" t="str">
        <f>U138&amp;2</f>
        <v>Arlan2</v>
      </c>
      <c r="W139" s="2595" t="str">
        <f>W138&amp;1</f>
        <v>Kanon1</v>
      </c>
      <c r="X139" s="2595" t="str">
        <f>W138&amp;2</f>
        <v>Kanon2</v>
      </c>
      <c r="Y139" s="564" t="str">
        <f>Y138&amp;1</f>
        <v>Togarini1</v>
      </c>
      <c r="Z139" s="2595" t="str">
        <f>Y138&amp;2</f>
        <v>Togarini2</v>
      </c>
      <c r="AA139" s="565" t="str">
        <f>Y138&amp;3</f>
        <v>Togarini3</v>
      </c>
      <c r="AB139" s="2595" t="str">
        <f>AB138&amp;1</f>
        <v>Remo1</v>
      </c>
      <c r="AC139" s="2595" t="str">
        <f>AB138&amp;2</f>
        <v>Remo2</v>
      </c>
      <c r="AD139" s="564" t="str">
        <f>AD138&amp;1</f>
        <v>Bellafonte1</v>
      </c>
      <c r="AE139" s="565" t="str">
        <f>AD138&amp;2</f>
        <v>Bellafonte2</v>
      </c>
      <c r="AF139" s="2595" t="str">
        <f>AF138&amp;1</f>
        <v>Goldar1</v>
      </c>
      <c r="AG139" s="2595" t="str">
        <f>AF138&amp;2</f>
        <v>Goldar2</v>
      </c>
      <c r="AH139" s="2595" t="str">
        <f>AF138&amp;3</f>
        <v>Goldar3</v>
      </c>
      <c r="AI139" s="564" t="str">
        <f>AI138&amp;1</f>
        <v>Haufman1</v>
      </c>
      <c r="AJ139" s="2595" t="str">
        <f>AI138&amp;2</f>
        <v>Haufman2</v>
      </c>
      <c r="AK139" s="565" t="str">
        <f>AI138&amp;3</f>
        <v>Haufman3</v>
      </c>
      <c r="AL139" s="2595" t="str">
        <f>AL138&amp;1</f>
        <v>Hendell1</v>
      </c>
      <c r="AM139" s="2595" t="str">
        <f>AL138&amp;2</f>
        <v>Hendell2</v>
      </c>
      <c r="AN139" s="2595" t="str">
        <f>AL138&amp;3</f>
        <v>Hendell3</v>
      </c>
      <c r="AO139" s="2595" t="str">
        <f>AL138&amp;4</f>
        <v>Hendell4</v>
      </c>
      <c r="AP139" s="564" t="str">
        <f>AP138&amp;1</f>
        <v>Moth1</v>
      </c>
      <c r="AQ139" s="2595" t="str">
        <f>AP138&amp;2</f>
        <v>Moth2</v>
      </c>
      <c r="AR139" s="565" t="str">
        <f>AP138&amp;3</f>
        <v>Moth3</v>
      </c>
      <c r="AS139" s="2595" t="str">
        <f>AS138&amp;1</f>
        <v>Dwänholf1</v>
      </c>
      <c r="AT139" s="2595" t="str">
        <f>AS138&amp;2</f>
        <v>Dwänholf2</v>
      </c>
      <c r="AU139" s="564" t="str">
        <f>AU138&amp;1</f>
        <v>Gabriel1</v>
      </c>
      <c r="AV139" s="2595" t="str">
        <f>AU138&amp;2</f>
        <v>Gabriel2</v>
      </c>
      <c r="AW139" s="565" t="str">
        <f>AU138&amp;3</f>
        <v>Gabriel3</v>
      </c>
      <c r="AX139" s="2595" t="str">
        <f>AX138&amp;1</f>
        <v>Phaion Eien Seimon1</v>
      </c>
      <c r="AY139" s="2595" t="str">
        <f>AX138&amp;2</f>
        <v>Phaion Eien Seimon2</v>
      </c>
      <c r="AZ139" s="564" t="str">
        <f>AZ138&amp;1</f>
        <v>El Dominio1</v>
      </c>
      <c r="BA139" s="565" t="str">
        <f>AZ138&amp;2</f>
        <v>El Dominio2</v>
      </c>
      <c r="BB139" s="2595" t="str">
        <f>BB138&amp;1</f>
        <v>Argos1</v>
      </c>
      <c r="BC139" s="2595" t="str">
        <f>BB138&amp;2</f>
        <v>Argos2</v>
      </c>
      <c r="BD139" s="564" t="str">
        <f>BD138&amp;1</f>
        <v>Kushistán1</v>
      </c>
      <c r="BE139" s="565" t="str">
        <f>BD138&amp;2</f>
        <v>Kushistán2</v>
      </c>
      <c r="BF139" s="2595" t="str">
        <f>BF138&amp;1</f>
        <v>Estigia1</v>
      </c>
      <c r="BG139" s="2595" t="str">
        <f>BF138&amp;2</f>
        <v>Estigia2</v>
      </c>
      <c r="BH139" s="566" t="str">
        <f>BH138&amp;1</f>
        <v>Salazar1</v>
      </c>
      <c r="BI139" s="564" t="str">
        <f>BI138&amp;1</f>
        <v>Nanwe1</v>
      </c>
      <c r="BJ139" s="565" t="str">
        <f>BI138&amp;2</f>
        <v>Nanwe2</v>
      </c>
      <c r="BK139" s="2595" t="str">
        <f>BK138&amp;1</f>
        <v>Lucrecio1</v>
      </c>
      <c r="BL139" s="2595" t="str">
        <f>BK138&amp;2</f>
        <v>Lucrecio2</v>
      </c>
      <c r="BM139" s="566" t="str">
        <f>BM138&amp;1</f>
        <v>Kashmir1</v>
      </c>
      <c r="BN139" s="2595" t="str">
        <f>BN138&amp;1</f>
        <v>Baho1</v>
      </c>
      <c r="BO139" s="2595" t="str">
        <f>BN138&amp;2</f>
        <v>Baho2</v>
      </c>
      <c r="BP139" s="564" t="str">
        <f>BP138&amp;1</f>
        <v>Lannet1</v>
      </c>
      <c r="BQ139" s="2595" t="str">
        <f>BP138&amp;2</f>
        <v>Lannet2</v>
      </c>
      <c r="BR139" s="565" t="str">
        <f>BP138&amp;3</f>
        <v>Lannet3</v>
      </c>
      <c r="BS139" s="2595" t="str">
        <f>BS138&amp;1</f>
        <v>Shivat1</v>
      </c>
      <c r="BT139" s="2595" t="str">
        <f>BS138&amp;2</f>
        <v>Shivat2</v>
      </c>
      <c r="BU139" s="564" t="str">
        <f>BU138&amp;1</f>
        <v>Manterra1</v>
      </c>
      <c r="BV139" s="2595" t="str">
        <f>BU138&amp;2</f>
        <v>Manterra2</v>
      </c>
      <c r="BW139" s="2595" t="str">
        <f>BU138&amp;3</f>
        <v>Manterra3</v>
      </c>
      <c r="BX139" s="565" t="str">
        <f>BU138&amp;4</f>
        <v>Manterra4</v>
      </c>
      <c r="BY139" s="2595" t="str">
        <f>BY138&amp;1</f>
        <v>Corinia1</v>
      </c>
      <c r="BZ139" s="2595" t="str">
        <f>BY138&amp;2</f>
        <v>Corinia2</v>
      </c>
      <c r="CA139" s="2595" t="str">
        <f>BY138&amp;3</f>
        <v>Corinia3</v>
      </c>
      <c r="CB139" s="564" t="str">
        <f>CB138&amp;1</f>
        <v>Arabal1</v>
      </c>
      <c r="CC139" s="2595" t="str">
        <f>CB138&amp;2</f>
        <v>Arabal2</v>
      </c>
      <c r="CD139" s="565" t="str">
        <f>CB138&amp;3</f>
        <v>Arabal3</v>
      </c>
      <c r="CE139" s="2595" t="str">
        <f>CE138&amp;1</f>
        <v>Pristina1</v>
      </c>
      <c r="CF139" s="2595" t="str">
        <f>CE138&amp;2</f>
        <v>Pristina2</v>
      </c>
      <c r="CG139" s="564" t="str">
        <f>CG138&amp;1</f>
        <v>Ygdramar1</v>
      </c>
      <c r="CH139" s="2595" t="str">
        <f>CG138&amp;2</f>
        <v>Ygdramar2</v>
      </c>
      <c r="CI139" s="565" t="str">
        <f>CG138&amp;3</f>
        <v>Ygdramar3</v>
      </c>
      <c r="CJ139" s="2595" t="str">
        <f>CJ138&amp;1</f>
        <v>Elcia1</v>
      </c>
      <c r="CK139" s="2595" t="str">
        <f>CJ138&amp;2</f>
        <v>Elcia2</v>
      </c>
      <c r="CL139" s="2595" t="str">
        <f>CJ138&amp;3</f>
        <v>Elcia3</v>
      </c>
      <c r="CM139" s="2595" t="str">
        <f>CJ138&amp;4</f>
        <v>Elcia4</v>
      </c>
      <c r="CN139" s="564" t="str">
        <f>CN138&amp;1</f>
        <v>Espheria1</v>
      </c>
      <c r="CO139" s="565" t="str">
        <f>CN138&amp;2</f>
        <v>Espheria2</v>
      </c>
      <c r="CP139" s="2595" t="str">
        <f>CP138&amp;1</f>
        <v>Itzi1</v>
      </c>
      <c r="CQ139" s="2595" t="str">
        <f>CP138&amp;2</f>
        <v>Itzi2</v>
      </c>
      <c r="CR139" s="564" t="str">
        <f>CR138&amp;1</f>
        <v>Dafne1</v>
      </c>
      <c r="CS139" s="2595" t="str">
        <f>CR138&amp;2</f>
        <v>Dafne2</v>
      </c>
      <c r="CT139" s="565" t="str">
        <f>CR138&amp;3</f>
        <v>Dafne3</v>
      </c>
      <c r="CU139" s="2595" t="str">
        <f>CU138&amp;1</f>
        <v>Bekent1</v>
      </c>
      <c r="CV139" s="2595" t="str">
        <f>CU138&amp;2</f>
        <v>Bekent2</v>
      </c>
      <c r="CW139" s="564" t="str">
        <f>CW138&amp;1</f>
        <v>Heinlein1</v>
      </c>
      <c r="CX139" s="2595" t="str">
        <f>CW138&amp;2</f>
        <v>Heinlein2</v>
      </c>
      <c r="CY139" s="565" t="str">
        <f>CW138&amp;3</f>
        <v>Heinlein3</v>
      </c>
      <c r="CZ139" s="2595" t="str">
        <f>CZ138&amp;1</f>
        <v>Dravenor1</v>
      </c>
      <c r="DA139" s="564" t="str">
        <f>DA138&amp;1</f>
        <v>Theresia1</v>
      </c>
      <c r="DB139" s="2595" t="str">
        <f>DA138&amp;2</f>
        <v>Theresia2</v>
      </c>
      <c r="DC139" s="565" t="str">
        <f>DA138&amp;3</f>
        <v>Theresia3</v>
      </c>
      <c r="DD139" s="2595" t="str">
        <f>DD138&amp;1</f>
        <v>Deloran1</v>
      </c>
      <c r="DE139" s="2576" t="str">
        <f>DD138&amp;2</f>
        <v>Deloran2</v>
      </c>
      <c r="DF139" s="562" t="str">
        <f>DF138&amp;COUNTIF(H$139:$DE139,DF138&amp;"*")+1</f>
        <v>103</v>
      </c>
    </row>
    <row r="140" spans="1:110" ht="12.75" customHeight="1" x14ac:dyDescent="0.2">
      <c r="A140" s="227">
        <v>140</v>
      </c>
      <c r="B140" s="6042"/>
      <c r="C140" s="556" t="s">
        <v>6295</v>
      </c>
      <c r="D140" s="557"/>
      <c r="F140" s="2593" t="str">
        <f>IF(ISNA(HLOOKUP($I$136&amp;$A5,$H$139:$DF$140,2,FALSE))," ",HLOOKUP($I$136&amp;$A5,$H$139:$DF$140,2,FALSE))</f>
        <v xml:space="preserve"> </v>
      </c>
      <c r="G140" s="2594"/>
      <c r="H140" s="569" t="s">
        <v>6359</v>
      </c>
      <c r="I140" s="2597" t="s">
        <v>6320</v>
      </c>
      <c r="J140" s="570" t="s">
        <v>86</v>
      </c>
      <c r="K140" s="2598" t="s">
        <v>6359</v>
      </c>
      <c r="L140" s="2598" t="s">
        <v>86</v>
      </c>
      <c r="M140" s="569" t="s">
        <v>6359</v>
      </c>
      <c r="N140" s="2598" t="s">
        <v>2540</v>
      </c>
      <c r="O140" s="745" t="s">
        <v>86</v>
      </c>
      <c r="P140" s="2598" t="s">
        <v>6359</v>
      </c>
      <c r="Q140" s="2598" t="s">
        <v>86</v>
      </c>
      <c r="R140" s="569" t="s">
        <v>6359</v>
      </c>
      <c r="S140" s="570" t="s">
        <v>86</v>
      </c>
      <c r="T140" s="2598" t="s">
        <v>6360</v>
      </c>
      <c r="U140" s="569" t="s">
        <v>6359</v>
      </c>
      <c r="V140" s="570" t="s">
        <v>6320</v>
      </c>
      <c r="W140" s="2598" t="s">
        <v>6359</v>
      </c>
      <c r="X140" s="2598" t="s">
        <v>86</v>
      </c>
      <c r="Y140" s="1233" t="s">
        <v>6359</v>
      </c>
      <c r="Z140" s="2597" t="s">
        <v>6320</v>
      </c>
      <c r="AA140" s="745" t="s">
        <v>86</v>
      </c>
      <c r="AB140" s="2597" t="s">
        <v>7287</v>
      </c>
      <c r="AC140" s="2597" t="s">
        <v>6361</v>
      </c>
      <c r="AD140" s="1233" t="s">
        <v>6359</v>
      </c>
      <c r="AE140" s="745" t="s">
        <v>86</v>
      </c>
      <c r="AF140" s="2597" t="s">
        <v>6362</v>
      </c>
      <c r="AG140" s="2597" t="s">
        <v>6321</v>
      </c>
      <c r="AH140" s="2597" t="s">
        <v>6363</v>
      </c>
      <c r="AI140" s="1233" t="s">
        <v>6321</v>
      </c>
      <c r="AJ140" s="2597" t="s">
        <v>6322</v>
      </c>
      <c r="AK140" s="745" t="s">
        <v>6323</v>
      </c>
      <c r="AL140" s="2597" t="s">
        <v>6324</v>
      </c>
      <c r="AM140" s="2597" t="s">
        <v>6321</v>
      </c>
      <c r="AN140" s="2597" t="s">
        <v>6325</v>
      </c>
      <c r="AO140" s="2597" t="s">
        <v>7288</v>
      </c>
      <c r="AP140" s="569" t="s">
        <v>6359</v>
      </c>
      <c r="AQ140" s="2598" t="s">
        <v>6326</v>
      </c>
      <c r="AR140" s="570" t="s">
        <v>86</v>
      </c>
      <c r="AS140" s="2598" t="s">
        <v>6364</v>
      </c>
      <c r="AT140" s="2598" t="s">
        <v>6327</v>
      </c>
      <c r="AU140" s="569" t="s">
        <v>6365</v>
      </c>
      <c r="AV140" s="2598" t="s">
        <v>6320</v>
      </c>
      <c r="AW140" s="570" t="s">
        <v>86</v>
      </c>
      <c r="AX140" s="2598" t="s">
        <v>6359</v>
      </c>
      <c r="AY140" s="2598" t="s">
        <v>6361</v>
      </c>
      <c r="AZ140" s="569" t="s">
        <v>6359</v>
      </c>
      <c r="BA140" s="570" t="s">
        <v>6366</v>
      </c>
      <c r="BB140" s="2598" t="s">
        <v>6359</v>
      </c>
      <c r="BC140" s="2598" t="s">
        <v>86</v>
      </c>
      <c r="BD140" s="569" t="s">
        <v>6359</v>
      </c>
      <c r="BE140" s="570" t="s">
        <v>6361</v>
      </c>
      <c r="BF140" s="2598" t="s">
        <v>6359</v>
      </c>
      <c r="BG140" s="2598" t="s">
        <v>6367</v>
      </c>
      <c r="BH140" s="571" t="s">
        <v>6328</v>
      </c>
      <c r="BI140" s="569" t="s">
        <v>6329</v>
      </c>
      <c r="BJ140" s="570" t="s">
        <v>6368</v>
      </c>
      <c r="BK140" s="2598" t="s">
        <v>6359</v>
      </c>
      <c r="BL140" s="2598" t="s">
        <v>6369</v>
      </c>
      <c r="BM140" s="571" t="s">
        <v>6330</v>
      </c>
      <c r="BN140" s="2598" t="s">
        <v>6331</v>
      </c>
      <c r="BO140" s="2598" t="s">
        <v>6332</v>
      </c>
      <c r="BP140" s="569" t="s">
        <v>6333</v>
      </c>
      <c r="BQ140" s="2598" t="s">
        <v>6370</v>
      </c>
      <c r="BR140" s="570" t="s">
        <v>6334</v>
      </c>
      <c r="BS140" s="2598" t="s">
        <v>6359</v>
      </c>
      <c r="BT140" s="2598" t="s">
        <v>6371</v>
      </c>
      <c r="BU140" s="569" t="s">
        <v>6372</v>
      </c>
      <c r="BV140" s="2598" t="s">
        <v>6335</v>
      </c>
      <c r="BW140" s="2598" t="s">
        <v>6320</v>
      </c>
      <c r="BX140" s="570" t="s">
        <v>86</v>
      </c>
      <c r="BY140" s="2598" t="s">
        <v>2538</v>
      </c>
      <c r="BZ140" s="2598" t="s">
        <v>6336</v>
      </c>
      <c r="CA140" s="2598" t="s">
        <v>6337</v>
      </c>
      <c r="CB140" s="569" t="s">
        <v>6359</v>
      </c>
      <c r="CC140" s="2598" t="s">
        <v>6320</v>
      </c>
      <c r="CD140" s="570" t="s">
        <v>86</v>
      </c>
      <c r="CE140" s="2598" t="s">
        <v>6359</v>
      </c>
      <c r="CF140" s="2598" t="s">
        <v>6327</v>
      </c>
      <c r="CG140" s="569" t="s">
        <v>6338</v>
      </c>
      <c r="CH140" s="2598" t="s">
        <v>2539</v>
      </c>
      <c r="CI140" s="570" t="s">
        <v>86</v>
      </c>
      <c r="CJ140" s="2598" t="s">
        <v>6333</v>
      </c>
      <c r="CK140" s="2598" t="s">
        <v>6339</v>
      </c>
      <c r="CL140" s="2598" t="s">
        <v>6320</v>
      </c>
      <c r="CM140" s="2598" t="s">
        <v>6340</v>
      </c>
      <c r="CN140" s="569" t="s">
        <v>6359</v>
      </c>
      <c r="CO140" s="570" t="s">
        <v>6320</v>
      </c>
      <c r="CP140" s="2598" t="s">
        <v>6359</v>
      </c>
      <c r="CQ140" s="2598" t="s">
        <v>6341</v>
      </c>
      <c r="CR140" s="569" t="s">
        <v>6359</v>
      </c>
      <c r="CS140" s="2598" t="s">
        <v>6320</v>
      </c>
      <c r="CT140" s="570" t="s">
        <v>86</v>
      </c>
      <c r="CU140" s="2598" t="s">
        <v>2540</v>
      </c>
      <c r="CV140" s="2598" t="s">
        <v>6337</v>
      </c>
      <c r="CW140" s="569" t="s">
        <v>6359</v>
      </c>
      <c r="CX140" s="2598" t="s">
        <v>6320</v>
      </c>
      <c r="CY140" s="570" t="s">
        <v>86</v>
      </c>
      <c r="CZ140" s="2598" t="s">
        <v>6373</v>
      </c>
      <c r="DA140" s="569" t="s">
        <v>6359</v>
      </c>
      <c r="DB140" s="2598" t="s">
        <v>6320</v>
      </c>
      <c r="DC140" s="570" t="s">
        <v>86</v>
      </c>
      <c r="DD140" s="2598" t="s">
        <v>6359</v>
      </c>
      <c r="DE140" s="570" t="s">
        <v>6320</v>
      </c>
      <c r="DF140" s="572" t="str">
        <f>IF(Personalización!C21="","",Personalización!C21)</f>
        <v/>
      </c>
    </row>
    <row r="141" spans="1:110" ht="12.75" customHeight="1" x14ac:dyDescent="0.2">
      <c r="A141" s="227">
        <v>141</v>
      </c>
      <c r="B141" s="6042"/>
      <c r="C141" s="556" t="s">
        <v>6296</v>
      </c>
      <c r="D141" s="486"/>
      <c r="F141" s="2596">
        <v>1</v>
      </c>
      <c r="G141" s="568" t="s">
        <v>1370</v>
      </c>
      <c r="H141" s="564" t="str">
        <f>H138&amp;H140</f>
        <v>AbelMedia / Baja</v>
      </c>
      <c r="I141" s="2595" t="str">
        <f>H138&amp;I140</f>
        <v>AbelBurgués</v>
      </c>
      <c r="J141" s="565" t="str">
        <f>H138&amp;J140</f>
        <v>AbelNobleza</v>
      </c>
      <c r="K141" s="2595" t="str">
        <f>K138&amp;K140</f>
        <v>IlmoraMedia / Baja</v>
      </c>
      <c r="L141" s="2595" t="str">
        <f>K138&amp;L140</f>
        <v>IlmoraNobleza</v>
      </c>
      <c r="M141" s="564" t="str">
        <f>M138&amp;M140</f>
        <v>HeleniaMedia / Baja</v>
      </c>
      <c r="N141" s="2595" t="str">
        <f>M138&amp;N140</f>
        <v>HeleniaNómada</v>
      </c>
      <c r="O141" s="565" t="str">
        <f>M138&amp;O140</f>
        <v>HeleniaNobleza</v>
      </c>
      <c r="P141" s="2595" t="str">
        <f>P138&amp;P140</f>
        <v>DalabornMedia / Baja</v>
      </c>
      <c r="Q141" s="2595" t="str">
        <f>P138&amp;Q140</f>
        <v>DalabornNobleza</v>
      </c>
      <c r="R141" s="564" t="str">
        <f>R138&amp;R140</f>
        <v>AlberiaMedia / Baja</v>
      </c>
      <c r="S141" s="565" t="str">
        <f>R138&amp;S140</f>
        <v>AlberiaNobleza</v>
      </c>
      <c r="T141" s="2595" t="str">
        <f>T138&amp;T140</f>
        <v>GalgadosMedia / Baja / Nobleza</v>
      </c>
      <c r="U141" s="564" t="str">
        <f>U138&amp;U140</f>
        <v>ArlanMedia / Baja</v>
      </c>
      <c r="V141" s="565" t="str">
        <f>U138&amp;V140</f>
        <v>ArlanBurgués</v>
      </c>
      <c r="W141" s="2595" t="str">
        <f>W138&amp;W140</f>
        <v>KanonMedia / Baja</v>
      </c>
      <c r="X141" s="2595" t="str">
        <f>W138&amp;X140</f>
        <v>KanonNobleza</v>
      </c>
      <c r="Y141" s="564" t="str">
        <f>Y138&amp;Y140</f>
        <v>TogariniMedia / Baja</v>
      </c>
      <c r="Z141" s="2595" t="str">
        <f>Y138&amp;Z140</f>
        <v>TogariniBurgués</v>
      </c>
      <c r="AA141" s="565" t="str">
        <f>Y138&amp;AA140</f>
        <v>TogariniNobleza</v>
      </c>
      <c r="AB141" s="2595" t="str">
        <f>AB138&amp;AB140</f>
        <v>RemoBaja / Media</v>
      </c>
      <c r="AC141" s="2595" t="str">
        <f>AB138&amp;AC140</f>
        <v>RemoBurgués / Nobleza</v>
      </c>
      <c r="AD141" s="564" t="str">
        <f>AD138&amp;AD140</f>
        <v>BellafonteMedia / Baja</v>
      </c>
      <c r="AE141" s="565" t="str">
        <f>AD138&amp;AE140</f>
        <v>BellafonteNobleza</v>
      </c>
      <c r="AF141" s="2595" t="str">
        <f>AF138&amp;AF140</f>
        <v>GoldarCampesino / Desterrado</v>
      </c>
      <c r="AG141" s="2595" t="str">
        <f>AF138&amp;AG140</f>
        <v>GoldarNorteño</v>
      </c>
      <c r="AH141" s="2595" t="str">
        <f>AF138&amp;AH140</f>
        <v>GoldarErling / Skalmo / Escaldo Honorable</v>
      </c>
      <c r="AI141" s="564" t="str">
        <f>AI138&amp;AI140</f>
        <v>HaufmanNorteño</v>
      </c>
      <c r="AJ141" s="2595" t="str">
        <f>AI138&amp;AJ140</f>
        <v>HaufmanSaerinmir</v>
      </c>
      <c r="AK141" s="565" t="str">
        <f>AI138&amp;AK140</f>
        <v>HaufmanNoble</v>
      </c>
      <c r="AL141" s="2595" t="str">
        <f>AL138&amp;AL140</f>
        <v>HendellCampesino</v>
      </c>
      <c r="AM141" s="2595" t="str">
        <f>AL138&amp;AM140</f>
        <v>HendellNorteño</v>
      </c>
      <c r="AN141" s="2595" t="str">
        <f>AL138&amp;AN140</f>
        <v>HendellLochgjest</v>
      </c>
      <c r="AO141" s="2595" t="str">
        <f>AL138&amp;AO140</f>
        <v>HendellPrimera Casta</v>
      </c>
      <c r="AP141" s="564" t="str">
        <f>AP138&amp;AP140</f>
        <v>MothMedia / Baja</v>
      </c>
      <c r="AQ141" s="2595" t="str">
        <f>AP138&amp;AQ140</f>
        <v>MothZigeuner</v>
      </c>
      <c r="AR141" s="565" t="str">
        <f>AP138&amp;AR140</f>
        <v>MothNobleza</v>
      </c>
      <c r="AS141" s="2595" t="str">
        <f>AS138&amp;AS140</f>
        <v>DwänholfMedia / Pobre</v>
      </c>
      <c r="AT141" s="2595" t="str">
        <f>AS138&amp;AT140</f>
        <v>DwänholfAdinerada</v>
      </c>
      <c r="AU141" s="564" t="str">
        <f>AU138&amp;AU140</f>
        <v>GabrielMedia / Indigente</v>
      </c>
      <c r="AV141" s="2595" t="str">
        <f>AU138&amp;AV140</f>
        <v>GabrielBurgués</v>
      </c>
      <c r="AW141" s="565" t="str">
        <f>AU138&amp;AW140</f>
        <v>GabrielNobleza</v>
      </c>
      <c r="AX141" s="2595" t="str">
        <f>AX138&amp;AX140</f>
        <v>Phaion Eien SeimonMedia / Baja</v>
      </c>
      <c r="AY141" s="2595" t="str">
        <f>AX138&amp;AY140</f>
        <v>Phaion Eien SeimonBurgués / Nobleza</v>
      </c>
      <c r="AZ141" s="564" t="str">
        <f>AZ138&amp;AZ140</f>
        <v>El DominioMedia / Baja</v>
      </c>
      <c r="BA141" s="565" t="str">
        <f>AZ138&amp;BA140</f>
        <v>El DominioNobleza / Clero</v>
      </c>
      <c r="BB141" s="2595" t="str">
        <f>BB138&amp;BB140</f>
        <v>ArgosMedia / Baja</v>
      </c>
      <c r="BC141" s="2595" t="str">
        <f>BB138&amp;BC140</f>
        <v>ArgosNobleza</v>
      </c>
      <c r="BD141" s="564" t="str">
        <f>BD138&amp;BD140</f>
        <v>KushistánMedia / Baja</v>
      </c>
      <c r="BE141" s="565" t="str">
        <f>BD138&amp;BE140</f>
        <v>KushistánBurgués / Nobleza</v>
      </c>
      <c r="BF141" s="2595" t="str">
        <f>BF138&amp;BF140</f>
        <v>EstigiaMedia / Baja</v>
      </c>
      <c r="BG141" s="2595" t="str">
        <f>BF138&amp;BG140</f>
        <v>EstigiaBurócrata / Burgués / Nobleza</v>
      </c>
      <c r="BH141" s="566" t="str">
        <f>BH138&amp;BH140</f>
        <v>SalazarNómadas</v>
      </c>
      <c r="BI141" s="564" t="str">
        <f>BI138&amp;BI140</f>
        <v>NanweMiembro de tribu</v>
      </c>
      <c r="BJ141" s="565" t="str">
        <f>BI138&amp;BJ140</f>
        <v>NanweMedia / Burgués</v>
      </c>
      <c r="BK141" s="2595" t="str">
        <f>BK138&amp;BK140</f>
        <v>LucrecioMedia / Baja</v>
      </c>
      <c r="BL141" s="2595" t="str">
        <f>BK138&amp;BL140</f>
        <v>LucrecioAlta / Burguesía</v>
      </c>
      <c r="BM141" s="566" t="str">
        <f>BM138&amp;BM140</f>
        <v>KashmirHabitante de la sabana</v>
      </c>
      <c r="BN141" s="2595" t="str">
        <f>BN138&amp;BN140</f>
        <v>BahoCasta de los sabios</v>
      </c>
      <c r="BO141" s="2595" t="str">
        <f>BN138&amp;BO140</f>
        <v>BahoCasta de los guerreros</v>
      </c>
      <c r="BP141" s="564" t="str">
        <f>BP138&amp;BP140</f>
        <v>LannetBaja</v>
      </c>
      <c r="BQ141" s="2595" t="str">
        <f>BP138&amp;BQ140</f>
        <v>LannetBurgués / Samurái (cortesano)</v>
      </c>
      <c r="BR141" s="565" t="str">
        <f>BP138&amp;BR140</f>
        <v>LannetSamurái (guerrero)</v>
      </c>
      <c r="BS141" s="2595" t="str">
        <f>BS138&amp;BS140</f>
        <v>ShivatMedia / Baja</v>
      </c>
      <c r="BT141" s="2595" t="str">
        <f>BS138&amp;BT140</f>
        <v>ShivatNobleza / Burguesía / Burócrata</v>
      </c>
      <c r="BU141" s="564" t="str">
        <f>BU138&amp;BU140</f>
        <v>ManterraMedia /  Baja</v>
      </c>
      <c r="BV141" s="2595" t="str">
        <f>BU138&amp;BV140</f>
        <v>ManterraNativo</v>
      </c>
      <c r="BW141" s="2595" t="str">
        <f>BU138&amp;BW140</f>
        <v>ManterraBurgués</v>
      </c>
      <c r="BX141" s="565" t="str">
        <f>BU138&amp;BX140</f>
        <v>ManterraNobleza</v>
      </c>
      <c r="BY141" s="2595" t="str">
        <f>BY138&amp;BY140</f>
        <v>CoriniaBárbaro</v>
      </c>
      <c r="BZ141" s="2595" t="str">
        <f>BY138&amp;BZ140</f>
        <v>CoriniaColono</v>
      </c>
      <c r="CA141" s="2595" t="str">
        <f>BY138&amp;CA140</f>
        <v>CoriniaPrivilegiado</v>
      </c>
      <c r="CB141" s="564" t="str">
        <f>CB138&amp;CB140</f>
        <v>ArabalMedia / Baja</v>
      </c>
      <c r="CC141" s="2595" t="str">
        <f>CB138&amp;CC140</f>
        <v>ArabalBurgués</v>
      </c>
      <c r="CD141" s="565" t="str">
        <f>CB138&amp;CD140</f>
        <v>ArabalNobleza</v>
      </c>
      <c r="CE141" s="2595" t="str">
        <f>CE138&amp;CE140</f>
        <v>PristinaMedia / Baja</v>
      </c>
      <c r="CF141" s="2595" t="str">
        <f>CE138&amp;CF140</f>
        <v>PristinaAdinerada</v>
      </c>
      <c r="CG141" s="564" t="str">
        <f>CG138&amp;CG140</f>
        <v>YgdramarPlebeyo</v>
      </c>
      <c r="CH141" s="2595" t="str">
        <f>CG138&amp;CH140</f>
        <v>YgdramarCaballero</v>
      </c>
      <c r="CI141" s="565" t="str">
        <f>CG138&amp;CI140</f>
        <v>YgdramarNobleza</v>
      </c>
      <c r="CJ141" s="2595" t="str">
        <f>CJ138&amp;CJ140</f>
        <v>ElciaBaja</v>
      </c>
      <c r="CK141" s="2595" t="str">
        <f>CJ138&amp;CK140</f>
        <v>ElciaGremio</v>
      </c>
      <c r="CL141" s="2595" t="str">
        <f>CJ138&amp;CL140</f>
        <v>ElciaBurgués</v>
      </c>
      <c r="CM141" s="2595" t="str">
        <f>CJ138&amp;CM140</f>
        <v>ElciaNobleza gremial</v>
      </c>
      <c r="CN141" s="564" t="str">
        <f>CN138&amp;CN140</f>
        <v>EspheriaMedia / Baja</v>
      </c>
      <c r="CO141" s="565" t="str">
        <f>CN138&amp;CO140</f>
        <v>EspheriaBurgués</v>
      </c>
      <c r="CP141" s="2595" t="str">
        <f>CP138&amp;CP140</f>
        <v>ItziMedia / Baja</v>
      </c>
      <c r="CQ141" s="2595" t="str">
        <f>CP138&amp;CQ140</f>
        <v>ItziAlta</v>
      </c>
      <c r="CR141" s="564" t="str">
        <f>CR138&amp;CR140</f>
        <v>DafneMedia / Baja</v>
      </c>
      <c r="CS141" s="2595" t="str">
        <f>CR138&amp;CS140</f>
        <v>DafneBurgués</v>
      </c>
      <c r="CT141" s="565" t="str">
        <f>CR138&amp;CT140</f>
        <v>DafneNobleza</v>
      </c>
      <c r="CU141" s="2595" t="str">
        <f>CU138&amp;CU140</f>
        <v>BekentNómada</v>
      </c>
      <c r="CV141" s="2595" t="str">
        <f>CU138&amp;CV140</f>
        <v>BekentPrivilegiado</v>
      </c>
      <c r="CW141" s="564" t="str">
        <f>CW138&amp;CW140</f>
        <v>HeinleinMedia / Baja</v>
      </c>
      <c r="CX141" s="2595" t="str">
        <f>CW138&amp;CX140</f>
        <v>HeinleinBurgués</v>
      </c>
      <c r="CY141" s="565" t="str">
        <f>CW138&amp;CY140</f>
        <v>HeinleinNobleza</v>
      </c>
      <c r="CZ141" s="2595" t="str">
        <f>CZ138&amp;CZ140</f>
        <v>DravenorSoldado / Refugiado</v>
      </c>
      <c r="DA141" s="564" t="str">
        <f>DA138&amp;DA140</f>
        <v>TheresiaMedia / Baja</v>
      </c>
      <c r="DB141" s="2595" t="str">
        <f>DA138&amp;DB140</f>
        <v>TheresiaBurgués</v>
      </c>
      <c r="DC141" s="565" t="str">
        <f>DA138&amp;DC140</f>
        <v>TheresiaNobleza</v>
      </c>
      <c r="DD141" s="2595" t="str">
        <f>DD138&amp;DD140</f>
        <v>DeloranMedia / Baja</v>
      </c>
      <c r="DE141" s="565" t="str">
        <f>DD138&amp;DE140</f>
        <v>DeloranBurgués</v>
      </c>
      <c r="DF141" s="562" t="str">
        <f>DF138&amp;DF140</f>
        <v/>
      </c>
    </row>
    <row r="142" spans="1:110" ht="12.75" customHeight="1" x14ac:dyDescent="0.2">
      <c r="A142" s="227">
        <v>142</v>
      </c>
      <c r="B142" s="6042"/>
      <c r="C142" s="556" t="s">
        <v>6297</v>
      </c>
      <c r="D142" s="557"/>
      <c r="F142" s="2596">
        <v>2</v>
      </c>
      <c r="G142" s="326" t="s">
        <v>1404</v>
      </c>
      <c r="H142" s="2556"/>
      <c r="I142" s="2599"/>
      <c r="J142" s="930"/>
      <c r="K142" s="2599"/>
      <c r="L142" s="2599"/>
      <c r="M142" s="2556"/>
      <c r="N142" s="2599"/>
      <c r="O142" s="930"/>
      <c r="P142" s="2599"/>
      <c r="Q142" s="2599"/>
      <c r="R142" s="2556"/>
      <c r="S142" s="930"/>
      <c r="T142" s="2599">
        <v>10</v>
      </c>
      <c r="U142" s="2556"/>
      <c r="V142" s="930"/>
      <c r="W142" s="2599"/>
      <c r="X142" s="2599"/>
      <c r="Y142" s="2554"/>
      <c r="Z142" s="2406"/>
      <c r="AA142" s="2555"/>
      <c r="AB142" s="2406"/>
      <c r="AC142" s="2406"/>
      <c r="AD142" s="2554"/>
      <c r="AE142" s="2555"/>
      <c r="AF142" s="2406"/>
      <c r="AG142" s="2406"/>
      <c r="AH142" s="2406"/>
      <c r="AI142" s="2554"/>
      <c r="AJ142" s="2406"/>
      <c r="AK142" s="2555"/>
      <c r="AL142" s="2406"/>
      <c r="AM142" s="2406"/>
      <c r="AN142" s="2406"/>
      <c r="AO142" s="2406"/>
      <c r="AP142" s="2556"/>
      <c r="AQ142" s="2599"/>
      <c r="AR142" s="930"/>
      <c r="AS142" s="2599"/>
      <c r="AT142" s="2599"/>
      <c r="AU142" s="2556">
        <v>20</v>
      </c>
      <c r="AV142" s="2599"/>
      <c r="AW142" s="930"/>
      <c r="AX142" s="2599"/>
      <c r="AY142" s="2599"/>
      <c r="AZ142" s="2556"/>
      <c r="BA142" s="930"/>
      <c r="BB142" s="2599"/>
      <c r="BC142" s="2599"/>
      <c r="BD142" s="2556"/>
      <c r="BE142" s="930"/>
      <c r="BF142" s="2599"/>
      <c r="BG142" s="2599"/>
      <c r="BH142" s="931"/>
      <c r="BI142" s="2556"/>
      <c r="BJ142" s="930"/>
      <c r="BK142" s="2599"/>
      <c r="BL142" s="2599"/>
      <c r="BM142" s="931"/>
      <c r="BN142" s="2599"/>
      <c r="BO142" s="2599"/>
      <c r="BP142" s="2556"/>
      <c r="BQ142" s="2599"/>
      <c r="BR142" s="930"/>
      <c r="BS142" s="2599">
        <v>20</v>
      </c>
      <c r="BT142" s="2599"/>
      <c r="BU142" s="2556"/>
      <c r="BV142" s="2599"/>
      <c r="BW142" s="2599"/>
      <c r="BX142" s="930"/>
      <c r="BY142" s="2599"/>
      <c r="BZ142" s="2599"/>
      <c r="CA142" s="2599"/>
      <c r="CB142" s="2556"/>
      <c r="CC142" s="2599"/>
      <c r="CD142" s="930"/>
      <c r="CE142" s="2599"/>
      <c r="CF142" s="2599"/>
      <c r="CG142" s="2556"/>
      <c r="CH142" s="2599"/>
      <c r="CI142" s="930"/>
      <c r="CJ142" s="2599"/>
      <c r="CK142" s="2599"/>
      <c r="CL142" s="2599"/>
      <c r="CM142" s="2599"/>
      <c r="CN142" s="2556"/>
      <c r="CO142" s="930"/>
      <c r="CP142" s="2599"/>
      <c r="CQ142" s="2599"/>
      <c r="CR142" s="2556"/>
      <c r="CS142" s="2599"/>
      <c r="CT142" s="930"/>
      <c r="CU142" s="2599"/>
      <c r="CV142" s="2599"/>
      <c r="CW142" s="2556"/>
      <c r="CX142" s="2599"/>
      <c r="CY142" s="930"/>
      <c r="CZ142" s="2599"/>
      <c r="DA142" s="2556"/>
      <c r="DB142" s="2599"/>
      <c r="DC142" s="930"/>
      <c r="DD142" s="2599"/>
      <c r="DE142" s="930"/>
      <c r="DF142" s="2557">
        <f>IFERROR(VLOOKUP(G142,Personalización!$F$18:$H$21,3,0),IFERROR(VLOOKUP(G142,Personalización!$I$18:$K$21,3,0),IFERROR(VLOOKUP(G142,Personalización!$L$18:$N$21,3,0),IFERROR(VLOOKUP(G142,Personalización!$O$18:$Q$20,3,0),0))))</f>
        <v>0</v>
      </c>
    </row>
    <row r="143" spans="1:110" ht="12.75" customHeight="1" x14ac:dyDescent="0.2">
      <c r="A143" s="227">
        <v>143</v>
      </c>
      <c r="B143" s="6042"/>
      <c r="C143" s="556" t="s">
        <v>6298</v>
      </c>
      <c r="D143" s="557"/>
      <c r="F143" s="2596">
        <v>3</v>
      </c>
      <c r="G143" s="326" t="s">
        <v>1405</v>
      </c>
      <c r="H143" s="2556">
        <v>30</v>
      </c>
      <c r="I143" s="2599"/>
      <c r="J143" s="930"/>
      <c r="K143" s="2599"/>
      <c r="L143" s="2599"/>
      <c r="M143" s="2556">
        <v>20</v>
      </c>
      <c r="N143" s="2599">
        <v>20</v>
      </c>
      <c r="O143" s="930">
        <v>20</v>
      </c>
      <c r="P143" s="2599">
        <v>20</v>
      </c>
      <c r="Q143" s="2599">
        <v>20</v>
      </c>
      <c r="R143" s="2556">
        <v>20</v>
      </c>
      <c r="S143" s="930">
        <v>20</v>
      </c>
      <c r="T143" s="2599">
        <v>30</v>
      </c>
      <c r="U143" s="2556"/>
      <c r="V143" s="930"/>
      <c r="W143" s="2599">
        <v>20</v>
      </c>
      <c r="X143" s="2599">
        <v>20</v>
      </c>
      <c r="Y143" s="2554">
        <v>20</v>
      </c>
      <c r="Z143" s="2406"/>
      <c r="AA143" s="2555"/>
      <c r="AB143" s="2406">
        <v>20</v>
      </c>
      <c r="AC143" s="2406"/>
      <c r="AD143" s="2554">
        <v>20</v>
      </c>
      <c r="AE143" s="2555">
        <v>20</v>
      </c>
      <c r="AF143" s="2406">
        <v>30</v>
      </c>
      <c r="AG143" s="2406">
        <v>20</v>
      </c>
      <c r="AH143" s="2406">
        <v>20</v>
      </c>
      <c r="AI143" s="2554">
        <v>20</v>
      </c>
      <c r="AJ143" s="2406">
        <v>20</v>
      </c>
      <c r="AK143" s="2555">
        <v>20</v>
      </c>
      <c r="AL143" s="2406">
        <v>20</v>
      </c>
      <c r="AM143" s="2406">
        <v>20</v>
      </c>
      <c r="AN143" s="2406">
        <v>20</v>
      </c>
      <c r="AO143" s="2406">
        <v>20</v>
      </c>
      <c r="AP143" s="2556"/>
      <c r="AQ143" s="2599"/>
      <c r="AR143" s="930"/>
      <c r="AS143" s="2599"/>
      <c r="AT143" s="2599"/>
      <c r="AU143" s="2556">
        <v>20</v>
      </c>
      <c r="AV143" s="2599"/>
      <c r="AW143" s="930"/>
      <c r="AX143" s="2599">
        <v>20</v>
      </c>
      <c r="AY143" s="2599"/>
      <c r="AZ143" s="2556"/>
      <c r="BA143" s="930"/>
      <c r="BB143" s="2599">
        <v>20</v>
      </c>
      <c r="BC143" s="2599">
        <v>20</v>
      </c>
      <c r="BD143" s="2556">
        <v>20</v>
      </c>
      <c r="BE143" s="930"/>
      <c r="BF143" s="2599">
        <v>20</v>
      </c>
      <c r="BG143" s="2599"/>
      <c r="BH143" s="931">
        <v>30</v>
      </c>
      <c r="BI143" s="2556">
        <v>20</v>
      </c>
      <c r="BJ143" s="930"/>
      <c r="BK143" s="2599">
        <v>20</v>
      </c>
      <c r="BL143" s="2599">
        <v>20</v>
      </c>
      <c r="BM143" s="931">
        <v>40</v>
      </c>
      <c r="BN143" s="2599"/>
      <c r="BO143" s="2599">
        <v>20</v>
      </c>
      <c r="BP143" s="2556">
        <v>30</v>
      </c>
      <c r="BQ143" s="2599">
        <v>20</v>
      </c>
      <c r="BR143" s="930">
        <v>20</v>
      </c>
      <c r="BS143" s="2599">
        <v>20</v>
      </c>
      <c r="BT143" s="2599"/>
      <c r="BU143" s="2556">
        <v>30</v>
      </c>
      <c r="BV143" s="2599">
        <v>20</v>
      </c>
      <c r="BW143" s="2599"/>
      <c r="BX143" s="930"/>
      <c r="BY143" s="2599">
        <v>20</v>
      </c>
      <c r="BZ143" s="2599">
        <v>20</v>
      </c>
      <c r="CA143" s="2599">
        <v>20</v>
      </c>
      <c r="CB143" s="2556">
        <v>20</v>
      </c>
      <c r="CC143" s="2599"/>
      <c r="CD143" s="930"/>
      <c r="CE143" s="2599">
        <v>20</v>
      </c>
      <c r="CF143" s="2599">
        <v>20</v>
      </c>
      <c r="CG143" s="2556">
        <v>30</v>
      </c>
      <c r="CH143" s="2599">
        <v>30</v>
      </c>
      <c r="CI143" s="930"/>
      <c r="CJ143" s="2599">
        <v>30</v>
      </c>
      <c r="CK143" s="2599">
        <v>30</v>
      </c>
      <c r="CL143" s="2599"/>
      <c r="CM143" s="2599"/>
      <c r="CN143" s="2556">
        <v>20</v>
      </c>
      <c r="CO143" s="930"/>
      <c r="CP143" s="2599">
        <v>20</v>
      </c>
      <c r="CQ143" s="2599">
        <v>20</v>
      </c>
      <c r="CR143" s="2556">
        <v>20</v>
      </c>
      <c r="CS143" s="2599"/>
      <c r="CT143" s="930"/>
      <c r="CU143" s="2599">
        <v>20</v>
      </c>
      <c r="CV143" s="2599">
        <v>20</v>
      </c>
      <c r="CW143" s="2556">
        <v>20</v>
      </c>
      <c r="CX143" s="2599">
        <v>20</v>
      </c>
      <c r="CY143" s="930">
        <v>20</v>
      </c>
      <c r="CZ143" s="2599">
        <v>20</v>
      </c>
      <c r="DA143" s="2556">
        <v>20</v>
      </c>
      <c r="DB143" s="2599"/>
      <c r="DC143" s="930"/>
      <c r="DD143" s="2599">
        <v>30</v>
      </c>
      <c r="DE143" s="930">
        <v>20</v>
      </c>
      <c r="DF143" s="2557">
        <f>IFERROR(VLOOKUP(G143,Personalización!$F$18:$H$21,3,0),IFERROR(VLOOKUP(G143,Personalización!$I$18:$K$21,3,0),IFERROR(VLOOKUP(G143,Personalización!$L$18:$N$21,3,0),IFERROR(VLOOKUP(G143,Personalización!$O$18:$Q$20,3,0),0))))</f>
        <v>0</v>
      </c>
    </row>
    <row r="144" spans="1:110" ht="12.75" customHeight="1" x14ac:dyDescent="0.2">
      <c r="A144" s="227">
        <v>144</v>
      </c>
      <c r="B144" s="6042"/>
      <c r="C144" s="556" t="s">
        <v>6299</v>
      </c>
      <c r="D144" s="557"/>
      <c r="F144" s="2596">
        <v>4</v>
      </c>
      <c r="G144" s="326" t="s">
        <v>1408</v>
      </c>
      <c r="H144" s="2556">
        <v>20</v>
      </c>
      <c r="I144" s="2599">
        <v>20</v>
      </c>
      <c r="J144" s="930">
        <v>20</v>
      </c>
      <c r="K144" s="2599"/>
      <c r="L144" s="2599"/>
      <c r="M144" s="2556">
        <v>40</v>
      </c>
      <c r="N144" s="2599">
        <v>40</v>
      </c>
      <c r="O144" s="930">
        <v>40</v>
      </c>
      <c r="P144" s="2599">
        <v>20</v>
      </c>
      <c r="Q144" s="2599">
        <v>20</v>
      </c>
      <c r="R144" s="2556"/>
      <c r="S144" s="930"/>
      <c r="T144" s="2599"/>
      <c r="U144" s="2556">
        <v>10</v>
      </c>
      <c r="V144" s="930">
        <v>20</v>
      </c>
      <c r="W144" s="2599">
        <v>20</v>
      </c>
      <c r="X144" s="2599">
        <v>20</v>
      </c>
      <c r="Y144" s="2554">
        <v>20</v>
      </c>
      <c r="Z144" s="2406">
        <v>20</v>
      </c>
      <c r="AA144" s="2555">
        <v>20</v>
      </c>
      <c r="AB144" s="2406"/>
      <c r="AC144" s="2406">
        <v>20</v>
      </c>
      <c r="AD144" s="2554">
        <v>30</v>
      </c>
      <c r="AE144" s="2555">
        <v>30</v>
      </c>
      <c r="AF144" s="2406">
        <v>20</v>
      </c>
      <c r="AG144" s="2406">
        <v>20</v>
      </c>
      <c r="AH144" s="2406">
        <v>20</v>
      </c>
      <c r="AI144" s="2554"/>
      <c r="AJ144" s="2406"/>
      <c r="AK144" s="2555"/>
      <c r="AL144" s="2406">
        <v>20</v>
      </c>
      <c r="AM144" s="2406">
        <v>20</v>
      </c>
      <c r="AN144" s="2406"/>
      <c r="AO144" s="2406">
        <v>20</v>
      </c>
      <c r="AP144" s="2556">
        <v>20</v>
      </c>
      <c r="AQ144" s="2599">
        <v>20</v>
      </c>
      <c r="AR144" s="930">
        <v>20</v>
      </c>
      <c r="AS144" s="2599"/>
      <c r="AT144" s="2599"/>
      <c r="AU144" s="2556">
        <v>20</v>
      </c>
      <c r="AV144" s="2599">
        <v>20</v>
      </c>
      <c r="AW144" s="930">
        <v>20</v>
      </c>
      <c r="AX144" s="2599">
        <v>20</v>
      </c>
      <c r="AY144" s="2599">
        <v>20</v>
      </c>
      <c r="AZ144" s="2556"/>
      <c r="BA144" s="930"/>
      <c r="BB144" s="2599">
        <v>20</v>
      </c>
      <c r="BC144" s="2599">
        <v>20</v>
      </c>
      <c r="BD144" s="2556">
        <v>20</v>
      </c>
      <c r="BE144" s="930">
        <v>20</v>
      </c>
      <c r="BF144" s="2599"/>
      <c r="BG144" s="2599">
        <v>20</v>
      </c>
      <c r="BH144" s="931">
        <v>20</v>
      </c>
      <c r="BI144" s="2556"/>
      <c r="BJ144" s="930"/>
      <c r="BK144" s="2599">
        <v>20</v>
      </c>
      <c r="BL144" s="2599">
        <v>20</v>
      </c>
      <c r="BM144" s="931"/>
      <c r="BN144" s="2599"/>
      <c r="BO144" s="2599"/>
      <c r="BP144" s="2556"/>
      <c r="BQ144" s="2599"/>
      <c r="BR144" s="930">
        <v>20</v>
      </c>
      <c r="BS144" s="2599"/>
      <c r="BT144" s="2599">
        <v>20</v>
      </c>
      <c r="BU144" s="2556">
        <v>30</v>
      </c>
      <c r="BV144" s="2599"/>
      <c r="BW144" s="2599">
        <v>20</v>
      </c>
      <c r="BX144" s="930">
        <v>20</v>
      </c>
      <c r="BY144" s="2599">
        <v>20</v>
      </c>
      <c r="BZ144" s="2599">
        <v>20</v>
      </c>
      <c r="CA144" s="2599">
        <v>20</v>
      </c>
      <c r="CB144" s="2556">
        <v>20</v>
      </c>
      <c r="CC144" s="2599">
        <v>20</v>
      </c>
      <c r="CD144" s="930">
        <v>20</v>
      </c>
      <c r="CE144" s="2599"/>
      <c r="CF144" s="2599">
        <v>20</v>
      </c>
      <c r="CG144" s="2556"/>
      <c r="CH144" s="2599">
        <v>30</v>
      </c>
      <c r="CI144" s="930">
        <v>20</v>
      </c>
      <c r="CJ144" s="2599"/>
      <c r="CK144" s="2599"/>
      <c r="CL144" s="2599">
        <v>20</v>
      </c>
      <c r="CM144" s="2599">
        <v>20</v>
      </c>
      <c r="CN144" s="2556"/>
      <c r="CO144" s="930">
        <v>20</v>
      </c>
      <c r="CP144" s="2599"/>
      <c r="CQ144" s="2599"/>
      <c r="CR144" s="2556"/>
      <c r="CS144" s="2599"/>
      <c r="CT144" s="930">
        <v>20</v>
      </c>
      <c r="CU144" s="2599"/>
      <c r="CV144" s="2599"/>
      <c r="CW144" s="2556"/>
      <c r="CX144" s="2599"/>
      <c r="CY144" s="930"/>
      <c r="CZ144" s="2599"/>
      <c r="DA144" s="2556"/>
      <c r="DB144" s="2599">
        <v>20</v>
      </c>
      <c r="DC144" s="930">
        <v>20</v>
      </c>
      <c r="DD144" s="2599"/>
      <c r="DE144" s="930"/>
      <c r="DF144" s="2557">
        <f>IFERROR(VLOOKUP(G144,Personalización!$F$18:$H$21,3,0),IFERROR(VLOOKUP(G144,Personalización!$I$18:$K$21,3,0),IFERROR(VLOOKUP(G144,Personalización!$L$18:$N$21,3,0),IFERROR(VLOOKUP(G144,Personalización!$O$18:$Q$20,3,0),0))))</f>
        <v>0</v>
      </c>
    </row>
    <row r="145" spans="1:110" ht="12.75" customHeight="1" x14ac:dyDescent="0.2">
      <c r="A145" s="227">
        <v>145</v>
      </c>
      <c r="B145" s="6042"/>
      <c r="C145" s="556" t="s">
        <v>6300</v>
      </c>
      <c r="D145" s="557"/>
      <c r="F145" s="2596">
        <v>5</v>
      </c>
      <c r="G145" s="326" t="s">
        <v>1412</v>
      </c>
      <c r="H145" s="2556">
        <v>20</v>
      </c>
      <c r="I145" s="2599">
        <v>20</v>
      </c>
      <c r="J145" s="930"/>
      <c r="K145" s="2599"/>
      <c r="L145" s="2599"/>
      <c r="M145" s="2556">
        <v>20</v>
      </c>
      <c r="N145" s="2599"/>
      <c r="O145" s="930">
        <v>20</v>
      </c>
      <c r="P145" s="2599"/>
      <c r="Q145" s="2599"/>
      <c r="R145" s="2556"/>
      <c r="S145" s="930"/>
      <c r="T145" s="2599"/>
      <c r="U145" s="2556">
        <v>20</v>
      </c>
      <c r="V145" s="930">
        <v>20</v>
      </c>
      <c r="W145" s="2599">
        <v>30</v>
      </c>
      <c r="X145" s="2599"/>
      <c r="Y145" s="2554"/>
      <c r="Z145" s="2406"/>
      <c r="AA145" s="2555"/>
      <c r="AB145" s="2406">
        <v>20</v>
      </c>
      <c r="AC145" s="2406">
        <v>20</v>
      </c>
      <c r="AD145" s="2554">
        <v>10</v>
      </c>
      <c r="AE145" s="2555"/>
      <c r="AF145" s="2406">
        <v>20</v>
      </c>
      <c r="AG145" s="2406">
        <v>20</v>
      </c>
      <c r="AH145" s="2406">
        <v>20</v>
      </c>
      <c r="AI145" s="2554"/>
      <c r="AJ145" s="2406">
        <v>20</v>
      </c>
      <c r="AK145" s="2555"/>
      <c r="AL145" s="2406"/>
      <c r="AM145" s="2406"/>
      <c r="AN145" s="2406">
        <v>20</v>
      </c>
      <c r="AO145" s="2406"/>
      <c r="AP145" s="2556"/>
      <c r="AQ145" s="2599"/>
      <c r="AR145" s="930"/>
      <c r="AS145" s="2599">
        <v>20</v>
      </c>
      <c r="AT145" s="2599">
        <v>20</v>
      </c>
      <c r="AU145" s="2556">
        <v>20</v>
      </c>
      <c r="AV145" s="2599"/>
      <c r="AW145" s="930"/>
      <c r="AX145" s="2599">
        <v>20</v>
      </c>
      <c r="AY145" s="2599"/>
      <c r="AZ145" s="2556">
        <v>20</v>
      </c>
      <c r="BA145" s="930"/>
      <c r="BB145" s="2599"/>
      <c r="BC145" s="2599"/>
      <c r="BD145" s="2556"/>
      <c r="BE145" s="930"/>
      <c r="BF145" s="2599"/>
      <c r="BG145" s="2599"/>
      <c r="BH145" s="931"/>
      <c r="BI145" s="2556"/>
      <c r="BJ145" s="930">
        <v>20</v>
      </c>
      <c r="BK145" s="2599"/>
      <c r="BL145" s="2599"/>
      <c r="BM145" s="931">
        <v>10</v>
      </c>
      <c r="BN145" s="2599">
        <v>20</v>
      </c>
      <c r="BO145" s="2599">
        <v>20</v>
      </c>
      <c r="BP145" s="2556">
        <v>20</v>
      </c>
      <c r="BQ145" s="2599">
        <v>20</v>
      </c>
      <c r="BR145" s="930">
        <v>20</v>
      </c>
      <c r="BS145" s="2599">
        <v>20</v>
      </c>
      <c r="BT145" s="2599"/>
      <c r="BU145" s="2556">
        <v>20</v>
      </c>
      <c r="BV145" s="2599">
        <v>20</v>
      </c>
      <c r="BW145" s="2599">
        <v>20</v>
      </c>
      <c r="BX145" s="930"/>
      <c r="BY145" s="2599"/>
      <c r="BZ145" s="2599"/>
      <c r="CA145" s="2599"/>
      <c r="CB145" s="2556">
        <v>30</v>
      </c>
      <c r="CC145" s="2599">
        <v>30</v>
      </c>
      <c r="CD145" s="930">
        <v>30</v>
      </c>
      <c r="CE145" s="2599"/>
      <c r="CF145" s="2599"/>
      <c r="CG145" s="2556"/>
      <c r="CH145" s="2599"/>
      <c r="CI145" s="930"/>
      <c r="CJ145" s="2599"/>
      <c r="CK145" s="2599"/>
      <c r="CL145" s="2599"/>
      <c r="CM145" s="2599"/>
      <c r="CN145" s="2556">
        <v>20</v>
      </c>
      <c r="CO145" s="930">
        <v>20</v>
      </c>
      <c r="CP145" s="2599"/>
      <c r="CQ145" s="2599"/>
      <c r="CR145" s="2556"/>
      <c r="CS145" s="2599"/>
      <c r="CT145" s="930"/>
      <c r="CU145" s="2599"/>
      <c r="CV145" s="2599"/>
      <c r="CW145" s="2556"/>
      <c r="CX145" s="2599"/>
      <c r="CY145" s="930"/>
      <c r="CZ145" s="2599"/>
      <c r="DA145" s="2556">
        <v>20</v>
      </c>
      <c r="DB145" s="2599">
        <v>20</v>
      </c>
      <c r="DC145" s="930"/>
      <c r="DD145" s="2599"/>
      <c r="DE145" s="930"/>
      <c r="DF145" s="2557">
        <f>IFERROR(VLOOKUP(G145,Personalización!$F$18:$H$21,3,0),IFERROR(VLOOKUP(G145,Personalización!$I$18:$K$21,3,0),IFERROR(VLOOKUP(G145,Personalización!$L$18:$N$21,3,0),IFERROR(VLOOKUP(G145,Personalización!$O$18:$Q$20,3,0),0))))</f>
        <v>0</v>
      </c>
    </row>
    <row r="146" spans="1:110" ht="12.75" customHeight="1" x14ac:dyDescent="0.2">
      <c r="A146" s="227">
        <v>146</v>
      </c>
      <c r="B146" s="6042"/>
      <c r="C146" s="556" t="s">
        <v>6301</v>
      </c>
      <c r="D146" s="557"/>
      <c r="F146" s="2596">
        <v>6</v>
      </c>
      <c r="G146" s="326" t="s">
        <v>1415</v>
      </c>
      <c r="H146" s="2556"/>
      <c r="I146" s="2599"/>
      <c r="J146" s="930"/>
      <c r="K146" s="2599"/>
      <c r="L146" s="2599"/>
      <c r="M146" s="2556">
        <v>20</v>
      </c>
      <c r="N146" s="2599">
        <v>20</v>
      </c>
      <c r="O146" s="930">
        <v>20</v>
      </c>
      <c r="P146" s="2599"/>
      <c r="Q146" s="2599"/>
      <c r="R146" s="2556">
        <v>20</v>
      </c>
      <c r="S146" s="930">
        <v>20</v>
      </c>
      <c r="T146" s="2599">
        <v>20</v>
      </c>
      <c r="U146" s="2556"/>
      <c r="V146" s="930"/>
      <c r="W146" s="2599"/>
      <c r="X146" s="2599"/>
      <c r="Y146" s="2554">
        <v>20</v>
      </c>
      <c r="Z146" s="2406"/>
      <c r="AA146" s="2555"/>
      <c r="AB146" s="2406"/>
      <c r="AC146" s="2406"/>
      <c r="AD146" s="2554"/>
      <c r="AE146" s="2555"/>
      <c r="AF146" s="2406"/>
      <c r="AG146" s="2406"/>
      <c r="AH146" s="2406"/>
      <c r="AI146" s="2554">
        <v>20</v>
      </c>
      <c r="AJ146" s="2406">
        <v>20</v>
      </c>
      <c r="AK146" s="2555"/>
      <c r="AL146" s="2406"/>
      <c r="AM146" s="2406"/>
      <c r="AN146" s="2406"/>
      <c r="AO146" s="2406"/>
      <c r="AP146" s="2556">
        <v>20</v>
      </c>
      <c r="AQ146" s="2599">
        <v>20</v>
      </c>
      <c r="AR146" s="930"/>
      <c r="AS146" s="2599"/>
      <c r="AT146" s="2599"/>
      <c r="AU146" s="2556"/>
      <c r="AV146" s="2599"/>
      <c r="AW146" s="930"/>
      <c r="AX146" s="2599"/>
      <c r="AY146" s="2599"/>
      <c r="AZ146" s="2556"/>
      <c r="BA146" s="930"/>
      <c r="BB146" s="2599">
        <v>20</v>
      </c>
      <c r="BC146" s="2599"/>
      <c r="BD146" s="2556">
        <v>20</v>
      </c>
      <c r="BE146" s="930"/>
      <c r="BF146" s="2599"/>
      <c r="BG146" s="2599"/>
      <c r="BH146" s="931"/>
      <c r="BI146" s="2556">
        <v>20</v>
      </c>
      <c r="BJ146" s="930">
        <v>10</v>
      </c>
      <c r="BK146" s="2599"/>
      <c r="BL146" s="2599"/>
      <c r="BM146" s="931"/>
      <c r="BN146" s="2599"/>
      <c r="BO146" s="2599">
        <v>20</v>
      </c>
      <c r="BP146" s="2556">
        <v>20</v>
      </c>
      <c r="BQ146" s="2599"/>
      <c r="BR146" s="930"/>
      <c r="BS146" s="2599">
        <v>20</v>
      </c>
      <c r="BT146" s="2599"/>
      <c r="BU146" s="2556"/>
      <c r="BV146" s="2599">
        <v>20</v>
      </c>
      <c r="BW146" s="2599"/>
      <c r="BX146" s="930"/>
      <c r="BY146" s="2599"/>
      <c r="BZ146" s="2599">
        <v>20</v>
      </c>
      <c r="CA146" s="2599"/>
      <c r="CB146" s="2556"/>
      <c r="CC146" s="2599"/>
      <c r="CD146" s="930"/>
      <c r="CE146" s="2599">
        <v>20</v>
      </c>
      <c r="CF146" s="2599"/>
      <c r="CG146" s="2556">
        <v>20</v>
      </c>
      <c r="CH146" s="2599"/>
      <c r="CI146" s="930"/>
      <c r="CJ146" s="2599"/>
      <c r="CK146" s="2599"/>
      <c r="CL146" s="2599"/>
      <c r="CM146" s="2599"/>
      <c r="CN146" s="2556"/>
      <c r="CO146" s="930"/>
      <c r="CP146" s="2599">
        <v>20</v>
      </c>
      <c r="CQ146" s="2599"/>
      <c r="CR146" s="2556"/>
      <c r="CS146" s="2599"/>
      <c r="CT146" s="930"/>
      <c r="CU146" s="2599">
        <v>20</v>
      </c>
      <c r="CV146" s="2599"/>
      <c r="CW146" s="2556">
        <v>20</v>
      </c>
      <c r="CX146" s="2599"/>
      <c r="CY146" s="930"/>
      <c r="CZ146" s="2599">
        <v>20</v>
      </c>
      <c r="DA146" s="2556">
        <v>20</v>
      </c>
      <c r="DB146" s="2599"/>
      <c r="DC146" s="930"/>
      <c r="DD146" s="2599">
        <v>20</v>
      </c>
      <c r="DE146" s="930"/>
      <c r="DF146" s="2557">
        <f>IFERROR(VLOOKUP(G146,Personalización!$F$18:$H$21,3,0),IFERROR(VLOOKUP(G146,Personalización!$I$18:$K$21,3,0),IFERROR(VLOOKUP(G146,Personalización!$L$18:$N$21,3,0),IFERROR(VLOOKUP(G146,Personalización!$O$18:$Q$20,3,0),0))))</f>
        <v>0</v>
      </c>
    </row>
    <row r="147" spans="1:110" ht="12.75" customHeight="1" x14ac:dyDescent="0.2">
      <c r="A147" s="227">
        <v>147</v>
      </c>
      <c r="B147" s="6042"/>
      <c r="C147" s="556" t="s">
        <v>6302</v>
      </c>
      <c r="D147" s="557"/>
      <c r="F147" s="2596">
        <v>7</v>
      </c>
      <c r="G147" s="326" t="s">
        <v>1418</v>
      </c>
      <c r="H147" s="2556"/>
      <c r="I147" s="2599"/>
      <c r="J147" s="930"/>
      <c r="K147" s="2599"/>
      <c r="L147" s="2599"/>
      <c r="M147" s="2556"/>
      <c r="N147" s="2599"/>
      <c r="O147" s="930"/>
      <c r="P147" s="2599"/>
      <c r="Q147" s="2599"/>
      <c r="R147" s="2556"/>
      <c r="S147" s="930"/>
      <c r="T147" s="2599"/>
      <c r="U147" s="2556"/>
      <c r="V147" s="930"/>
      <c r="W147" s="2599"/>
      <c r="X147" s="2599"/>
      <c r="Y147" s="2554"/>
      <c r="Z147" s="2406"/>
      <c r="AA147" s="2555"/>
      <c r="AB147" s="2406">
        <v>20</v>
      </c>
      <c r="AC147" s="2406"/>
      <c r="AD147" s="2554"/>
      <c r="AE147" s="2555"/>
      <c r="AF147" s="2406"/>
      <c r="AG147" s="2406"/>
      <c r="AH147" s="2406"/>
      <c r="AI147" s="2554"/>
      <c r="AJ147" s="2406"/>
      <c r="AK147" s="2555"/>
      <c r="AL147" s="2406"/>
      <c r="AM147" s="2406"/>
      <c r="AN147" s="2406"/>
      <c r="AO147" s="2406"/>
      <c r="AP147" s="2556"/>
      <c r="AQ147" s="2599"/>
      <c r="AR147" s="930"/>
      <c r="AS147" s="2599"/>
      <c r="AT147" s="2599"/>
      <c r="AU147" s="2556"/>
      <c r="AV147" s="2599"/>
      <c r="AW147" s="930"/>
      <c r="AX147" s="2599"/>
      <c r="AY147" s="2599"/>
      <c r="AZ147" s="2556"/>
      <c r="BA147" s="930"/>
      <c r="BB147" s="2599"/>
      <c r="BC147" s="2599"/>
      <c r="BD147" s="2556"/>
      <c r="BE147" s="930"/>
      <c r="BF147" s="2599"/>
      <c r="BG147" s="2599"/>
      <c r="BH147" s="931"/>
      <c r="BI147" s="2556"/>
      <c r="BJ147" s="930"/>
      <c r="BK147" s="2599"/>
      <c r="BL147" s="2599"/>
      <c r="BM147" s="931"/>
      <c r="BN147" s="2599"/>
      <c r="BO147" s="2599"/>
      <c r="BP147" s="2556"/>
      <c r="BQ147" s="2599"/>
      <c r="BR147" s="930"/>
      <c r="BS147" s="2599"/>
      <c r="BT147" s="2599"/>
      <c r="BU147" s="2556"/>
      <c r="BV147" s="2599">
        <v>20</v>
      </c>
      <c r="BW147" s="2599"/>
      <c r="BX147" s="930"/>
      <c r="BY147" s="2599"/>
      <c r="BZ147" s="2599">
        <v>20</v>
      </c>
      <c r="CA147" s="2599"/>
      <c r="CB147" s="2556"/>
      <c r="CC147" s="2599"/>
      <c r="CD147" s="930"/>
      <c r="CE147" s="2599"/>
      <c r="CF147" s="2599"/>
      <c r="CG147" s="2556">
        <v>20</v>
      </c>
      <c r="CH147" s="2599"/>
      <c r="CI147" s="930"/>
      <c r="CJ147" s="2599"/>
      <c r="CK147" s="2599"/>
      <c r="CL147" s="2599"/>
      <c r="CM147" s="2599"/>
      <c r="CN147" s="2556"/>
      <c r="CO147" s="930"/>
      <c r="CP147" s="2599"/>
      <c r="CQ147" s="2599"/>
      <c r="CR147" s="2556"/>
      <c r="CS147" s="2599"/>
      <c r="CT147" s="930"/>
      <c r="CU147" s="2599"/>
      <c r="CV147" s="2599"/>
      <c r="CW147" s="2556"/>
      <c r="CX147" s="2599"/>
      <c r="CY147" s="930"/>
      <c r="CZ147" s="2599"/>
      <c r="DA147" s="2556">
        <v>20</v>
      </c>
      <c r="DB147" s="2599"/>
      <c r="DC147" s="930"/>
      <c r="DD147" s="2599">
        <v>20</v>
      </c>
      <c r="DE147" s="930"/>
      <c r="DF147" s="2557">
        <f>IFERROR(VLOOKUP(G147,Personalización!$F$18:$H$21,3,0),IFERROR(VLOOKUP(G147,Personalización!$I$18:$K$21,3,0),IFERROR(VLOOKUP(G147,Personalización!$L$18:$N$21,3,0),IFERROR(VLOOKUP(G147,Personalización!$O$18:$Q$20,3,0),0))))</f>
        <v>0</v>
      </c>
    </row>
    <row r="148" spans="1:110" ht="12.75" customHeight="1" x14ac:dyDescent="0.2">
      <c r="A148" s="227">
        <v>148</v>
      </c>
      <c r="B148" s="6042"/>
      <c r="C148" s="556" t="s">
        <v>6344</v>
      </c>
      <c r="D148" s="557"/>
      <c r="F148" s="2596">
        <v>8</v>
      </c>
      <c r="G148" s="326" t="s">
        <v>6273</v>
      </c>
      <c r="H148" s="2556"/>
      <c r="I148" s="2599"/>
      <c r="J148" s="930"/>
      <c r="K148" s="2599"/>
      <c r="L148" s="2599"/>
      <c r="M148" s="2556"/>
      <c r="N148" s="2599"/>
      <c r="O148" s="930"/>
      <c r="P148" s="2599"/>
      <c r="Q148" s="2599"/>
      <c r="R148" s="2556"/>
      <c r="S148" s="930"/>
      <c r="T148" s="2599"/>
      <c r="U148" s="2556"/>
      <c r="V148" s="930"/>
      <c r="W148" s="2599"/>
      <c r="X148" s="2599"/>
      <c r="Y148" s="2554"/>
      <c r="Z148" s="2406"/>
      <c r="AA148" s="2555"/>
      <c r="AB148" s="2406"/>
      <c r="AC148" s="2406"/>
      <c r="AD148" s="2554"/>
      <c r="AE148" s="2555"/>
      <c r="AF148" s="2406"/>
      <c r="AG148" s="2406"/>
      <c r="AH148" s="2406"/>
      <c r="AI148" s="2554"/>
      <c r="AJ148" s="2406"/>
      <c r="AK148" s="2555"/>
      <c r="AL148" s="2406"/>
      <c r="AM148" s="2406"/>
      <c r="AN148" s="2406"/>
      <c r="AO148" s="2406"/>
      <c r="AP148" s="2556"/>
      <c r="AQ148" s="2599"/>
      <c r="AR148" s="930"/>
      <c r="AS148" s="2599"/>
      <c r="AT148" s="2599"/>
      <c r="AU148" s="2556"/>
      <c r="AV148" s="2599"/>
      <c r="AW148" s="930"/>
      <c r="AX148" s="2599"/>
      <c r="AY148" s="2599"/>
      <c r="AZ148" s="2556"/>
      <c r="BA148" s="930"/>
      <c r="BB148" s="2599"/>
      <c r="BC148" s="2599"/>
      <c r="BD148" s="2556"/>
      <c r="BE148" s="930"/>
      <c r="BF148" s="2599"/>
      <c r="BG148" s="2599"/>
      <c r="BH148" s="931"/>
      <c r="BI148" s="2556"/>
      <c r="BJ148" s="930"/>
      <c r="BK148" s="2599"/>
      <c r="BL148" s="2599"/>
      <c r="BM148" s="931"/>
      <c r="BN148" s="2599"/>
      <c r="BO148" s="2599"/>
      <c r="BP148" s="2556"/>
      <c r="BQ148" s="2599"/>
      <c r="BR148" s="930"/>
      <c r="BS148" s="2599"/>
      <c r="BT148" s="2599"/>
      <c r="BU148" s="2556"/>
      <c r="BV148" s="2599"/>
      <c r="BW148" s="2599"/>
      <c r="BX148" s="930"/>
      <c r="BY148" s="2599"/>
      <c r="BZ148" s="2599"/>
      <c r="CA148" s="2599"/>
      <c r="CB148" s="2556"/>
      <c r="CC148" s="2599"/>
      <c r="CD148" s="930"/>
      <c r="CE148" s="2599"/>
      <c r="CF148" s="2599"/>
      <c r="CG148" s="2556"/>
      <c r="CH148" s="2599"/>
      <c r="CI148" s="930"/>
      <c r="CJ148" s="2599"/>
      <c r="CK148" s="2599"/>
      <c r="CL148" s="2599"/>
      <c r="CM148" s="2599"/>
      <c r="CN148" s="2556"/>
      <c r="CO148" s="930"/>
      <c r="CP148" s="2599"/>
      <c r="CQ148" s="2599"/>
      <c r="CR148" s="2556"/>
      <c r="CS148" s="2599"/>
      <c r="CT148" s="930"/>
      <c r="CU148" s="2599"/>
      <c r="CV148" s="2599"/>
      <c r="CW148" s="2556"/>
      <c r="CX148" s="2599"/>
      <c r="CY148" s="930"/>
      <c r="CZ148" s="2599"/>
      <c r="DA148" s="2556"/>
      <c r="DB148" s="2599"/>
      <c r="DC148" s="930"/>
      <c r="DD148" s="2599"/>
      <c r="DE148" s="930"/>
      <c r="DF148" s="2557">
        <f>IFERROR(VLOOKUP(G148,Personalización!$F$18:$H$21,3,0),IFERROR(VLOOKUP(G148,Personalización!$I$18:$K$21,3,0),IFERROR(VLOOKUP(G148,Personalización!$L$18:$N$21,3,0),IFERROR(VLOOKUP(G148,Personalización!$O$18:$Q$20,3,0),0))))</f>
        <v>0</v>
      </c>
    </row>
    <row r="149" spans="1:110" ht="12.75" customHeight="1" x14ac:dyDescent="0.2">
      <c r="A149" s="227">
        <v>149</v>
      </c>
      <c r="B149" s="6042"/>
      <c r="C149" s="556" t="s">
        <v>6303</v>
      </c>
      <c r="D149" s="557"/>
      <c r="F149" s="2596">
        <v>9</v>
      </c>
      <c r="G149" s="326" t="s">
        <v>1422</v>
      </c>
      <c r="H149" s="2556"/>
      <c r="I149" s="2599">
        <v>20</v>
      </c>
      <c r="J149" s="930">
        <v>20</v>
      </c>
      <c r="K149" s="2599"/>
      <c r="L149" s="2599">
        <v>20</v>
      </c>
      <c r="M149" s="2556"/>
      <c r="N149" s="2599"/>
      <c r="O149" s="930"/>
      <c r="P149" s="2599"/>
      <c r="Q149" s="2599"/>
      <c r="R149" s="2556"/>
      <c r="S149" s="930"/>
      <c r="T149" s="2599"/>
      <c r="U149" s="2556"/>
      <c r="V149" s="930">
        <v>10</v>
      </c>
      <c r="W149" s="2599"/>
      <c r="X149" s="2599"/>
      <c r="Y149" s="2554"/>
      <c r="Z149" s="2406">
        <v>20</v>
      </c>
      <c r="AA149" s="2555">
        <v>20</v>
      </c>
      <c r="AB149" s="2406"/>
      <c r="AC149" s="2406"/>
      <c r="AD149" s="2554"/>
      <c r="AE149" s="2555"/>
      <c r="AF149" s="2406"/>
      <c r="AG149" s="2406"/>
      <c r="AH149" s="2406"/>
      <c r="AI149" s="2554"/>
      <c r="AJ149" s="2406"/>
      <c r="AK149" s="2555"/>
      <c r="AL149" s="2406"/>
      <c r="AM149" s="2406"/>
      <c r="AN149" s="2406"/>
      <c r="AO149" s="2406"/>
      <c r="AP149" s="2556"/>
      <c r="AQ149" s="2599"/>
      <c r="AR149" s="930"/>
      <c r="AS149" s="2599"/>
      <c r="AT149" s="2599"/>
      <c r="AU149" s="2556"/>
      <c r="AV149" s="2599">
        <v>20</v>
      </c>
      <c r="AW149" s="930">
        <v>40</v>
      </c>
      <c r="AX149" s="2599"/>
      <c r="AY149" s="2599">
        <v>20</v>
      </c>
      <c r="AZ149" s="2556"/>
      <c r="BA149" s="930"/>
      <c r="BB149" s="2599"/>
      <c r="BC149" s="2599"/>
      <c r="BD149" s="2556"/>
      <c r="BE149" s="930">
        <v>20</v>
      </c>
      <c r="BF149" s="2599"/>
      <c r="BG149" s="2599">
        <v>30</v>
      </c>
      <c r="BH149" s="931"/>
      <c r="BI149" s="2556"/>
      <c r="BJ149" s="930"/>
      <c r="BK149" s="2599"/>
      <c r="BL149" s="2599"/>
      <c r="BM149" s="931"/>
      <c r="BN149" s="2599"/>
      <c r="BO149" s="2599"/>
      <c r="BP149" s="2556"/>
      <c r="BQ149" s="2599">
        <v>40</v>
      </c>
      <c r="BR149" s="930">
        <v>20</v>
      </c>
      <c r="BS149" s="2599">
        <v>20</v>
      </c>
      <c r="BT149" s="2599">
        <v>30</v>
      </c>
      <c r="BU149" s="2556"/>
      <c r="BV149" s="2599"/>
      <c r="BW149" s="2599">
        <v>20</v>
      </c>
      <c r="BX149" s="930">
        <v>20</v>
      </c>
      <c r="BY149" s="2599"/>
      <c r="BZ149" s="2599"/>
      <c r="CA149" s="2599">
        <v>20</v>
      </c>
      <c r="CB149" s="2556"/>
      <c r="CC149" s="2599"/>
      <c r="CD149" s="930">
        <v>10</v>
      </c>
      <c r="CE149" s="2599"/>
      <c r="CF149" s="2599"/>
      <c r="CG149" s="2556"/>
      <c r="CH149" s="2599">
        <v>20</v>
      </c>
      <c r="CI149" s="930">
        <v>30</v>
      </c>
      <c r="CJ149" s="2599"/>
      <c r="CK149" s="2599"/>
      <c r="CL149" s="2599">
        <v>20</v>
      </c>
      <c r="CM149" s="2599"/>
      <c r="CN149" s="2556"/>
      <c r="CO149" s="930">
        <v>20</v>
      </c>
      <c r="CP149" s="2599"/>
      <c r="CQ149" s="2599"/>
      <c r="CR149" s="2556">
        <v>20</v>
      </c>
      <c r="CS149" s="2599">
        <v>20</v>
      </c>
      <c r="CT149" s="930">
        <v>30</v>
      </c>
      <c r="CU149" s="2599"/>
      <c r="CV149" s="2599"/>
      <c r="CW149" s="2556"/>
      <c r="CX149" s="2599"/>
      <c r="CY149" s="930"/>
      <c r="CZ149" s="2599"/>
      <c r="DA149" s="2556"/>
      <c r="DB149" s="2599">
        <v>20</v>
      </c>
      <c r="DC149" s="930">
        <v>20</v>
      </c>
      <c r="DD149" s="2599"/>
      <c r="DE149" s="930"/>
      <c r="DF149" s="2557">
        <f>IFERROR(VLOOKUP(G149,Personalización!$F$18:$H$21,3,0),IFERROR(VLOOKUP(G149,Personalización!$I$18:$K$21,3,0),IFERROR(VLOOKUP(G149,Personalización!$L$18:$N$21,3,0),IFERROR(VLOOKUP(G149,Personalización!$O$18:$Q$20,3,0),0))))</f>
        <v>0</v>
      </c>
    </row>
    <row r="150" spans="1:110" ht="12.75" customHeight="1" x14ac:dyDescent="0.2">
      <c r="A150" s="227">
        <v>150</v>
      </c>
      <c r="B150" s="6042"/>
      <c r="C150" s="556" t="s">
        <v>6304</v>
      </c>
      <c r="D150" s="557"/>
      <c r="F150" s="2596">
        <v>10</v>
      </c>
      <c r="G150" s="326" t="s">
        <v>1424</v>
      </c>
      <c r="H150" s="2556"/>
      <c r="I150" s="2599"/>
      <c r="J150" s="930"/>
      <c r="K150" s="2599"/>
      <c r="L150" s="2599"/>
      <c r="M150" s="2556"/>
      <c r="N150" s="2599"/>
      <c r="O150" s="930"/>
      <c r="P150" s="2599">
        <v>20</v>
      </c>
      <c r="Q150" s="2599">
        <v>20</v>
      </c>
      <c r="R150" s="2556"/>
      <c r="S150" s="930"/>
      <c r="T150" s="2599"/>
      <c r="U150" s="2556"/>
      <c r="V150" s="930"/>
      <c r="W150" s="2599"/>
      <c r="X150" s="2599"/>
      <c r="Y150" s="2554"/>
      <c r="Z150" s="2406"/>
      <c r="AA150" s="2555">
        <v>20</v>
      </c>
      <c r="AB150" s="2406">
        <v>20</v>
      </c>
      <c r="AC150" s="2406">
        <v>20</v>
      </c>
      <c r="AD150" s="2554"/>
      <c r="AE150" s="2555"/>
      <c r="AF150" s="2406"/>
      <c r="AG150" s="2406">
        <v>20</v>
      </c>
      <c r="AH150" s="2406"/>
      <c r="AI150" s="2554">
        <v>20</v>
      </c>
      <c r="AJ150" s="2406">
        <v>20</v>
      </c>
      <c r="AK150" s="2555">
        <v>20</v>
      </c>
      <c r="AL150" s="2406"/>
      <c r="AM150" s="2406">
        <v>20</v>
      </c>
      <c r="AN150" s="2406"/>
      <c r="AO150" s="2406">
        <v>20</v>
      </c>
      <c r="AP150" s="2556"/>
      <c r="AQ150" s="2599"/>
      <c r="AR150" s="930">
        <v>20</v>
      </c>
      <c r="AS150" s="2599">
        <v>30</v>
      </c>
      <c r="AT150" s="2599">
        <v>20</v>
      </c>
      <c r="AU150" s="2556"/>
      <c r="AV150" s="2599"/>
      <c r="AW150" s="930"/>
      <c r="AX150" s="2599"/>
      <c r="AY150" s="2599"/>
      <c r="AZ150" s="2556"/>
      <c r="BA150" s="930"/>
      <c r="BB150" s="2599"/>
      <c r="BC150" s="2599"/>
      <c r="BD150" s="2556"/>
      <c r="BE150" s="930"/>
      <c r="BF150" s="2599"/>
      <c r="BG150" s="2599">
        <v>10</v>
      </c>
      <c r="BH150" s="931"/>
      <c r="BI150" s="2556"/>
      <c r="BJ150" s="930"/>
      <c r="BK150" s="2599"/>
      <c r="BL150" s="2599"/>
      <c r="BM150" s="931"/>
      <c r="BN150" s="2599"/>
      <c r="BO150" s="2599">
        <v>30</v>
      </c>
      <c r="BP150" s="2556"/>
      <c r="BQ150" s="2599"/>
      <c r="BR150" s="930">
        <v>20</v>
      </c>
      <c r="BS150" s="2599"/>
      <c r="BT150" s="2599"/>
      <c r="BU150" s="2556"/>
      <c r="BV150" s="2599"/>
      <c r="BW150" s="2599"/>
      <c r="BX150" s="930"/>
      <c r="BY150" s="2599">
        <v>20</v>
      </c>
      <c r="BZ150" s="2599"/>
      <c r="CA150" s="2599">
        <v>20</v>
      </c>
      <c r="CB150" s="2556"/>
      <c r="CC150" s="2599"/>
      <c r="CD150" s="930"/>
      <c r="CE150" s="2599"/>
      <c r="CF150" s="2599"/>
      <c r="CG150" s="2556"/>
      <c r="CH150" s="2599">
        <v>20</v>
      </c>
      <c r="CI150" s="930">
        <v>20</v>
      </c>
      <c r="CJ150" s="2599"/>
      <c r="CK150" s="2599"/>
      <c r="CL150" s="2599"/>
      <c r="CM150" s="2599"/>
      <c r="CN150" s="2556"/>
      <c r="CO150" s="930"/>
      <c r="CP150" s="2599"/>
      <c r="CQ150" s="2599"/>
      <c r="CR150" s="2556"/>
      <c r="CS150" s="2599"/>
      <c r="CT150" s="930"/>
      <c r="CU150" s="2599"/>
      <c r="CV150" s="2599"/>
      <c r="CW150" s="2556"/>
      <c r="CX150" s="2599"/>
      <c r="CY150" s="930"/>
      <c r="CZ150" s="2599"/>
      <c r="DA150" s="2556"/>
      <c r="DB150" s="2599"/>
      <c r="DC150" s="930"/>
      <c r="DD150" s="2599"/>
      <c r="DE150" s="930"/>
      <c r="DF150" s="2557">
        <f>IFERROR(VLOOKUP(G150,Personalización!$F$18:$H$21,3,0),IFERROR(VLOOKUP(G150,Personalización!$I$18:$K$21,3,0),IFERROR(VLOOKUP(G150,Personalización!$L$18:$N$21,3,0),IFERROR(VLOOKUP(G150,Personalización!$O$18:$Q$20,3,0),0))))</f>
        <v>0</v>
      </c>
    </row>
    <row r="151" spans="1:110" ht="12.75" customHeight="1" x14ac:dyDescent="0.2">
      <c r="A151" s="227">
        <v>151</v>
      </c>
      <c r="B151" s="6042"/>
      <c r="C151" s="556" t="s">
        <v>6305</v>
      </c>
      <c r="D151" s="557"/>
      <c r="F151" s="2596">
        <v>11</v>
      </c>
      <c r="G151" s="326" t="s">
        <v>1427</v>
      </c>
      <c r="H151" s="2556"/>
      <c r="I151" s="2599"/>
      <c r="J151" s="930">
        <v>40</v>
      </c>
      <c r="K151" s="2599">
        <v>20</v>
      </c>
      <c r="L151" s="2599">
        <v>20</v>
      </c>
      <c r="M151" s="2556"/>
      <c r="N151" s="2599"/>
      <c r="O151" s="930">
        <v>20</v>
      </c>
      <c r="P151" s="2599"/>
      <c r="Q151" s="2599">
        <v>40</v>
      </c>
      <c r="R151" s="2556"/>
      <c r="S151" s="930">
        <v>30</v>
      </c>
      <c r="T151" s="2599"/>
      <c r="U151" s="2556"/>
      <c r="V151" s="930"/>
      <c r="W151" s="2599"/>
      <c r="X151" s="2599">
        <v>20</v>
      </c>
      <c r="Y151" s="2554"/>
      <c r="Z151" s="2406"/>
      <c r="AA151" s="2555">
        <v>20</v>
      </c>
      <c r="AB151" s="2406"/>
      <c r="AC151" s="2406"/>
      <c r="AD151" s="2554"/>
      <c r="AE151" s="2555">
        <v>40</v>
      </c>
      <c r="AF151" s="2406"/>
      <c r="AG151" s="2406"/>
      <c r="AH151" s="2406">
        <v>20</v>
      </c>
      <c r="AI151" s="2554"/>
      <c r="AJ151" s="2406"/>
      <c r="AK151" s="2555">
        <v>40</v>
      </c>
      <c r="AL151" s="2406"/>
      <c r="AM151" s="2406"/>
      <c r="AN151" s="2406"/>
      <c r="AO151" s="2406">
        <v>20</v>
      </c>
      <c r="AP151" s="2556"/>
      <c r="AQ151" s="2599"/>
      <c r="AR151" s="930">
        <v>30</v>
      </c>
      <c r="AS151" s="2599"/>
      <c r="AT151" s="2599">
        <v>20</v>
      </c>
      <c r="AU151" s="2556"/>
      <c r="AV151" s="2599"/>
      <c r="AW151" s="930">
        <v>20</v>
      </c>
      <c r="AX151" s="2599"/>
      <c r="AY151" s="2599">
        <v>20</v>
      </c>
      <c r="AZ151" s="2556"/>
      <c r="BA151" s="930">
        <v>20</v>
      </c>
      <c r="BB151" s="2599"/>
      <c r="BC151" s="2599">
        <v>40</v>
      </c>
      <c r="BD151" s="2556"/>
      <c r="BE151" s="930">
        <v>20</v>
      </c>
      <c r="BF151" s="2599"/>
      <c r="BG151" s="2599">
        <v>20</v>
      </c>
      <c r="BH151" s="931"/>
      <c r="BI151" s="2556"/>
      <c r="BJ151" s="930"/>
      <c r="BK151" s="2599"/>
      <c r="BL151" s="2599"/>
      <c r="BM151" s="931"/>
      <c r="BN151" s="2599"/>
      <c r="BO151" s="2599"/>
      <c r="BP151" s="2556"/>
      <c r="BQ151" s="2599"/>
      <c r="BR151" s="930"/>
      <c r="BS151" s="2599"/>
      <c r="BT151" s="2599"/>
      <c r="BU151" s="2556"/>
      <c r="BV151" s="2599"/>
      <c r="BW151" s="2599"/>
      <c r="BX151" s="930">
        <v>30</v>
      </c>
      <c r="BY151" s="2599"/>
      <c r="BZ151" s="2599"/>
      <c r="CA151" s="2599">
        <v>20</v>
      </c>
      <c r="CB151" s="2556"/>
      <c r="CC151" s="2599"/>
      <c r="CD151" s="930">
        <v>20</v>
      </c>
      <c r="CE151" s="2599"/>
      <c r="CF151" s="2599"/>
      <c r="CG151" s="2556"/>
      <c r="CH151" s="2599">
        <v>20</v>
      </c>
      <c r="CI151" s="930">
        <v>30</v>
      </c>
      <c r="CJ151" s="2599"/>
      <c r="CK151" s="2599"/>
      <c r="CL151" s="2599"/>
      <c r="CM151" s="2599">
        <v>20</v>
      </c>
      <c r="CN151" s="2556"/>
      <c r="CO151" s="930"/>
      <c r="CP151" s="2599"/>
      <c r="CQ151" s="2599">
        <v>20</v>
      </c>
      <c r="CR151" s="2556"/>
      <c r="CS151" s="2599"/>
      <c r="CT151" s="930">
        <v>30</v>
      </c>
      <c r="CU151" s="2599"/>
      <c r="CV151" s="2599">
        <v>20</v>
      </c>
      <c r="CW151" s="2556"/>
      <c r="CX151" s="2599">
        <v>20</v>
      </c>
      <c r="CY151" s="930">
        <v>30</v>
      </c>
      <c r="CZ151" s="2599"/>
      <c r="DA151" s="2556"/>
      <c r="DB151" s="2599"/>
      <c r="DC151" s="930">
        <v>30</v>
      </c>
      <c r="DD151" s="2599"/>
      <c r="DE151" s="930"/>
      <c r="DF151" s="2557">
        <f>IFERROR(VLOOKUP(G151,Personalización!$F$18:$H$21,3,0),IFERROR(VLOOKUP(G151,Personalización!$I$18:$K$21,3,0),IFERROR(VLOOKUP(G151,Personalización!$L$18:$N$21,3,0),IFERROR(VLOOKUP(G151,Personalización!$O$18:$Q$20,3,0),0))))</f>
        <v>0</v>
      </c>
    </row>
    <row r="152" spans="1:110" ht="12.75" customHeight="1" x14ac:dyDescent="0.2">
      <c r="A152" s="227">
        <v>152</v>
      </c>
      <c r="B152" s="6042"/>
      <c r="C152" s="556" t="s">
        <v>6345</v>
      </c>
      <c r="D152" s="557"/>
      <c r="F152" s="2596">
        <v>12</v>
      </c>
      <c r="G152" s="326" t="s">
        <v>1429</v>
      </c>
      <c r="H152" s="2556">
        <v>20</v>
      </c>
      <c r="I152" s="2599">
        <v>30</v>
      </c>
      <c r="J152" s="930">
        <v>20</v>
      </c>
      <c r="K152" s="2599">
        <v>20</v>
      </c>
      <c r="L152" s="2599">
        <v>20</v>
      </c>
      <c r="M152" s="2556"/>
      <c r="N152" s="2599"/>
      <c r="O152" s="930"/>
      <c r="P152" s="2599"/>
      <c r="Q152" s="2599"/>
      <c r="R152" s="2556"/>
      <c r="S152" s="930">
        <v>20</v>
      </c>
      <c r="T152" s="2599"/>
      <c r="U152" s="2556">
        <v>40</v>
      </c>
      <c r="V152" s="930">
        <v>40</v>
      </c>
      <c r="W152" s="2599"/>
      <c r="X152" s="2599">
        <v>20</v>
      </c>
      <c r="Y152" s="2554">
        <v>20</v>
      </c>
      <c r="Z152" s="2406">
        <v>20</v>
      </c>
      <c r="AA152" s="2555">
        <v>20</v>
      </c>
      <c r="AB152" s="2406"/>
      <c r="AC152" s="2406">
        <v>20</v>
      </c>
      <c r="AD152" s="2554"/>
      <c r="AE152" s="2555"/>
      <c r="AF152" s="2406"/>
      <c r="AG152" s="2406"/>
      <c r="AH152" s="2406"/>
      <c r="AI152" s="2554"/>
      <c r="AJ152" s="2406"/>
      <c r="AK152" s="2555"/>
      <c r="AL152" s="2406"/>
      <c r="AM152" s="2406"/>
      <c r="AN152" s="2406"/>
      <c r="AO152" s="2406">
        <v>20</v>
      </c>
      <c r="AP152" s="2556"/>
      <c r="AQ152" s="2599">
        <v>20</v>
      </c>
      <c r="AR152" s="930"/>
      <c r="AS152" s="2599">
        <v>10</v>
      </c>
      <c r="AT152" s="2599">
        <v>40</v>
      </c>
      <c r="AU152" s="2556">
        <v>20</v>
      </c>
      <c r="AV152" s="2599">
        <v>40</v>
      </c>
      <c r="AW152" s="930">
        <v>20</v>
      </c>
      <c r="AX152" s="2599">
        <v>30</v>
      </c>
      <c r="AY152" s="2599">
        <v>30</v>
      </c>
      <c r="AZ152" s="2556">
        <v>20</v>
      </c>
      <c r="BA152" s="930">
        <v>40</v>
      </c>
      <c r="BB152" s="2599"/>
      <c r="BC152" s="2599"/>
      <c r="BD152" s="2556"/>
      <c r="BE152" s="930">
        <v>30</v>
      </c>
      <c r="BF152" s="2599"/>
      <c r="BG152" s="2599"/>
      <c r="BH152" s="931"/>
      <c r="BI152" s="2556"/>
      <c r="BJ152" s="930">
        <v>20</v>
      </c>
      <c r="BK152" s="2599"/>
      <c r="BL152" s="2599">
        <v>20</v>
      </c>
      <c r="BM152" s="931"/>
      <c r="BN152" s="2599">
        <v>20</v>
      </c>
      <c r="BO152" s="2599"/>
      <c r="BP152" s="2556"/>
      <c r="BQ152" s="2599">
        <v>20</v>
      </c>
      <c r="BR152" s="930"/>
      <c r="BS152" s="2599"/>
      <c r="BT152" s="2599">
        <v>40</v>
      </c>
      <c r="BU152" s="2556">
        <v>20</v>
      </c>
      <c r="BV152" s="2599"/>
      <c r="BW152" s="2599">
        <v>30</v>
      </c>
      <c r="BX152" s="930">
        <v>20</v>
      </c>
      <c r="BY152" s="2599"/>
      <c r="BZ152" s="2599"/>
      <c r="CA152" s="2599">
        <v>20</v>
      </c>
      <c r="CB152" s="2556">
        <v>20</v>
      </c>
      <c r="CC152" s="2599">
        <v>20</v>
      </c>
      <c r="CD152" s="930">
        <v>10</v>
      </c>
      <c r="CE152" s="2599"/>
      <c r="CF152" s="2599">
        <v>20</v>
      </c>
      <c r="CG152" s="2556"/>
      <c r="CH152" s="2599"/>
      <c r="CI152" s="930">
        <v>20</v>
      </c>
      <c r="CJ152" s="2599">
        <v>20</v>
      </c>
      <c r="CK152" s="2599">
        <v>20</v>
      </c>
      <c r="CL152" s="2599">
        <v>20</v>
      </c>
      <c r="CM152" s="2599">
        <v>20</v>
      </c>
      <c r="CN152" s="2556"/>
      <c r="CO152" s="930">
        <v>30</v>
      </c>
      <c r="CP152" s="2599"/>
      <c r="CQ152" s="2599"/>
      <c r="CR152" s="2556">
        <v>20</v>
      </c>
      <c r="CS152" s="2599">
        <v>30</v>
      </c>
      <c r="CT152" s="930">
        <v>20</v>
      </c>
      <c r="CU152" s="2599"/>
      <c r="CV152" s="2599">
        <v>20</v>
      </c>
      <c r="CW152" s="2556"/>
      <c r="CX152" s="2599">
        <v>20</v>
      </c>
      <c r="CY152" s="930">
        <v>20</v>
      </c>
      <c r="CZ152" s="2599"/>
      <c r="DA152" s="2556">
        <v>20</v>
      </c>
      <c r="DB152" s="2599">
        <v>30</v>
      </c>
      <c r="DC152" s="930">
        <v>20</v>
      </c>
      <c r="DD152" s="2599"/>
      <c r="DE152" s="930">
        <v>30</v>
      </c>
      <c r="DF152" s="2557">
        <f>IFERROR(VLOOKUP(G152,Personalización!$F$18:$H$21,3,0),IFERROR(VLOOKUP(G152,Personalización!$I$18:$K$21,3,0),IFERROR(VLOOKUP(G152,Personalización!$L$18:$N$21,3,0),IFERROR(VLOOKUP(G152,Personalización!$O$18:$Q$20,3,0),0))))</f>
        <v>0</v>
      </c>
    </row>
    <row r="153" spans="1:110" ht="12.75" customHeight="1" x14ac:dyDescent="0.2">
      <c r="A153" s="227">
        <v>153</v>
      </c>
      <c r="B153" s="6042"/>
      <c r="C153" s="556" t="s">
        <v>6306</v>
      </c>
      <c r="D153" s="557"/>
      <c r="F153" s="2596">
        <v>13</v>
      </c>
      <c r="G153" s="326" t="s">
        <v>816</v>
      </c>
      <c r="H153" s="2556"/>
      <c r="I153" s="2599"/>
      <c r="J153" s="930"/>
      <c r="K153" s="2599"/>
      <c r="L153" s="2599"/>
      <c r="M153" s="2556"/>
      <c r="N153" s="2599"/>
      <c r="O153" s="930"/>
      <c r="P153" s="2599"/>
      <c r="Q153" s="2599"/>
      <c r="R153" s="2556"/>
      <c r="S153" s="930"/>
      <c r="T153" s="2599"/>
      <c r="U153" s="2556"/>
      <c r="V153" s="930"/>
      <c r="W153" s="2599"/>
      <c r="X153" s="2599"/>
      <c r="Y153" s="2554"/>
      <c r="Z153" s="2406"/>
      <c r="AA153" s="2555"/>
      <c r="AB153" s="2406"/>
      <c r="AC153" s="2406"/>
      <c r="AD153" s="2554"/>
      <c r="AE153" s="2555"/>
      <c r="AF153" s="2406"/>
      <c r="AG153" s="2406"/>
      <c r="AH153" s="2406"/>
      <c r="AI153" s="2554"/>
      <c r="AJ153" s="2406"/>
      <c r="AK153" s="2555"/>
      <c r="AL153" s="2406"/>
      <c r="AM153" s="2406"/>
      <c r="AN153" s="2406"/>
      <c r="AO153" s="2406"/>
      <c r="AP153" s="2556"/>
      <c r="AQ153" s="2599"/>
      <c r="AR153" s="930"/>
      <c r="AS153" s="2599"/>
      <c r="AT153" s="2599"/>
      <c r="AU153" s="2556"/>
      <c r="AV153" s="2599"/>
      <c r="AW153" s="930"/>
      <c r="AX153" s="2599"/>
      <c r="AY153" s="2599"/>
      <c r="AZ153" s="2556"/>
      <c r="BA153" s="930"/>
      <c r="BB153" s="2599"/>
      <c r="BC153" s="2599"/>
      <c r="BD153" s="2556"/>
      <c r="BE153" s="930"/>
      <c r="BF153" s="2599"/>
      <c r="BG153" s="2599"/>
      <c r="BH153" s="931"/>
      <c r="BI153" s="2556"/>
      <c r="BJ153" s="930"/>
      <c r="BK153" s="2599"/>
      <c r="BL153" s="2599"/>
      <c r="BM153" s="931"/>
      <c r="BN153" s="2599"/>
      <c r="BO153" s="2599"/>
      <c r="BP153" s="2556"/>
      <c r="BQ153" s="2599"/>
      <c r="BR153" s="930"/>
      <c r="BS153" s="2599"/>
      <c r="BT153" s="2599"/>
      <c r="BU153" s="2556"/>
      <c r="BV153" s="2599"/>
      <c r="BW153" s="2599"/>
      <c r="BX153" s="930"/>
      <c r="BY153" s="2599"/>
      <c r="BZ153" s="2599"/>
      <c r="CA153" s="2599"/>
      <c r="CB153" s="2556"/>
      <c r="CC153" s="2599"/>
      <c r="CD153" s="930"/>
      <c r="CE153" s="2599"/>
      <c r="CF153" s="2599"/>
      <c r="CG153" s="2556"/>
      <c r="CH153" s="2599"/>
      <c r="CI153" s="930"/>
      <c r="CJ153" s="2599"/>
      <c r="CK153" s="2599"/>
      <c r="CL153" s="2599"/>
      <c r="CM153" s="2599"/>
      <c r="CN153" s="2556"/>
      <c r="CO153" s="930"/>
      <c r="CP153" s="2599"/>
      <c r="CQ153" s="2599"/>
      <c r="CR153" s="2556"/>
      <c r="CS153" s="2599"/>
      <c r="CT153" s="930"/>
      <c r="CU153" s="2599"/>
      <c r="CV153" s="2599"/>
      <c r="CW153" s="2556"/>
      <c r="CX153" s="2599"/>
      <c r="CY153" s="930"/>
      <c r="CZ153" s="2599"/>
      <c r="DA153" s="2556"/>
      <c r="DB153" s="2599"/>
      <c r="DC153" s="930"/>
      <c r="DD153" s="2599"/>
      <c r="DE153" s="930"/>
      <c r="DF153" s="2557">
        <f>IFERROR(VLOOKUP(G153,Personalización!$F$18:$H$21,3,0),IFERROR(VLOOKUP(G153,Personalización!$I$18:$K$21,3,0),IFERROR(VLOOKUP(G153,Personalización!$L$18:$N$21,3,0),IFERROR(VLOOKUP(G153,Personalización!$O$18:$Q$20,3,0),0))))</f>
        <v>0</v>
      </c>
    </row>
    <row r="154" spans="1:110" ht="12.75" customHeight="1" x14ac:dyDescent="0.2">
      <c r="A154" s="227">
        <v>154</v>
      </c>
      <c r="B154" s="6042"/>
      <c r="C154" s="556" t="s">
        <v>6307</v>
      </c>
      <c r="D154" s="557"/>
      <c r="F154" s="2596">
        <v>14</v>
      </c>
      <c r="G154" s="326" t="s">
        <v>817</v>
      </c>
      <c r="H154" s="2556"/>
      <c r="I154" s="2599"/>
      <c r="J154" s="930"/>
      <c r="K154" s="2599"/>
      <c r="L154" s="2599"/>
      <c r="M154" s="2556"/>
      <c r="N154" s="2599"/>
      <c r="O154" s="930"/>
      <c r="P154" s="2599"/>
      <c r="Q154" s="2599"/>
      <c r="R154" s="2556"/>
      <c r="S154" s="930"/>
      <c r="T154" s="2599"/>
      <c r="U154" s="2556"/>
      <c r="V154" s="930"/>
      <c r="W154" s="2599"/>
      <c r="X154" s="2599"/>
      <c r="Y154" s="2554"/>
      <c r="Z154" s="2406"/>
      <c r="AA154" s="2555"/>
      <c r="AB154" s="2406"/>
      <c r="AC154" s="2406"/>
      <c r="AD154" s="2554"/>
      <c r="AE154" s="2555"/>
      <c r="AF154" s="2406"/>
      <c r="AG154" s="2406"/>
      <c r="AH154" s="2406"/>
      <c r="AI154" s="2554"/>
      <c r="AJ154" s="2406"/>
      <c r="AK154" s="2555"/>
      <c r="AL154" s="2406"/>
      <c r="AM154" s="2406"/>
      <c r="AN154" s="2406"/>
      <c r="AO154" s="2406"/>
      <c r="AP154" s="2556"/>
      <c r="AQ154" s="2599"/>
      <c r="AR154" s="930"/>
      <c r="AS154" s="2599"/>
      <c r="AT154" s="2599"/>
      <c r="AU154" s="2556"/>
      <c r="AV154" s="2599"/>
      <c r="AW154" s="930"/>
      <c r="AX154" s="2599"/>
      <c r="AY154" s="2599"/>
      <c r="AZ154" s="2556"/>
      <c r="BA154" s="930"/>
      <c r="BB154" s="2599"/>
      <c r="BC154" s="2599"/>
      <c r="BD154" s="2556"/>
      <c r="BE154" s="930"/>
      <c r="BF154" s="2599"/>
      <c r="BG154" s="2599"/>
      <c r="BH154" s="931"/>
      <c r="BI154" s="2556"/>
      <c r="BJ154" s="930"/>
      <c r="BK154" s="2599"/>
      <c r="BL154" s="2599"/>
      <c r="BM154" s="931"/>
      <c r="BN154" s="2599"/>
      <c r="BO154" s="2599"/>
      <c r="BP154" s="2556"/>
      <c r="BQ154" s="2599"/>
      <c r="BR154" s="930"/>
      <c r="BS154" s="2599"/>
      <c r="BT154" s="2599"/>
      <c r="BU154" s="2556"/>
      <c r="BV154" s="2599"/>
      <c r="BW154" s="2599"/>
      <c r="BX154" s="930"/>
      <c r="BY154" s="2599"/>
      <c r="BZ154" s="2599"/>
      <c r="CA154" s="2599"/>
      <c r="CB154" s="2556"/>
      <c r="CC154" s="2599"/>
      <c r="CD154" s="930"/>
      <c r="CE154" s="2599"/>
      <c r="CF154" s="2599"/>
      <c r="CG154" s="2556"/>
      <c r="CH154" s="2599"/>
      <c r="CI154" s="930"/>
      <c r="CJ154" s="2599"/>
      <c r="CK154" s="2599"/>
      <c r="CL154" s="2599"/>
      <c r="CM154" s="2599"/>
      <c r="CN154" s="2556"/>
      <c r="CO154" s="930"/>
      <c r="CP154" s="2599"/>
      <c r="CQ154" s="2599"/>
      <c r="CR154" s="2556"/>
      <c r="CS154" s="2599"/>
      <c r="CT154" s="930"/>
      <c r="CU154" s="2599"/>
      <c r="CV154" s="2599"/>
      <c r="CW154" s="2556"/>
      <c r="CX154" s="2599"/>
      <c r="CY154" s="930"/>
      <c r="CZ154" s="2599"/>
      <c r="DA154" s="2556"/>
      <c r="DB154" s="2599"/>
      <c r="DC154" s="930"/>
      <c r="DD154" s="2599"/>
      <c r="DE154" s="930"/>
      <c r="DF154" s="2557">
        <f>IFERROR(VLOOKUP(G154,Personalización!$F$18:$H$21,3,0),IFERROR(VLOOKUP(G154,Personalización!$I$18:$K$21,3,0),IFERROR(VLOOKUP(G154,Personalización!$L$18:$N$21,3,0),IFERROR(VLOOKUP(G154,Personalización!$O$18:$Q$20,3,0),0))))</f>
        <v>0</v>
      </c>
    </row>
    <row r="155" spans="1:110" ht="12.75" customHeight="1" x14ac:dyDescent="0.2">
      <c r="A155" s="227">
        <v>155</v>
      </c>
      <c r="B155" s="6042"/>
      <c r="C155" s="556" t="s">
        <v>6308</v>
      </c>
      <c r="D155" s="557"/>
      <c r="F155" s="2596">
        <v>15</v>
      </c>
      <c r="G155" s="326" t="s">
        <v>818</v>
      </c>
      <c r="H155" s="2556"/>
      <c r="I155" s="2599"/>
      <c r="J155" s="930"/>
      <c r="K155" s="2599"/>
      <c r="L155" s="2599"/>
      <c r="M155" s="2556"/>
      <c r="N155" s="2599"/>
      <c r="O155" s="930"/>
      <c r="P155" s="2599"/>
      <c r="Q155" s="2599"/>
      <c r="R155" s="2556"/>
      <c r="S155" s="930"/>
      <c r="T155" s="2599"/>
      <c r="U155" s="2556"/>
      <c r="V155" s="930"/>
      <c r="W155" s="2599"/>
      <c r="X155" s="2599"/>
      <c r="Y155" s="2554"/>
      <c r="Z155" s="2406"/>
      <c r="AA155" s="2555"/>
      <c r="AB155" s="2406"/>
      <c r="AC155" s="2406"/>
      <c r="AD155" s="2554"/>
      <c r="AE155" s="2555"/>
      <c r="AF155" s="2406"/>
      <c r="AG155" s="2406"/>
      <c r="AH155" s="2406"/>
      <c r="AI155" s="2554"/>
      <c r="AJ155" s="2406"/>
      <c r="AK155" s="2555"/>
      <c r="AL155" s="2406"/>
      <c r="AM155" s="2406"/>
      <c r="AN155" s="2406"/>
      <c r="AO155" s="2406"/>
      <c r="AP155" s="2556"/>
      <c r="AQ155" s="2599"/>
      <c r="AR155" s="930"/>
      <c r="AS155" s="2599"/>
      <c r="AT155" s="2599"/>
      <c r="AU155" s="2556"/>
      <c r="AV155" s="2599"/>
      <c r="AW155" s="930"/>
      <c r="AX155" s="2599"/>
      <c r="AY155" s="2599"/>
      <c r="AZ155" s="2556"/>
      <c r="BA155" s="930"/>
      <c r="BB155" s="2599"/>
      <c r="BC155" s="2599"/>
      <c r="BD155" s="2556"/>
      <c r="BE155" s="930"/>
      <c r="BF155" s="2599"/>
      <c r="BG155" s="2599"/>
      <c r="BH155" s="931"/>
      <c r="BI155" s="2556"/>
      <c r="BJ155" s="930"/>
      <c r="BK155" s="2599"/>
      <c r="BL155" s="2599"/>
      <c r="BM155" s="931"/>
      <c r="BN155" s="2599"/>
      <c r="BO155" s="2599"/>
      <c r="BP155" s="2556"/>
      <c r="BQ155" s="2599"/>
      <c r="BR155" s="930"/>
      <c r="BS155" s="2599"/>
      <c r="BT155" s="2599"/>
      <c r="BU155" s="2556"/>
      <c r="BV155" s="2599"/>
      <c r="BW155" s="2599"/>
      <c r="BX155" s="930"/>
      <c r="BY155" s="2599"/>
      <c r="BZ155" s="2599"/>
      <c r="CA155" s="2599"/>
      <c r="CB155" s="2556"/>
      <c r="CC155" s="2599"/>
      <c r="CD155" s="930"/>
      <c r="CE155" s="2599"/>
      <c r="CF155" s="2599"/>
      <c r="CG155" s="2556"/>
      <c r="CH155" s="2599"/>
      <c r="CI155" s="930"/>
      <c r="CJ155" s="2599"/>
      <c r="CK155" s="2599"/>
      <c r="CL155" s="2599"/>
      <c r="CM155" s="2599"/>
      <c r="CN155" s="2556"/>
      <c r="CO155" s="930"/>
      <c r="CP155" s="2599"/>
      <c r="CQ155" s="2599"/>
      <c r="CR155" s="2556"/>
      <c r="CS155" s="2599"/>
      <c r="CT155" s="930"/>
      <c r="CU155" s="2599"/>
      <c r="CV155" s="2599"/>
      <c r="CW155" s="2556"/>
      <c r="CX155" s="2599"/>
      <c r="CY155" s="930"/>
      <c r="CZ155" s="2599"/>
      <c r="DA155" s="2556"/>
      <c r="DB155" s="2599"/>
      <c r="DC155" s="930"/>
      <c r="DD155" s="2599"/>
      <c r="DE155" s="930"/>
      <c r="DF155" s="2557">
        <f>IFERROR(VLOOKUP(G155,Personalización!$F$18:$H$21,3,0),IFERROR(VLOOKUP(G155,Personalización!$I$18:$K$21,3,0),IFERROR(VLOOKUP(G155,Personalización!$L$18:$N$21,3,0),IFERROR(VLOOKUP(G155,Personalización!$O$18:$Q$20,3,0),0))))</f>
        <v>0</v>
      </c>
    </row>
    <row r="156" spans="1:110" ht="12.75" customHeight="1" x14ac:dyDescent="0.2">
      <c r="A156" s="227">
        <v>156</v>
      </c>
      <c r="B156" s="6042"/>
      <c r="C156" s="556" t="s">
        <v>6346</v>
      </c>
      <c r="D156" s="557"/>
      <c r="F156" s="2596">
        <v>16</v>
      </c>
      <c r="G156" s="326" t="s">
        <v>1431</v>
      </c>
      <c r="H156" s="2556">
        <v>30</v>
      </c>
      <c r="I156" s="2599"/>
      <c r="J156" s="930"/>
      <c r="K156" s="2599"/>
      <c r="L156" s="2599"/>
      <c r="M156" s="2556">
        <v>20</v>
      </c>
      <c r="N156" s="2599"/>
      <c r="O156" s="930">
        <v>20</v>
      </c>
      <c r="P156" s="2599">
        <v>20</v>
      </c>
      <c r="Q156" s="2599">
        <v>20</v>
      </c>
      <c r="R156" s="2556">
        <v>20</v>
      </c>
      <c r="S156" s="930">
        <v>20</v>
      </c>
      <c r="T156" s="2599">
        <v>20</v>
      </c>
      <c r="U156" s="2556"/>
      <c r="V156" s="930"/>
      <c r="W156" s="2599">
        <v>20</v>
      </c>
      <c r="X156" s="2599">
        <v>20</v>
      </c>
      <c r="Y156" s="2554">
        <v>20</v>
      </c>
      <c r="Z156" s="2406"/>
      <c r="AA156" s="2555"/>
      <c r="AB156" s="2406">
        <v>20</v>
      </c>
      <c r="AC156" s="2406">
        <v>20</v>
      </c>
      <c r="AD156" s="2554">
        <v>20</v>
      </c>
      <c r="AE156" s="2555">
        <v>10</v>
      </c>
      <c r="AF156" s="2406">
        <v>20</v>
      </c>
      <c r="AG156" s="2406">
        <v>20</v>
      </c>
      <c r="AH156" s="2406">
        <v>20</v>
      </c>
      <c r="AI156" s="2554">
        <v>20</v>
      </c>
      <c r="AJ156" s="2406">
        <v>20</v>
      </c>
      <c r="AK156" s="2555">
        <v>20</v>
      </c>
      <c r="AL156" s="2406">
        <v>20</v>
      </c>
      <c r="AM156" s="2406">
        <v>20</v>
      </c>
      <c r="AN156" s="2406">
        <v>20</v>
      </c>
      <c r="AO156" s="2406">
        <v>20</v>
      </c>
      <c r="AP156" s="2556">
        <v>30</v>
      </c>
      <c r="AQ156" s="2599">
        <v>20</v>
      </c>
      <c r="AR156" s="930">
        <v>20</v>
      </c>
      <c r="AS156" s="2599">
        <v>30</v>
      </c>
      <c r="AT156" s="2599">
        <v>20</v>
      </c>
      <c r="AU156" s="2556">
        <v>20</v>
      </c>
      <c r="AV156" s="2599"/>
      <c r="AW156" s="930"/>
      <c r="AX156" s="2599">
        <v>20</v>
      </c>
      <c r="AY156" s="2599"/>
      <c r="AZ156" s="2556">
        <v>20</v>
      </c>
      <c r="BA156" s="930"/>
      <c r="BB156" s="2599">
        <v>20</v>
      </c>
      <c r="BC156" s="2599">
        <v>20</v>
      </c>
      <c r="BD156" s="2556">
        <v>20</v>
      </c>
      <c r="BE156" s="930"/>
      <c r="BF156" s="2599">
        <v>30</v>
      </c>
      <c r="BG156" s="2599">
        <v>10</v>
      </c>
      <c r="BH156" s="931">
        <v>20</v>
      </c>
      <c r="BI156" s="2556">
        <v>20</v>
      </c>
      <c r="BJ156" s="930">
        <v>30</v>
      </c>
      <c r="BK156" s="2599">
        <v>20</v>
      </c>
      <c r="BL156" s="2599">
        <v>20</v>
      </c>
      <c r="BM156" s="931">
        <v>20</v>
      </c>
      <c r="BN156" s="2599">
        <v>20</v>
      </c>
      <c r="BO156" s="2599">
        <v>10</v>
      </c>
      <c r="BP156" s="2556">
        <v>20</v>
      </c>
      <c r="BQ156" s="2599"/>
      <c r="BR156" s="930">
        <v>20</v>
      </c>
      <c r="BS156" s="2599">
        <v>20</v>
      </c>
      <c r="BT156" s="2599">
        <v>20</v>
      </c>
      <c r="BU156" s="2556"/>
      <c r="BV156" s="2599"/>
      <c r="BW156" s="2599"/>
      <c r="BX156" s="930"/>
      <c r="BY156" s="2599">
        <v>20</v>
      </c>
      <c r="BZ156" s="2599">
        <v>20</v>
      </c>
      <c r="CA156" s="2599"/>
      <c r="CB156" s="2556"/>
      <c r="CC156" s="2599"/>
      <c r="CD156" s="930"/>
      <c r="CE156" s="2599">
        <v>20</v>
      </c>
      <c r="CF156" s="2599"/>
      <c r="CG156" s="2556">
        <v>20</v>
      </c>
      <c r="CH156" s="2599">
        <v>20</v>
      </c>
      <c r="CI156" s="930"/>
      <c r="CJ156" s="2599"/>
      <c r="CK156" s="2599"/>
      <c r="CL156" s="2599"/>
      <c r="CM156" s="2599"/>
      <c r="CN156" s="2556">
        <v>30</v>
      </c>
      <c r="CO156" s="930"/>
      <c r="CP156" s="2599">
        <v>20</v>
      </c>
      <c r="CQ156" s="2599">
        <v>20</v>
      </c>
      <c r="CR156" s="2556">
        <v>20</v>
      </c>
      <c r="CS156" s="2599">
        <v>20</v>
      </c>
      <c r="CT156" s="930"/>
      <c r="CU156" s="2599">
        <v>20</v>
      </c>
      <c r="CV156" s="2599">
        <v>20</v>
      </c>
      <c r="CW156" s="2556">
        <v>20</v>
      </c>
      <c r="CX156" s="2599">
        <v>20</v>
      </c>
      <c r="CY156" s="930">
        <v>20</v>
      </c>
      <c r="CZ156" s="2599">
        <v>20</v>
      </c>
      <c r="DA156" s="2556">
        <v>20</v>
      </c>
      <c r="DB156" s="2599">
        <v>20</v>
      </c>
      <c r="DC156" s="930"/>
      <c r="DD156" s="2599">
        <v>20</v>
      </c>
      <c r="DE156" s="930">
        <v>20</v>
      </c>
      <c r="DF156" s="2557">
        <f>IFERROR(VLOOKUP(G156,Personalización!$F$18:$H$21,3,0),IFERROR(VLOOKUP(G156,Personalización!$I$18:$K$21,3,0),IFERROR(VLOOKUP(G156,Personalización!$L$18:$N$21,3,0),IFERROR(VLOOKUP(G156,Personalización!$O$18:$Q$20,3,0),0))))</f>
        <v>0</v>
      </c>
    </row>
    <row r="157" spans="1:110" ht="12.75" customHeight="1" x14ac:dyDescent="0.2">
      <c r="A157" s="227">
        <v>157</v>
      </c>
      <c r="B157" s="6042"/>
      <c r="C157" s="556" t="s">
        <v>6309</v>
      </c>
      <c r="D157" s="557"/>
      <c r="F157" s="2596">
        <v>17</v>
      </c>
      <c r="G157" s="326" t="s">
        <v>1432</v>
      </c>
      <c r="H157" s="2556"/>
      <c r="I157" s="2599"/>
      <c r="J157" s="930"/>
      <c r="K157" s="2599"/>
      <c r="L157" s="2599"/>
      <c r="M157" s="2556"/>
      <c r="N157" s="2599"/>
      <c r="O157" s="930"/>
      <c r="P157" s="2599"/>
      <c r="Q157" s="2599"/>
      <c r="R157" s="2556"/>
      <c r="S157" s="930"/>
      <c r="T157" s="2599"/>
      <c r="U157" s="2556"/>
      <c r="V157" s="930"/>
      <c r="W157" s="2599"/>
      <c r="X157" s="2599"/>
      <c r="Y157" s="2554"/>
      <c r="Z157" s="2406"/>
      <c r="AA157" s="2555"/>
      <c r="AB157" s="2406"/>
      <c r="AC157" s="2406"/>
      <c r="AD157" s="2554"/>
      <c r="AE157" s="2555"/>
      <c r="AF157" s="2406"/>
      <c r="AG157" s="2406"/>
      <c r="AH157" s="2406"/>
      <c r="AI157" s="2554"/>
      <c r="AJ157" s="2406"/>
      <c r="AK157" s="2555"/>
      <c r="AL157" s="2406"/>
      <c r="AM157" s="2406"/>
      <c r="AN157" s="2406"/>
      <c r="AO157" s="2406"/>
      <c r="AP157" s="2556"/>
      <c r="AQ157" s="2599"/>
      <c r="AR157" s="930"/>
      <c r="AS157" s="2599"/>
      <c r="AT157" s="2599"/>
      <c r="AU157" s="2556"/>
      <c r="AV157" s="2599"/>
      <c r="AW157" s="930"/>
      <c r="AX157" s="2599"/>
      <c r="AY157" s="2599"/>
      <c r="AZ157" s="2556"/>
      <c r="BA157" s="930"/>
      <c r="BB157" s="2599"/>
      <c r="BC157" s="2599"/>
      <c r="BD157" s="2556"/>
      <c r="BE157" s="930"/>
      <c r="BF157" s="2599"/>
      <c r="BG157" s="2599"/>
      <c r="BH157" s="931">
        <v>20</v>
      </c>
      <c r="BI157" s="2556"/>
      <c r="BJ157" s="930"/>
      <c r="BK157" s="2599"/>
      <c r="BL157" s="2599"/>
      <c r="BM157" s="931"/>
      <c r="BN157" s="2599"/>
      <c r="BO157" s="2599"/>
      <c r="BP157" s="2556"/>
      <c r="BQ157" s="2599"/>
      <c r="BR157" s="930"/>
      <c r="BS157" s="2599"/>
      <c r="BT157" s="2599"/>
      <c r="BU157" s="2556"/>
      <c r="BV157" s="2599"/>
      <c r="BW157" s="2599"/>
      <c r="BX157" s="930"/>
      <c r="BY157" s="2599"/>
      <c r="BZ157" s="2599"/>
      <c r="CA157" s="2599"/>
      <c r="CB157" s="2556"/>
      <c r="CC157" s="2599"/>
      <c r="CD157" s="930"/>
      <c r="CE157" s="2599"/>
      <c r="CF157" s="2599"/>
      <c r="CG157" s="2556"/>
      <c r="CH157" s="2599"/>
      <c r="CI157" s="930"/>
      <c r="CJ157" s="2599"/>
      <c r="CK157" s="2599"/>
      <c r="CL157" s="2599"/>
      <c r="CM157" s="2599"/>
      <c r="CN157" s="2556"/>
      <c r="CO157" s="930"/>
      <c r="CP157" s="2599"/>
      <c r="CQ157" s="2599"/>
      <c r="CR157" s="2556"/>
      <c r="CS157" s="2599"/>
      <c r="CT157" s="930"/>
      <c r="CU157" s="2599"/>
      <c r="CV157" s="2599"/>
      <c r="CW157" s="2556"/>
      <c r="CX157" s="2599"/>
      <c r="CY157" s="930"/>
      <c r="CZ157" s="2599"/>
      <c r="DA157" s="2556"/>
      <c r="DB157" s="2599"/>
      <c r="DC157" s="930"/>
      <c r="DD157" s="2599"/>
      <c r="DE157" s="930"/>
      <c r="DF157" s="2557">
        <f>IFERROR(VLOOKUP(G157,Personalización!$F$18:$H$21,3,0),IFERROR(VLOOKUP(G157,Personalización!$I$18:$K$21,3,0),IFERROR(VLOOKUP(G157,Personalización!$L$18:$N$21,3,0),IFERROR(VLOOKUP(G157,Personalización!$O$18:$Q$20,3,0),0))))</f>
        <v>0</v>
      </c>
    </row>
    <row r="158" spans="1:110" ht="12.75" customHeight="1" x14ac:dyDescent="0.2">
      <c r="A158" s="227">
        <v>158</v>
      </c>
      <c r="B158" s="6042"/>
      <c r="C158" s="556" t="s">
        <v>6310</v>
      </c>
      <c r="D158" s="557"/>
      <c r="F158" s="2596">
        <v>18</v>
      </c>
      <c r="G158" s="326" t="s">
        <v>1433</v>
      </c>
      <c r="H158" s="2556"/>
      <c r="I158" s="2599"/>
      <c r="J158" s="930"/>
      <c r="K158" s="2599"/>
      <c r="L158" s="2599"/>
      <c r="M158" s="2556"/>
      <c r="N158" s="2599">
        <v>20</v>
      </c>
      <c r="O158" s="930"/>
      <c r="P158" s="2599"/>
      <c r="Q158" s="2599"/>
      <c r="R158" s="2556">
        <v>20</v>
      </c>
      <c r="S158" s="930"/>
      <c r="T158" s="2599">
        <v>20</v>
      </c>
      <c r="U158" s="2556"/>
      <c r="V158" s="930"/>
      <c r="W158" s="2599"/>
      <c r="X158" s="2599"/>
      <c r="Y158" s="2554"/>
      <c r="Z158" s="2406"/>
      <c r="AA158" s="2555"/>
      <c r="AB158" s="2406"/>
      <c r="AC158" s="2406"/>
      <c r="AD158" s="2554"/>
      <c r="AE158" s="2555"/>
      <c r="AF158" s="2406">
        <v>30</v>
      </c>
      <c r="AG158" s="2406">
        <v>20</v>
      </c>
      <c r="AH158" s="2406"/>
      <c r="AI158" s="2554">
        <v>20</v>
      </c>
      <c r="AJ158" s="2406"/>
      <c r="AK158" s="2555"/>
      <c r="AL158" s="2406">
        <v>20</v>
      </c>
      <c r="AM158" s="2406">
        <v>20</v>
      </c>
      <c r="AN158" s="2406">
        <v>20</v>
      </c>
      <c r="AO158" s="2406"/>
      <c r="AP158" s="2556">
        <v>20</v>
      </c>
      <c r="AQ158" s="2599"/>
      <c r="AR158" s="930"/>
      <c r="AS158" s="2599"/>
      <c r="AT158" s="2599"/>
      <c r="AU158" s="2556"/>
      <c r="AV158" s="2599"/>
      <c r="AW158" s="930"/>
      <c r="AX158" s="2599"/>
      <c r="AY158" s="2599"/>
      <c r="AZ158" s="2556"/>
      <c r="BA158" s="930"/>
      <c r="BB158" s="2599">
        <v>10</v>
      </c>
      <c r="BC158" s="2599"/>
      <c r="BD158" s="2556">
        <v>30</v>
      </c>
      <c r="BE158" s="930"/>
      <c r="BF158" s="2599">
        <v>20</v>
      </c>
      <c r="BG158" s="2599"/>
      <c r="BH158" s="931">
        <v>30</v>
      </c>
      <c r="BI158" s="2556">
        <v>20</v>
      </c>
      <c r="BJ158" s="930">
        <v>30</v>
      </c>
      <c r="BK158" s="2599"/>
      <c r="BL158" s="2599"/>
      <c r="BM158" s="931">
        <v>30</v>
      </c>
      <c r="BN158" s="2599"/>
      <c r="BO158" s="2599"/>
      <c r="BP158" s="2556"/>
      <c r="BQ158" s="2599"/>
      <c r="BR158" s="930"/>
      <c r="BS158" s="2599"/>
      <c r="BT158" s="2599"/>
      <c r="BU158" s="2556"/>
      <c r="BV158" s="2599">
        <v>20</v>
      </c>
      <c r="BW158" s="2599"/>
      <c r="BX158" s="930"/>
      <c r="BY158" s="2599"/>
      <c r="BZ158" s="2599"/>
      <c r="CA158" s="2599"/>
      <c r="CB158" s="2556"/>
      <c r="CC158" s="2599"/>
      <c r="CD158" s="930"/>
      <c r="CE158" s="2599">
        <v>20</v>
      </c>
      <c r="CF158" s="2599">
        <v>20</v>
      </c>
      <c r="CG158" s="2556"/>
      <c r="CH158" s="2599"/>
      <c r="CI158" s="930"/>
      <c r="CJ158" s="2599"/>
      <c r="CK158" s="2599"/>
      <c r="CL158" s="2599"/>
      <c r="CM158" s="2599"/>
      <c r="CN158" s="2556"/>
      <c r="CO158" s="930"/>
      <c r="CP158" s="2599">
        <v>20</v>
      </c>
      <c r="CQ158" s="2599">
        <v>20</v>
      </c>
      <c r="CR158" s="2556"/>
      <c r="CS158" s="2599"/>
      <c r="CT158" s="930"/>
      <c r="CU158" s="2599">
        <v>20</v>
      </c>
      <c r="CV158" s="2599">
        <v>20</v>
      </c>
      <c r="CW158" s="2556">
        <v>20</v>
      </c>
      <c r="CX158" s="2599"/>
      <c r="CY158" s="930"/>
      <c r="CZ158" s="2599"/>
      <c r="DA158" s="2556"/>
      <c r="DB158" s="2599"/>
      <c r="DC158" s="930"/>
      <c r="DD158" s="2599"/>
      <c r="DE158" s="930"/>
      <c r="DF158" s="2557">
        <f>IFERROR(VLOOKUP(G158,Personalización!$F$18:$H$21,3,0),IFERROR(VLOOKUP(G158,Personalización!$I$18:$K$21,3,0),IFERROR(VLOOKUP(G158,Personalización!$L$18:$N$21,3,0),IFERROR(VLOOKUP(G158,Personalización!$O$18:$Q$20,3,0),0))))</f>
        <v>0</v>
      </c>
    </row>
    <row r="159" spans="1:110" ht="12.75" customHeight="1" x14ac:dyDescent="0.2">
      <c r="A159" s="227">
        <v>159</v>
      </c>
      <c r="B159" s="6042"/>
      <c r="C159" s="556" t="s">
        <v>6347</v>
      </c>
      <c r="D159" s="557"/>
      <c r="F159" s="2596">
        <v>19</v>
      </c>
      <c r="G159" s="326" t="s">
        <v>1435</v>
      </c>
      <c r="H159" s="2556"/>
      <c r="I159" s="2599"/>
      <c r="J159" s="930"/>
      <c r="K159" s="2599"/>
      <c r="L159" s="2599"/>
      <c r="M159" s="2556">
        <v>20</v>
      </c>
      <c r="N159" s="2599">
        <v>20</v>
      </c>
      <c r="O159" s="930">
        <v>20</v>
      </c>
      <c r="P159" s="2599"/>
      <c r="Q159" s="2599"/>
      <c r="R159" s="2556">
        <v>20</v>
      </c>
      <c r="S159" s="930"/>
      <c r="T159" s="2599">
        <v>20</v>
      </c>
      <c r="U159" s="2556"/>
      <c r="V159" s="930"/>
      <c r="W159" s="2599">
        <v>20</v>
      </c>
      <c r="X159" s="2599"/>
      <c r="Y159" s="2554"/>
      <c r="Z159" s="2406"/>
      <c r="AA159" s="2555"/>
      <c r="AB159" s="2406"/>
      <c r="AC159" s="2406"/>
      <c r="AD159" s="2554"/>
      <c r="AE159" s="2555"/>
      <c r="AF159" s="2406">
        <v>10</v>
      </c>
      <c r="AG159" s="2406">
        <v>10</v>
      </c>
      <c r="AH159" s="2406">
        <v>20</v>
      </c>
      <c r="AI159" s="2554"/>
      <c r="AJ159" s="2406"/>
      <c r="AK159" s="2555"/>
      <c r="AL159" s="2406">
        <v>30</v>
      </c>
      <c r="AM159" s="2406">
        <v>20</v>
      </c>
      <c r="AN159" s="2406"/>
      <c r="AO159" s="2406"/>
      <c r="AP159" s="2556"/>
      <c r="AQ159" s="2599">
        <v>10</v>
      </c>
      <c r="AR159" s="930"/>
      <c r="AS159" s="2599"/>
      <c r="AT159" s="2599"/>
      <c r="AU159" s="2556"/>
      <c r="AV159" s="2599"/>
      <c r="AW159" s="930"/>
      <c r="AX159" s="2599"/>
      <c r="AY159" s="2599"/>
      <c r="AZ159" s="2556"/>
      <c r="BA159" s="930"/>
      <c r="BB159" s="2599"/>
      <c r="BC159" s="2599"/>
      <c r="BD159" s="2556">
        <v>20</v>
      </c>
      <c r="BE159" s="930"/>
      <c r="BF159" s="2599"/>
      <c r="BG159" s="2599"/>
      <c r="BH159" s="931">
        <v>10</v>
      </c>
      <c r="BI159" s="2556">
        <v>20</v>
      </c>
      <c r="BJ159" s="930">
        <v>30</v>
      </c>
      <c r="BK159" s="2599">
        <v>20</v>
      </c>
      <c r="BL159" s="2599"/>
      <c r="BM159" s="931">
        <v>20</v>
      </c>
      <c r="BN159" s="2599">
        <v>10</v>
      </c>
      <c r="BO159" s="2599"/>
      <c r="BP159" s="2556">
        <v>10</v>
      </c>
      <c r="BQ159" s="2599"/>
      <c r="BR159" s="930"/>
      <c r="BS159" s="2599">
        <v>20</v>
      </c>
      <c r="BT159" s="2599"/>
      <c r="BU159" s="2556">
        <v>20</v>
      </c>
      <c r="BV159" s="2599">
        <v>20</v>
      </c>
      <c r="BW159" s="2599"/>
      <c r="BX159" s="930"/>
      <c r="BY159" s="2599">
        <v>20</v>
      </c>
      <c r="BZ159" s="2599">
        <v>30</v>
      </c>
      <c r="CA159" s="2599"/>
      <c r="CB159" s="2556"/>
      <c r="CC159" s="2599"/>
      <c r="CD159" s="930"/>
      <c r="CE159" s="2599">
        <v>20</v>
      </c>
      <c r="CF159" s="2599">
        <v>20</v>
      </c>
      <c r="CG159" s="2556">
        <v>20</v>
      </c>
      <c r="CH159" s="2599"/>
      <c r="CI159" s="930"/>
      <c r="CJ159" s="2599"/>
      <c r="CK159" s="2599"/>
      <c r="CL159" s="2599"/>
      <c r="CM159" s="2599"/>
      <c r="CN159" s="2556">
        <v>20</v>
      </c>
      <c r="CO159" s="930"/>
      <c r="CP159" s="2599">
        <v>20</v>
      </c>
      <c r="CQ159" s="2599">
        <v>20</v>
      </c>
      <c r="CR159" s="2556"/>
      <c r="CS159" s="2599"/>
      <c r="CT159" s="930"/>
      <c r="CU159" s="2599">
        <v>20</v>
      </c>
      <c r="CV159" s="2599">
        <v>20</v>
      </c>
      <c r="CW159" s="2556">
        <v>20</v>
      </c>
      <c r="CX159" s="2599">
        <v>20</v>
      </c>
      <c r="CY159" s="930">
        <v>20</v>
      </c>
      <c r="CZ159" s="2599"/>
      <c r="DA159" s="2556">
        <v>20</v>
      </c>
      <c r="DB159" s="2599"/>
      <c r="DC159" s="930"/>
      <c r="DD159" s="2599"/>
      <c r="DE159" s="930"/>
      <c r="DF159" s="2557">
        <f>IFERROR(VLOOKUP(G159,Personalización!$F$18:$H$21,3,0),IFERROR(VLOOKUP(G159,Personalización!$I$18:$K$21,3,0),IFERROR(VLOOKUP(G159,Personalización!$L$18:$N$21,3,0),IFERROR(VLOOKUP(G159,Personalización!$O$18:$Q$20,3,0),0))))</f>
        <v>0</v>
      </c>
    </row>
    <row r="160" spans="1:110" ht="12.75" customHeight="1" x14ac:dyDescent="0.2">
      <c r="A160" s="227">
        <v>160</v>
      </c>
      <c r="B160" s="6042"/>
      <c r="C160" s="556" t="s">
        <v>6311</v>
      </c>
      <c r="D160" s="557"/>
      <c r="F160" s="2596">
        <v>20</v>
      </c>
      <c r="G160" s="326" t="s">
        <v>1436</v>
      </c>
      <c r="H160" s="2556"/>
      <c r="I160" s="2599"/>
      <c r="J160" s="930"/>
      <c r="K160" s="2599">
        <v>20</v>
      </c>
      <c r="L160" s="2599">
        <v>20</v>
      </c>
      <c r="M160" s="2556"/>
      <c r="N160" s="2599"/>
      <c r="O160" s="930"/>
      <c r="P160" s="2599"/>
      <c r="Q160" s="2599"/>
      <c r="R160" s="2556"/>
      <c r="S160" s="930"/>
      <c r="T160" s="2599"/>
      <c r="U160" s="2556"/>
      <c r="V160" s="930"/>
      <c r="W160" s="2599"/>
      <c r="X160" s="2599"/>
      <c r="Y160" s="2554"/>
      <c r="Z160" s="2406"/>
      <c r="AA160" s="2555"/>
      <c r="AB160" s="2406"/>
      <c r="AC160" s="2406"/>
      <c r="AD160" s="2554"/>
      <c r="AE160" s="2555"/>
      <c r="AF160" s="2406"/>
      <c r="AG160" s="2406"/>
      <c r="AH160" s="2406"/>
      <c r="AI160" s="2554"/>
      <c r="AJ160" s="2406"/>
      <c r="AK160" s="2555"/>
      <c r="AL160" s="2406"/>
      <c r="AM160" s="2406"/>
      <c r="AN160" s="2406"/>
      <c r="AO160" s="2406"/>
      <c r="AP160" s="2556"/>
      <c r="AQ160" s="2599"/>
      <c r="AR160" s="930"/>
      <c r="AS160" s="2599"/>
      <c r="AT160" s="2599"/>
      <c r="AU160" s="2556"/>
      <c r="AV160" s="2599"/>
      <c r="AW160" s="930"/>
      <c r="AX160" s="2599"/>
      <c r="AY160" s="2599"/>
      <c r="AZ160" s="2556"/>
      <c r="BA160" s="930"/>
      <c r="BB160" s="2599"/>
      <c r="BC160" s="2599"/>
      <c r="BD160" s="2556"/>
      <c r="BE160" s="930"/>
      <c r="BF160" s="2599"/>
      <c r="BG160" s="2599"/>
      <c r="BH160" s="931"/>
      <c r="BI160" s="2556"/>
      <c r="BJ160" s="930"/>
      <c r="BK160" s="2599">
        <v>20</v>
      </c>
      <c r="BL160" s="2599">
        <v>20</v>
      </c>
      <c r="BM160" s="931"/>
      <c r="BN160" s="2599">
        <v>30</v>
      </c>
      <c r="BO160" s="2599"/>
      <c r="BP160" s="2556"/>
      <c r="BQ160" s="2599"/>
      <c r="BR160" s="930"/>
      <c r="BS160" s="2599"/>
      <c r="BT160" s="2599"/>
      <c r="BU160" s="2556"/>
      <c r="BV160" s="2599"/>
      <c r="BW160" s="2599"/>
      <c r="BX160" s="930"/>
      <c r="BY160" s="2599"/>
      <c r="BZ160" s="2599"/>
      <c r="CA160" s="2599"/>
      <c r="CB160" s="2556"/>
      <c r="CC160" s="2599"/>
      <c r="CD160" s="930"/>
      <c r="CE160" s="2599"/>
      <c r="CF160" s="2599"/>
      <c r="CG160" s="2556"/>
      <c r="CH160" s="2599"/>
      <c r="CI160" s="930"/>
      <c r="CJ160" s="2599"/>
      <c r="CK160" s="2599"/>
      <c r="CL160" s="2599"/>
      <c r="CM160" s="2599"/>
      <c r="CN160" s="2556"/>
      <c r="CO160" s="930"/>
      <c r="CP160" s="2599"/>
      <c r="CQ160" s="2599"/>
      <c r="CR160" s="2556"/>
      <c r="CS160" s="2599"/>
      <c r="CT160" s="930"/>
      <c r="CU160" s="2599"/>
      <c r="CV160" s="2599"/>
      <c r="CW160" s="2556"/>
      <c r="CX160" s="2599"/>
      <c r="CY160" s="930"/>
      <c r="CZ160" s="2599"/>
      <c r="DA160" s="2556"/>
      <c r="DB160" s="2599"/>
      <c r="DC160" s="930"/>
      <c r="DD160" s="2599"/>
      <c r="DE160" s="930"/>
      <c r="DF160" s="2557">
        <f>IFERROR(VLOOKUP(G160,Personalización!$F$18:$H$21,3,0),IFERROR(VLOOKUP(G160,Personalización!$I$18:$K$21,3,0),IFERROR(VLOOKUP(G160,Personalización!$L$18:$N$21,3,0),IFERROR(VLOOKUP(G160,Personalización!$O$18:$Q$20,3,0),0))))</f>
        <v>0</v>
      </c>
    </row>
    <row r="161" spans="1:110" ht="12.75" customHeight="1" x14ac:dyDescent="0.2">
      <c r="A161" s="227">
        <v>161</v>
      </c>
      <c r="B161" s="6042"/>
      <c r="C161" s="556" t="s">
        <v>6312</v>
      </c>
      <c r="D161" s="557"/>
      <c r="F161" s="2596">
        <v>21</v>
      </c>
      <c r="G161" s="326" t="s">
        <v>2566</v>
      </c>
      <c r="H161" s="2556"/>
      <c r="I161" s="2599"/>
      <c r="J161" s="930"/>
      <c r="K161" s="2599"/>
      <c r="L161" s="2599"/>
      <c r="M161" s="2556"/>
      <c r="N161" s="2599"/>
      <c r="O161" s="930"/>
      <c r="P161" s="2599"/>
      <c r="Q161" s="2599"/>
      <c r="R161" s="2556"/>
      <c r="S161" s="930"/>
      <c r="T161" s="2599"/>
      <c r="U161" s="2556"/>
      <c r="V161" s="930"/>
      <c r="W161" s="2599"/>
      <c r="X161" s="2599"/>
      <c r="Y161" s="2554"/>
      <c r="Z161" s="2406"/>
      <c r="AA161" s="2555"/>
      <c r="AB161" s="2406"/>
      <c r="AC161" s="2406"/>
      <c r="AD161" s="2554"/>
      <c r="AE161" s="2555"/>
      <c r="AF161" s="2406"/>
      <c r="AG161" s="2406"/>
      <c r="AH161" s="2406"/>
      <c r="AI161" s="2554"/>
      <c r="AJ161" s="2406"/>
      <c r="AK161" s="2555"/>
      <c r="AL161" s="2406"/>
      <c r="AM161" s="2406"/>
      <c r="AN161" s="2406"/>
      <c r="AO161" s="2406"/>
      <c r="AP161" s="2556"/>
      <c r="AQ161" s="2599"/>
      <c r="AR161" s="930"/>
      <c r="AS161" s="2599"/>
      <c r="AT161" s="2599"/>
      <c r="AU161" s="2556"/>
      <c r="AV161" s="2599"/>
      <c r="AW161" s="930"/>
      <c r="AX161" s="2599"/>
      <c r="AY161" s="2599"/>
      <c r="AZ161" s="2556"/>
      <c r="BA161" s="930"/>
      <c r="BB161" s="2599"/>
      <c r="BC161" s="2599"/>
      <c r="BD161" s="2556"/>
      <c r="BE161" s="930"/>
      <c r="BF161" s="2599"/>
      <c r="BG161" s="2599"/>
      <c r="BH161" s="931"/>
      <c r="BI161" s="2556"/>
      <c r="BJ161" s="930"/>
      <c r="BK161" s="2599"/>
      <c r="BL161" s="2599"/>
      <c r="BM161" s="931"/>
      <c r="BN161" s="2599"/>
      <c r="BO161" s="2599"/>
      <c r="BP161" s="2556"/>
      <c r="BQ161" s="2599"/>
      <c r="BR161" s="930"/>
      <c r="BS161" s="2599"/>
      <c r="BT161" s="2599"/>
      <c r="BU161" s="2556"/>
      <c r="BV161" s="2599"/>
      <c r="BW161" s="2599"/>
      <c r="BX161" s="930"/>
      <c r="BY161" s="2599"/>
      <c r="BZ161" s="2599"/>
      <c r="CA161" s="2599"/>
      <c r="CB161" s="2556"/>
      <c r="CC161" s="2599"/>
      <c r="CD161" s="930"/>
      <c r="CE161" s="2599"/>
      <c r="CF161" s="2599"/>
      <c r="CG161" s="2556"/>
      <c r="CH161" s="2599"/>
      <c r="CI161" s="930"/>
      <c r="CJ161" s="2599"/>
      <c r="CK161" s="2599"/>
      <c r="CL161" s="2599"/>
      <c r="CM161" s="2599"/>
      <c r="CN161" s="2556"/>
      <c r="CO161" s="930"/>
      <c r="CP161" s="2599"/>
      <c r="CQ161" s="2599"/>
      <c r="CR161" s="2556"/>
      <c r="CS161" s="2599"/>
      <c r="CT161" s="930"/>
      <c r="CU161" s="2599"/>
      <c r="CV161" s="2599"/>
      <c r="CW161" s="2556"/>
      <c r="CX161" s="2599"/>
      <c r="CY161" s="930"/>
      <c r="CZ161" s="2599"/>
      <c r="DA161" s="2556"/>
      <c r="DB161" s="2599"/>
      <c r="DC161" s="930"/>
      <c r="DD161" s="2599"/>
      <c r="DE161" s="930"/>
      <c r="DF161" s="2557">
        <f>IFERROR(VLOOKUP(G161,Personalización!$F$18:$H$21,3,0),IFERROR(VLOOKUP(G161,Personalización!$I$18:$K$21,3,0),IFERROR(VLOOKUP(G161,Personalización!$L$18:$N$21,3,0),IFERROR(VLOOKUP(G161,Personalización!$O$18:$Q$20,3,0),0))))</f>
        <v>0</v>
      </c>
    </row>
    <row r="162" spans="1:110" ht="12.75" customHeight="1" x14ac:dyDescent="0.2">
      <c r="A162" s="227">
        <v>162</v>
      </c>
      <c r="B162" s="6042"/>
      <c r="C162" s="556" t="s">
        <v>6348</v>
      </c>
      <c r="D162" s="557"/>
      <c r="F162" s="2596">
        <v>22</v>
      </c>
      <c r="G162" s="326" t="s">
        <v>1437</v>
      </c>
      <c r="H162" s="2556"/>
      <c r="I162" s="2599"/>
      <c r="J162" s="930"/>
      <c r="K162" s="2599">
        <v>20</v>
      </c>
      <c r="L162" s="2599">
        <v>20</v>
      </c>
      <c r="M162" s="2556">
        <v>20</v>
      </c>
      <c r="N162" s="2599">
        <v>40</v>
      </c>
      <c r="O162" s="930"/>
      <c r="P162" s="2599"/>
      <c r="Q162" s="2599"/>
      <c r="R162" s="2556">
        <v>20</v>
      </c>
      <c r="S162" s="930"/>
      <c r="T162" s="2599">
        <v>20</v>
      </c>
      <c r="U162" s="2556"/>
      <c r="V162" s="930"/>
      <c r="W162" s="2599">
        <v>20</v>
      </c>
      <c r="X162" s="2599"/>
      <c r="Y162" s="2554"/>
      <c r="Z162" s="2406"/>
      <c r="AA162" s="2555"/>
      <c r="AB162" s="2406"/>
      <c r="AC162" s="2406"/>
      <c r="AD162" s="2554"/>
      <c r="AE162" s="2555"/>
      <c r="AF162" s="2406">
        <v>10</v>
      </c>
      <c r="AG162" s="2406"/>
      <c r="AH162" s="2406"/>
      <c r="AI162" s="2554"/>
      <c r="AJ162" s="2406"/>
      <c r="AK162" s="2555"/>
      <c r="AL162" s="2406">
        <v>30</v>
      </c>
      <c r="AM162" s="2406"/>
      <c r="AN162" s="2406"/>
      <c r="AO162" s="2406"/>
      <c r="AP162" s="2556">
        <v>30</v>
      </c>
      <c r="AQ162" s="2599">
        <v>10</v>
      </c>
      <c r="AR162" s="930">
        <v>20</v>
      </c>
      <c r="AS162" s="2599"/>
      <c r="AT162" s="2599"/>
      <c r="AU162" s="2556"/>
      <c r="AV162" s="2599"/>
      <c r="AW162" s="930"/>
      <c r="AX162" s="2599"/>
      <c r="AY162" s="2599"/>
      <c r="AZ162" s="2556"/>
      <c r="BA162" s="930"/>
      <c r="BB162" s="2599"/>
      <c r="BC162" s="2599"/>
      <c r="BD162" s="2556"/>
      <c r="BE162" s="930"/>
      <c r="BF162" s="2599"/>
      <c r="BG162" s="2599"/>
      <c r="BH162" s="931"/>
      <c r="BI162" s="2556">
        <v>20</v>
      </c>
      <c r="BJ162" s="930"/>
      <c r="BK162" s="2599">
        <v>20</v>
      </c>
      <c r="BL162" s="2599"/>
      <c r="BM162" s="931">
        <v>10</v>
      </c>
      <c r="BN162" s="2599"/>
      <c r="BO162" s="2599"/>
      <c r="BP162" s="2556">
        <v>20</v>
      </c>
      <c r="BQ162" s="2599"/>
      <c r="BR162" s="930"/>
      <c r="BS162" s="2599">
        <v>20</v>
      </c>
      <c r="BT162" s="2599"/>
      <c r="BU162" s="2556"/>
      <c r="BV162" s="2599">
        <v>20</v>
      </c>
      <c r="BW162" s="2599"/>
      <c r="BX162" s="930"/>
      <c r="BY162" s="2599"/>
      <c r="BZ162" s="2599">
        <v>30</v>
      </c>
      <c r="CA162" s="2599"/>
      <c r="CB162" s="2556"/>
      <c r="CC162" s="2599"/>
      <c r="CD162" s="930"/>
      <c r="CE162" s="2599">
        <v>20</v>
      </c>
      <c r="CF162" s="2599">
        <v>20</v>
      </c>
      <c r="CG162" s="2556">
        <v>30</v>
      </c>
      <c r="CH162" s="2599"/>
      <c r="CI162" s="930"/>
      <c r="CJ162" s="2599"/>
      <c r="CK162" s="2599"/>
      <c r="CL162" s="2599"/>
      <c r="CM162" s="2599"/>
      <c r="CN162" s="2556">
        <v>20</v>
      </c>
      <c r="CO162" s="930"/>
      <c r="CP162" s="2599">
        <v>20</v>
      </c>
      <c r="CQ162" s="2599"/>
      <c r="CR162" s="2556"/>
      <c r="CS162" s="2599"/>
      <c r="CT162" s="930"/>
      <c r="CU162" s="2599"/>
      <c r="CV162" s="2599"/>
      <c r="CW162" s="2556"/>
      <c r="CX162" s="2599"/>
      <c r="CY162" s="930"/>
      <c r="CZ162" s="2599"/>
      <c r="DA162" s="2556"/>
      <c r="DB162" s="2599"/>
      <c r="DC162" s="930"/>
      <c r="DD162" s="2599"/>
      <c r="DE162" s="930"/>
      <c r="DF162" s="2557">
        <f>IFERROR(VLOOKUP(G162,Personalización!$F$18:$H$21,3,0),IFERROR(VLOOKUP(G162,Personalización!$I$18:$K$21,3,0),IFERROR(VLOOKUP(G162,Personalización!$L$18:$N$21,3,0),IFERROR(VLOOKUP(G162,Personalización!$O$18:$Q$20,3,0),0))))</f>
        <v>0</v>
      </c>
    </row>
    <row r="163" spans="1:110" ht="12.75" customHeight="1" x14ac:dyDescent="0.2">
      <c r="A163" s="227">
        <v>163</v>
      </c>
      <c r="B163" s="6042"/>
      <c r="C163" s="556" t="s">
        <v>6313</v>
      </c>
      <c r="D163" s="557"/>
      <c r="F163" s="2596">
        <v>23</v>
      </c>
      <c r="G163" s="326" t="s">
        <v>1439</v>
      </c>
      <c r="H163" s="2556" t="s">
        <v>6382</v>
      </c>
      <c r="I163" s="2599" t="s">
        <v>6382</v>
      </c>
      <c r="J163" s="930" t="s">
        <v>6382</v>
      </c>
      <c r="K163" s="2599">
        <v>20</v>
      </c>
      <c r="L163" s="2599"/>
      <c r="M163" s="2556"/>
      <c r="N163" s="2599"/>
      <c r="O163" s="930"/>
      <c r="P163" s="2599" t="s">
        <v>6382</v>
      </c>
      <c r="Q163" s="2599" t="s">
        <v>6382</v>
      </c>
      <c r="R163" s="2556"/>
      <c r="S163" s="930" t="s">
        <v>6382</v>
      </c>
      <c r="T163" s="2599"/>
      <c r="U163" s="2556" t="s">
        <v>6382</v>
      </c>
      <c r="V163" s="930" t="s">
        <v>6382</v>
      </c>
      <c r="W163" s="2599"/>
      <c r="X163" s="2599" t="s">
        <v>6382</v>
      </c>
      <c r="Y163" s="2554" t="s">
        <v>6382</v>
      </c>
      <c r="Z163" s="2406" t="s">
        <v>6382</v>
      </c>
      <c r="AA163" s="2555" t="s">
        <v>6382</v>
      </c>
      <c r="AB163" s="2406"/>
      <c r="AC163" s="2406" t="s">
        <v>6382</v>
      </c>
      <c r="AD163" s="2554" t="s">
        <v>6382</v>
      </c>
      <c r="AE163" s="2555" t="s">
        <v>6382</v>
      </c>
      <c r="AF163" s="2406"/>
      <c r="AG163" s="2406"/>
      <c r="AH163" s="2406"/>
      <c r="AI163" s="2554"/>
      <c r="AJ163" s="2406"/>
      <c r="AK163" s="2555" t="s">
        <v>6382</v>
      </c>
      <c r="AL163" s="2406" t="s">
        <v>6382</v>
      </c>
      <c r="AM163" s="2406" t="s">
        <v>6382</v>
      </c>
      <c r="AN163" s="2406"/>
      <c r="AO163" s="2406" t="s">
        <v>6382</v>
      </c>
      <c r="AP163" s="2556"/>
      <c r="AQ163" s="2599"/>
      <c r="AR163" s="930"/>
      <c r="AS163" s="2599"/>
      <c r="AT163" s="2599"/>
      <c r="AU163" s="2556" t="s">
        <v>6382</v>
      </c>
      <c r="AV163" s="2599">
        <v>20</v>
      </c>
      <c r="AW163" s="930">
        <v>20</v>
      </c>
      <c r="AX163" s="2599" t="s">
        <v>6382</v>
      </c>
      <c r="AY163" s="2599" t="s">
        <v>6382</v>
      </c>
      <c r="AZ163" s="2556" t="s">
        <v>6972</v>
      </c>
      <c r="BA163" s="930" t="s">
        <v>6973</v>
      </c>
      <c r="BB163" s="2599" t="s">
        <v>6382</v>
      </c>
      <c r="BC163" s="2599" t="s">
        <v>6383</v>
      </c>
      <c r="BD163" s="2556"/>
      <c r="BE163" s="930" t="s">
        <v>6382</v>
      </c>
      <c r="BF163" s="2599" t="s">
        <v>6382</v>
      </c>
      <c r="BG163" s="2599" t="s">
        <v>6383</v>
      </c>
      <c r="BH163" s="931"/>
      <c r="BI163" s="2556"/>
      <c r="BJ163" s="930"/>
      <c r="BK163" s="2599">
        <v>20</v>
      </c>
      <c r="BL163" s="2599">
        <v>20</v>
      </c>
      <c r="BM163" s="931"/>
      <c r="BN163" s="2599">
        <v>10</v>
      </c>
      <c r="BO163" s="2599"/>
      <c r="BP163" s="2556"/>
      <c r="BQ163" s="2599" t="s">
        <v>6382</v>
      </c>
      <c r="BR163" s="930" t="s">
        <v>6382</v>
      </c>
      <c r="BS163" s="2599"/>
      <c r="BT163" s="2599">
        <v>20</v>
      </c>
      <c r="BU163" s="2556" t="s">
        <v>6382</v>
      </c>
      <c r="BV163" s="2599"/>
      <c r="BW163" s="2599" t="s">
        <v>6382</v>
      </c>
      <c r="BX163" s="930" t="s">
        <v>6383</v>
      </c>
      <c r="BY163" s="2599"/>
      <c r="BZ163" s="2599"/>
      <c r="CA163" s="2599"/>
      <c r="CB163" s="2556" t="s">
        <v>6382</v>
      </c>
      <c r="CC163" s="2599" t="s">
        <v>6382</v>
      </c>
      <c r="CD163" s="930" t="s">
        <v>6382</v>
      </c>
      <c r="CE163" s="2599"/>
      <c r="CF163" s="2599"/>
      <c r="CG163" s="2556"/>
      <c r="CH163" s="2599"/>
      <c r="CI163" s="930" t="s">
        <v>6382</v>
      </c>
      <c r="CJ163" s="2599" t="s">
        <v>6382</v>
      </c>
      <c r="CK163" s="2599" t="s">
        <v>6382</v>
      </c>
      <c r="CL163" s="2599" t="s">
        <v>6382</v>
      </c>
      <c r="CM163" s="2599" t="s">
        <v>6382</v>
      </c>
      <c r="CN163" s="2556" t="s">
        <v>6383</v>
      </c>
      <c r="CO163" s="930" t="s">
        <v>6383</v>
      </c>
      <c r="CP163" s="2599"/>
      <c r="CQ163" s="2599"/>
      <c r="CR163" s="2556" t="s">
        <v>6382</v>
      </c>
      <c r="CS163" s="2599" t="s">
        <v>6382</v>
      </c>
      <c r="CT163" s="930" t="s">
        <v>6382</v>
      </c>
      <c r="CU163" s="2599"/>
      <c r="CV163" s="2599"/>
      <c r="CW163" s="2556"/>
      <c r="CX163" s="2599"/>
      <c r="CY163" s="930"/>
      <c r="CZ163" s="2599"/>
      <c r="DA163" s="2556"/>
      <c r="DB163" s="2599"/>
      <c r="DC163" s="930"/>
      <c r="DD163" s="2599"/>
      <c r="DE163" s="930"/>
      <c r="DF163" s="2557">
        <f>IFERROR(VLOOKUP(G163,Personalización!$F$18:$H$21,3,0),IFERROR(VLOOKUP(G163,Personalización!$I$18:$K$21,3,0),IFERROR(VLOOKUP(G163,Personalización!$L$18:$N$21,3,0),IFERROR(VLOOKUP(G163,Personalización!$O$18:$Q$20,3,0),0))))</f>
        <v>0</v>
      </c>
    </row>
    <row r="164" spans="1:110" ht="12.75" customHeight="1" x14ac:dyDescent="0.2">
      <c r="A164" s="227">
        <v>164</v>
      </c>
      <c r="B164" s="6042"/>
      <c r="C164" s="556" t="s">
        <v>6314</v>
      </c>
      <c r="D164" s="557"/>
      <c r="F164" s="2596">
        <v>24</v>
      </c>
      <c r="G164" s="326" t="s">
        <v>819</v>
      </c>
      <c r="H164" s="2556"/>
      <c r="I164" s="2599"/>
      <c r="J164" s="930"/>
      <c r="K164" s="2599"/>
      <c r="L164" s="2599"/>
      <c r="M164" s="2556"/>
      <c r="N164" s="2599"/>
      <c r="O164" s="930"/>
      <c r="P164" s="2599"/>
      <c r="Q164" s="2599"/>
      <c r="R164" s="2556"/>
      <c r="S164" s="930"/>
      <c r="T164" s="2599"/>
      <c r="U164" s="2556"/>
      <c r="V164" s="930"/>
      <c r="W164" s="2599"/>
      <c r="X164" s="2599"/>
      <c r="Y164" s="2554"/>
      <c r="Z164" s="2406"/>
      <c r="AA164" s="2555"/>
      <c r="AB164" s="2406"/>
      <c r="AC164" s="2406"/>
      <c r="AD164" s="2554"/>
      <c r="AE164" s="2555"/>
      <c r="AF164" s="2406"/>
      <c r="AG164" s="2406"/>
      <c r="AH164" s="2406"/>
      <c r="AI164" s="2554"/>
      <c r="AJ164" s="2406"/>
      <c r="AK164" s="2555"/>
      <c r="AL164" s="2406"/>
      <c r="AM164" s="2406"/>
      <c r="AN164" s="2406"/>
      <c r="AO164" s="2406"/>
      <c r="AP164" s="2556"/>
      <c r="AQ164" s="2599"/>
      <c r="AR164" s="930"/>
      <c r="AS164" s="2599"/>
      <c r="AT164" s="2599"/>
      <c r="AU164" s="2556"/>
      <c r="AV164" s="2599"/>
      <c r="AW164" s="930"/>
      <c r="AX164" s="2599"/>
      <c r="AY164" s="2599"/>
      <c r="AZ164" s="2556"/>
      <c r="BA164" s="930"/>
      <c r="BB164" s="2599"/>
      <c r="BC164" s="2599"/>
      <c r="BD164" s="2556"/>
      <c r="BE164" s="930"/>
      <c r="BF164" s="2599"/>
      <c r="BG164" s="2599"/>
      <c r="BH164" s="931"/>
      <c r="BI164" s="2556"/>
      <c r="BJ164" s="930"/>
      <c r="BK164" s="2599"/>
      <c r="BL164" s="2599"/>
      <c r="BM164" s="931"/>
      <c r="BN164" s="2599"/>
      <c r="BO164" s="2599"/>
      <c r="BP164" s="2556"/>
      <c r="BQ164" s="2599"/>
      <c r="BR164" s="930"/>
      <c r="BS164" s="2599"/>
      <c r="BT164" s="2599"/>
      <c r="BU164" s="2556"/>
      <c r="BV164" s="2599"/>
      <c r="BW164" s="2599"/>
      <c r="BX164" s="930"/>
      <c r="BY164" s="2599"/>
      <c r="BZ164" s="2599"/>
      <c r="CA164" s="2599"/>
      <c r="CB164" s="2556"/>
      <c r="CC164" s="2599"/>
      <c r="CD164" s="930"/>
      <c r="CE164" s="2599"/>
      <c r="CF164" s="2599"/>
      <c r="CG164" s="2556"/>
      <c r="CH164" s="2599"/>
      <c r="CI164" s="930"/>
      <c r="CJ164" s="2599"/>
      <c r="CK164" s="2599"/>
      <c r="CL164" s="2599"/>
      <c r="CM164" s="2599"/>
      <c r="CN164" s="2556"/>
      <c r="CO164" s="930"/>
      <c r="CP164" s="2599"/>
      <c r="CQ164" s="2599"/>
      <c r="CR164" s="2556"/>
      <c r="CS164" s="2599"/>
      <c r="CT164" s="930"/>
      <c r="CU164" s="2599"/>
      <c r="CV164" s="2599"/>
      <c r="CW164" s="2556"/>
      <c r="CX164" s="2599"/>
      <c r="CY164" s="930"/>
      <c r="CZ164" s="2599"/>
      <c r="DA164" s="2556"/>
      <c r="DB164" s="2599"/>
      <c r="DC164" s="930"/>
      <c r="DD164" s="2599"/>
      <c r="DE164" s="930"/>
      <c r="DF164" s="2557">
        <f>IFERROR(VLOOKUP(G164,Personalización!$F$18:$H$21,3,0),IFERROR(VLOOKUP(G164,Personalización!$I$18:$K$21,3,0),IFERROR(VLOOKUP(G164,Personalización!$L$18:$N$21,3,0),IFERROR(VLOOKUP(G164,Personalización!$O$18:$Q$20,3,0),0))))</f>
        <v>0</v>
      </c>
    </row>
    <row r="165" spans="1:110" ht="12.75" customHeight="1" x14ac:dyDescent="0.2">
      <c r="A165" s="227">
        <v>165</v>
      </c>
      <c r="B165" s="6042"/>
      <c r="C165" s="556" t="s">
        <v>6349</v>
      </c>
      <c r="D165" s="557"/>
      <c r="F165" s="2596">
        <v>25</v>
      </c>
      <c r="G165" s="326" t="s">
        <v>1442</v>
      </c>
      <c r="H165" s="2556"/>
      <c r="I165" s="2599"/>
      <c r="J165" s="930"/>
      <c r="K165" s="2599">
        <v>20</v>
      </c>
      <c r="L165" s="2599"/>
      <c r="M165" s="2556"/>
      <c r="N165" s="2599"/>
      <c r="O165" s="930"/>
      <c r="P165" s="2599"/>
      <c r="Q165" s="2599"/>
      <c r="R165" s="2556"/>
      <c r="S165" s="930"/>
      <c r="T165" s="2599"/>
      <c r="U165" s="2556"/>
      <c r="V165" s="930"/>
      <c r="W165" s="2599"/>
      <c r="X165" s="2599"/>
      <c r="Y165" s="2554"/>
      <c r="Z165" s="2406"/>
      <c r="AA165" s="2555"/>
      <c r="AB165" s="2406"/>
      <c r="AC165" s="2406"/>
      <c r="AD165" s="2554"/>
      <c r="AE165" s="2555"/>
      <c r="AF165" s="2406"/>
      <c r="AG165" s="2406"/>
      <c r="AH165" s="2406"/>
      <c r="AI165" s="2554"/>
      <c r="AJ165" s="2406"/>
      <c r="AK165" s="2555"/>
      <c r="AL165" s="2406"/>
      <c r="AM165" s="2406"/>
      <c r="AN165" s="2406"/>
      <c r="AO165" s="2406"/>
      <c r="AP165" s="2556"/>
      <c r="AQ165" s="2599"/>
      <c r="AR165" s="930"/>
      <c r="AS165" s="2599"/>
      <c r="AT165" s="2599"/>
      <c r="AU165" s="2556"/>
      <c r="AV165" s="2599"/>
      <c r="AW165" s="930"/>
      <c r="AX165" s="2599"/>
      <c r="AY165" s="2599"/>
      <c r="AZ165" s="2556"/>
      <c r="BA165" s="930"/>
      <c r="BB165" s="2599"/>
      <c r="BC165" s="2599"/>
      <c r="BD165" s="2556"/>
      <c r="BE165" s="930"/>
      <c r="BF165" s="2599"/>
      <c r="BG165" s="2599"/>
      <c r="BH165" s="931"/>
      <c r="BI165" s="2556"/>
      <c r="BJ165" s="930"/>
      <c r="BK165" s="2599"/>
      <c r="BL165" s="2599"/>
      <c r="BM165" s="931"/>
      <c r="BN165" s="2599"/>
      <c r="BO165" s="2599"/>
      <c r="BP165" s="2556"/>
      <c r="BQ165" s="2599"/>
      <c r="BR165" s="930"/>
      <c r="BS165" s="2599"/>
      <c r="BT165" s="2599"/>
      <c r="BU165" s="2556"/>
      <c r="BV165" s="2599"/>
      <c r="BW165" s="2599"/>
      <c r="BX165" s="930"/>
      <c r="BY165" s="2599"/>
      <c r="BZ165" s="2599"/>
      <c r="CA165" s="2599"/>
      <c r="CB165" s="2556"/>
      <c r="CC165" s="2599"/>
      <c r="CD165" s="930"/>
      <c r="CE165" s="2599"/>
      <c r="CF165" s="2599"/>
      <c r="CG165" s="2556"/>
      <c r="CH165" s="2599"/>
      <c r="CI165" s="930"/>
      <c r="CJ165" s="2599"/>
      <c r="CK165" s="2599"/>
      <c r="CL165" s="2599"/>
      <c r="CM165" s="2599"/>
      <c r="CN165" s="2556"/>
      <c r="CO165" s="930"/>
      <c r="CP165" s="2599"/>
      <c r="CQ165" s="2599"/>
      <c r="CR165" s="2556"/>
      <c r="CS165" s="2599"/>
      <c r="CT165" s="930"/>
      <c r="CU165" s="2599"/>
      <c r="CV165" s="2599"/>
      <c r="CW165" s="2556"/>
      <c r="CX165" s="2599"/>
      <c r="CY165" s="930"/>
      <c r="CZ165" s="2599">
        <v>20</v>
      </c>
      <c r="DA165" s="2556"/>
      <c r="DB165" s="2599"/>
      <c r="DC165" s="930"/>
      <c r="DD165" s="2599"/>
      <c r="DE165" s="930"/>
      <c r="DF165" s="2557">
        <f>IFERROR(VLOOKUP(G165,Personalización!$F$18:$H$21,3,0),IFERROR(VLOOKUP(G165,Personalización!$I$18:$K$21,3,0),IFERROR(VLOOKUP(G165,Personalización!$L$18:$N$21,3,0),IFERROR(VLOOKUP(G165,Personalización!$O$18:$Q$20,3,0),0))))</f>
        <v>0</v>
      </c>
    </row>
    <row r="166" spans="1:110" ht="12.75" customHeight="1" x14ac:dyDescent="0.2">
      <c r="A166" s="227">
        <v>166</v>
      </c>
      <c r="B166" s="6042"/>
      <c r="C166" s="556" t="s">
        <v>6315</v>
      </c>
      <c r="D166" s="557"/>
      <c r="F166" s="2596">
        <v>26</v>
      </c>
      <c r="G166" s="326" t="s">
        <v>1443</v>
      </c>
      <c r="H166" s="2556"/>
      <c r="I166" s="2599"/>
      <c r="J166" s="930"/>
      <c r="K166" s="2599">
        <v>20</v>
      </c>
      <c r="L166" s="2599">
        <v>20</v>
      </c>
      <c r="M166" s="2556"/>
      <c r="N166" s="2599"/>
      <c r="O166" s="930"/>
      <c r="P166" s="2599"/>
      <c r="Q166" s="2599"/>
      <c r="R166" s="2556"/>
      <c r="S166" s="930"/>
      <c r="T166" s="2599"/>
      <c r="U166" s="2556"/>
      <c r="V166" s="930"/>
      <c r="W166" s="2599"/>
      <c r="X166" s="2599"/>
      <c r="Y166" s="2554"/>
      <c r="Z166" s="2406"/>
      <c r="AA166" s="2555"/>
      <c r="AB166" s="2406"/>
      <c r="AC166" s="2406"/>
      <c r="AD166" s="2554"/>
      <c r="AE166" s="2555"/>
      <c r="AF166" s="2406"/>
      <c r="AG166" s="2406"/>
      <c r="AH166" s="2406"/>
      <c r="AI166" s="2554"/>
      <c r="AJ166" s="2406"/>
      <c r="AK166" s="2555"/>
      <c r="AL166" s="2406"/>
      <c r="AM166" s="2406"/>
      <c r="AN166" s="2406">
        <v>20</v>
      </c>
      <c r="AO166" s="2406"/>
      <c r="AP166" s="2556"/>
      <c r="AQ166" s="2599"/>
      <c r="AR166" s="930"/>
      <c r="AS166" s="2599"/>
      <c r="AT166" s="2599"/>
      <c r="AU166" s="2556"/>
      <c r="AV166" s="2599"/>
      <c r="AW166" s="930"/>
      <c r="AX166" s="2599"/>
      <c r="AY166" s="2599"/>
      <c r="AZ166" s="2556"/>
      <c r="BA166" s="930"/>
      <c r="BB166" s="2599"/>
      <c r="BC166" s="2599"/>
      <c r="BD166" s="2556"/>
      <c r="BE166" s="930"/>
      <c r="BF166" s="2599"/>
      <c r="BG166" s="2599"/>
      <c r="BH166" s="931"/>
      <c r="BI166" s="2556"/>
      <c r="BJ166" s="930"/>
      <c r="BK166" s="2599">
        <v>20</v>
      </c>
      <c r="BL166" s="2599">
        <v>20</v>
      </c>
      <c r="BM166" s="931"/>
      <c r="BN166" s="2599">
        <v>20</v>
      </c>
      <c r="BO166" s="2599"/>
      <c r="BP166" s="2556"/>
      <c r="BQ166" s="2599"/>
      <c r="BR166" s="930"/>
      <c r="BS166" s="2599"/>
      <c r="BT166" s="2599"/>
      <c r="BU166" s="2556"/>
      <c r="BV166" s="2599"/>
      <c r="BW166" s="2599"/>
      <c r="BX166" s="930"/>
      <c r="BY166" s="2599"/>
      <c r="BZ166" s="2599"/>
      <c r="CA166" s="2599"/>
      <c r="CB166" s="2556"/>
      <c r="CC166" s="2599"/>
      <c r="CD166" s="930"/>
      <c r="CE166" s="2599"/>
      <c r="CF166" s="2599"/>
      <c r="CG166" s="2556"/>
      <c r="CH166" s="2599"/>
      <c r="CI166" s="930"/>
      <c r="CJ166" s="2599"/>
      <c r="CK166" s="2599"/>
      <c r="CL166" s="2599"/>
      <c r="CM166" s="2599"/>
      <c r="CN166" s="2556"/>
      <c r="CO166" s="930"/>
      <c r="CP166" s="2599"/>
      <c r="CQ166" s="2599"/>
      <c r="CR166" s="2556"/>
      <c r="CS166" s="2599"/>
      <c r="CT166" s="930"/>
      <c r="CU166" s="2599"/>
      <c r="CV166" s="2599"/>
      <c r="CW166" s="2556"/>
      <c r="CX166" s="2599"/>
      <c r="CY166" s="930"/>
      <c r="CZ166" s="2599"/>
      <c r="DA166" s="2556"/>
      <c r="DB166" s="2599"/>
      <c r="DC166" s="930"/>
      <c r="DD166" s="2599"/>
      <c r="DE166" s="930"/>
      <c r="DF166" s="2557">
        <f>IFERROR(VLOOKUP(G166,Personalización!$F$18:$H$21,3,0),IFERROR(VLOOKUP(G166,Personalización!$I$18:$K$21,3,0),IFERROR(VLOOKUP(G166,Personalización!$L$18:$N$21,3,0),IFERROR(VLOOKUP(G166,Personalización!$O$18:$Q$20,3,0),0))))</f>
        <v>0</v>
      </c>
    </row>
    <row r="167" spans="1:110" ht="12.75" customHeight="1" x14ac:dyDescent="0.2">
      <c r="A167" s="227">
        <v>167</v>
      </c>
      <c r="B167" s="6042"/>
      <c r="C167" s="556" t="s">
        <v>6316</v>
      </c>
      <c r="D167" s="557"/>
      <c r="F167" s="2596">
        <v>27</v>
      </c>
      <c r="G167" s="326" t="s">
        <v>1444</v>
      </c>
      <c r="H167" s="2556"/>
      <c r="I167" s="2599"/>
      <c r="J167" s="930"/>
      <c r="K167" s="2599"/>
      <c r="L167" s="2599"/>
      <c r="M167" s="2556"/>
      <c r="N167" s="2599"/>
      <c r="O167" s="930"/>
      <c r="P167" s="2599"/>
      <c r="Q167" s="2599"/>
      <c r="R167" s="2556"/>
      <c r="S167" s="930"/>
      <c r="T167" s="2599"/>
      <c r="U167" s="2556">
        <v>30</v>
      </c>
      <c r="V167" s="930">
        <v>10</v>
      </c>
      <c r="W167" s="2599">
        <v>30</v>
      </c>
      <c r="X167" s="2599">
        <v>40</v>
      </c>
      <c r="Y167" s="2554"/>
      <c r="Z167" s="2406"/>
      <c r="AA167" s="2555"/>
      <c r="AB167" s="2406"/>
      <c r="AC167" s="2406"/>
      <c r="AD167" s="2554"/>
      <c r="AE167" s="2555"/>
      <c r="AF167" s="2406"/>
      <c r="AG167" s="2406"/>
      <c r="AH167" s="2406"/>
      <c r="AI167" s="2554"/>
      <c r="AJ167" s="2406">
        <v>20</v>
      </c>
      <c r="AK167" s="2555"/>
      <c r="AL167" s="2406"/>
      <c r="AM167" s="2406"/>
      <c r="AN167" s="2406"/>
      <c r="AO167" s="2406"/>
      <c r="AP167" s="2556"/>
      <c r="AQ167" s="2599"/>
      <c r="AR167" s="930"/>
      <c r="AS167" s="2599">
        <v>20</v>
      </c>
      <c r="AT167" s="2599"/>
      <c r="AU167" s="2556"/>
      <c r="AV167" s="2599"/>
      <c r="AW167" s="930"/>
      <c r="AX167" s="2599">
        <v>20</v>
      </c>
      <c r="AY167" s="2599"/>
      <c r="AZ167" s="2556"/>
      <c r="BA167" s="930"/>
      <c r="BB167" s="2599"/>
      <c r="BC167" s="2599"/>
      <c r="BD167" s="2556"/>
      <c r="BE167" s="930"/>
      <c r="BF167" s="2599"/>
      <c r="BG167" s="2599"/>
      <c r="BH167" s="931"/>
      <c r="BI167" s="2556"/>
      <c r="BJ167" s="930"/>
      <c r="BK167" s="2599"/>
      <c r="BL167" s="2599"/>
      <c r="BM167" s="931"/>
      <c r="BN167" s="2599"/>
      <c r="BO167" s="2599"/>
      <c r="BP167" s="2556"/>
      <c r="BQ167" s="2599"/>
      <c r="BR167" s="930"/>
      <c r="BS167" s="2599"/>
      <c r="BT167" s="2599"/>
      <c r="BU167" s="2556"/>
      <c r="BV167" s="2599"/>
      <c r="BW167" s="2599"/>
      <c r="BX167" s="930"/>
      <c r="BY167" s="2599"/>
      <c r="BZ167" s="2599"/>
      <c r="CA167" s="2599"/>
      <c r="CB167" s="2556">
        <v>30</v>
      </c>
      <c r="CC167" s="2599">
        <v>30</v>
      </c>
      <c r="CD167" s="930">
        <v>30</v>
      </c>
      <c r="CE167" s="2599"/>
      <c r="CF167" s="2599"/>
      <c r="CG167" s="2556"/>
      <c r="CH167" s="2599"/>
      <c r="CI167" s="930"/>
      <c r="CJ167" s="2599"/>
      <c r="CK167" s="2599"/>
      <c r="CL167" s="2599"/>
      <c r="CM167" s="2599"/>
      <c r="CN167" s="2556"/>
      <c r="CO167" s="930"/>
      <c r="CP167" s="2599"/>
      <c r="CQ167" s="2599"/>
      <c r="CR167" s="2556"/>
      <c r="CS167" s="2599"/>
      <c r="CT167" s="930"/>
      <c r="CU167" s="2599"/>
      <c r="CV167" s="2599"/>
      <c r="CW167" s="2556"/>
      <c r="CX167" s="2599"/>
      <c r="CY167" s="930"/>
      <c r="CZ167" s="2599"/>
      <c r="DA167" s="2556"/>
      <c r="DB167" s="2599"/>
      <c r="DC167" s="930"/>
      <c r="DD167" s="2599"/>
      <c r="DE167" s="930"/>
      <c r="DF167" s="2557">
        <f>IFERROR(VLOOKUP(G167,Personalización!$F$18:$H$21,3,0),IFERROR(VLOOKUP(G167,Personalización!$I$18:$K$21,3,0),IFERROR(VLOOKUP(G167,Personalización!$L$18:$N$21,3,0),IFERROR(VLOOKUP(G167,Personalización!$O$18:$Q$20,3,0),0))))</f>
        <v>0</v>
      </c>
    </row>
    <row r="168" spans="1:110" ht="12.75" customHeight="1" x14ac:dyDescent="0.2">
      <c r="A168" s="227">
        <v>168</v>
      </c>
      <c r="B168" s="6042"/>
      <c r="C168" s="556" t="s">
        <v>6317</v>
      </c>
      <c r="D168" s="557"/>
      <c r="F168" s="2596">
        <v>28</v>
      </c>
      <c r="G168" s="326" t="s">
        <v>1445</v>
      </c>
      <c r="H168" s="2556"/>
      <c r="I168" s="2599"/>
      <c r="J168" s="930"/>
      <c r="K168" s="2599"/>
      <c r="L168" s="2599"/>
      <c r="M168" s="2556"/>
      <c r="N168" s="2599"/>
      <c r="O168" s="930"/>
      <c r="P168" s="2599"/>
      <c r="Q168" s="2599"/>
      <c r="R168" s="2556"/>
      <c r="S168" s="930"/>
      <c r="T168" s="2599"/>
      <c r="U168" s="2556"/>
      <c r="V168" s="930"/>
      <c r="W168" s="2599"/>
      <c r="X168" s="2599"/>
      <c r="Y168" s="2554"/>
      <c r="Z168" s="2406"/>
      <c r="AA168" s="2555"/>
      <c r="AB168" s="2406"/>
      <c r="AC168" s="2406"/>
      <c r="AD168" s="2554" t="s">
        <v>6384</v>
      </c>
      <c r="AE168" s="2555" t="s">
        <v>6384</v>
      </c>
      <c r="AF168" s="2406"/>
      <c r="AG168" s="2406"/>
      <c r="AH168" s="2406"/>
      <c r="AI168" s="2554"/>
      <c r="AJ168" s="2406"/>
      <c r="AK168" s="2555"/>
      <c r="AL168" s="2406"/>
      <c r="AM168" s="2406"/>
      <c r="AN168" s="2406"/>
      <c r="AO168" s="2406"/>
      <c r="AP168" s="2556" t="s">
        <v>6389</v>
      </c>
      <c r="AQ168" s="2599" t="s">
        <v>6390</v>
      </c>
      <c r="AR168" s="930" t="s">
        <v>6391</v>
      </c>
      <c r="AS168" s="2599"/>
      <c r="AT168" s="2599"/>
      <c r="AU168" s="2556"/>
      <c r="AV168" s="2599"/>
      <c r="AW168" s="930"/>
      <c r="AX168" s="2599"/>
      <c r="AY168" s="2599"/>
      <c r="AZ168" s="2556" t="s">
        <v>6385</v>
      </c>
      <c r="BA168" s="930" t="s">
        <v>6386</v>
      </c>
      <c r="BB168" s="2599" t="s">
        <v>6387</v>
      </c>
      <c r="BC168" s="2599" t="s">
        <v>6384</v>
      </c>
      <c r="BD168" s="2556" t="s">
        <v>6388</v>
      </c>
      <c r="BE168" s="930" t="s">
        <v>6384</v>
      </c>
      <c r="BF168" s="2599" t="s">
        <v>6384</v>
      </c>
      <c r="BG168" s="2599" t="s">
        <v>6387</v>
      </c>
      <c r="BH168" s="931"/>
      <c r="BI168" s="2556"/>
      <c r="BJ168" s="930"/>
      <c r="BK168" s="2599"/>
      <c r="BL168" s="2599"/>
      <c r="BM168" s="931"/>
      <c r="BN168" s="2599"/>
      <c r="BO168" s="2599"/>
      <c r="BP168" s="2556" t="s">
        <v>6384</v>
      </c>
      <c r="BQ168" s="2599"/>
      <c r="BR168" s="930"/>
      <c r="BS168" s="2599"/>
      <c r="BT168" s="2599">
        <v>10</v>
      </c>
      <c r="BU168" s="2556"/>
      <c r="BV168" s="2599"/>
      <c r="BW168" s="2599"/>
      <c r="BX168" s="930"/>
      <c r="BY168" s="2599"/>
      <c r="BZ168" s="2599"/>
      <c r="CA168" s="2599"/>
      <c r="CB168" s="2556"/>
      <c r="CC168" s="2599"/>
      <c r="CD168" s="930"/>
      <c r="CE168" s="2599"/>
      <c r="CF168" s="2599"/>
      <c r="CG168" s="2556"/>
      <c r="CH168" s="2599"/>
      <c r="CI168" s="930"/>
      <c r="CJ168" s="2599">
        <v>20</v>
      </c>
      <c r="CK168" s="2599">
        <v>20</v>
      </c>
      <c r="CL168" s="2599">
        <v>20</v>
      </c>
      <c r="CM168" s="2599">
        <v>20</v>
      </c>
      <c r="CN168" s="2556"/>
      <c r="CO168" s="930"/>
      <c r="CP168" s="2599"/>
      <c r="CQ168" s="2599">
        <v>20</v>
      </c>
      <c r="CR168" s="2556"/>
      <c r="CS168" s="2599"/>
      <c r="CT168" s="930"/>
      <c r="CU168" s="2599"/>
      <c r="CV168" s="2599"/>
      <c r="CW168" s="2556">
        <v>20</v>
      </c>
      <c r="CX168" s="2599">
        <v>20</v>
      </c>
      <c r="CY168" s="930">
        <v>20</v>
      </c>
      <c r="CZ168" s="2599" t="s">
        <v>6392</v>
      </c>
      <c r="DA168" s="2556"/>
      <c r="DB168" s="2599"/>
      <c r="DC168" s="930">
        <v>30</v>
      </c>
      <c r="DD168" s="2599">
        <v>20</v>
      </c>
      <c r="DE168" s="930">
        <v>20</v>
      </c>
      <c r="DF168" s="2557">
        <f>IFERROR(VLOOKUP(G168,Personalización!$F$18:$H$21,3,0),IFERROR(VLOOKUP(G168,Personalización!$I$18:$K$21,3,0),IFERROR(VLOOKUP(G168,Personalización!$L$18:$N$21,3,0),IFERROR(VLOOKUP(G168,Personalización!$O$18:$Q$20,3,0),0))))</f>
        <v>0</v>
      </c>
    </row>
    <row r="169" spans="1:110" ht="12.75" customHeight="1" x14ac:dyDescent="0.2">
      <c r="A169" s="227">
        <v>169</v>
      </c>
      <c r="B169" s="6042"/>
      <c r="C169" s="556" t="s">
        <v>6353</v>
      </c>
      <c r="D169" s="557"/>
      <c r="F169" s="2596">
        <v>29</v>
      </c>
      <c r="G169" s="326" t="s">
        <v>1446</v>
      </c>
      <c r="H169" s="2556"/>
      <c r="I169" s="2599">
        <v>30</v>
      </c>
      <c r="J169" s="930"/>
      <c r="K169" s="2599"/>
      <c r="L169" s="2599"/>
      <c r="M169" s="2556"/>
      <c r="N169" s="2599"/>
      <c r="O169" s="930"/>
      <c r="P169" s="2599"/>
      <c r="Q169" s="2599"/>
      <c r="R169" s="2556"/>
      <c r="S169" s="930"/>
      <c r="T169" s="2599"/>
      <c r="U169" s="2556">
        <v>40</v>
      </c>
      <c r="V169" s="930">
        <v>40</v>
      </c>
      <c r="W169" s="2599"/>
      <c r="X169" s="2599"/>
      <c r="Y169" s="2554"/>
      <c r="Z169" s="2406">
        <v>40</v>
      </c>
      <c r="AA169" s="2555"/>
      <c r="AB169" s="2406"/>
      <c r="AC169" s="2406">
        <v>20</v>
      </c>
      <c r="AD169" s="2554"/>
      <c r="AE169" s="2555"/>
      <c r="AF169" s="2406"/>
      <c r="AG169" s="2406"/>
      <c r="AH169" s="2406"/>
      <c r="AI169" s="2554"/>
      <c r="AJ169" s="2406"/>
      <c r="AK169" s="2555"/>
      <c r="AL169" s="2406"/>
      <c r="AM169" s="2406"/>
      <c r="AN169" s="2406"/>
      <c r="AO169" s="2406">
        <v>20</v>
      </c>
      <c r="AP169" s="2556"/>
      <c r="AQ169" s="2599">
        <v>20</v>
      </c>
      <c r="AR169" s="930"/>
      <c r="AS169" s="2599"/>
      <c r="AT169" s="2599">
        <v>30</v>
      </c>
      <c r="AU169" s="2556"/>
      <c r="AV169" s="2599">
        <v>20</v>
      </c>
      <c r="AW169" s="930"/>
      <c r="AX169" s="2599"/>
      <c r="AY169" s="2599">
        <v>20</v>
      </c>
      <c r="AZ169" s="2556"/>
      <c r="BA169" s="930"/>
      <c r="BB169" s="2599"/>
      <c r="BC169" s="2599"/>
      <c r="BD169" s="2556"/>
      <c r="BE169" s="930">
        <v>30</v>
      </c>
      <c r="BF169" s="2599">
        <v>10</v>
      </c>
      <c r="BG169" s="2599"/>
      <c r="BH169" s="931"/>
      <c r="BI169" s="2556"/>
      <c r="BJ169" s="930"/>
      <c r="BK169" s="2599"/>
      <c r="BL169" s="2599"/>
      <c r="BM169" s="931"/>
      <c r="BN169" s="2599"/>
      <c r="BO169" s="2599"/>
      <c r="BP169" s="2556"/>
      <c r="BQ169" s="2599"/>
      <c r="BR169" s="930"/>
      <c r="BS169" s="2599"/>
      <c r="BT169" s="2599"/>
      <c r="BU169" s="2556"/>
      <c r="BV169" s="2599"/>
      <c r="BW169" s="2599">
        <v>30</v>
      </c>
      <c r="BX169" s="930"/>
      <c r="BY169" s="2599"/>
      <c r="BZ169" s="2599"/>
      <c r="CA169" s="2599">
        <v>20</v>
      </c>
      <c r="CB169" s="2556"/>
      <c r="CC169" s="2599">
        <v>20</v>
      </c>
      <c r="CD169" s="930"/>
      <c r="CE169" s="2599"/>
      <c r="CF169" s="2599">
        <v>20</v>
      </c>
      <c r="CG169" s="2556"/>
      <c r="CH169" s="2599"/>
      <c r="CI169" s="930"/>
      <c r="CJ169" s="2599"/>
      <c r="CK169" s="2599"/>
      <c r="CL169" s="2599">
        <v>20</v>
      </c>
      <c r="CM169" s="2599"/>
      <c r="CN169" s="2556"/>
      <c r="CO169" s="930">
        <v>20</v>
      </c>
      <c r="CP169" s="2599"/>
      <c r="CQ169" s="2599"/>
      <c r="CR169" s="2556"/>
      <c r="CS169" s="2599">
        <v>30</v>
      </c>
      <c r="CT169" s="930"/>
      <c r="CU169" s="2599"/>
      <c r="CV169" s="2599"/>
      <c r="CW169" s="2556"/>
      <c r="CX169" s="2599">
        <v>20</v>
      </c>
      <c r="CY169" s="930"/>
      <c r="CZ169" s="2599"/>
      <c r="DA169" s="2556"/>
      <c r="DB169" s="2599">
        <v>30</v>
      </c>
      <c r="DC169" s="930"/>
      <c r="DD169" s="2599"/>
      <c r="DE169" s="930">
        <v>20</v>
      </c>
      <c r="DF169" s="2557">
        <f>IFERROR(VLOOKUP(G169,Personalización!$F$18:$H$21,3,0),IFERROR(VLOOKUP(G169,Personalización!$I$18:$K$21,3,0),IFERROR(VLOOKUP(G169,Personalización!$L$18:$N$21,3,0),IFERROR(VLOOKUP(G169,Personalización!$O$18:$Q$20,3,0),0))))</f>
        <v>0</v>
      </c>
    </row>
    <row r="170" spans="1:110" ht="12.75" customHeight="1" x14ac:dyDescent="0.2">
      <c r="A170" s="227">
        <v>170</v>
      </c>
      <c r="B170" s="6042"/>
      <c r="C170" s="556" t="s">
        <v>6279</v>
      </c>
      <c r="D170" s="557"/>
      <c r="F170" s="2596">
        <v>30</v>
      </c>
      <c r="G170" s="326" t="s">
        <v>1447</v>
      </c>
      <c r="H170" s="2556"/>
      <c r="I170" s="2599"/>
      <c r="J170" s="930"/>
      <c r="K170" s="2599"/>
      <c r="L170" s="2599"/>
      <c r="M170" s="2556"/>
      <c r="N170" s="2599"/>
      <c r="O170" s="930"/>
      <c r="P170" s="2599"/>
      <c r="Q170" s="2599"/>
      <c r="R170" s="2556"/>
      <c r="S170" s="930"/>
      <c r="T170" s="2599"/>
      <c r="U170" s="2556"/>
      <c r="V170" s="930"/>
      <c r="W170" s="2599"/>
      <c r="X170" s="2599"/>
      <c r="Y170" s="2554"/>
      <c r="Z170" s="2406"/>
      <c r="AA170" s="2555"/>
      <c r="AB170" s="2406"/>
      <c r="AC170" s="2406"/>
      <c r="AD170" s="2554"/>
      <c r="AE170" s="2555"/>
      <c r="AF170" s="2406"/>
      <c r="AG170" s="2406"/>
      <c r="AH170" s="2406"/>
      <c r="AI170" s="2554"/>
      <c r="AJ170" s="2406"/>
      <c r="AK170" s="2555"/>
      <c r="AL170" s="2406"/>
      <c r="AM170" s="2406"/>
      <c r="AN170" s="2406"/>
      <c r="AO170" s="2406"/>
      <c r="AP170" s="2556"/>
      <c r="AQ170" s="2599"/>
      <c r="AR170" s="930"/>
      <c r="AS170" s="2599"/>
      <c r="AT170" s="2599"/>
      <c r="AU170" s="2556"/>
      <c r="AV170" s="2599"/>
      <c r="AW170" s="930"/>
      <c r="AX170" s="2599"/>
      <c r="AY170" s="2599"/>
      <c r="AZ170" s="2556"/>
      <c r="BA170" s="930"/>
      <c r="BB170" s="2599"/>
      <c r="BC170" s="2599"/>
      <c r="BD170" s="2556"/>
      <c r="BE170" s="930"/>
      <c r="BF170" s="2599"/>
      <c r="BG170" s="2599"/>
      <c r="BH170" s="931"/>
      <c r="BI170" s="2556"/>
      <c r="BJ170" s="930"/>
      <c r="BK170" s="2599"/>
      <c r="BL170" s="2599"/>
      <c r="BM170" s="931"/>
      <c r="BN170" s="2599"/>
      <c r="BO170" s="2599"/>
      <c r="BP170" s="2556"/>
      <c r="BQ170" s="2599"/>
      <c r="BR170" s="930"/>
      <c r="BS170" s="2599"/>
      <c r="BT170" s="2599"/>
      <c r="BU170" s="2556"/>
      <c r="BV170" s="2599"/>
      <c r="BW170" s="2599"/>
      <c r="BX170" s="930"/>
      <c r="BY170" s="2599"/>
      <c r="BZ170" s="2599"/>
      <c r="CA170" s="2599"/>
      <c r="CB170" s="2556"/>
      <c r="CC170" s="2599"/>
      <c r="CD170" s="930"/>
      <c r="CE170" s="2599"/>
      <c r="CF170" s="2599"/>
      <c r="CG170" s="2556"/>
      <c r="CH170" s="2599"/>
      <c r="CI170" s="930"/>
      <c r="CJ170" s="2599"/>
      <c r="CK170" s="2599"/>
      <c r="CL170" s="2599"/>
      <c r="CM170" s="2599"/>
      <c r="CN170" s="2556"/>
      <c r="CO170" s="930"/>
      <c r="CP170" s="2599"/>
      <c r="CQ170" s="2599"/>
      <c r="CR170" s="2556"/>
      <c r="CS170" s="2599"/>
      <c r="CT170" s="930"/>
      <c r="CU170" s="2599"/>
      <c r="CV170" s="2599"/>
      <c r="CW170" s="2556"/>
      <c r="CX170" s="2599"/>
      <c r="CY170" s="930"/>
      <c r="CZ170" s="2599"/>
      <c r="DA170" s="2556"/>
      <c r="DB170" s="2599"/>
      <c r="DC170" s="930"/>
      <c r="DD170" s="2599"/>
      <c r="DE170" s="930"/>
      <c r="DF170" s="2557">
        <f>IFERROR(VLOOKUP(G170,Personalización!$F$18:$H$21,3,0),IFERROR(VLOOKUP(G170,Personalización!$I$18:$K$21,3,0),IFERROR(VLOOKUP(G170,Personalización!$L$18:$N$21,3,0),IFERROR(VLOOKUP(G170,Personalización!$O$18:$Q$20,3,0),0))))</f>
        <v>0</v>
      </c>
    </row>
    <row r="171" spans="1:110" ht="12.75" customHeight="1" x14ac:dyDescent="0.2">
      <c r="A171" s="227">
        <v>171</v>
      </c>
      <c r="B171" s="6042"/>
      <c r="C171" s="556" t="s">
        <v>6280</v>
      </c>
      <c r="D171" s="557"/>
      <c r="F171" s="2596">
        <v>31</v>
      </c>
      <c r="G171" s="326" t="s">
        <v>1449</v>
      </c>
      <c r="H171" s="2556"/>
      <c r="I171" s="2599"/>
      <c r="J171" s="930"/>
      <c r="K171" s="2599"/>
      <c r="L171" s="2599"/>
      <c r="M171" s="2556"/>
      <c r="N171" s="2599"/>
      <c r="O171" s="930"/>
      <c r="P171" s="2599">
        <v>20</v>
      </c>
      <c r="Q171" s="2599">
        <v>20</v>
      </c>
      <c r="R171" s="2556"/>
      <c r="S171" s="930"/>
      <c r="T171" s="2599"/>
      <c r="U171" s="2556"/>
      <c r="V171" s="930"/>
      <c r="W171" s="2599"/>
      <c r="X171" s="2599"/>
      <c r="Y171" s="2554">
        <v>20</v>
      </c>
      <c r="Z171" s="2406">
        <v>20</v>
      </c>
      <c r="AA171" s="2555">
        <v>20</v>
      </c>
      <c r="AB171" s="2406"/>
      <c r="AC171" s="2406">
        <v>20</v>
      </c>
      <c r="AD171" s="2554">
        <v>20</v>
      </c>
      <c r="AE171" s="2555">
        <v>20</v>
      </c>
      <c r="AF171" s="2406"/>
      <c r="AG171" s="2406"/>
      <c r="AH171" s="2406"/>
      <c r="AI171" s="2554">
        <v>20</v>
      </c>
      <c r="AJ171" s="2406">
        <v>20</v>
      </c>
      <c r="AK171" s="2555">
        <v>20</v>
      </c>
      <c r="AL171" s="2406"/>
      <c r="AM171" s="2406"/>
      <c r="AN171" s="2406"/>
      <c r="AO171" s="2406"/>
      <c r="AP171" s="2556">
        <v>20</v>
      </c>
      <c r="AQ171" s="2599"/>
      <c r="AR171" s="930">
        <v>20</v>
      </c>
      <c r="AS171" s="2599"/>
      <c r="AT171" s="2599"/>
      <c r="AU171" s="2556"/>
      <c r="AV171" s="2599"/>
      <c r="AW171" s="930"/>
      <c r="AX171" s="2599"/>
      <c r="AY171" s="2599"/>
      <c r="AZ171" s="2556"/>
      <c r="BA171" s="930"/>
      <c r="BB171" s="2599"/>
      <c r="BC171" s="2599">
        <v>10</v>
      </c>
      <c r="BD171" s="2556"/>
      <c r="BE171" s="930"/>
      <c r="BF171" s="2599"/>
      <c r="BG171" s="2599"/>
      <c r="BH171" s="931"/>
      <c r="BI171" s="2556"/>
      <c r="BJ171" s="930"/>
      <c r="BK171" s="2599"/>
      <c r="BL171" s="2599"/>
      <c r="BM171" s="931"/>
      <c r="BN171" s="2599"/>
      <c r="BO171" s="2599">
        <v>20</v>
      </c>
      <c r="BP171" s="2556"/>
      <c r="BQ171" s="2599"/>
      <c r="BR171" s="930">
        <v>20</v>
      </c>
      <c r="BS171" s="2599"/>
      <c r="BT171" s="2599"/>
      <c r="BU171" s="2556"/>
      <c r="BV171" s="2599"/>
      <c r="BW171" s="2599"/>
      <c r="BX171" s="930"/>
      <c r="BY171" s="2599">
        <v>20</v>
      </c>
      <c r="BZ171" s="2599"/>
      <c r="CA171" s="2599">
        <v>20</v>
      </c>
      <c r="CB171" s="2556"/>
      <c r="CC171" s="2599"/>
      <c r="CD171" s="930"/>
      <c r="CE171" s="2599"/>
      <c r="CF171" s="2599"/>
      <c r="CG171" s="2556"/>
      <c r="CH171" s="2599">
        <v>20</v>
      </c>
      <c r="CI171" s="930"/>
      <c r="CJ171" s="2599">
        <v>30</v>
      </c>
      <c r="CK171" s="2599">
        <v>20</v>
      </c>
      <c r="CL171" s="2599">
        <v>20</v>
      </c>
      <c r="CM171" s="2599">
        <v>20</v>
      </c>
      <c r="CN171" s="2556"/>
      <c r="CO171" s="930"/>
      <c r="CP171" s="2599"/>
      <c r="CQ171" s="2599"/>
      <c r="CR171" s="2556"/>
      <c r="CS171" s="2599"/>
      <c r="CT171" s="930"/>
      <c r="CU171" s="2599"/>
      <c r="CV171" s="2599"/>
      <c r="CW171" s="2556"/>
      <c r="CX171" s="2599"/>
      <c r="CY171" s="930">
        <v>30</v>
      </c>
      <c r="CZ171" s="2599">
        <v>20</v>
      </c>
      <c r="DA171" s="2556"/>
      <c r="DB171" s="2599"/>
      <c r="DC171" s="930"/>
      <c r="DD171" s="2599">
        <v>30</v>
      </c>
      <c r="DE171" s="930">
        <v>30</v>
      </c>
      <c r="DF171" s="2557">
        <f>IFERROR(VLOOKUP(G171,Personalización!$F$18:$H$21,3,0),IFERROR(VLOOKUP(G171,Personalización!$I$18:$K$21,3,0),IFERROR(VLOOKUP(G171,Personalización!$L$18:$N$21,3,0),IFERROR(VLOOKUP(G171,Personalización!$O$18:$Q$20,3,0),0))))</f>
        <v>0</v>
      </c>
    </row>
    <row r="172" spans="1:110" ht="12.75" customHeight="1" x14ac:dyDescent="0.2">
      <c r="A172" s="227">
        <v>172</v>
      </c>
      <c r="B172" s="6042"/>
      <c r="C172" s="556" t="s">
        <v>10051</v>
      </c>
      <c r="D172" s="557"/>
      <c r="F172" s="2596">
        <v>32</v>
      </c>
      <c r="G172" s="326" t="s">
        <v>1450</v>
      </c>
      <c r="H172" s="2556"/>
      <c r="I172" s="2599"/>
      <c r="J172" s="930"/>
      <c r="K172" s="2599"/>
      <c r="L172" s="2599"/>
      <c r="M172" s="2556"/>
      <c r="N172" s="2599"/>
      <c r="O172" s="930"/>
      <c r="P172" s="2599">
        <v>20</v>
      </c>
      <c r="Q172" s="2599"/>
      <c r="R172" s="2556"/>
      <c r="S172" s="930"/>
      <c r="T172" s="2599"/>
      <c r="U172" s="2556"/>
      <c r="V172" s="930"/>
      <c r="W172" s="2599"/>
      <c r="X172" s="2599"/>
      <c r="Y172" s="2554"/>
      <c r="Z172" s="2406"/>
      <c r="AA172" s="2555"/>
      <c r="AB172" s="2406"/>
      <c r="AC172" s="2406"/>
      <c r="AD172" s="2554">
        <v>20</v>
      </c>
      <c r="AE172" s="2555"/>
      <c r="AF172" s="2406"/>
      <c r="AG172" s="2406">
        <v>30</v>
      </c>
      <c r="AH172" s="2406"/>
      <c r="AI172" s="2554">
        <v>20</v>
      </c>
      <c r="AJ172" s="2406"/>
      <c r="AK172" s="2555"/>
      <c r="AL172" s="2406"/>
      <c r="AM172" s="2406">
        <v>20</v>
      </c>
      <c r="AN172" s="2406"/>
      <c r="AO172" s="2406"/>
      <c r="AP172" s="2556"/>
      <c r="AQ172" s="2599"/>
      <c r="AR172" s="930"/>
      <c r="AS172" s="2599"/>
      <c r="AT172" s="2599"/>
      <c r="AU172" s="2556">
        <v>20</v>
      </c>
      <c r="AV172" s="2599"/>
      <c r="AW172" s="930"/>
      <c r="AX172" s="2599">
        <v>10</v>
      </c>
      <c r="AY172" s="2599"/>
      <c r="AZ172" s="2556"/>
      <c r="BA172" s="930"/>
      <c r="BB172" s="2599"/>
      <c r="BC172" s="2599"/>
      <c r="BD172" s="2556"/>
      <c r="BE172" s="930"/>
      <c r="BF172" s="2599"/>
      <c r="BG172" s="2599"/>
      <c r="BH172" s="931"/>
      <c r="BI172" s="2556"/>
      <c r="BJ172" s="930"/>
      <c r="BK172" s="2599"/>
      <c r="BL172" s="2599"/>
      <c r="BM172" s="931"/>
      <c r="BN172" s="2599"/>
      <c r="BO172" s="2599">
        <v>20</v>
      </c>
      <c r="BP172" s="2556">
        <v>20</v>
      </c>
      <c r="BQ172" s="2599"/>
      <c r="BR172" s="930"/>
      <c r="BS172" s="2599"/>
      <c r="BT172" s="2599"/>
      <c r="BU172" s="2556"/>
      <c r="BV172" s="2599"/>
      <c r="BW172" s="2599"/>
      <c r="BX172" s="930"/>
      <c r="BY172" s="2599">
        <v>20</v>
      </c>
      <c r="BZ172" s="2599"/>
      <c r="CA172" s="2599"/>
      <c r="CB172" s="2556"/>
      <c r="CC172" s="2599"/>
      <c r="CD172" s="930"/>
      <c r="CE172" s="2599"/>
      <c r="CF172" s="2599"/>
      <c r="CG172" s="2556"/>
      <c r="CH172" s="2599"/>
      <c r="CI172" s="930"/>
      <c r="CJ172" s="2599"/>
      <c r="CK172" s="2599"/>
      <c r="CL172" s="2599"/>
      <c r="CM172" s="2599"/>
      <c r="CN172" s="2556"/>
      <c r="CO172" s="930"/>
      <c r="CP172" s="2599"/>
      <c r="CQ172" s="2599"/>
      <c r="CR172" s="2556"/>
      <c r="CS172" s="2599"/>
      <c r="CT172" s="930"/>
      <c r="CU172" s="2599"/>
      <c r="CV172" s="2599"/>
      <c r="CW172" s="2556"/>
      <c r="CX172" s="2599"/>
      <c r="CY172" s="930"/>
      <c r="CZ172" s="2599"/>
      <c r="DA172" s="2556"/>
      <c r="DB172" s="2599"/>
      <c r="DC172" s="930"/>
      <c r="DD172" s="2599"/>
      <c r="DE172" s="930"/>
      <c r="DF172" s="2557">
        <f>IFERROR(VLOOKUP(G172,Personalización!$F$18:$H$21,3,0),IFERROR(VLOOKUP(G172,Personalización!$I$18:$K$21,3,0),IFERROR(VLOOKUP(G172,Personalización!$L$18:$N$21,3,0),IFERROR(VLOOKUP(G172,Personalización!$O$18:$Q$20,3,0),0))))</f>
        <v>0</v>
      </c>
    </row>
    <row r="173" spans="1:110" ht="12.75" customHeight="1" x14ac:dyDescent="0.2">
      <c r="A173" s="227">
        <v>173</v>
      </c>
      <c r="B173" s="6042"/>
      <c r="C173" s="556" t="s">
        <v>6281</v>
      </c>
      <c r="D173" s="557"/>
      <c r="F173" s="2596">
        <v>33</v>
      </c>
      <c r="G173" s="326" t="s">
        <v>1453</v>
      </c>
      <c r="H173" s="2556"/>
      <c r="I173" s="2599"/>
      <c r="J173" s="930"/>
      <c r="K173" s="2599"/>
      <c r="L173" s="2599"/>
      <c r="M173" s="2556"/>
      <c r="N173" s="2599"/>
      <c r="O173" s="930"/>
      <c r="P173" s="2599"/>
      <c r="Q173" s="2599"/>
      <c r="R173" s="2556"/>
      <c r="S173" s="930"/>
      <c r="T173" s="2599"/>
      <c r="U173" s="2556"/>
      <c r="V173" s="930"/>
      <c r="W173" s="2599"/>
      <c r="X173" s="2599"/>
      <c r="Y173" s="2554"/>
      <c r="Z173" s="2406"/>
      <c r="AA173" s="2555"/>
      <c r="AB173" s="2406"/>
      <c r="AC173" s="2406"/>
      <c r="AD173" s="2554"/>
      <c r="AE173" s="2555"/>
      <c r="AF173" s="2406"/>
      <c r="AG173" s="2406"/>
      <c r="AH173" s="2406"/>
      <c r="AI173" s="2554">
        <v>20</v>
      </c>
      <c r="AJ173" s="2406">
        <v>20</v>
      </c>
      <c r="AK173" s="2555">
        <v>20</v>
      </c>
      <c r="AL173" s="2406"/>
      <c r="AM173" s="2406"/>
      <c r="AN173" s="2406">
        <v>20</v>
      </c>
      <c r="AO173" s="2406"/>
      <c r="AP173" s="2556"/>
      <c r="AQ173" s="2599"/>
      <c r="AR173" s="930"/>
      <c r="AS173" s="2599"/>
      <c r="AT173" s="2599"/>
      <c r="AU173" s="2556"/>
      <c r="AV173" s="2599"/>
      <c r="AW173" s="930"/>
      <c r="AX173" s="2599"/>
      <c r="AY173" s="2599"/>
      <c r="AZ173" s="2556"/>
      <c r="BA173" s="930"/>
      <c r="BB173" s="2599">
        <v>20</v>
      </c>
      <c r="BC173" s="2599"/>
      <c r="BD173" s="2556"/>
      <c r="BE173" s="930"/>
      <c r="BF173" s="2599"/>
      <c r="BG173" s="2599"/>
      <c r="BH173" s="931"/>
      <c r="BI173" s="2556"/>
      <c r="BJ173" s="930"/>
      <c r="BK173" s="2599"/>
      <c r="BL173" s="2599"/>
      <c r="BM173" s="931"/>
      <c r="BN173" s="2599"/>
      <c r="BO173" s="2599">
        <v>20</v>
      </c>
      <c r="BP173" s="2556"/>
      <c r="BQ173" s="2599"/>
      <c r="BR173" s="930"/>
      <c r="BS173" s="2599"/>
      <c r="BT173" s="2599"/>
      <c r="BU173" s="2556"/>
      <c r="BV173" s="2599"/>
      <c r="BW173" s="2599"/>
      <c r="BX173" s="930"/>
      <c r="BY173" s="2599">
        <v>20</v>
      </c>
      <c r="BZ173" s="2599"/>
      <c r="CA173" s="2599"/>
      <c r="CB173" s="2556"/>
      <c r="CC173" s="2599"/>
      <c r="CD173" s="930"/>
      <c r="CE173" s="2599"/>
      <c r="CF173" s="2599"/>
      <c r="CG173" s="2556"/>
      <c r="CH173" s="2599"/>
      <c r="CI173" s="930"/>
      <c r="CJ173" s="2599"/>
      <c r="CK173" s="2599"/>
      <c r="CL173" s="2599"/>
      <c r="CM173" s="2599"/>
      <c r="CN173" s="2556"/>
      <c r="CO173" s="930"/>
      <c r="CP173" s="2599"/>
      <c r="CQ173" s="2599"/>
      <c r="CR173" s="2556"/>
      <c r="CS173" s="2599"/>
      <c r="CT173" s="930"/>
      <c r="CU173" s="2599"/>
      <c r="CV173" s="2599"/>
      <c r="CW173" s="2556"/>
      <c r="CX173" s="2599"/>
      <c r="CY173" s="930"/>
      <c r="CZ173" s="2599"/>
      <c r="DA173" s="2556"/>
      <c r="DB173" s="2599"/>
      <c r="DC173" s="930"/>
      <c r="DD173" s="2599"/>
      <c r="DE173" s="930"/>
      <c r="DF173" s="2557">
        <f>IFERROR(VLOOKUP(G173,Personalización!$F$18:$H$21,3,0),IFERROR(VLOOKUP(G173,Personalización!$I$18:$K$21,3,0),IFERROR(VLOOKUP(G173,Personalización!$L$18:$N$21,3,0),IFERROR(VLOOKUP(G173,Personalización!$O$18:$Q$20,3,0),0))))</f>
        <v>0</v>
      </c>
    </row>
    <row r="174" spans="1:110" ht="12.75" customHeight="1" x14ac:dyDescent="0.2">
      <c r="A174" s="227">
        <v>174</v>
      </c>
      <c r="B174" s="6042"/>
      <c r="C174" s="556" t="s">
        <v>6354</v>
      </c>
      <c r="D174" s="557"/>
      <c r="F174" s="2596">
        <v>34</v>
      </c>
      <c r="G174" s="326" t="s">
        <v>1457</v>
      </c>
      <c r="H174" s="2556"/>
      <c r="I174" s="2599"/>
      <c r="J174" s="930"/>
      <c r="K174" s="2599"/>
      <c r="L174" s="2599"/>
      <c r="M174" s="2556"/>
      <c r="N174" s="2599"/>
      <c r="O174" s="930"/>
      <c r="P174" s="2599"/>
      <c r="Q174" s="2599"/>
      <c r="R174" s="2556"/>
      <c r="S174" s="930"/>
      <c r="T174" s="2599"/>
      <c r="U174" s="2556"/>
      <c r="V174" s="930"/>
      <c r="W174" s="2599"/>
      <c r="X174" s="2599"/>
      <c r="Y174" s="2554"/>
      <c r="Z174" s="2406"/>
      <c r="AA174" s="2555"/>
      <c r="AB174" s="2406"/>
      <c r="AC174" s="2406"/>
      <c r="AD174" s="2554"/>
      <c r="AE174" s="2555"/>
      <c r="AF174" s="2406"/>
      <c r="AG174" s="2406"/>
      <c r="AH174" s="2406"/>
      <c r="AI174" s="2554"/>
      <c r="AJ174" s="2406"/>
      <c r="AK174" s="2555"/>
      <c r="AL174" s="2406"/>
      <c r="AM174" s="2406"/>
      <c r="AN174" s="2406"/>
      <c r="AO174" s="2406"/>
      <c r="AP174" s="2556"/>
      <c r="AQ174" s="2599"/>
      <c r="AR174" s="930"/>
      <c r="AS174" s="2599"/>
      <c r="AT174" s="2599"/>
      <c r="AU174" s="2556"/>
      <c r="AV174" s="2599"/>
      <c r="AW174" s="930"/>
      <c r="AX174" s="2599"/>
      <c r="AY174" s="2599"/>
      <c r="AZ174" s="2556"/>
      <c r="BA174" s="930"/>
      <c r="BB174" s="2599"/>
      <c r="BC174" s="2599"/>
      <c r="BD174" s="2556"/>
      <c r="BE174" s="930"/>
      <c r="BF174" s="2599"/>
      <c r="BG174" s="2599"/>
      <c r="BH174" s="931"/>
      <c r="BI174" s="2556"/>
      <c r="BJ174" s="930"/>
      <c r="BK174" s="2599"/>
      <c r="BL174" s="2599"/>
      <c r="BM174" s="931"/>
      <c r="BN174" s="2599"/>
      <c r="BO174" s="2599"/>
      <c r="BP174" s="2556"/>
      <c r="BQ174" s="2599"/>
      <c r="BR174" s="930"/>
      <c r="BS174" s="2599"/>
      <c r="BT174" s="2599"/>
      <c r="BU174" s="2556"/>
      <c r="BV174" s="2599"/>
      <c r="BW174" s="2599"/>
      <c r="BX174" s="930"/>
      <c r="BY174" s="2599"/>
      <c r="BZ174" s="2599"/>
      <c r="CA174" s="2599"/>
      <c r="CB174" s="2556"/>
      <c r="CC174" s="2599"/>
      <c r="CD174" s="930"/>
      <c r="CE174" s="2599"/>
      <c r="CF174" s="2599"/>
      <c r="CG174" s="2556"/>
      <c r="CH174" s="2599"/>
      <c r="CI174" s="930"/>
      <c r="CJ174" s="2599"/>
      <c r="CK174" s="2599"/>
      <c r="CL174" s="2599"/>
      <c r="CM174" s="2599"/>
      <c r="CN174" s="2556"/>
      <c r="CO174" s="930"/>
      <c r="CP174" s="2599"/>
      <c r="CQ174" s="2599"/>
      <c r="CR174" s="2556"/>
      <c r="CS174" s="2599"/>
      <c r="CT174" s="930"/>
      <c r="CU174" s="2599"/>
      <c r="CV174" s="2599"/>
      <c r="CW174" s="2556"/>
      <c r="CX174" s="2599"/>
      <c r="CY174" s="930"/>
      <c r="CZ174" s="2599"/>
      <c r="DA174" s="2556"/>
      <c r="DB174" s="2599"/>
      <c r="DC174" s="930"/>
      <c r="DD174" s="2599"/>
      <c r="DE174" s="930"/>
      <c r="DF174" s="2557">
        <f>IFERROR(VLOOKUP(G174,Personalización!$F$18:$H$21,3,0),IFERROR(VLOOKUP(G174,Personalización!$I$18:$K$21,3,0),IFERROR(VLOOKUP(G174,Personalización!$L$18:$N$21,3,0),IFERROR(VLOOKUP(G174,Personalización!$O$18:$Q$20,3,0),0))))</f>
        <v>0</v>
      </c>
    </row>
    <row r="175" spans="1:110" ht="12.75" customHeight="1" x14ac:dyDescent="0.2">
      <c r="A175" s="227">
        <v>175</v>
      </c>
      <c r="B175" s="6042"/>
      <c r="C175" s="556" t="s">
        <v>6318</v>
      </c>
      <c r="D175" s="557"/>
      <c r="F175" s="2596">
        <v>35</v>
      </c>
      <c r="G175" s="326" t="s">
        <v>1459</v>
      </c>
      <c r="H175" s="2556"/>
      <c r="I175" s="2599"/>
      <c r="J175" s="930"/>
      <c r="K175" s="2599"/>
      <c r="L175" s="2599"/>
      <c r="M175" s="2556"/>
      <c r="N175" s="2599"/>
      <c r="O175" s="930"/>
      <c r="P175" s="2599"/>
      <c r="Q175" s="2599"/>
      <c r="R175" s="2556"/>
      <c r="S175" s="930"/>
      <c r="T175" s="2599"/>
      <c r="U175" s="2556"/>
      <c r="V175" s="930"/>
      <c r="W175" s="2599"/>
      <c r="X175" s="2599"/>
      <c r="Y175" s="2554"/>
      <c r="Z175" s="2406"/>
      <c r="AA175" s="2555"/>
      <c r="AB175" s="2406"/>
      <c r="AC175" s="2406"/>
      <c r="AD175" s="2554"/>
      <c r="AE175" s="2555"/>
      <c r="AF175" s="2406"/>
      <c r="AG175" s="2406"/>
      <c r="AH175" s="2406"/>
      <c r="AI175" s="2554"/>
      <c r="AJ175" s="2406"/>
      <c r="AK175" s="2555"/>
      <c r="AL175" s="2406"/>
      <c r="AM175" s="2406"/>
      <c r="AN175" s="2406"/>
      <c r="AO175" s="2406"/>
      <c r="AP175" s="2556"/>
      <c r="AQ175" s="2599"/>
      <c r="AR175" s="930"/>
      <c r="AS175" s="2599"/>
      <c r="AT175" s="2599"/>
      <c r="AU175" s="2556"/>
      <c r="AV175" s="2599"/>
      <c r="AW175" s="930"/>
      <c r="AX175" s="2599"/>
      <c r="AY175" s="2599"/>
      <c r="AZ175" s="2556"/>
      <c r="BA175" s="930"/>
      <c r="BB175" s="2599"/>
      <c r="BC175" s="2599"/>
      <c r="BD175" s="2556"/>
      <c r="BE175" s="930"/>
      <c r="BF175" s="2599"/>
      <c r="BG175" s="2599"/>
      <c r="BH175" s="931"/>
      <c r="BI175" s="2556"/>
      <c r="BJ175" s="930"/>
      <c r="BK175" s="2599"/>
      <c r="BL175" s="2599"/>
      <c r="BM175" s="931"/>
      <c r="BN175" s="2599"/>
      <c r="BO175" s="2599"/>
      <c r="BP175" s="2556"/>
      <c r="BQ175" s="2599"/>
      <c r="BR175" s="930"/>
      <c r="BS175" s="2599"/>
      <c r="BT175" s="2599"/>
      <c r="BU175" s="2556"/>
      <c r="BV175" s="2599"/>
      <c r="BW175" s="2599"/>
      <c r="BX175" s="930"/>
      <c r="BY175" s="2599"/>
      <c r="BZ175" s="2599"/>
      <c r="CA175" s="2599"/>
      <c r="CB175" s="2556"/>
      <c r="CC175" s="2599"/>
      <c r="CD175" s="930"/>
      <c r="CE175" s="2599"/>
      <c r="CF175" s="2599"/>
      <c r="CG175" s="2556"/>
      <c r="CH175" s="2599"/>
      <c r="CI175" s="930"/>
      <c r="CJ175" s="2599"/>
      <c r="CK175" s="2599"/>
      <c r="CL175" s="2599"/>
      <c r="CM175" s="2599"/>
      <c r="CN175" s="2556"/>
      <c r="CO175" s="930"/>
      <c r="CP175" s="2599"/>
      <c r="CQ175" s="2599"/>
      <c r="CR175" s="2556"/>
      <c r="CS175" s="2599"/>
      <c r="CT175" s="930"/>
      <c r="CU175" s="2599"/>
      <c r="CV175" s="2599"/>
      <c r="CW175" s="2556"/>
      <c r="CX175" s="2599"/>
      <c r="CY175" s="930"/>
      <c r="CZ175" s="2599"/>
      <c r="DA175" s="2556"/>
      <c r="DB175" s="2599"/>
      <c r="DC175" s="930"/>
      <c r="DD175" s="2599"/>
      <c r="DE175" s="930"/>
      <c r="DF175" s="2557">
        <f>IFERROR(VLOOKUP(G175,Personalización!$F$18:$H$21,3,0),IFERROR(VLOOKUP(G175,Personalización!$I$18:$K$21,3,0),IFERROR(VLOOKUP(G175,Personalización!$L$18:$N$21,3,0),IFERROR(VLOOKUP(G175,Personalización!$O$18:$Q$20,3,0),0))))</f>
        <v>0</v>
      </c>
    </row>
    <row r="176" spans="1:110" ht="12.75" customHeight="1" x14ac:dyDescent="0.2">
      <c r="A176" s="227">
        <v>176</v>
      </c>
      <c r="B176" s="6042"/>
      <c r="C176" s="556" t="s">
        <v>6319</v>
      </c>
      <c r="D176" s="557"/>
      <c r="F176" s="2596">
        <v>36</v>
      </c>
      <c r="G176" s="326" t="s">
        <v>1461</v>
      </c>
      <c r="H176" s="2556"/>
      <c r="I176" s="2599"/>
      <c r="J176" s="930"/>
      <c r="K176" s="2599"/>
      <c r="L176" s="2599"/>
      <c r="M176" s="2556"/>
      <c r="N176" s="2599"/>
      <c r="O176" s="930"/>
      <c r="P176" s="2599"/>
      <c r="Q176" s="2599"/>
      <c r="R176" s="2556"/>
      <c r="S176" s="930"/>
      <c r="T176" s="2599"/>
      <c r="U176" s="2556"/>
      <c r="V176" s="930"/>
      <c r="W176" s="2599"/>
      <c r="X176" s="2599"/>
      <c r="Y176" s="2554"/>
      <c r="Z176" s="2406"/>
      <c r="AA176" s="2555"/>
      <c r="AB176" s="2406">
        <v>20</v>
      </c>
      <c r="AC176" s="2406"/>
      <c r="AD176" s="2554"/>
      <c r="AE176" s="2555"/>
      <c r="AF176" s="2406">
        <v>20</v>
      </c>
      <c r="AG176" s="2406"/>
      <c r="AH176" s="2406"/>
      <c r="AI176" s="2554"/>
      <c r="AJ176" s="2406"/>
      <c r="AK176" s="2555"/>
      <c r="AL176" s="2406"/>
      <c r="AM176" s="2406"/>
      <c r="AN176" s="2406">
        <v>20</v>
      </c>
      <c r="AO176" s="2406"/>
      <c r="AP176" s="2556"/>
      <c r="AQ176" s="2599"/>
      <c r="AR176" s="930"/>
      <c r="AS176" s="2599">
        <v>20</v>
      </c>
      <c r="AT176" s="2599"/>
      <c r="AU176" s="2556"/>
      <c r="AV176" s="2599"/>
      <c r="AW176" s="930"/>
      <c r="AX176" s="2599"/>
      <c r="AY176" s="2599"/>
      <c r="AZ176" s="2556"/>
      <c r="BA176" s="930"/>
      <c r="BB176" s="2599"/>
      <c r="BC176" s="2599"/>
      <c r="BD176" s="2556"/>
      <c r="BE176" s="930"/>
      <c r="BF176" s="2599"/>
      <c r="BG176" s="2599"/>
      <c r="BH176" s="931">
        <v>10</v>
      </c>
      <c r="BI176" s="2556">
        <v>20</v>
      </c>
      <c r="BJ176" s="930">
        <v>10</v>
      </c>
      <c r="BK176" s="2599"/>
      <c r="BL176" s="2599"/>
      <c r="BM176" s="931">
        <v>10</v>
      </c>
      <c r="BN176" s="2599"/>
      <c r="BO176" s="2599"/>
      <c r="BP176" s="2556"/>
      <c r="BQ176" s="2599"/>
      <c r="BR176" s="930"/>
      <c r="BS176" s="2599"/>
      <c r="BT176" s="2599"/>
      <c r="BU176" s="2556"/>
      <c r="BV176" s="2599"/>
      <c r="BW176" s="2599"/>
      <c r="BX176" s="930"/>
      <c r="BY176" s="2599"/>
      <c r="BZ176" s="2599"/>
      <c r="CA176" s="2599"/>
      <c r="CB176" s="2556"/>
      <c r="CC176" s="2599"/>
      <c r="CD176" s="930"/>
      <c r="CE176" s="2599"/>
      <c r="CF176" s="2599"/>
      <c r="CG176" s="2556"/>
      <c r="CH176" s="2599"/>
      <c r="CI176" s="930"/>
      <c r="CJ176" s="2599"/>
      <c r="CK176" s="2599"/>
      <c r="CL176" s="2599"/>
      <c r="CM176" s="2599"/>
      <c r="CN176" s="2556"/>
      <c r="CO176" s="930"/>
      <c r="CP176" s="2599">
        <v>20</v>
      </c>
      <c r="CQ176" s="2599">
        <v>20</v>
      </c>
      <c r="CR176" s="2556"/>
      <c r="CS176" s="2599"/>
      <c r="CT176" s="930"/>
      <c r="CU176" s="2599">
        <v>20</v>
      </c>
      <c r="CV176" s="2599">
        <v>20</v>
      </c>
      <c r="CW176" s="2556">
        <v>20</v>
      </c>
      <c r="CX176" s="2599">
        <v>20</v>
      </c>
      <c r="CY176" s="930"/>
      <c r="CZ176" s="2599">
        <v>20</v>
      </c>
      <c r="DA176" s="2556"/>
      <c r="DB176" s="2599"/>
      <c r="DC176" s="930"/>
      <c r="DD176" s="2599"/>
      <c r="DE176" s="930"/>
      <c r="DF176" s="2557">
        <f>IFERROR(VLOOKUP(G176,Personalización!$F$18:$H$21,3,0),IFERROR(VLOOKUP(G176,Personalización!$I$18:$K$21,3,0),IFERROR(VLOOKUP(G176,Personalización!$L$18:$N$21,3,0),IFERROR(VLOOKUP(G176,Personalización!$O$18:$Q$20,3,0),0))))</f>
        <v>0</v>
      </c>
    </row>
    <row r="177" spans="1:110" ht="12.75" customHeight="1" x14ac:dyDescent="0.2">
      <c r="A177" s="227">
        <v>177</v>
      </c>
      <c r="B177" s="6042"/>
      <c r="C177" s="560" t="s">
        <v>6355</v>
      </c>
      <c r="D177" s="557"/>
      <c r="F177" s="2596">
        <v>37</v>
      </c>
      <c r="G177" s="326" t="s">
        <v>1463</v>
      </c>
      <c r="H177" s="2556"/>
      <c r="I177" s="2599"/>
      <c r="J177" s="930"/>
      <c r="K177" s="2599"/>
      <c r="L177" s="2599"/>
      <c r="M177" s="2556"/>
      <c r="N177" s="2599"/>
      <c r="O177" s="930"/>
      <c r="P177" s="2599"/>
      <c r="Q177" s="2599"/>
      <c r="R177" s="2556"/>
      <c r="S177" s="930"/>
      <c r="T177" s="2599"/>
      <c r="U177" s="2556"/>
      <c r="V177" s="930"/>
      <c r="W177" s="2599"/>
      <c r="X177" s="2599"/>
      <c r="Y177" s="2554"/>
      <c r="Z177" s="2406"/>
      <c r="AA177" s="2555"/>
      <c r="AB177" s="2406">
        <v>20</v>
      </c>
      <c r="AC177" s="2406"/>
      <c r="AD177" s="2554"/>
      <c r="AE177" s="2555"/>
      <c r="AF177" s="2406"/>
      <c r="AG177" s="2406"/>
      <c r="AH177" s="2406"/>
      <c r="AI177" s="2554"/>
      <c r="AJ177" s="2406"/>
      <c r="AK177" s="2555"/>
      <c r="AL177" s="2406"/>
      <c r="AM177" s="2406"/>
      <c r="AN177" s="2406"/>
      <c r="AO177" s="2406"/>
      <c r="AP177" s="2556"/>
      <c r="AQ177" s="2599"/>
      <c r="AR177" s="930"/>
      <c r="AS177" s="2599">
        <v>20</v>
      </c>
      <c r="AT177" s="2599">
        <v>10</v>
      </c>
      <c r="AU177" s="2556"/>
      <c r="AV177" s="2599"/>
      <c r="AW177" s="930"/>
      <c r="AX177" s="2599"/>
      <c r="AY177" s="2599"/>
      <c r="AZ177" s="2556"/>
      <c r="BA177" s="930"/>
      <c r="BB177" s="2599"/>
      <c r="BC177" s="2599"/>
      <c r="BD177" s="2556"/>
      <c r="BE177" s="930"/>
      <c r="BF177" s="2599"/>
      <c r="BG177" s="2599"/>
      <c r="BH177" s="931"/>
      <c r="BI177" s="2556"/>
      <c r="BJ177" s="930"/>
      <c r="BK177" s="2599"/>
      <c r="BL177" s="2599"/>
      <c r="BM177" s="931"/>
      <c r="BN177" s="2599"/>
      <c r="BO177" s="2599"/>
      <c r="BP177" s="2556"/>
      <c r="BQ177" s="2599"/>
      <c r="BR177" s="930"/>
      <c r="BS177" s="2599"/>
      <c r="BT177" s="2599"/>
      <c r="BU177" s="2556"/>
      <c r="BV177" s="2599"/>
      <c r="BW177" s="2599"/>
      <c r="BX177" s="930"/>
      <c r="BY177" s="2599"/>
      <c r="BZ177" s="2599"/>
      <c r="CA177" s="2599"/>
      <c r="CB177" s="2556"/>
      <c r="CC177" s="2599"/>
      <c r="CD177" s="930"/>
      <c r="CE177" s="2599"/>
      <c r="CF177" s="2599"/>
      <c r="CG177" s="2556"/>
      <c r="CH177" s="2599"/>
      <c r="CI177" s="930"/>
      <c r="CJ177" s="2599"/>
      <c r="CK177" s="2599"/>
      <c r="CL177" s="2599"/>
      <c r="CM177" s="2599"/>
      <c r="CN177" s="2556"/>
      <c r="CO177" s="930"/>
      <c r="CP177" s="2599"/>
      <c r="CQ177" s="2599"/>
      <c r="CR177" s="2556"/>
      <c r="CS177" s="2599"/>
      <c r="CT177" s="930"/>
      <c r="CU177" s="2599"/>
      <c r="CV177" s="2599"/>
      <c r="CW177" s="2556"/>
      <c r="CX177" s="2599"/>
      <c r="CY177" s="930"/>
      <c r="CZ177" s="2599"/>
      <c r="DA177" s="2556"/>
      <c r="DB177" s="2599"/>
      <c r="DC177" s="930"/>
      <c r="DD177" s="2599"/>
      <c r="DE177" s="930"/>
      <c r="DF177" s="2557">
        <f>IFERROR(VLOOKUP(G177,Personalización!$F$18:$H$21,3,0),IFERROR(VLOOKUP(G177,Personalización!$I$18:$K$21,3,0),IFERROR(VLOOKUP(G177,Personalización!$L$18:$N$21,3,0),IFERROR(VLOOKUP(G177,Personalización!$O$18:$Q$20,3,0),0))))</f>
        <v>0</v>
      </c>
    </row>
    <row r="178" spans="1:110" ht="12.75" customHeight="1" x14ac:dyDescent="0.2">
      <c r="A178" s="227">
        <v>178</v>
      </c>
      <c r="B178" s="6042"/>
      <c r="C178" s="556" t="s">
        <v>6282</v>
      </c>
      <c r="D178" s="557"/>
      <c r="F178" s="2596">
        <v>38</v>
      </c>
      <c r="G178" s="326" t="s">
        <v>1465</v>
      </c>
      <c r="H178" s="2556"/>
      <c r="I178" s="2599"/>
      <c r="J178" s="930"/>
      <c r="K178" s="2599"/>
      <c r="L178" s="2599"/>
      <c r="M178" s="2556"/>
      <c r="N178" s="2599"/>
      <c r="O178" s="930"/>
      <c r="P178" s="2599"/>
      <c r="Q178" s="2599"/>
      <c r="R178" s="2556">
        <v>20</v>
      </c>
      <c r="S178" s="930"/>
      <c r="T178" s="2599">
        <v>20</v>
      </c>
      <c r="U178" s="2556"/>
      <c r="V178" s="930"/>
      <c r="W178" s="2599"/>
      <c r="X178" s="2599"/>
      <c r="Y178" s="2554"/>
      <c r="Z178" s="2406"/>
      <c r="AA178" s="2555"/>
      <c r="AB178" s="2406">
        <v>20</v>
      </c>
      <c r="AC178" s="2406"/>
      <c r="AD178" s="2554"/>
      <c r="AE178" s="2555"/>
      <c r="AF178" s="2406"/>
      <c r="AG178" s="2406"/>
      <c r="AH178" s="2406"/>
      <c r="AI178" s="2554"/>
      <c r="AJ178" s="2406"/>
      <c r="AK178" s="2555"/>
      <c r="AL178" s="2406"/>
      <c r="AM178" s="2406"/>
      <c r="AN178" s="2406">
        <v>20</v>
      </c>
      <c r="AO178" s="2406"/>
      <c r="AP178" s="2556"/>
      <c r="AQ178" s="2599"/>
      <c r="AR178" s="930"/>
      <c r="AS178" s="2599">
        <v>10</v>
      </c>
      <c r="AT178" s="2599"/>
      <c r="AU178" s="2556"/>
      <c r="AV178" s="2599"/>
      <c r="AW178" s="930"/>
      <c r="AX178" s="2599"/>
      <c r="AY178" s="2599"/>
      <c r="AZ178" s="2556"/>
      <c r="BA178" s="930"/>
      <c r="BB178" s="2599"/>
      <c r="BC178" s="2599"/>
      <c r="BD178" s="2556">
        <v>20</v>
      </c>
      <c r="BE178" s="930"/>
      <c r="BF178" s="2599"/>
      <c r="BG178" s="2599"/>
      <c r="BH178" s="931">
        <v>20</v>
      </c>
      <c r="BI178" s="2556">
        <v>20</v>
      </c>
      <c r="BJ178" s="930">
        <v>10</v>
      </c>
      <c r="BK178" s="2599"/>
      <c r="BL178" s="2599"/>
      <c r="BM178" s="931">
        <v>20</v>
      </c>
      <c r="BN178" s="2599"/>
      <c r="BO178" s="2599"/>
      <c r="BP178" s="2556"/>
      <c r="BQ178" s="2599"/>
      <c r="BR178" s="930"/>
      <c r="BS178" s="2599"/>
      <c r="BT178" s="2599"/>
      <c r="BU178" s="2556"/>
      <c r="BV178" s="2599"/>
      <c r="BW178" s="2599"/>
      <c r="BX178" s="930"/>
      <c r="BY178" s="2599"/>
      <c r="BZ178" s="2599"/>
      <c r="CA178" s="2599"/>
      <c r="CB178" s="2556"/>
      <c r="CC178" s="2599"/>
      <c r="CD178" s="930"/>
      <c r="CE178" s="2599">
        <v>20</v>
      </c>
      <c r="CF178" s="2599"/>
      <c r="CG178" s="2556"/>
      <c r="CH178" s="2599"/>
      <c r="CI178" s="930"/>
      <c r="CJ178" s="2599">
        <v>20</v>
      </c>
      <c r="CK178" s="2599"/>
      <c r="CL178" s="2599"/>
      <c r="CM178" s="2599"/>
      <c r="CN178" s="2556"/>
      <c r="CO178" s="930"/>
      <c r="CP178" s="2599"/>
      <c r="CQ178" s="2599"/>
      <c r="CR178" s="2556"/>
      <c r="CS178" s="2599"/>
      <c r="CT178" s="930"/>
      <c r="CU178" s="2599">
        <v>20</v>
      </c>
      <c r="CV178" s="2599"/>
      <c r="CW178" s="2556"/>
      <c r="CX178" s="2599"/>
      <c r="CY178" s="930"/>
      <c r="CZ178" s="2599">
        <v>20</v>
      </c>
      <c r="DA178" s="2556"/>
      <c r="DB178" s="2599"/>
      <c r="DC178" s="930"/>
      <c r="DD178" s="2599">
        <v>20</v>
      </c>
      <c r="DE178" s="930">
        <v>20</v>
      </c>
      <c r="DF178" s="2557">
        <f>IFERROR(VLOOKUP(G178,Personalización!$F$18:$H$21,3,0),IFERROR(VLOOKUP(G178,Personalización!$I$18:$K$21,3,0),IFERROR(VLOOKUP(G178,Personalización!$L$18:$N$21,3,0),IFERROR(VLOOKUP(G178,Personalización!$O$18:$Q$20,3,0),0))))</f>
        <v>0</v>
      </c>
    </row>
    <row r="179" spans="1:110" ht="12.75" customHeight="1" x14ac:dyDescent="0.2">
      <c r="A179" s="227">
        <v>179</v>
      </c>
      <c r="B179" s="6042"/>
      <c r="C179" s="556" t="s">
        <v>6283</v>
      </c>
      <c r="D179" s="557"/>
      <c r="F179" s="2596">
        <v>39</v>
      </c>
      <c r="G179" s="326" t="s">
        <v>1467</v>
      </c>
      <c r="H179" s="2556"/>
      <c r="I179" s="2599"/>
      <c r="J179" s="930"/>
      <c r="K179" s="2599"/>
      <c r="L179" s="2599"/>
      <c r="M179" s="2556"/>
      <c r="N179" s="2599"/>
      <c r="O179" s="930"/>
      <c r="P179" s="2599"/>
      <c r="Q179" s="2599"/>
      <c r="R179" s="2556">
        <v>20</v>
      </c>
      <c r="S179" s="930"/>
      <c r="T179" s="2599"/>
      <c r="U179" s="2556"/>
      <c r="V179" s="930"/>
      <c r="W179" s="2599"/>
      <c r="X179" s="2599"/>
      <c r="Y179" s="2554"/>
      <c r="Z179" s="2406"/>
      <c r="AA179" s="2555"/>
      <c r="AB179" s="2406"/>
      <c r="AC179" s="2406"/>
      <c r="AD179" s="2554"/>
      <c r="AE179" s="2555"/>
      <c r="AF179" s="2406"/>
      <c r="AG179" s="2406"/>
      <c r="AH179" s="2406"/>
      <c r="AI179" s="2554"/>
      <c r="AJ179" s="2406"/>
      <c r="AK179" s="2555"/>
      <c r="AL179" s="2406"/>
      <c r="AM179" s="2406"/>
      <c r="AN179" s="2406"/>
      <c r="AO179" s="2406"/>
      <c r="AP179" s="2556"/>
      <c r="AQ179" s="2599"/>
      <c r="AR179" s="930"/>
      <c r="AS179" s="2599"/>
      <c r="AT179" s="2599"/>
      <c r="AU179" s="2556"/>
      <c r="AV179" s="2599"/>
      <c r="AW179" s="930"/>
      <c r="AX179" s="2599"/>
      <c r="AY179" s="2599"/>
      <c r="AZ179" s="2556"/>
      <c r="BA179" s="930"/>
      <c r="BB179" s="2599"/>
      <c r="BC179" s="2599"/>
      <c r="BD179" s="2556"/>
      <c r="BE179" s="930"/>
      <c r="BF179" s="2599"/>
      <c r="BG179" s="2599"/>
      <c r="BH179" s="931"/>
      <c r="BI179" s="2556"/>
      <c r="BJ179" s="930"/>
      <c r="BK179" s="2599"/>
      <c r="BL179" s="2599"/>
      <c r="BM179" s="931"/>
      <c r="BN179" s="2599"/>
      <c r="BO179" s="2599"/>
      <c r="BP179" s="2556"/>
      <c r="BQ179" s="2599"/>
      <c r="BR179" s="930"/>
      <c r="BS179" s="2599"/>
      <c r="BT179" s="2599"/>
      <c r="BU179" s="2556"/>
      <c r="BV179" s="2599">
        <v>20</v>
      </c>
      <c r="BW179" s="2599"/>
      <c r="BX179" s="930"/>
      <c r="BY179" s="2599"/>
      <c r="BZ179" s="2599"/>
      <c r="CA179" s="2599"/>
      <c r="CB179" s="2556"/>
      <c r="CC179" s="2599"/>
      <c r="CD179" s="930"/>
      <c r="CE179" s="2599">
        <v>20</v>
      </c>
      <c r="CF179" s="2599">
        <v>20</v>
      </c>
      <c r="CG179" s="2556"/>
      <c r="CH179" s="2599"/>
      <c r="CI179" s="930"/>
      <c r="CJ179" s="2599"/>
      <c r="CK179" s="2599"/>
      <c r="CL179" s="2599"/>
      <c r="CM179" s="2599"/>
      <c r="CN179" s="2556"/>
      <c r="CO179" s="930"/>
      <c r="CP179" s="2599">
        <v>20</v>
      </c>
      <c r="CQ179" s="2599">
        <v>20</v>
      </c>
      <c r="CR179" s="2556"/>
      <c r="CS179" s="2599"/>
      <c r="CT179" s="930"/>
      <c r="CU179" s="2599">
        <v>20</v>
      </c>
      <c r="CV179" s="2599">
        <v>20</v>
      </c>
      <c r="CW179" s="2556">
        <v>20</v>
      </c>
      <c r="CX179" s="2599"/>
      <c r="CY179" s="930"/>
      <c r="CZ179" s="2599"/>
      <c r="DA179" s="2556"/>
      <c r="DB179" s="2599"/>
      <c r="DC179" s="930"/>
      <c r="DD179" s="2599"/>
      <c r="DE179" s="930"/>
      <c r="DF179" s="2557">
        <f>IFERROR(VLOOKUP(G179,Personalización!$F$18:$H$21,3,0),IFERROR(VLOOKUP(G179,Personalización!$I$18:$K$21,3,0),IFERROR(VLOOKUP(G179,Personalización!$L$18:$N$21,3,0),IFERROR(VLOOKUP(G179,Personalización!$O$18:$Q$20,3,0),0))))</f>
        <v>0</v>
      </c>
    </row>
    <row r="180" spans="1:110" ht="12.75" customHeight="1" x14ac:dyDescent="0.2">
      <c r="A180" s="227">
        <v>180</v>
      </c>
      <c r="B180" s="6042"/>
      <c r="C180" s="556" t="s">
        <v>6284</v>
      </c>
      <c r="D180" s="557"/>
      <c r="F180" s="2596">
        <v>40</v>
      </c>
      <c r="G180" s="326" t="s">
        <v>1468</v>
      </c>
      <c r="H180" s="2556"/>
      <c r="I180" s="2599"/>
      <c r="J180" s="930"/>
      <c r="K180" s="2599"/>
      <c r="L180" s="2599"/>
      <c r="M180" s="2556"/>
      <c r="N180" s="2599"/>
      <c r="O180" s="930"/>
      <c r="P180" s="2599"/>
      <c r="Q180" s="2599"/>
      <c r="R180" s="2556"/>
      <c r="S180" s="930"/>
      <c r="T180" s="2599"/>
      <c r="U180" s="2556"/>
      <c r="V180" s="930"/>
      <c r="W180" s="2599"/>
      <c r="X180" s="2599"/>
      <c r="Y180" s="2554"/>
      <c r="Z180" s="2406"/>
      <c r="AA180" s="2555"/>
      <c r="AB180" s="2406"/>
      <c r="AC180" s="2406"/>
      <c r="AD180" s="2554"/>
      <c r="AE180" s="2555"/>
      <c r="AF180" s="2406"/>
      <c r="AG180" s="2406"/>
      <c r="AH180" s="2406"/>
      <c r="AI180" s="2554"/>
      <c r="AJ180" s="2406"/>
      <c r="AK180" s="2555"/>
      <c r="AL180" s="2406"/>
      <c r="AM180" s="2406"/>
      <c r="AN180" s="2406"/>
      <c r="AO180" s="2406"/>
      <c r="AP180" s="2556"/>
      <c r="AQ180" s="2599"/>
      <c r="AR180" s="930"/>
      <c r="AS180" s="2599"/>
      <c r="AT180" s="2599"/>
      <c r="AU180" s="2556"/>
      <c r="AV180" s="2599"/>
      <c r="AW180" s="930"/>
      <c r="AX180" s="2599"/>
      <c r="AY180" s="2599"/>
      <c r="AZ180" s="2556"/>
      <c r="BA180" s="930"/>
      <c r="BB180" s="2599"/>
      <c r="BC180" s="2599"/>
      <c r="BD180" s="2556"/>
      <c r="BE180" s="930"/>
      <c r="BF180" s="2599"/>
      <c r="BG180" s="2599"/>
      <c r="BH180" s="931"/>
      <c r="BI180" s="2556"/>
      <c r="BJ180" s="930"/>
      <c r="BK180" s="2599"/>
      <c r="BL180" s="2599"/>
      <c r="BM180" s="931"/>
      <c r="BN180" s="2599"/>
      <c r="BO180" s="2599"/>
      <c r="BP180" s="2556"/>
      <c r="BQ180" s="2599"/>
      <c r="BR180" s="930"/>
      <c r="BS180" s="2599"/>
      <c r="BT180" s="2599"/>
      <c r="BU180" s="2556"/>
      <c r="BV180" s="2599"/>
      <c r="BW180" s="2599"/>
      <c r="BX180" s="930"/>
      <c r="BY180" s="2599"/>
      <c r="BZ180" s="2599"/>
      <c r="CA180" s="2599"/>
      <c r="CB180" s="2556"/>
      <c r="CC180" s="2599"/>
      <c r="CD180" s="930"/>
      <c r="CE180" s="2599"/>
      <c r="CF180" s="2599"/>
      <c r="CG180" s="2556"/>
      <c r="CH180" s="2599"/>
      <c r="CI180" s="930"/>
      <c r="CJ180" s="2599"/>
      <c r="CK180" s="2599"/>
      <c r="CL180" s="2599"/>
      <c r="CM180" s="2599"/>
      <c r="CN180" s="2556"/>
      <c r="CO180" s="930"/>
      <c r="CP180" s="2599"/>
      <c r="CQ180" s="2599"/>
      <c r="CR180" s="2556"/>
      <c r="CS180" s="2599"/>
      <c r="CT180" s="930"/>
      <c r="CU180" s="2599"/>
      <c r="CV180" s="2599"/>
      <c r="CW180" s="2556"/>
      <c r="CX180" s="2599"/>
      <c r="CY180" s="930"/>
      <c r="CZ180" s="2599"/>
      <c r="DA180" s="2556"/>
      <c r="DB180" s="2599"/>
      <c r="DC180" s="930"/>
      <c r="DD180" s="2599"/>
      <c r="DE180" s="930"/>
      <c r="DF180" s="2557">
        <f>IFERROR(VLOOKUP(G180,Personalización!$F$18:$H$21,3,0),IFERROR(VLOOKUP(G180,Personalización!$I$18:$K$21,3,0),IFERROR(VLOOKUP(G180,Personalización!$L$18:$N$21,3,0),IFERROR(VLOOKUP(G180,Personalización!$O$18:$Q$20,3,0),0))))</f>
        <v>0</v>
      </c>
    </row>
    <row r="181" spans="1:110" ht="12.75" customHeight="1" x14ac:dyDescent="0.2">
      <c r="A181" s="227">
        <v>181</v>
      </c>
      <c r="B181" s="6042"/>
      <c r="C181" s="556" t="s">
        <v>6285</v>
      </c>
      <c r="D181" s="557"/>
      <c r="F181" s="2596">
        <v>41</v>
      </c>
      <c r="G181" s="326" t="s">
        <v>1470</v>
      </c>
      <c r="H181" s="2556"/>
      <c r="I181" s="2599"/>
      <c r="J181" s="930"/>
      <c r="K181" s="2599">
        <v>20</v>
      </c>
      <c r="L181" s="2599"/>
      <c r="M181" s="2556"/>
      <c r="N181" s="2599"/>
      <c r="O181" s="930"/>
      <c r="P181" s="2599"/>
      <c r="Q181" s="2599"/>
      <c r="R181" s="2556"/>
      <c r="S181" s="930"/>
      <c r="T181" s="2599"/>
      <c r="U181" s="2556"/>
      <c r="V181" s="930"/>
      <c r="W181" s="2599"/>
      <c r="X181" s="2599"/>
      <c r="Y181" s="2554"/>
      <c r="Z181" s="2406"/>
      <c r="AA181" s="2555"/>
      <c r="AB181" s="2406"/>
      <c r="AC181" s="2406"/>
      <c r="AD181" s="2554"/>
      <c r="AE181" s="2555"/>
      <c r="AF181" s="2406"/>
      <c r="AG181" s="2406"/>
      <c r="AH181" s="2406"/>
      <c r="AI181" s="2554"/>
      <c r="AJ181" s="2406"/>
      <c r="AK181" s="2555"/>
      <c r="AL181" s="2406"/>
      <c r="AM181" s="2406"/>
      <c r="AN181" s="2406"/>
      <c r="AO181" s="2406"/>
      <c r="AP181" s="2556"/>
      <c r="AQ181" s="2599"/>
      <c r="AR181" s="930"/>
      <c r="AS181" s="2599"/>
      <c r="AT181" s="2599"/>
      <c r="AU181" s="2556"/>
      <c r="AV181" s="2599"/>
      <c r="AW181" s="930"/>
      <c r="AX181" s="2599"/>
      <c r="AY181" s="2599"/>
      <c r="AZ181" s="2556"/>
      <c r="BA181" s="930"/>
      <c r="BB181" s="2599"/>
      <c r="BC181" s="2599"/>
      <c r="BD181" s="2556"/>
      <c r="BE181" s="930"/>
      <c r="BF181" s="2599">
        <v>10</v>
      </c>
      <c r="BG181" s="2599">
        <v>10</v>
      </c>
      <c r="BH181" s="931"/>
      <c r="BI181" s="2556"/>
      <c r="BJ181" s="930"/>
      <c r="BK181" s="2599"/>
      <c r="BL181" s="2599"/>
      <c r="BM181" s="931"/>
      <c r="BN181" s="2599">
        <v>30</v>
      </c>
      <c r="BO181" s="2599"/>
      <c r="BP181" s="2556"/>
      <c r="BQ181" s="2599">
        <v>20</v>
      </c>
      <c r="BR181" s="930"/>
      <c r="BS181" s="2599"/>
      <c r="BT181" s="2599"/>
      <c r="BU181" s="2556"/>
      <c r="BV181" s="2599"/>
      <c r="BW181" s="2599"/>
      <c r="BX181" s="930"/>
      <c r="BY181" s="2599"/>
      <c r="BZ181" s="2599"/>
      <c r="CA181" s="2599"/>
      <c r="CB181" s="2556"/>
      <c r="CC181" s="2599"/>
      <c r="CD181" s="930"/>
      <c r="CE181" s="2599"/>
      <c r="CF181" s="2599"/>
      <c r="CG181" s="2556"/>
      <c r="CH181" s="2599"/>
      <c r="CI181" s="930"/>
      <c r="CJ181" s="2599"/>
      <c r="CK181" s="2599"/>
      <c r="CL181" s="2599"/>
      <c r="CM181" s="2599"/>
      <c r="CN181" s="2556"/>
      <c r="CO181" s="930"/>
      <c r="CP181" s="2599"/>
      <c r="CQ181" s="2599"/>
      <c r="CR181" s="2556"/>
      <c r="CS181" s="2599"/>
      <c r="CT181" s="930"/>
      <c r="CU181" s="2599"/>
      <c r="CV181" s="2599"/>
      <c r="CW181" s="2556"/>
      <c r="CX181" s="2599"/>
      <c r="CY181" s="930"/>
      <c r="CZ181" s="2599"/>
      <c r="DA181" s="2556"/>
      <c r="DB181" s="2599"/>
      <c r="DC181" s="930"/>
      <c r="DD181" s="2599"/>
      <c r="DE181" s="930"/>
      <c r="DF181" s="2557">
        <f>IFERROR(VLOOKUP(G181,Personalización!$F$18:$H$21,3,0),IFERROR(VLOOKUP(G181,Personalización!$I$18:$K$21,3,0),IFERROR(VLOOKUP(G181,Personalización!$L$18:$N$21,3,0),IFERROR(VLOOKUP(G181,Personalización!$O$18:$Q$20,3,0),0))))</f>
        <v>0</v>
      </c>
    </row>
    <row r="182" spans="1:110" ht="12.75" customHeight="1" x14ac:dyDescent="0.2">
      <c r="A182" s="227">
        <v>182</v>
      </c>
      <c r="B182" s="6042"/>
      <c r="C182" s="556" t="s">
        <v>6286</v>
      </c>
      <c r="D182" s="557"/>
      <c r="F182" s="2596">
        <v>42</v>
      </c>
      <c r="G182" s="326" t="s">
        <v>1471</v>
      </c>
      <c r="H182" s="2556"/>
      <c r="I182" s="2599">
        <v>20</v>
      </c>
      <c r="J182" s="930">
        <v>20</v>
      </c>
      <c r="K182" s="2599"/>
      <c r="L182" s="2599">
        <v>20</v>
      </c>
      <c r="M182" s="2556"/>
      <c r="N182" s="2599"/>
      <c r="O182" s="930"/>
      <c r="P182" s="2599"/>
      <c r="Q182" s="2599"/>
      <c r="R182" s="2556"/>
      <c r="S182" s="930"/>
      <c r="T182" s="2599"/>
      <c r="U182" s="2556"/>
      <c r="V182" s="930"/>
      <c r="W182" s="2599"/>
      <c r="X182" s="2599"/>
      <c r="Y182" s="2554"/>
      <c r="Z182" s="2406">
        <v>20</v>
      </c>
      <c r="AA182" s="2555">
        <v>20</v>
      </c>
      <c r="AB182" s="2406"/>
      <c r="AC182" s="2406"/>
      <c r="AD182" s="2554"/>
      <c r="AE182" s="2555"/>
      <c r="AF182" s="2406"/>
      <c r="AG182" s="2406"/>
      <c r="AH182" s="2406"/>
      <c r="AI182" s="2554"/>
      <c r="AJ182" s="2406"/>
      <c r="AK182" s="2555"/>
      <c r="AL182" s="2406"/>
      <c r="AM182" s="2406"/>
      <c r="AN182" s="2406"/>
      <c r="AO182" s="2406"/>
      <c r="AP182" s="2556"/>
      <c r="AQ182" s="2599"/>
      <c r="AR182" s="930"/>
      <c r="AS182" s="2599"/>
      <c r="AT182" s="2599"/>
      <c r="AU182" s="2556"/>
      <c r="AV182" s="2599">
        <v>30</v>
      </c>
      <c r="AW182" s="930">
        <v>20</v>
      </c>
      <c r="AX182" s="2599"/>
      <c r="AY182" s="2599">
        <v>20</v>
      </c>
      <c r="AZ182" s="2556"/>
      <c r="BA182" s="930"/>
      <c r="BB182" s="2599"/>
      <c r="BC182" s="2599"/>
      <c r="BD182" s="2556"/>
      <c r="BE182" s="930"/>
      <c r="BF182" s="2599"/>
      <c r="BG182" s="2599"/>
      <c r="BH182" s="931"/>
      <c r="BI182" s="2556"/>
      <c r="BJ182" s="930"/>
      <c r="BK182" s="2599"/>
      <c r="BL182" s="2599"/>
      <c r="BM182" s="931"/>
      <c r="BN182" s="2599"/>
      <c r="BO182" s="2599"/>
      <c r="BP182" s="2556"/>
      <c r="BQ182" s="2599"/>
      <c r="BR182" s="930"/>
      <c r="BS182" s="2599"/>
      <c r="BT182" s="2599">
        <v>10</v>
      </c>
      <c r="BU182" s="2556">
        <v>20</v>
      </c>
      <c r="BV182" s="2599"/>
      <c r="BW182" s="2599">
        <v>20</v>
      </c>
      <c r="BX182" s="930">
        <v>20</v>
      </c>
      <c r="BY182" s="2599"/>
      <c r="BZ182" s="2599"/>
      <c r="CA182" s="2599"/>
      <c r="CB182" s="2556">
        <v>20</v>
      </c>
      <c r="CC182" s="2599">
        <v>20</v>
      </c>
      <c r="CD182" s="930">
        <v>20</v>
      </c>
      <c r="CE182" s="2599"/>
      <c r="CF182" s="2599"/>
      <c r="CG182" s="2556">
        <v>20</v>
      </c>
      <c r="CH182" s="2599"/>
      <c r="CI182" s="930">
        <v>20</v>
      </c>
      <c r="CJ182" s="2599">
        <v>20</v>
      </c>
      <c r="CK182" s="2599">
        <v>20</v>
      </c>
      <c r="CL182" s="2599">
        <v>20</v>
      </c>
      <c r="CM182" s="2599">
        <v>20</v>
      </c>
      <c r="CN182" s="2556">
        <v>20</v>
      </c>
      <c r="CO182" s="930">
        <v>20</v>
      </c>
      <c r="CP182" s="2599"/>
      <c r="CQ182" s="2599"/>
      <c r="CR182" s="2556">
        <v>20</v>
      </c>
      <c r="CS182" s="2599">
        <v>20</v>
      </c>
      <c r="CT182" s="930">
        <v>20</v>
      </c>
      <c r="CU182" s="2599"/>
      <c r="CV182" s="2599"/>
      <c r="CW182" s="2556"/>
      <c r="CX182" s="2599"/>
      <c r="CY182" s="930"/>
      <c r="CZ182" s="2599"/>
      <c r="DA182" s="2556">
        <v>20</v>
      </c>
      <c r="DB182" s="2599">
        <v>20</v>
      </c>
      <c r="DC182" s="930">
        <v>20</v>
      </c>
      <c r="DD182" s="2599"/>
      <c r="DE182" s="930"/>
      <c r="DF182" s="2557">
        <f>IFERROR(VLOOKUP(G182,Personalización!$F$18:$H$21,3,0),IFERROR(VLOOKUP(G182,Personalización!$I$18:$K$21,3,0),IFERROR(VLOOKUP(G182,Personalización!$L$18:$N$21,3,0),IFERROR(VLOOKUP(G182,Personalización!$O$18:$Q$20,3,0),0))))</f>
        <v>0</v>
      </c>
    </row>
    <row r="183" spans="1:110" ht="12.75" customHeight="1" x14ac:dyDescent="0.2">
      <c r="A183" s="227">
        <v>183</v>
      </c>
      <c r="B183" s="6042"/>
      <c r="C183" s="556" t="s">
        <v>8324</v>
      </c>
      <c r="D183" s="557"/>
      <c r="F183" s="2596">
        <v>43</v>
      </c>
      <c r="G183" s="326" t="s">
        <v>1472</v>
      </c>
      <c r="H183" s="2556"/>
      <c r="I183" s="2599"/>
      <c r="J183" s="930"/>
      <c r="K183" s="2599"/>
      <c r="L183" s="2599"/>
      <c r="M183" s="2556"/>
      <c r="N183" s="2599"/>
      <c r="O183" s="930"/>
      <c r="P183" s="2599">
        <v>20</v>
      </c>
      <c r="Q183" s="2599"/>
      <c r="R183" s="2556"/>
      <c r="S183" s="930"/>
      <c r="T183" s="2599"/>
      <c r="U183" s="2556"/>
      <c r="V183" s="930"/>
      <c r="W183" s="2599"/>
      <c r="X183" s="2599"/>
      <c r="Y183" s="2554"/>
      <c r="Z183" s="2406"/>
      <c r="AA183" s="2555"/>
      <c r="AB183" s="2406"/>
      <c r="AC183" s="2406"/>
      <c r="AD183" s="2554"/>
      <c r="AE183" s="2555"/>
      <c r="AF183" s="2406"/>
      <c r="AG183" s="2406"/>
      <c r="AH183" s="2406"/>
      <c r="AI183" s="2554"/>
      <c r="AJ183" s="2406"/>
      <c r="AK183" s="2555"/>
      <c r="AL183" s="2406"/>
      <c r="AM183" s="2406"/>
      <c r="AN183" s="2406"/>
      <c r="AO183" s="2406"/>
      <c r="AP183" s="2556"/>
      <c r="AQ183" s="2599"/>
      <c r="AR183" s="930"/>
      <c r="AS183" s="2599"/>
      <c r="AT183" s="2599"/>
      <c r="AU183" s="2556"/>
      <c r="AV183" s="2599"/>
      <c r="AW183" s="930"/>
      <c r="AX183" s="2599"/>
      <c r="AY183" s="2599"/>
      <c r="AZ183" s="2556"/>
      <c r="BA183" s="930"/>
      <c r="BB183" s="2599"/>
      <c r="BC183" s="2599"/>
      <c r="BD183" s="2556"/>
      <c r="BE183" s="930"/>
      <c r="BF183" s="2599">
        <v>30</v>
      </c>
      <c r="BG183" s="2599"/>
      <c r="BH183" s="931"/>
      <c r="BI183" s="2556"/>
      <c r="BJ183" s="930"/>
      <c r="BK183" s="2599"/>
      <c r="BL183" s="2599"/>
      <c r="BM183" s="931"/>
      <c r="BN183" s="2599"/>
      <c r="BO183" s="2599"/>
      <c r="BP183" s="2556"/>
      <c r="BQ183" s="2599"/>
      <c r="BR183" s="930"/>
      <c r="BS183" s="2599"/>
      <c r="BT183" s="2599"/>
      <c r="BU183" s="2556"/>
      <c r="BV183" s="2599"/>
      <c r="BW183" s="2599"/>
      <c r="BX183" s="930"/>
      <c r="BY183" s="2599"/>
      <c r="BZ183" s="2599"/>
      <c r="CA183" s="2599"/>
      <c r="CB183" s="2556"/>
      <c r="CC183" s="2599"/>
      <c r="CD183" s="930"/>
      <c r="CE183" s="2599"/>
      <c r="CF183" s="2599"/>
      <c r="CG183" s="2556"/>
      <c r="CH183" s="2599"/>
      <c r="CI183" s="930"/>
      <c r="CJ183" s="2599"/>
      <c r="CK183" s="2599"/>
      <c r="CL183" s="2599"/>
      <c r="CM183" s="2599"/>
      <c r="CN183" s="2556"/>
      <c r="CO183" s="930"/>
      <c r="CP183" s="2599"/>
      <c r="CQ183" s="2599"/>
      <c r="CR183" s="2556"/>
      <c r="CS183" s="2599"/>
      <c r="CT183" s="930"/>
      <c r="CU183" s="2599"/>
      <c r="CV183" s="2599"/>
      <c r="CW183" s="2556"/>
      <c r="CX183" s="2599"/>
      <c r="CY183" s="930"/>
      <c r="CZ183" s="2599"/>
      <c r="DA183" s="2556"/>
      <c r="DB183" s="2599"/>
      <c r="DC183" s="930"/>
      <c r="DD183" s="2599"/>
      <c r="DE183" s="930"/>
      <c r="DF183" s="2557">
        <f>IFERROR(VLOOKUP(G183,Personalización!$F$18:$H$21,3,0),IFERROR(VLOOKUP(G183,Personalización!$I$18:$K$21,3,0),IFERROR(VLOOKUP(G183,Personalización!$L$18:$N$21,3,0),IFERROR(VLOOKUP(G183,Personalización!$O$18:$Q$20,3,0),0))))</f>
        <v>0</v>
      </c>
    </row>
    <row r="184" spans="1:110" ht="12.75" customHeight="1" x14ac:dyDescent="0.2">
      <c r="A184" s="227">
        <v>184</v>
      </c>
      <c r="B184" s="6042"/>
      <c r="C184" s="556" t="s">
        <v>6287</v>
      </c>
      <c r="D184" s="557"/>
      <c r="F184" s="2596">
        <v>44</v>
      </c>
      <c r="G184" s="326" t="s">
        <v>813</v>
      </c>
      <c r="H184" s="2556"/>
      <c r="I184" s="2599"/>
      <c r="J184" s="930"/>
      <c r="K184" s="2599"/>
      <c r="L184" s="2599"/>
      <c r="M184" s="2556"/>
      <c r="N184" s="2599"/>
      <c r="O184" s="930"/>
      <c r="P184" s="2599"/>
      <c r="Q184" s="2599"/>
      <c r="R184" s="2556"/>
      <c r="S184" s="930"/>
      <c r="T184" s="2599"/>
      <c r="U184" s="2556"/>
      <c r="V184" s="930"/>
      <c r="W184" s="2599"/>
      <c r="X184" s="2599"/>
      <c r="Y184" s="2554"/>
      <c r="Z184" s="2406"/>
      <c r="AA184" s="2555"/>
      <c r="AB184" s="2406"/>
      <c r="AC184" s="2406"/>
      <c r="AD184" s="2554"/>
      <c r="AE184" s="2555"/>
      <c r="AF184" s="2406"/>
      <c r="AG184" s="2406"/>
      <c r="AH184" s="2406"/>
      <c r="AI184" s="2554"/>
      <c r="AJ184" s="2406"/>
      <c r="AK184" s="2555"/>
      <c r="AL184" s="2406"/>
      <c r="AM184" s="2406"/>
      <c r="AN184" s="2406"/>
      <c r="AO184" s="2406"/>
      <c r="AP184" s="2556"/>
      <c r="AQ184" s="2599"/>
      <c r="AR184" s="930"/>
      <c r="AS184" s="2599"/>
      <c r="AT184" s="2599"/>
      <c r="AU184" s="2556"/>
      <c r="AV184" s="2599"/>
      <c r="AW184" s="930"/>
      <c r="AX184" s="2599"/>
      <c r="AY184" s="2599"/>
      <c r="AZ184" s="2556"/>
      <c r="BA184" s="930"/>
      <c r="BB184" s="2599"/>
      <c r="BC184" s="2599"/>
      <c r="BD184" s="2556"/>
      <c r="BE184" s="930"/>
      <c r="BF184" s="2599"/>
      <c r="BG184" s="2599"/>
      <c r="BH184" s="931"/>
      <c r="BI184" s="2556"/>
      <c r="BJ184" s="930"/>
      <c r="BK184" s="2599"/>
      <c r="BL184" s="2599"/>
      <c r="BM184" s="931"/>
      <c r="BN184" s="2599"/>
      <c r="BO184" s="2599"/>
      <c r="BP184" s="2556"/>
      <c r="BQ184" s="2599"/>
      <c r="BR184" s="930"/>
      <c r="BS184" s="2599"/>
      <c r="BT184" s="2599"/>
      <c r="BU184" s="2556"/>
      <c r="BV184" s="2599"/>
      <c r="BW184" s="2599"/>
      <c r="BX184" s="930"/>
      <c r="BY184" s="2599"/>
      <c r="BZ184" s="2599"/>
      <c r="CA184" s="2599"/>
      <c r="CB184" s="2556"/>
      <c r="CC184" s="2599"/>
      <c r="CD184" s="930"/>
      <c r="CE184" s="2599"/>
      <c r="CF184" s="2599"/>
      <c r="CG184" s="2556"/>
      <c r="CH184" s="2599"/>
      <c r="CI184" s="930"/>
      <c r="CJ184" s="2599"/>
      <c r="CK184" s="2599"/>
      <c r="CL184" s="2599"/>
      <c r="CM184" s="2599"/>
      <c r="CN184" s="2556"/>
      <c r="CO184" s="930"/>
      <c r="CP184" s="2599"/>
      <c r="CQ184" s="2599"/>
      <c r="CR184" s="2556"/>
      <c r="CS184" s="2599"/>
      <c r="CT184" s="930"/>
      <c r="CU184" s="2599"/>
      <c r="CV184" s="2599"/>
      <c r="CW184" s="2556"/>
      <c r="CX184" s="2599"/>
      <c r="CY184" s="930"/>
      <c r="CZ184" s="2599"/>
      <c r="DA184" s="2556"/>
      <c r="DB184" s="2599"/>
      <c r="DC184" s="930"/>
      <c r="DD184" s="2599"/>
      <c r="DE184" s="930"/>
      <c r="DF184" s="2557">
        <f>IFERROR(VLOOKUP(G184,Personalización!$F$18:$H$21,3,0),IFERROR(VLOOKUP(G184,Personalización!$I$18:$K$21,3,0),IFERROR(VLOOKUP(G184,Personalización!$L$18:$N$21,3,0),IFERROR(VLOOKUP(G184,Personalización!$O$18:$Q$20,3,0),0))))</f>
        <v>0</v>
      </c>
    </row>
    <row r="185" spans="1:110" ht="12.75" customHeight="1" x14ac:dyDescent="0.2">
      <c r="A185" s="227">
        <v>185</v>
      </c>
      <c r="B185" s="6042"/>
      <c r="C185" s="556" t="s">
        <v>6288</v>
      </c>
      <c r="D185" s="557"/>
      <c r="F185" s="2596">
        <v>45</v>
      </c>
      <c r="G185" s="326" t="s">
        <v>814</v>
      </c>
      <c r="H185" s="2556"/>
      <c r="I185" s="2599"/>
      <c r="J185" s="930"/>
      <c r="K185" s="2599"/>
      <c r="L185" s="2599"/>
      <c r="M185" s="2556"/>
      <c r="N185" s="2599"/>
      <c r="O185" s="930"/>
      <c r="P185" s="2599"/>
      <c r="Q185" s="2599"/>
      <c r="R185" s="2556"/>
      <c r="S185" s="930"/>
      <c r="T185" s="2599"/>
      <c r="U185" s="2556"/>
      <c r="V185" s="930"/>
      <c r="W185" s="2599"/>
      <c r="X185" s="2599"/>
      <c r="Y185" s="2554"/>
      <c r="Z185" s="2406"/>
      <c r="AA185" s="2555"/>
      <c r="AB185" s="2406"/>
      <c r="AC185" s="2406"/>
      <c r="AD185" s="2554"/>
      <c r="AE185" s="2555"/>
      <c r="AF185" s="2406"/>
      <c r="AG185" s="2406"/>
      <c r="AH185" s="2406"/>
      <c r="AI185" s="2554"/>
      <c r="AJ185" s="2406"/>
      <c r="AK185" s="2555"/>
      <c r="AL185" s="2406"/>
      <c r="AM185" s="2406"/>
      <c r="AN185" s="2406"/>
      <c r="AO185" s="2406"/>
      <c r="AP185" s="2556"/>
      <c r="AQ185" s="2599"/>
      <c r="AR185" s="930"/>
      <c r="AS185" s="2599"/>
      <c r="AT185" s="2599"/>
      <c r="AU185" s="2556"/>
      <c r="AV185" s="2599"/>
      <c r="AW185" s="930"/>
      <c r="AX185" s="2599"/>
      <c r="AY185" s="2599"/>
      <c r="AZ185" s="2556"/>
      <c r="BA185" s="930"/>
      <c r="BB185" s="2599"/>
      <c r="BC185" s="2599"/>
      <c r="BD185" s="2556"/>
      <c r="BE185" s="930"/>
      <c r="BF185" s="2599"/>
      <c r="BG185" s="2599"/>
      <c r="BH185" s="931"/>
      <c r="BI185" s="2556"/>
      <c r="BJ185" s="930"/>
      <c r="BK185" s="2599"/>
      <c r="BL185" s="2599"/>
      <c r="BM185" s="931"/>
      <c r="BN185" s="2599"/>
      <c r="BO185" s="2599"/>
      <c r="BP185" s="2556"/>
      <c r="BQ185" s="2599"/>
      <c r="BR185" s="930"/>
      <c r="BS185" s="2599"/>
      <c r="BT185" s="2599"/>
      <c r="BU185" s="2556"/>
      <c r="BV185" s="2599"/>
      <c r="BW185" s="2599"/>
      <c r="BX185" s="930"/>
      <c r="BY185" s="2599"/>
      <c r="BZ185" s="2599"/>
      <c r="CA185" s="2599"/>
      <c r="CB185" s="2556"/>
      <c r="CC185" s="2599"/>
      <c r="CD185" s="930"/>
      <c r="CE185" s="2599"/>
      <c r="CF185" s="2599"/>
      <c r="CG185" s="2556"/>
      <c r="CH185" s="2599"/>
      <c r="CI185" s="930"/>
      <c r="CJ185" s="2599"/>
      <c r="CK185" s="2599"/>
      <c r="CL185" s="2599"/>
      <c r="CM185" s="2599"/>
      <c r="CN185" s="2556"/>
      <c r="CO185" s="930"/>
      <c r="CP185" s="2599"/>
      <c r="CQ185" s="2599"/>
      <c r="CR185" s="2556"/>
      <c r="CS185" s="2599"/>
      <c r="CT185" s="930"/>
      <c r="CU185" s="2599"/>
      <c r="CV185" s="2599"/>
      <c r="CW185" s="2556"/>
      <c r="CX185" s="2599"/>
      <c r="CY185" s="930"/>
      <c r="CZ185" s="2599"/>
      <c r="DA185" s="2556"/>
      <c r="DB185" s="2599"/>
      <c r="DC185" s="930"/>
      <c r="DD185" s="2599"/>
      <c r="DE185" s="930"/>
      <c r="DF185" s="2557">
        <f>IFERROR(VLOOKUP(G185,Personalización!$F$18:$H$21,3,0),IFERROR(VLOOKUP(G185,Personalización!$I$18:$K$21,3,0),IFERROR(VLOOKUP(G185,Personalización!$L$18:$N$21,3,0),IFERROR(VLOOKUP(G185,Personalización!$O$18:$Q$20,3,0),0))))</f>
        <v>0</v>
      </c>
    </row>
    <row r="186" spans="1:110" ht="12.75" customHeight="1" x14ac:dyDescent="0.2">
      <c r="A186" s="227">
        <v>186</v>
      </c>
      <c r="B186" s="6042"/>
      <c r="C186" s="556" t="s">
        <v>6289</v>
      </c>
      <c r="D186" s="557"/>
      <c r="F186" s="2596">
        <v>46</v>
      </c>
      <c r="G186" s="326" t="s">
        <v>815</v>
      </c>
      <c r="H186" s="2556"/>
      <c r="I186" s="2599"/>
      <c r="J186" s="930"/>
      <c r="K186" s="2599"/>
      <c r="L186" s="2599"/>
      <c r="M186" s="2556"/>
      <c r="N186" s="2599"/>
      <c r="O186" s="930"/>
      <c r="P186" s="2599"/>
      <c r="Q186" s="2599"/>
      <c r="R186" s="2556"/>
      <c r="S186" s="930"/>
      <c r="T186" s="2599"/>
      <c r="U186" s="2556"/>
      <c r="V186" s="930"/>
      <c r="W186" s="2599"/>
      <c r="X186" s="2599"/>
      <c r="Y186" s="2554"/>
      <c r="Z186" s="2406"/>
      <c r="AA186" s="2555"/>
      <c r="AB186" s="2406"/>
      <c r="AC186" s="2406"/>
      <c r="AD186" s="2554"/>
      <c r="AE186" s="2555"/>
      <c r="AF186" s="2406"/>
      <c r="AG186" s="2406"/>
      <c r="AH186" s="2406"/>
      <c r="AI186" s="2554"/>
      <c r="AJ186" s="2406"/>
      <c r="AK186" s="2555"/>
      <c r="AL186" s="2406"/>
      <c r="AM186" s="2406"/>
      <c r="AN186" s="2406"/>
      <c r="AO186" s="2406"/>
      <c r="AP186" s="2556"/>
      <c r="AQ186" s="2599"/>
      <c r="AR186" s="930"/>
      <c r="AS186" s="2599"/>
      <c r="AT186" s="2599"/>
      <c r="AU186" s="2556"/>
      <c r="AV186" s="2599"/>
      <c r="AW186" s="930"/>
      <c r="AX186" s="2599"/>
      <c r="AY186" s="2599"/>
      <c r="AZ186" s="2556"/>
      <c r="BA186" s="930"/>
      <c r="BB186" s="2599"/>
      <c r="BC186" s="2599"/>
      <c r="BD186" s="2556"/>
      <c r="BE186" s="930"/>
      <c r="BF186" s="2599"/>
      <c r="BG186" s="2599"/>
      <c r="BH186" s="931"/>
      <c r="BI186" s="2556"/>
      <c r="BJ186" s="930"/>
      <c r="BK186" s="2599"/>
      <c r="BL186" s="2599"/>
      <c r="BM186" s="931"/>
      <c r="BN186" s="2599"/>
      <c r="BO186" s="2599"/>
      <c r="BP186" s="2556"/>
      <c r="BQ186" s="2599"/>
      <c r="BR186" s="930"/>
      <c r="BS186" s="2599"/>
      <c r="BT186" s="2599"/>
      <c r="BU186" s="2556"/>
      <c r="BV186" s="2599"/>
      <c r="BW186" s="2599"/>
      <c r="BX186" s="930"/>
      <c r="BY186" s="2599"/>
      <c r="BZ186" s="2599"/>
      <c r="CA186" s="2599"/>
      <c r="CB186" s="2556"/>
      <c r="CC186" s="2599"/>
      <c r="CD186" s="930"/>
      <c r="CE186" s="2599"/>
      <c r="CF186" s="2599"/>
      <c r="CG186" s="2556"/>
      <c r="CH186" s="2599"/>
      <c r="CI186" s="930"/>
      <c r="CJ186" s="2599"/>
      <c r="CK186" s="2599"/>
      <c r="CL186" s="2599"/>
      <c r="CM186" s="2599"/>
      <c r="CN186" s="2556"/>
      <c r="CO186" s="930"/>
      <c r="CP186" s="2599"/>
      <c r="CQ186" s="2599"/>
      <c r="CR186" s="2556"/>
      <c r="CS186" s="2599"/>
      <c r="CT186" s="930"/>
      <c r="CU186" s="2599"/>
      <c r="CV186" s="2599"/>
      <c r="CW186" s="2556"/>
      <c r="CX186" s="2599"/>
      <c r="CY186" s="930"/>
      <c r="CZ186" s="2599"/>
      <c r="DA186" s="2556"/>
      <c r="DB186" s="2599"/>
      <c r="DC186" s="930"/>
      <c r="DD186" s="2599"/>
      <c r="DE186" s="930"/>
      <c r="DF186" s="2557">
        <f>IFERROR(VLOOKUP(G186,Personalización!$F$18:$H$21,3,0),IFERROR(VLOOKUP(G186,Personalización!$I$18:$K$21,3,0),IFERROR(VLOOKUP(G186,Personalización!$L$18:$N$21,3,0),IFERROR(VLOOKUP(G186,Personalización!$O$18:$Q$20,3,0),0))))</f>
        <v>0</v>
      </c>
    </row>
    <row r="187" spans="1:110" ht="12.75" customHeight="1" x14ac:dyDescent="0.2">
      <c r="A187" s="227">
        <v>187</v>
      </c>
      <c r="B187" s="6042"/>
      <c r="C187" s="556" t="s">
        <v>6290</v>
      </c>
      <c r="D187" s="557"/>
      <c r="F187" s="2596">
        <v>47</v>
      </c>
      <c r="G187" s="326" t="s">
        <v>1473</v>
      </c>
      <c r="H187" s="2556"/>
      <c r="I187" s="2599"/>
      <c r="J187" s="930"/>
      <c r="K187" s="2599"/>
      <c r="L187" s="2599"/>
      <c r="M187" s="2556"/>
      <c r="N187" s="2599"/>
      <c r="O187" s="930"/>
      <c r="P187" s="2599"/>
      <c r="Q187" s="2599"/>
      <c r="R187" s="2556"/>
      <c r="S187" s="930">
        <v>30</v>
      </c>
      <c r="T187" s="2599"/>
      <c r="U187" s="2556"/>
      <c r="V187" s="930"/>
      <c r="W187" s="2599"/>
      <c r="X187" s="2599"/>
      <c r="Y187" s="2554"/>
      <c r="Z187" s="2406"/>
      <c r="AA187" s="2555"/>
      <c r="AB187" s="2406"/>
      <c r="AC187" s="2406"/>
      <c r="AD187" s="2554"/>
      <c r="AE187" s="2555"/>
      <c r="AF187" s="2406"/>
      <c r="AG187" s="2406"/>
      <c r="AH187" s="2406"/>
      <c r="AI187" s="2554"/>
      <c r="AJ187" s="2406"/>
      <c r="AK187" s="2555"/>
      <c r="AL187" s="2406"/>
      <c r="AM187" s="2406"/>
      <c r="AN187" s="2406"/>
      <c r="AO187" s="2406"/>
      <c r="AP187" s="2556"/>
      <c r="AQ187" s="2599"/>
      <c r="AR187" s="930"/>
      <c r="AS187" s="2599"/>
      <c r="AT187" s="2599"/>
      <c r="AU187" s="2556"/>
      <c r="AV187" s="2599"/>
      <c r="AW187" s="930"/>
      <c r="AX187" s="2599"/>
      <c r="AY187" s="2599"/>
      <c r="AZ187" s="2556"/>
      <c r="BA187" s="930"/>
      <c r="BB187" s="2599"/>
      <c r="BC187" s="2599"/>
      <c r="BD187" s="2556"/>
      <c r="BE187" s="930"/>
      <c r="BF187" s="2599"/>
      <c r="BG187" s="2599"/>
      <c r="BH187" s="931"/>
      <c r="BI187" s="2556"/>
      <c r="BJ187" s="930"/>
      <c r="BK187" s="2599"/>
      <c r="BL187" s="2599"/>
      <c r="BM187" s="931"/>
      <c r="BN187" s="2599"/>
      <c r="BO187" s="2599"/>
      <c r="BP187" s="2556"/>
      <c r="BQ187" s="2599">
        <v>20</v>
      </c>
      <c r="BR187" s="930"/>
      <c r="BS187" s="2599"/>
      <c r="BT187" s="2599"/>
      <c r="BU187" s="2556"/>
      <c r="BV187" s="2599"/>
      <c r="BW187" s="2599"/>
      <c r="BX187" s="930"/>
      <c r="BY187" s="2599"/>
      <c r="BZ187" s="2599"/>
      <c r="CA187" s="2599"/>
      <c r="CB187" s="2556"/>
      <c r="CC187" s="2599"/>
      <c r="CD187" s="930"/>
      <c r="CE187" s="2599"/>
      <c r="CF187" s="2599"/>
      <c r="CG187" s="2556"/>
      <c r="CH187" s="2599"/>
      <c r="CI187" s="930"/>
      <c r="CJ187" s="2599"/>
      <c r="CK187" s="2599"/>
      <c r="CL187" s="2599"/>
      <c r="CM187" s="2599"/>
      <c r="CN187" s="2556"/>
      <c r="CO187" s="930"/>
      <c r="CP187" s="2599"/>
      <c r="CQ187" s="2599"/>
      <c r="CR187" s="2556">
        <v>20</v>
      </c>
      <c r="CS187" s="2599">
        <v>20</v>
      </c>
      <c r="CT187" s="930">
        <v>20</v>
      </c>
      <c r="CU187" s="2599"/>
      <c r="CV187" s="2599"/>
      <c r="CW187" s="2556"/>
      <c r="CX187" s="2599"/>
      <c r="CY187" s="930"/>
      <c r="CZ187" s="2599"/>
      <c r="DA187" s="2556"/>
      <c r="DB187" s="2599"/>
      <c r="DC187" s="930"/>
      <c r="DD187" s="2599"/>
      <c r="DE187" s="930"/>
      <c r="DF187" s="2557">
        <f>IFERROR(VLOOKUP(G187,Personalización!$F$18:$H$21,3,0),IFERROR(VLOOKUP(G187,Personalización!$I$18:$K$21,3,0),IFERROR(VLOOKUP(G187,Personalización!$L$18:$N$21,3,0),IFERROR(VLOOKUP(G187,Personalización!$O$18:$Q$20,3,0),0))))</f>
        <v>0</v>
      </c>
    </row>
    <row r="188" spans="1:110" ht="12.75" customHeight="1" x14ac:dyDescent="0.2">
      <c r="A188" s="227">
        <v>188</v>
      </c>
      <c r="B188" s="6042"/>
      <c r="C188" s="556" t="s">
        <v>6356</v>
      </c>
      <c r="D188" s="557"/>
      <c r="F188" s="2596">
        <v>48</v>
      </c>
      <c r="G188" s="326" t="s">
        <v>1475</v>
      </c>
      <c r="H188" s="2556">
        <v>20</v>
      </c>
      <c r="I188" s="2599"/>
      <c r="J188" s="930"/>
      <c r="K188" s="2599"/>
      <c r="L188" s="2599"/>
      <c r="M188" s="2556"/>
      <c r="N188" s="2599"/>
      <c r="O188" s="930"/>
      <c r="P188" s="2599"/>
      <c r="Q188" s="2599"/>
      <c r="R188" s="2556"/>
      <c r="S188" s="930"/>
      <c r="T188" s="2599"/>
      <c r="U188" s="2556"/>
      <c r="V188" s="930"/>
      <c r="W188" s="2599"/>
      <c r="X188" s="2599"/>
      <c r="Y188" s="2554">
        <v>20</v>
      </c>
      <c r="Z188" s="2406"/>
      <c r="AA188" s="2555"/>
      <c r="AB188" s="2406"/>
      <c r="AC188" s="2406"/>
      <c r="AD188" s="2554"/>
      <c r="AE188" s="2555"/>
      <c r="AF188" s="2406"/>
      <c r="AG188" s="2406"/>
      <c r="AH188" s="2406"/>
      <c r="AI188" s="2554"/>
      <c r="AJ188" s="2406"/>
      <c r="AK188" s="2555"/>
      <c r="AL188" s="2406"/>
      <c r="AM188" s="2406"/>
      <c r="AN188" s="2406"/>
      <c r="AO188" s="2406"/>
      <c r="AP188" s="2556"/>
      <c r="AQ188" s="2599"/>
      <c r="AR188" s="930"/>
      <c r="AS188" s="2599"/>
      <c r="AT188" s="2599"/>
      <c r="AU188" s="2556"/>
      <c r="AV188" s="2599"/>
      <c r="AW188" s="930"/>
      <c r="AX188" s="2599"/>
      <c r="AY188" s="2599"/>
      <c r="AZ188" s="2556"/>
      <c r="BA188" s="930"/>
      <c r="BB188" s="2599"/>
      <c r="BC188" s="2599"/>
      <c r="BD188" s="2556"/>
      <c r="BE188" s="930"/>
      <c r="BF188" s="2599"/>
      <c r="BG188" s="2599"/>
      <c r="BH188" s="931"/>
      <c r="BI188" s="2556"/>
      <c r="BJ188" s="930"/>
      <c r="BK188" s="2599"/>
      <c r="BL188" s="2599"/>
      <c r="BM188" s="931"/>
      <c r="BN188" s="2599"/>
      <c r="BO188" s="2599"/>
      <c r="BP188" s="2556"/>
      <c r="BQ188" s="2599"/>
      <c r="BR188" s="930"/>
      <c r="BS188" s="2599"/>
      <c r="BT188" s="2599"/>
      <c r="BU188" s="2556"/>
      <c r="BV188" s="2599"/>
      <c r="BW188" s="2599"/>
      <c r="BX188" s="930"/>
      <c r="BY188" s="2599"/>
      <c r="BZ188" s="2599"/>
      <c r="CA188" s="2599"/>
      <c r="CB188" s="2556"/>
      <c r="CC188" s="2599"/>
      <c r="CD188" s="930"/>
      <c r="CE188" s="2599"/>
      <c r="CF188" s="2599"/>
      <c r="CG188" s="2556"/>
      <c r="CH188" s="2599"/>
      <c r="CI188" s="930"/>
      <c r="CJ188" s="2599"/>
      <c r="CK188" s="2599"/>
      <c r="CL188" s="2599"/>
      <c r="CM188" s="2599"/>
      <c r="CN188" s="2556"/>
      <c r="CO188" s="930"/>
      <c r="CP188" s="2599"/>
      <c r="CQ188" s="2599"/>
      <c r="CR188" s="2556">
        <v>20</v>
      </c>
      <c r="CS188" s="2599"/>
      <c r="CT188" s="930"/>
      <c r="CU188" s="2599"/>
      <c r="CV188" s="2599"/>
      <c r="CW188" s="2556"/>
      <c r="CX188" s="2599"/>
      <c r="CY188" s="930"/>
      <c r="CZ188" s="2599"/>
      <c r="DA188" s="2556"/>
      <c r="DB188" s="2599"/>
      <c r="DC188" s="930"/>
      <c r="DD188" s="2599"/>
      <c r="DE188" s="930"/>
      <c r="DF188" s="2557">
        <f>IFERROR(VLOOKUP(G188,Personalización!$F$18:$H$21,3,0),IFERROR(VLOOKUP(G188,Personalización!$I$18:$K$21,3,0),IFERROR(VLOOKUP(G188,Personalización!$L$18:$N$21,3,0),IFERROR(VLOOKUP(G188,Personalización!$O$18:$Q$20,3,0),0))))</f>
        <v>0</v>
      </c>
    </row>
    <row r="189" spans="1:110" ht="12.75" customHeight="1" x14ac:dyDescent="0.2">
      <c r="A189" s="227">
        <v>189</v>
      </c>
      <c r="B189" s="6042"/>
      <c r="C189" s="556" t="s">
        <v>6291</v>
      </c>
      <c r="D189" s="557"/>
      <c r="F189" s="2596">
        <v>49</v>
      </c>
      <c r="G189" s="326" t="s">
        <v>6274</v>
      </c>
      <c r="H189" s="2556"/>
      <c r="I189" s="2599"/>
      <c r="J189" s="930"/>
      <c r="K189" s="2599"/>
      <c r="L189" s="2599"/>
      <c r="M189" s="2556"/>
      <c r="N189" s="2599"/>
      <c r="O189" s="930"/>
      <c r="P189" s="2599"/>
      <c r="Q189" s="2599"/>
      <c r="R189" s="2556"/>
      <c r="S189" s="930"/>
      <c r="T189" s="2599"/>
      <c r="U189" s="2556"/>
      <c r="V189" s="930"/>
      <c r="W189" s="2599"/>
      <c r="X189" s="2599"/>
      <c r="Y189" s="2554"/>
      <c r="Z189" s="2406"/>
      <c r="AA189" s="2555"/>
      <c r="AB189" s="2406"/>
      <c r="AC189" s="2406"/>
      <c r="AD189" s="2554"/>
      <c r="AE189" s="2555"/>
      <c r="AF189" s="2406"/>
      <c r="AG189" s="2406"/>
      <c r="AH189" s="2406"/>
      <c r="AI189" s="2554"/>
      <c r="AJ189" s="2406"/>
      <c r="AK189" s="2555"/>
      <c r="AL189" s="2406"/>
      <c r="AM189" s="2406"/>
      <c r="AN189" s="2406"/>
      <c r="AO189" s="2406"/>
      <c r="AP189" s="2556"/>
      <c r="AQ189" s="2599"/>
      <c r="AR189" s="930"/>
      <c r="AS189" s="2599"/>
      <c r="AT189" s="2599"/>
      <c r="AU189" s="2556"/>
      <c r="AV189" s="2599"/>
      <c r="AW189" s="930"/>
      <c r="AX189" s="2599"/>
      <c r="AY189" s="2599"/>
      <c r="AZ189" s="2556"/>
      <c r="BA189" s="930"/>
      <c r="BB189" s="2599"/>
      <c r="BC189" s="2599"/>
      <c r="BD189" s="2556"/>
      <c r="BE189" s="930"/>
      <c r="BF189" s="2599"/>
      <c r="BG189" s="2599"/>
      <c r="BH189" s="931"/>
      <c r="BI189" s="2556"/>
      <c r="BJ189" s="930"/>
      <c r="BK189" s="2599"/>
      <c r="BL189" s="2599"/>
      <c r="BM189" s="931"/>
      <c r="BN189" s="2599"/>
      <c r="BO189" s="2599"/>
      <c r="BP189" s="2556"/>
      <c r="BQ189" s="2599"/>
      <c r="BR189" s="930"/>
      <c r="BS189" s="2599"/>
      <c r="BT189" s="2599"/>
      <c r="BU189" s="2556"/>
      <c r="BV189" s="2599"/>
      <c r="BW189" s="2599"/>
      <c r="BX189" s="930"/>
      <c r="BY189" s="2599"/>
      <c r="BZ189" s="2599"/>
      <c r="CA189" s="2599"/>
      <c r="CB189" s="2556"/>
      <c r="CC189" s="2599"/>
      <c r="CD189" s="930"/>
      <c r="CE189" s="2599"/>
      <c r="CF189" s="2599"/>
      <c r="CG189" s="2556"/>
      <c r="CH189" s="2599"/>
      <c r="CI189" s="930"/>
      <c r="CJ189" s="2599"/>
      <c r="CK189" s="2599"/>
      <c r="CL189" s="2599"/>
      <c r="CM189" s="2599"/>
      <c r="CN189" s="2556"/>
      <c r="CO189" s="930"/>
      <c r="CP189" s="2599"/>
      <c r="CQ189" s="2599"/>
      <c r="CR189" s="2556"/>
      <c r="CS189" s="2599"/>
      <c r="CT189" s="930"/>
      <c r="CU189" s="2599"/>
      <c r="CV189" s="2599"/>
      <c r="CW189" s="2556"/>
      <c r="CX189" s="2599"/>
      <c r="CY189" s="930"/>
      <c r="CZ189" s="2599"/>
      <c r="DA189" s="2556"/>
      <c r="DB189" s="2599"/>
      <c r="DC189" s="930"/>
      <c r="DD189" s="2599"/>
      <c r="DE189" s="930"/>
      <c r="DF189" s="2557">
        <f>IFERROR(VLOOKUP(G189,Personalización!$F$18:$H$21,3,0),IFERROR(VLOOKUP(G189,Personalización!$I$18:$K$21,3,0),IFERROR(VLOOKUP(G189,Personalización!$L$18:$N$21,3,0),IFERROR(VLOOKUP(G189,Personalización!$O$18:$Q$20,3,0),0))))</f>
        <v>0</v>
      </c>
    </row>
    <row r="190" spans="1:110" ht="12.75" customHeight="1" x14ac:dyDescent="0.2">
      <c r="A190" s="227">
        <v>190</v>
      </c>
      <c r="B190" s="6042"/>
      <c r="C190" s="556" t="s">
        <v>6292</v>
      </c>
      <c r="D190" s="557"/>
      <c r="F190" s="2596">
        <v>50</v>
      </c>
      <c r="G190" s="326" t="s">
        <v>6275</v>
      </c>
      <c r="H190" s="2556"/>
      <c r="I190" s="2599"/>
      <c r="J190" s="930"/>
      <c r="K190" s="2599"/>
      <c r="L190" s="2599"/>
      <c r="M190" s="2556"/>
      <c r="N190" s="2599"/>
      <c r="O190" s="930"/>
      <c r="P190" s="2599"/>
      <c r="Q190" s="2599"/>
      <c r="R190" s="2556"/>
      <c r="S190" s="930"/>
      <c r="T190" s="2599"/>
      <c r="U190" s="2556"/>
      <c r="V190" s="930"/>
      <c r="W190" s="2599"/>
      <c r="X190" s="2599"/>
      <c r="Y190" s="2554"/>
      <c r="Z190" s="2406"/>
      <c r="AA190" s="2555"/>
      <c r="AB190" s="2406"/>
      <c r="AC190" s="2406"/>
      <c r="AD190" s="2554"/>
      <c r="AE190" s="2555"/>
      <c r="AF190" s="2406"/>
      <c r="AG190" s="2406"/>
      <c r="AH190" s="2406"/>
      <c r="AI190" s="2554"/>
      <c r="AJ190" s="2406"/>
      <c r="AK190" s="2555"/>
      <c r="AL190" s="2406"/>
      <c r="AM190" s="2406"/>
      <c r="AN190" s="2406"/>
      <c r="AO190" s="2406"/>
      <c r="AP190" s="2556"/>
      <c r="AQ190" s="2599"/>
      <c r="AR190" s="930"/>
      <c r="AS190" s="2599"/>
      <c r="AT190" s="2599"/>
      <c r="AU190" s="2556"/>
      <c r="AV190" s="2599"/>
      <c r="AW190" s="930"/>
      <c r="AX190" s="2599"/>
      <c r="AY190" s="2599"/>
      <c r="AZ190" s="2556"/>
      <c r="BA190" s="930"/>
      <c r="BB190" s="2599"/>
      <c r="BC190" s="2599"/>
      <c r="BD190" s="2556"/>
      <c r="BE190" s="930"/>
      <c r="BF190" s="2599"/>
      <c r="BG190" s="2599"/>
      <c r="BH190" s="931"/>
      <c r="BI190" s="2556"/>
      <c r="BJ190" s="930"/>
      <c r="BK190" s="2599"/>
      <c r="BL190" s="2599"/>
      <c r="BM190" s="931"/>
      <c r="BN190" s="2599"/>
      <c r="BO190" s="2599"/>
      <c r="BP190" s="2556"/>
      <c r="BQ190" s="2599"/>
      <c r="BR190" s="930"/>
      <c r="BS190" s="2599"/>
      <c r="BT190" s="2599"/>
      <c r="BU190" s="2556"/>
      <c r="BV190" s="2599"/>
      <c r="BW190" s="2599"/>
      <c r="BX190" s="930"/>
      <c r="BY190" s="2599"/>
      <c r="BZ190" s="2599"/>
      <c r="CA190" s="2599"/>
      <c r="CB190" s="2556"/>
      <c r="CC190" s="2599"/>
      <c r="CD190" s="930"/>
      <c r="CE190" s="2599"/>
      <c r="CF190" s="2599"/>
      <c r="CG190" s="2556"/>
      <c r="CH190" s="2599"/>
      <c r="CI190" s="930"/>
      <c r="CJ190" s="2599"/>
      <c r="CK190" s="2599"/>
      <c r="CL190" s="2599"/>
      <c r="CM190" s="2599"/>
      <c r="CN190" s="2556"/>
      <c r="CO190" s="930"/>
      <c r="CP190" s="2599"/>
      <c r="CQ190" s="2599"/>
      <c r="CR190" s="2556"/>
      <c r="CS190" s="2599"/>
      <c r="CT190" s="930"/>
      <c r="CU190" s="2599"/>
      <c r="CV190" s="2599"/>
      <c r="CW190" s="2556"/>
      <c r="CX190" s="2599"/>
      <c r="CY190" s="930"/>
      <c r="CZ190" s="2599"/>
      <c r="DA190" s="2556"/>
      <c r="DB190" s="2599"/>
      <c r="DC190" s="930"/>
      <c r="DD190" s="2599"/>
      <c r="DE190" s="930"/>
      <c r="DF190" s="2557">
        <f>IFERROR(VLOOKUP(G190,Personalización!$F$18:$H$21,3,0),IFERROR(VLOOKUP(G190,Personalización!$I$18:$K$21,3,0),IFERROR(VLOOKUP(G190,Personalización!$L$18:$N$21,3,0),IFERROR(VLOOKUP(G190,Personalización!$O$18:$Q$20,3,0),0))))</f>
        <v>0</v>
      </c>
    </row>
    <row r="191" spans="1:110" ht="12.75" customHeight="1" x14ac:dyDescent="0.2">
      <c r="A191" s="227">
        <v>191</v>
      </c>
      <c r="B191" s="6042"/>
      <c r="C191" s="556" t="s">
        <v>6293</v>
      </c>
      <c r="D191" s="557"/>
      <c r="F191" s="2596">
        <v>51</v>
      </c>
      <c r="G191" s="326" t="s">
        <v>6276</v>
      </c>
      <c r="H191" s="2556"/>
      <c r="I191" s="2599"/>
      <c r="J191" s="930"/>
      <c r="K191" s="2599"/>
      <c r="L191" s="2599"/>
      <c r="M191" s="2556"/>
      <c r="N191" s="2599"/>
      <c r="O191" s="930"/>
      <c r="P191" s="2599"/>
      <c r="Q191" s="2599"/>
      <c r="R191" s="2556"/>
      <c r="S191" s="930"/>
      <c r="T191" s="2599"/>
      <c r="U191" s="2556"/>
      <c r="V191" s="930"/>
      <c r="W191" s="2599"/>
      <c r="X191" s="2599"/>
      <c r="Y191" s="2554"/>
      <c r="Z191" s="2406"/>
      <c r="AA191" s="2555"/>
      <c r="AB191" s="2406"/>
      <c r="AC191" s="2406"/>
      <c r="AD191" s="2554"/>
      <c r="AE191" s="2555"/>
      <c r="AF191" s="2406"/>
      <c r="AG191" s="2406"/>
      <c r="AH191" s="2406"/>
      <c r="AI191" s="2554"/>
      <c r="AJ191" s="2406"/>
      <c r="AK191" s="2555"/>
      <c r="AL191" s="2406"/>
      <c r="AM191" s="2406"/>
      <c r="AN191" s="2406"/>
      <c r="AO191" s="2406"/>
      <c r="AP191" s="2556"/>
      <c r="AQ191" s="2599"/>
      <c r="AR191" s="930"/>
      <c r="AS191" s="2599"/>
      <c r="AT191" s="2599"/>
      <c r="AU191" s="2556"/>
      <c r="AV191" s="2599"/>
      <c r="AW191" s="930"/>
      <c r="AX191" s="2599"/>
      <c r="AY191" s="2599"/>
      <c r="AZ191" s="2556"/>
      <c r="BA191" s="930"/>
      <c r="BB191" s="2599"/>
      <c r="BC191" s="2599"/>
      <c r="BD191" s="2556"/>
      <c r="BE191" s="930"/>
      <c r="BF191" s="2599"/>
      <c r="BG191" s="2599"/>
      <c r="BH191" s="931"/>
      <c r="BI191" s="2556"/>
      <c r="BJ191" s="930"/>
      <c r="BK191" s="2599"/>
      <c r="BL191" s="2599"/>
      <c r="BM191" s="931"/>
      <c r="BN191" s="2599"/>
      <c r="BO191" s="2599"/>
      <c r="BP191" s="2556"/>
      <c r="BQ191" s="2599"/>
      <c r="BR191" s="930"/>
      <c r="BS191" s="2599"/>
      <c r="BT191" s="2599"/>
      <c r="BU191" s="2556"/>
      <c r="BV191" s="2599"/>
      <c r="BW191" s="2599"/>
      <c r="BX191" s="930"/>
      <c r="BY191" s="2599"/>
      <c r="BZ191" s="2599"/>
      <c r="CA191" s="2599"/>
      <c r="CB191" s="2556"/>
      <c r="CC191" s="2599"/>
      <c r="CD191" s="930"/>
      <c r="CE191" s="2599"/>
      <c r="CF191" s="2599"/>
      <c r="CG191" s="2556"/>
      <c r="CH191" s="2599"/>
      <c r="CI191" s="930"/>
      <c r="CJ191" s="2599"/>
      <c r="CK191" s="2599"/>
      <c r="CL191" s="2599"/>
      <c r="CM191" s="2599"/>
      <c r="CN191" s="2556"/>
      <c r="CO191" s="930"/>
      <c r="CP191" s="2599"/>
      <c r="CQ191" s="2599"/>
      <c r="CR191" s="2556"/>
      <c r="CS191" s="2599"/>
      <c r="CT191" s="930"/>
      <c r="CU191" s="2599"/>
      <c r="CV191" s="2599"/>
      <c r="CW191" s="2556"/>
      <c r="CX191" s="2599"/>
      <c r="CY191" s="930"/>
      <c r="CZ191" s="2599"/>
      <c r="DA191" s="2556"/>
      <c r="DB191" s="2599"/>
      <c r="DC191" s="930"/>
      <c r="DD191" s="2599"/>
      <c r="DE191" s="930"/>
      <c r="DF191" s="2557">
        <f>IFERROR(VLOOKUP(G191,Personalización!$F$18:$H$21,3,0),IFERROR(VLOOKUP(G191,Personalización!$I$18:$K$21,3,0),IFERROR(VLOOKUP(G191,Personalización!$L$18:$N$21,3,0),IFERROR(VLOOKUP(G191,Personalización!$O$18:$Q$20,3,0),0))))</f>
        <v>0</v>
      </c>
    </row>
    <row r="192" spans="1:110" ht="12.75" customHeight="1" x14ac:dyDescent="0.2">
      <c r="A192" s="227">
        <v>192</v>
      </c>
      <c r="B192" s="6042"/>
      <c r="C192" s="556" t="s">
        <v>6294</v>
      </c>
      <c r="D192" s="557"/>
      <c r="F192" s="2596">
        <v>52</v>
      </c>
      <c r="G192" s="326" t="s">
        <v>6277</v>
      </c>
      <c r="H192" s="2556"/>
      <c r="I192" s="2599"/>
      <c r="J192" s="930"/>
      <c r="K192" s="2599"/>
      <c r="L192" s="2599"/>
      <c r="M192" s="2556"/>
      <c r="N192" s="2599"/>
      <c r="O192" s="930"/>
      <c r="P192" s="2599"/>
      <c r="Q192" s="2599"/>
      <c r="R192" s="2556"/>
      <c r="S192" s="930"/>
      <c r="T192" s="2599"/>
      <c r="U192" s="2556"/>
      <c r="V192" s="930"/>
      <c r="W192" s="2599"/>
      <c r="X192" s="2599"/>
      <c r="Y192" s="2554"/>
      <c r="Z192" s="2406"/>
      <c r="AA192" s="2555"/>
      <c r="AB192" s="2406"/>
      <c r="AC192" s="2406"/>
      <c r="AD192" s="2554"/>
      <c r="AE192" s="2555"/>
      <c r="AF192" s="2406"/>
      <c r="AG192" s="2406"/>
      <c r="AH192" s="2406"/>
      <c r="AI192" s="2554"/>
      <c r="AJ192" s="2406"/>
      <c r="AK192" s="2555"/>
      <c r="AL192" s="2406"/>
      <c r="AM192" s="2406"/>
      <c r="AN192" s="2406"/>
      <c r="AO192" s="2406"/>
      <c r="AP192" s="2556"/>
      <c r="AQ192" s="2599"/>
      <c r="AR192" s="930"/>
      <c r="AS192" s="2599"/>
      <c r="AT192" s="2599"/>
      <c r="AU192" s="2556"/>
      <c r="AV192" s="2599"/>
      <c r="AW192" s="930"/>
      <c r="AX192" s="2599"/>
      <c r="AY192" s="2599"/>
      <c r="AZ192" s="2556"/>
      <c r="BA192" s="930"/>
      <c r="BB192" s="2599"/>
      <c r="BC192" s="2599"/>
      <c r="BD192" s="2556"/>
      <c r="BE192" s="930"/>
      <c r="BF192" s="2599"/>
      <c r="BG192" s="2599"/>
      <c r="BH192" s="931"/>
      <c r="BI192" s="2556"/>
      <c r="BJ192" s="930"/>
      <c r="BK192" s="2599"/>
      <c r="BL192" s="2599"/>
      <c r="BM192" s="931"/>
      <c r="BN192" s="2599"/>
      <c r="BO192" s="2599"/>
      <c r="BP192" s="2556"/>
      <c r="BQ192" s="2599"/>
      <c r="BR192" s="930"/>
      <c r="BS192" s="2599"/>
      <c r="BT192" s="2599"/>
      <c r="BU192" s="2556"/>
      <c r="BV192" s="2599"/>
      <c r="BW192" s="2599"/>
      <c r="BX192" s="930"/>
      <c r="BY192" s="2599"/>
      <c r="BZ192" s="2599"/>
      <c r="CA192" s="2599"/>
      <c r="CB192" s="2556"/>
      <c r="CC192" s="2599"/>
      <c r="CD192" s="930"/>
      <c r="CE192" s="2599"/>
      <c r="CF192" s="2599"/>
      <c r="CG192" s="2556"/>
      <c r="CH192" s="2599"/>
      <c r="CI192" s="930"/>
      <c r="CJ192" s="2599"/>
      <c r="CK192" s="2599"/>
      <c r="CL192" s="2599"/>
      <c r="CM192" s="2599"/>
      <c r="CN192" s="2556"/>
      <c r="CO192" s="930"/>
      <c r="CP192" s="2599"/>
      <c r="CQ192" s="2599"/>
      <c r="CR192" s="2556"/>
      <c r="CS192" s="2599"/>
      <c r="CT192" s="930"/>
      <c r="CU192" s="2599"/>
      <c r="CV192" s="2599"/>
      <c r="CW192" s="2556"/>
      <c r="CX192" s="2599"/>
      <c r="CY192" s="930"/>
      <c r="CZ192" s="2599"/>
      <c r="DA192" s="2556"/>
      <c r="DB192" s="2599"/>
      <c r="DC192" s="930"/>
      <c r="DD192" s="2599"/>
      <c r="DE192" s="930"/>
      <c r="DF192" s="2557">
        <f>IFERROR(VLOOKUP(G192,Personalización!$F$18:$H$21,3,0),IFERROR(VLOOKUP(G192,Personalización!$I$18:$K$21,3,0),IFERROR(VLOOKUP(G192,Personalización!$L$18:$N$21,3,0),IFERROR(VLOOKUP(G192,Personalización!$O$18:$Q$20,3,0),0))))</f>
        <v>0</v>
      </c>
    </row>
    <row r="193" spans="1:110" ht="12.75" customHeight="1" x14ac:dyDescent="0.2">
      <c r="A193" s="227">
        <v>193</v>
      </c>
      <c r="B193" s="6042"/>
      <c r="C193" s="556" t="str">
        <f>IF(ISNA(VLOOKUP(Personalización!C20,Tablas!$C$138:$C$192,1,0)),"&gt;&gt; PERSONALIZACIÓN","")</f>
        <v>&gt;&gt; PERSONALIZACIÓN</v>
      </c>
      <c r="D193" s="557"/>
      <c r="F193" s="2596">
        <v>53</v>
      </c>
      <c r="G193" s="567"/>
      <c r="H193" s="2556"/>
      <c r="I193" s="2599"/>
      <c r="J193" s="930" t="s">
        <v>6374</v>
      </c>
      <c r="K193" s="2599"/>
      <c r="L193" s="2599" t="s">
        <v>6374</v>
      </c>
      <c r="M193" s="2556"/>
      <c r="N193" s="2599"/>
      <c r="O193" s="930"/>
      <c r="P193" s="2599"/>
      <c r="Q193" s="2599"/>
      <c r="R193" s="2556"/>
      <c r="S193" s="930"/>
      <c r="T193" s="2599"/>
      <c r="U193" s="2556"/>
      <c r="V193" s="930"/>
      <c r="W193" s="2599"/>
      <c r="X193" s="2599"/>
      <c r="Y193" s="2554"/>
      <c r="Z193" s="2406"/>
      <c r="AA193" s="2555"/>
      <c r="AB193" s="2406"/>
      <c r="AC193" s="2406"/>
      <c r="AD193" s="2554"/>
      <c r="AE193" s="2555"/>
      <c r="AF193" s="2406"/>
      <c r="AG193" s="2406"/>
      <c r="AH193" s="2406" t="s">
        <v>6376</v>
      </c>
      <c r="AI193" s="2554"/>
      <c r="AJ193" s="2406"/>
      <c r="AK193" s="2555"/>
      <c r="AL193" s="2406"/>
      <c r="AM193" s="2406"/>
      <c r="AN193" s="2406"/>
      <c r="AO193" s="2406"/>
      <c r="AP193" s="2556"/>
      <c r="AQ193" s="2599"/>
      <c r="AR193" s="930"/>
      <c r="AS193" s="2599"/>
      <c r="AT193" s="2599"/>
      <c r="AU193" s="2556"/>
      <c r="AV193" s="2599" t="s">
        <v>6378</v>
      </c>
      <c r="AW193" s="930" t="s">
        <v>6378</v>
      </c>
      <c r="AX193" s="2599"/>
      <c r="AY193" s="2599" t="s">
        <v>6378</v>
      </c>
      <c r="AZ193" s="2556"/>
      <c r="BA193" s="930"/>
      <c r="BB193" s="2599"/>
      <c r="BC193" s="2599"/>
      <c r="BD193" s="2556"/>
      <c r="BE193" s="930"/>
      <c r="BF193" s="2599"/>
      <c r="BG193" s="2599"/>
      <c r="BH193" s="931"/>
      <c r="BI193" s="2556"/>
      <c r="BJ193" s="930"/>
      <c r="BK193" s="2599"/>
      <c r="BL193" s="2599" t="s">
        <v>6374</v>
      </c>
      <c r="BM193" s="931"/>
      <c r="BN193" s="2599"/>
      <c r="BO193" s="2599"/>
      <c r="BP193" s="2556"/>
      <c r="BQ193" s="2599"/>
      <c r="BR193" s="930"/>
      <c r="BS193" s="2599"/>
      <c r="BT193" s="2599" t="s">
        <v>6378</v>
      </c>
      <c r="BU193" s="2556"/>
      <c r="BV193" s="2599"/>
      <c r="BW193" s="2599"/>
      <c r="BX193" s="930" t="s">
        <v>6374</v>
      </c>
      <c r="BY193" s="2599"/>
      <c r="BZ193" s="2599"/>
      <c r="CA193" s="2599"/>
      <c r="CB193" s="2556"/>
      <c r="CC193" s="2599"/>
      <c r="CD193" s="930"/>
      <c r="CE193" s="2599"/>
      <c r="CF193" s="2599"/>
      <c r="CG193" s="2556"/>
      <c r="CH193" s="2599"/>
      <c r="CI193" s="930"/>
      <c r="CJ193" s="2599"/>
      <c r="CK193" s="2599" t="s">
        <v>6342</v>
      </c>
      <c r="CL193" s="2599"/>
      <c r="CM193" s="2599" t="s">
        <v>6342</v>
      </c>
      <c r="CN193" s="2556"/>
      <c r="CO193" s="930"/>
      <c r="CP193" s="2599"/>
      <c r="CQ193" s="2599"/>
      <c r="CR193" s="2556"/>
      <c r="CS193" s="2599"/>
      <c r="CT193" s="930"/>
      <c r="CU193" s="2599"/>
      <c r="CV193" s="2599"/>
      <c r="CW193" s="2556"/>
      <c r="CX193" s="2599"/>
      <c r="CY193" s="930"/>
      <c r="CZ193" s="2599"/>
      <c r="DA193" s="2556"/>
      <c r="DB193" s="2599"/>
      <c r="DC193" s="930" t="s">
        <v>6374</v>
      </c>
      <c r="DD193" s="2599"/>
      <c r="DE193" s="930"/>
      <c r="DF193" s="255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042"/>
      <c r="C194" s="558" t="str">
        <f>IF(ISNA(VLOOKUP(Personalización!C20,Tablas!$C$138:$C$192,1,0)),IF(Personalización!C20&lt;&gt;"",Personalización!C20,"Región Personalizada"),"")</f>
        <v>Región Personalizada</v>
      </c>
      <c r="D194" s="559"/>
      <c r="F194" s="2596">
        <v>54</v>
      </c>
      <c r="G194" s="326"/>
      <c r="H194" s="2556"/>
      <c r="I194" s="2599"/>
      <c r="J194" s="930" t="s">
        <v>6375</v>
      </c>
      <c r="K194" s="2599"/>
      <c r="L194" s="2599" t="s">
        <v>6375</v>
      </c>
      <c r="M194" s="2556"/>
      <c r="N194" s="2599"/>
      <c r="O194" s="930"/>
      <c r="P194" s="2599"/>
      <c r="Q194" s="2599"/>
      <c r="R194" s="2556"/>
      <c r="S194" s="930"/>
      <c r="T194" s="2599"/>
      <c r="U194" s="2556"/>
      <c r="V194" s="930"/>
      <c r="W194" s="2599"/>
      <c r="X194" s="2599"/>
      <c r="Y194" s="2554"/>
      <c r="Z194" s="2406"/>
      <c r="AA194" s="2555"/>
      <c r="AB194" s="2406"/>
      <c r="AC194" s="2406"/>
      <c r="AD194" s="2554"/>
      <c r="AE194" s="2555"/>
      <c r="AF194" s="2406"/>
      <c r="AG194" s="2406"/>
      <c r="AH194" s="2406" t="s">
        <v>6374</v>
      </c>
      <c r="AI194" s="2554"/>
      <c r="AJ194" s="2406"/>
      <c r="AK194" s="2555"/>
      <c r="AL194" s="2406"/>
      <c r="AM194" s="2406"/>
      <c r="AN194" s="2406"/>
      <c r="AO194" s="2406"/>
      <c r="AP194" s="2556"/>
      <c r="AQ194" s="2599"/>
      <c r="AR194" s="930"/>
      <c r="AS194" s="2599"/>
      <c r="AT194" s="2599"/>
      <c r="AU194" s="2556"/>
      <c r="AV194" s="2599" t="s">
        <v>6377</v>
      </c>
      <c r="AW194" s="930" t="s">
        <v>6377</v>
      </c>
      <c r="AX194" s="2599"/>
      <c r="AY194" s="2599" t="s">
        <v>6377</v>
      </c>
      <c r="AZ194" s="2556"/>
      <c r="BA194" s="930"/>
      <c r="BB194" s="2599"/>
      <c r="BC194" s="2599"/>
      <c r="BD194" s="2556"/>
      <c r="BE194" s="930"/>
      <c r="BF194" s="2599"/>
      <c r="BG194" s="2599"/>
      <c r="BH194" s="931"/>
      <c r="BI194" s="2556"/>
      <c r="BJ194" s="930"/>
      <c r="BK194" s="2599"/>
      <c r="BL194" s="2599" t="s">
        <v>6375</v>
      </c>
      <c r="BM194" s="931"/>
      <c r="BN194" s="2599"/>
      <c r="BO194" s="2599"/>
      <c r="BP194" s="2556"/>
      <c r="BQ194" s="2599"/>
      <c r="BR194" s="930"/>
      <c r="BS194" s="2599"/>
      <c r="BT194" s="2599" t="s">
        <v>6377</v>
      </c>
      <c r="BU194" s="2556"/>
      <c r="BV194" s="2599"/>
      <c r="BW194" s="2599"/>
      <c r="BX194" s="930" t="s">
        <v>6375</v>
      </c>
      <c r="BY194" s="2599"/>
      <c r="BZ194" s="2599"/>
      <c r="CA194" s="2599"/>
      <c r="CB194" s="2556"/>
      <c r="CC194" s="2599"/>
      <c r="CD194" s="930"/>
      <c r="CE194" s="2599"/>
      <c r="CF194" s="2599"/>
      <c r="CG194" s="2556"/>
      <c r="CH194" s="2599"/>
      <c r="CI194" s="930"/>
      <c r="CJ194" s="2599"/>
      <c r="CK194" s="2599"/>
      <c r="CL194" s="2599"/>
      <c r="CM194" s="2599"/>
      <c r="CN194" s="2556"/>
      <c r="CO194" s="930"/>
      <c r="CP194" s="2599"/>
      <c r="CQ194" s="2599"/>
      <c r="CR194" s="2556"/>
      <c r="CS194" s="2599"/>
      <c r="CT194" s="930"/>
      <c r="CU194" s="2599"/>
      <c r="CV194" s="2599"/>
      <c r="CW194" s="2556"/>
      <c r="CX194" s="2599"/>
      <c r="CY194" s="930"/>
      <c r="CZ194" s="2599"/>
      <c r="DA194" s="2556"/>
      <c r="DB194" s="2599"/>
      <c r="DC194" s="930" t="s">
        <v>6375</v>
      </c>
      <c r="DD194" s="2599"/>
      <c r="DE194" s="930"/>
      <c r="DF194" s="2557">
        <f>IFERROR(VLOOKUP(G194,Personalización!$F$18:$H$21,3,0),IFERROR(VLOOKUP(G194,Personalización!$I$18:$K$21,3,0),IFERROR(VLOOKUP(G194,Personalización!$L$18:$N$21,3,0),IFERROR(VLOOKUP(G194,Personalización!$O$18:$Q$20,3,0),0))))</f>
        <v>0</v>
      </c>
    </row>
    <row r="195" spans="1:110" ht="12.75" customHeight="1" x14ac:dyDescent="0.2">
      <c r="A195" s="227">
        <v>195</v>
      </c>
      <c r="B195" s="6042"/>
      <c r="F195" s="2596">
        <v>55</v>
      </c>
      <c r="G195" s="567"/>
      <c r="H195" s="2556"/>
      <c r="I195" s="2599"/>
      <c r="J195" s="930"/>
      <c r="K195" s="2599"/>
      <c r="L195" s="2599"/>
      <c r="M195" s="2556"/>
      <c r="N195" s="2599"/>
      <c r="O195" s="930"/>
      <c r="P195" s="2599"/>
      <c r="Q195" s="2599"/>
      <c r="R195" s="2556"/>
      <c r="S195" s="930"/>
      <c r="T195" s="2599"/>
      <c r="U195" s="2556"/>
      <c r="V195" s="930"/>
      <c r="W195" s="2599"/>
      <c r="X195" s="2599"/>
      <c r="Y195" s="2554"/>
      <c r="Z195" s="2406"/>
      <c r="AA195" s="2555"/>
      <c r="AB195" s="2406"/>
      <c r="AC195" s="2406"/>
      <c r="AD195" s="2554"/>
      <c r="AE195" s="2555"/>
      <c r="AF195" s="2406"/>
      <c r="AG195" s="2406"/>
      <c r="AH195" s="2406" t="s">
        <v>6570</v>
      </c>
      <c r="AI195" s="2554"/>
      <c r="AJ195" s="2406"/>
      <c r="AK195" s="2555"/>
      <c r="AL195" s="2406"/>
      <c r="AM195" s="2406"/>
      <c r="AN195" s="2406"/>
      <c r="AO195" s="2406"/>
      <c r="AP195" s="2556"/>
      <c r="AQ195" s="2599"/>
      <c r="AR195" s="930"/>
      <c r="AS195" s="2599"/>
      <c r="AT195" s="2599"/>
      <c r="AU195" s="2556"/>
      <c r="AV195" s="2599"/>
      <c r="AW195" s="930"/>
      <c r="AX195" s="2599"/>
      <c r="AY195" s="2599"/>
      <c r="AZ195" s="2556"/>
      <c r="BA195" s="930"/>
      <c r="BB195" s="2599"/>
      <c r="BC195" s="2599"/>
      <c r="BD195" s="2556"/>
      <c r="BE195" s="930"/>
      <c r="BF195" s="2599"/>
      <c r="BG195" s="2599"/>
      <c r="BH195" s="931"/>
      <c r="BI195" s="2556"/>
      <c r="BJ195" s="930"/>
      <c r="BK195" s="2599"/>
      <c r="BL195" s="2599"/>
      <c r="BM195" s="931"/>
      <c r="BN195" s="2599"/>
      <c r="BO195" s="2599"/>
      <c r="BP195" s="2556"/>
      <c r="BQ195" s="2599"/>
      <c r="BR195" s="930"/>
      <c r="BS195" s="2599"/>
      <c r="BT195" s="2599"/>
      <c r="BU195" s="2556"/>
      <c r="BV195" s="2599"/>
      <c r="BW195" s="2599"/>
      <c r="BX195" s="930"/>
      <c r="BY195" s="2599"/>
      <c r="BZ195" s="2599"/>
      <c r="CA195" s="2599"/>
      <c r="CB195" s="2556"/>
      <c r="CC195" s="2599"/>
      <c r="CD195" s="930"/>
      <c r="CE195" s="2599"/>
      <c r="CF195" s="2599"/>
      <c r="CG195" s="2556"/>
      <c r="CH195" s="2599"/>
      <c r="CI195" s="930"/>
      <c r="CJ195" s="2599"/>
      <c r="CK195" s="2599"/>
      <c r="CL195" s="2599"/>
      <c r="CM195" s="2599"/>
      <c r="CN195" s="2556"/>
      <c r="CO195" s="930"/>
      <c r="CP195" s="2599"/>
      <c r="CQ195" s="2599"/>
      <c r="CR195" s="2556"/>
      <c r="CS195" s="2599"/>
      <c r="CT195" s="930"/>
      <c r="CU195" s="2599"/>
      <c r="CV195" s="2599"/>
      <c r="CW195" s="2556"/>
      <c r="CX195" s="2599"/>
      <c r="CY195" s="930"/>
      <c r="CZ195" s="2599"/>
      <c r="DA195" s="2556"/>
      <c r="DB195" s="2599"/>
      <c r="DC195" s="930"/>
      <c r="DD195" s="2599"/>
      <c r="DE195" s="930"/>
      <c r="DF195" s="255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042"/>
      <c r="F196" s="2600">
        <v>56</v>
      </c>
      <c r="G196" s="563"/>
      <c r="H196" s="308"/>
      <c r="I196" s="308"/>
      <c r="J196" s="308"/>
      <c r="K196" s="308"/>
      <c r="L196" s="308"/>
      <c r="M196" s="308"/>
      <c r="N196" s="308"/>
      <c r="O196" s="308"/>
      <c r="P196" s="308"/>
      <c r="Q196" s="308"/>
      <c r="R196" s="308"/>
      <c r="S196" s="308"/>
      <c r="T196" s="308"/>
      <c r="U196" s="308"/>
      <c r="V196" s="308"/>
      <c r="W196" s="308"/>
      <c r="X196" s="308"/>
      <c r="Y196" s="2558"/>
      <c r="Z196" s="2558"/>
      <c r="AA196" s="2558"/>
      <c r="AB196" s="2558"/>
      <c r="AC196" s="2558"/>
      <c r="AD196" s="2558"/>
      <c r="AE196" s="2558"/>
      <c r="AF196" s="2558"/>
      <c r="AG196" s="2558"/>
      <c r="AH196" s="2558" t="s">
        <v>6382</v>
      </c>
      <c r="AI196" s="2558"/>
      <c r="AJ196" s="2558"/>
      <c r="AK196" s="2558"/>
      <c r="AL196" s="2558"/>
      <c r="AM196" s="2558"/>
      <c r="AN196" s="2558"/>
      <c r="AO196" s="255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042"/>
      <c r="H197"/>
      <c r="N197"/>
      <c r="Y197"/>
      <c r="Z197"/>
      <c r="AA197"/>
      <c r="AB197"/>
      <c r="AC197"/>
      <c r="AD197"/>
      <c r="AE197"/>
      <c r="AF197"/>
      <c r="AG197"/>
      <c r="AH197"/>
      <c r="AI197"/>
      <c r="AJ197"/>
      <c r="AK197"/>
      <c r="AL197"/>
      <c r="AM197"/>
      <c r="AN197"/>
      <c r="AO197"/>
    </row>
    <row r="198" spans="1:110" ht="12.75" customHeight="1" thickBot="1" x14ac:dyDescent="0.25">
      <c r="A198" s="227">
        <v>198</v>
      </c>
      <c r="B198" s="6042"/>
      <c r="C198" s="6065" t="s">
        <v>2028</v>
      </c>
      <c r="D198" s="6065"/>
      <c r="E198" s="6065"/>
      <c r="F198" s="6065"/>
      <c r="G198" s="6065"/>
      <c r="H198" s="6065"/>
      <c r="I198" s="6065"/>
      <c r="J198" s="6065"/>
      <c r="K198" s="6065"/>
      <c r="L198" s="6065"/>
      <c r="M198" s="6065"/>
      <c r="N198" s="6065"/>
      <c r="O198" s="6065"/>
      <c r="P198" s="6065"/>
      <c r="Q198" s="6065"/>
      <c r="R198" s="6065"/>
      <c r="S198" s="6065"/>
      <c r="T198" s="6065"/>
      <c r="U198" s="6065"/>
      <c r="V198" s="6065"/>
      <c r="W198" s="6065"/>
      <c r="X198" s="6065"/>
      <c r="Y198" s="6065"/>
      <c r="Z198" s="6065"/>
      <c r="AA198" s="6065"/>
      <c r="AB198" s="6065"/>
      <c r="AC198" s="6065"/>
      <c r="AD198" s="6065"/>
      <c r="AE198" s="6065"/>
      <c r="AF198" s="6065"/>
      <c r="AG198" s="6065"/>
      <c r="AH198" s="6065"/>
      <c r="AI198" s="6065"/>
      <c r="AJ198" s="6065"/>
      <c r="AK198" s="6065"/>
      <c r="AL198" s="6065"/>
      <c r="AM198" s="6065"/>
      <c r="AN198" s="6065"/>
      <c r="AO198" s="6065"/>
      <c r="AP198" s="6065"/>
      <c r="AQ198" s="6065"/>
      <c r="AR198" s="6065"/>
      <c r="AS198" s="6065"/>
      <c r="AT198" s="6065"/>
      <c r="AU198" s="6065"/>
      <c r="AV198" s="6065"/>
      <c r="AW198" s="6065"/>
      <c r="AX198" s="6065"/>
      <c r="AY198" s="6065"/>
      <c r="AZ198" s="6065"/>
      <c r="BA198" s="6065"/>
      <c r="BB198" s="6065"/>
      <c r="BC198" s="6065"/>
      <c r="BD198" s="6065"/>
      <c r="BE198" s="6065"/>
      <c r="BF198" s="6065"/>
      <c r="BG198" s="6065"/>
      <c r="BH198" s="6065"/>
      <c r="BI198" s="6065"/>
      <c r="BJ198" s="6065"/>
      <c r="BK198" s="6065"/>
      <c r="BL198" s="6065"/>
      <c r="BM198" s="6065"/>
      <c r="BN198" s="6065"/>
      <c r="BO198" s="6065"/>
      <c r="BP198" s="6065"/>
      <c r="BQ198" s="6065"/>
      <c r="BR198" s="6065"/>
      <c r="BS198" s="6065"/>
      <c r="BT198" s="6065"/>
      <c r="BU198" s="6065"/>
      <c r="BV198" s="6065"/>
      <c r="BW198" s="6065"/>
      <c r="BX198" s="6065"/>
      <c r="BY198" s="6065"/>
      <c r="BZ198" s="6065"/>
      <c r="CA198" s="6065"/>
      <c r="CB198" s="6065"/>
      <c r="CC198" s="6065"/>
      <c r="CD198" s="6065"/>
      <c r="CE198" s="6065"/>
      <c r="CF198" s="6065"/>
      <c r="CG198" s="6065"/>
      <c r="CH198" s="6065"/>
      <c r="CI198" s="6065"/>
    </row>
    <row r="199" spans="1:110" ht="12.75" customHeight="1" x14ac:dyDescent="0.2">
      <c r="A199" s="227">
        <v>199</v>
      </c>
      <c r="B199" s="6042"/>
      <c r="C199" s="6065"/>
      <c r="D199" s="6065"/>
      <c r="E199" s="6065"/>
      <c r="F199" s="6065"/>
      <c r="G199" s="6065"/>
      <c r="H199" s="6065"/>
      <c r="I199" s="6065"/>
      <c r="J199" s="6065"/>
      <c r="K199" s="6065"/>
      <c r="L199" s="6065"/>
      <c r="M199" s="6065"/>
      <c r="N199" s="6065"/>
      <c r="O199" s="6065"/>
      <c r="P199" s="6065"/>
      <c r="Q199" s="6065"/>
      <c r="R199" s="6065"/>
      <c r="S199" s="6065"/>
      <c r="T199" s="6065"/>
      <c r="U199" s="6065"/>
      <c r="V199" s="6065"/>
      <c r="W199" s="6065"/>
      <c r="X199" s="6065"/>
      <c r="Y199" s="6065"/>
      <c r="Z199" s="6065"/>
      <c r="AA199" s="6065"/>
      <c r="AB199" s="6065"/>
      <c r="AC199" s="6065"/>
      <c r="AD199" s="6065"/>
      <c r="AE199" s="6065"/>
      <c r="AF199" s="6065"/>
      <c r="AG199" s="6065"/>
      <c r="AH199" s="6065"/>
      <c r="AI199" s="6065"/>
      <c r="AJ199" s="6065"/>
      <c r="AK199" s="6065"/>
      <c r="AL199" s="6065"/>
      <c r="AM199" s="6065"/>
      <c r="AN199" s="6065"/>
      <c r="AO199" s="6065"/>
      <c r="AP199" s="6065"/>
      <c r="AQ199" s="6065"/>
      <c r="AR199" s="6065"/>
      <c r="AS199" s="6065"/>
      <c r="AT199" s="6065"/>
      <c r="AU199" s="6065"/>
      <c r="AV199" s="6065"/>
      <c r="AW199" s="6065"/>
      <c r="AX199" s="6065"/>
      <c r="AY199" s="6065"/>
      <c r="AZ199" s="6065"/>
      <c r="BA199" s="6065"/>
      <c r="BB199" s="6065"/>
      <c r="BC199" s="6065"/>
      <c r="BD199" s="6065"/>
      <c r="BE199" s="6065"/>
      <c r="BF199" s="6065"/>
      <c r="BG199" s="6065"/>
      <c r="BH199" s="6065"/>
      <c r="BI199" s="6065"/>
      <c r="BJ199" s="6065"/>
      <c r="BK199" s="6065"/>
      <c r="BL199" s="6065"/>
      <c r="BM199" s="6065"/>
      <c r="BN199" s="6065"/>
      <c r="BO199" s="6065"/>
      <c r="BP199" s="6065"/>
      <c r="BQ199" s="6065"/>
      <c r="BR199" s="6065"/>
      <c r="BS199" s="6065"/>
      <c r="BT199" s="6065"/>
      <c r="BU199" s="6065"/>
      <c r="BV199" s="6065"/>
      <c r="BW199" s="6065"/>
      <c r="BX199" s="6065"/>
      <c r="BY199" s="6065"/>
      <c r="BZ199" s="6065"/>
      <c r="CA199" s="6065"/>
      <c r="CB199" s="6065"/>
      <c r="CC199" s="6065"/>
      <c r="CD199" s="6065"/>
      <c r="CE199" s="6065"/>
      <c r="CF199" s="6065"/>
      <c r="CG199" s="6065"/>
      <c r="CH199" s="6065"/>
      <c r="CI199" s="6065"/>
    </row>
    <row r="200" spans="1:110" ht="12.75" customHeight="1" x14ac:dyDescent="0.2">
      <c r="A200" s="227">
        <v>200</v>
      </c>
      <c r="B200" s="6042"/>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042"/>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042"/>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042"/>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042"/>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042"/>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042"/>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042"/>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042"/>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042"/>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042"/>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042"/>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042"/>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042"/>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042"/>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042"/>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042"/>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042"/>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042"/>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042"/>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042"/>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042"/>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042"/>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042"/>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042"/>
      <c r="C224" s="91"/>
      <c r="D224" s="6251"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042"/>
      <c r="D225" s="6252"/>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042"/>
    </row>
    <row r="227" spans="1:83" ht="12.75" customHeight="1" x14ac:dyDescent="0.2">
      <c r="A227" s="227">
        <v>227</v>
      </c>
      <c r="B227" s="6042"/>
    </row>
    <row r="228" spans="1:83" ht="12.75" customHeight="1" x14ac:dyDescent="0.2">
      <c r="A228" s="227">
        <v>228</v>
      </c>
      <c r="B228" s="6042"/>
      <c r="C228" s="6059" t="s">
        <v>7315</v>
      </c>
      <c r="D228" s="6059"/>
      <c r="E228" s="6059"/>
      <c r="F228" s="6059"/>
      <c r="G228" s="6059"/>
      <c r="H228" s="6059"/>
      <c r="I228" s="6059"/>
      <c r="J228" s="6059"/>
      <c r="K228" s="6059"/>
      <c r="L228" s="6059"/>
      <c r="M228" s="6059"/>
      <c r="N228" s="6059"/>
      <c r="O228" s="6059"/>
      <c r="P228" s="6059"/>
      <c r="Q228" s="6059"/>
      <c r="R228" s="6059"/>
      <c r="S228" s="6059"/>
      <c r="T228" s="6059"/>
      <c r="U228" s="6059"/>
      <c r="V228" s="6059"/>
      <c r="W228" s="6059"/>
      <c r="X228" s="6059"/>
      <c r="Y228" s="6059"/>
      <c r="Z228" s="6059"/>
    </row>
    <row r="229" spans="1:83" ht="12.75" customHeight="1" x14ac:dyDescent="0.2">
      <c r="A229" s="227">
        <v>229</v>
      </c>
      <c r="B229" s="6042"/>
      <c r="C229" s="6059"/>
      <c r="D229" s="6059"/>
      <c r="E229" s="6059"/>
      <c r="F229" s="6059"/>
      <c r="G229" s="6059"/>
      <c r="H229" s="6059"/>
      <c r="I229" s="6059"/>
      <c r="J229" s="6059"/>
      <c r="K229" s="6059"/>
      <c r="L229" s="6059"/>
      <c r="M229" s="6059"/>
      <c r="N229" s="6059"/>
      <c r="O229" s="6059"/>
      <c r="P229" s="6059"/>
      <c r="Q229" s="6059"/>
      <c r="R229" s="6059"/>
      <c r="S229" s="6059"/>
      <c r="T229" s="6059"/>
      <c r="U229" s="6059"/>
      <c r="V229" s="6059"/>
      <c r="W229" s="6059"/>
      <c r="X229" s="6059"/>
      <c r="Y229" s="6059"/>
      <c r="Z229" s="6059"/>
    </row>
    <row r="230" spans="1:83" ht="12.75" customHeight="1" x14ac:dyDescent="0.2">
      <c r="A230" s="227">
        <v>230</v>
      </c>
      <c r="B230" s="6042"/>
      <c r="C230" s="6059"/>
      <c r="D230" s="6059"/>
      <c r="E230" s="6059"/>
      <c r="F230" s="6059"/>
      <c r="G230" s="6059"/>
      <c r="H230" s="6059"/>
      <c r="I230" s="6059"/>
      <c r="J230" s="6059"/>
      <c r="K230" s="6059"/>
      <c r="L230" s="6059"/>
      <c r="M230" s="6059"/>
      <c r="N230" s="6059"/>
      <c r="O230" s="6059"/>
      <c r="P230" s="6059"/>
      <c r="Q230" s="6059"/>
      <c r="R230" s="6059"/>
      <c r="S230" s="6059"/>
      <c r="T230" s="6059"/>
      <c r="U230" s="6059"/>
      <c r="V230" s="6059"/>
      <c r="W230" s="6059"/>
      <c r="X230" s="6059"/>
      <c r="Y230" s="6059"/>
      <c r="Z230" s="6059"/>
    </row>
    <row r="231" spans="1:83" ht="12.75" customHeight="1" thickBot="1" x14ac:dyDescent="0.25">
      <c r="A231" s="227">
        <v>231</v>
      </c>
      <c r="B231" s="6042"/>
      <c r="H231"/>
      <c r="I231" s="555"/>
      <c r="N231"/>
      <c r="O231" s="555"/>
    </row>
    <row r="232" spans="1:83" ht="12.75" customHeight="1" x14ac:dyDescent="0.2">
      <c r="A232" s="227">
        <v>232</v>
      </c>
      <c r="B232" s="6042"/>
      <c r="C232" s="6276" t="s">
        <v>2249</v>
      </c>
      <c r="D232" s="6277"/>
      <c r="E232" s="6277"/>
      <c r="F232" s="6277"/>
      <c r="G232" s="6278"/>
      <c r="H232" s="2465"/>
      <c r="I232" s="555"/>
      <c r="L232" s="6069" t="s">
        <v>2497</v>
      </c>
      <c r="M232" s="6130"/>
      <c r="N232" s="6130"/>
      <c r="O232" s="6130"/>
      <c r="P232" s="6130"/>
      <c r="Q232" s="6130"/>
      <c r="R232" s="6130"/>
      <c r="S232" s="6130"/>
      <c r="T232" s="6070"/>
    </row>
    <row r="233" spans="1:83" ht="12.75" customHeight="1" x14ac:dyDescent="0.2">
      <c r="A233" s="227">
        <v>233</v>
      </c>
      <c r="B233" s="6042"/>
      <c r="C233" s="859" t="s">
        <v>1349</v>
      </c>
      <c r="D233" s="2476" t="s">
        <v>2810</v>
      </c>
      <c r="E233" s="2476" t="s">
        <v>6580</v>
      </c>
      <c r="F233" s="2476" t="s">
        <v>6579</v>
      </c>
      <c r="G233" s="860" t="s">
        <v>7161</v>
      </c>
      <c r="I233" s="555"/>
      <c r="L233" s="6071"/>
      <c r="M233" s="6131"/>
      <c r="N233" s="6131"/>
      <c r="O233" s="6131"/>
      <c r="P233" s="6131"/>
      <c r="Q233" s="6131"/>
      <c r="R233" s="6131"/>
      <c r="S233" s="6131"/>
      <c r="T233" s="6072"/>
    </row>
    <row r="234" spans="1:83" ht="12.75" customHeight="1" thickBot="1" x14ac:dyDescent="0.25">
      <c r="A234" s="227">
        <v>234</v>
      </c>
      <c r="B234" s="6042"/>
      <c r="C234" s="862">
        <f>D234+E234+F234+G234</f>
        <v>0</v>
      </c>
      <c r="D234" s="863">
        <f>SUM($H$256:H404)+SUM(H498:H542)+SUM(H566:H569)</f>
        <v>0</v>
      </c>
      <c r="E234" s="863">
        <f>E236+F236</f>
        <v>0</v>
      </c>
      <c r="F234" s="863">
        <f>SUM(H558:H564)+SUM(H476:H497)</f>
        <v>0</v>
      </c>
      <c r="G234" s="864">
        <f>Q267</f>
        <v>0</v>
      </c>
      <c r="I234" s="555"/>
      <c r="L234" s="1165"/>
      <c r="M234" s="2641"/>
      <c r="N234" s="2641" t="s">
        <v>1440</v>
      </c>
      <c r="O234" s="2641" t="s">
        <v>1489</v>
      </c>
      <c r="P234" s="2641" t="s">
        <v>2251</v>
      </c>
      <c r="Q234" s="2641" t="s">
        <v>2252</v>
      </c>
      <c r="R234" s="6117" t="s">
        <v>1548</v>
      </c>
      <c r="S234" s="6273"/>
      <c r="T234" s="2642" t="s">
        <v>8377</v>
      </c>
    </row>
    <row r="235" spans="1:83" ht="12.75" customHeight="1" thickBot="1" x14ac:dyDescent="0.25">
      <c r="A235" s="227">
        <v>235</v>
      </c>
      <c r="B235" s="6042"/>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042"/>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042"/>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042"/>
      <c r="C238" s="6069" t="s">
        <v>2250</v>
      </c>
      <c r="D238" s="6130"/>
      <c r="E238" s="6130"/>
      <c r="F238" s="6130"/>
      <c r="G238" s="6130"/>
      <c r="H238" s="6070"/>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042"/>
      <c r="C239" s="6071"/>
      <c r="D239" s="6131"/>
      <c r="E239" s="6131"/>
      <c r="F239" s="6131"/>
      <c r="G239" s="6131"/>
      <c r="H239" s="6072"/>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042"/>
      <c r="C240" s="2470"/>
      <c r="D240" s="2471"/>
      <c r="E240" s="2472" t="s">
        <v>1440</v>
      </c>
      <c r="F240" s="2472" t="s">
        <v>998</v>
      </c>
      <c r="G240" s="2472"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042"/>
      <c r="C241" s="485"/>
      <c r="D241" s="2395"/>
      <c r="E241" s="2473"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042"/>
      <c r="C242" s="485"/>
      <c r="D242" s="2397"/>
      <c r="E242" s="2474"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042"/>
      <c r="C243" s="485"/>
      <c r="D243" s="2397"/>
      <c r="E243" s="2474"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042"/>
      <c r="C244" s="485"/>
      <c r="D244" s="2397"/>
      <c r="E244" s="2474"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042"/>
      <c r="C245" s="485"/>
      <c r="D245" s="2397"/>
      <c r="E245" s="2474"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042"/>
      <c r="C246" s="485"/>
      <c r="D246" s="2397"/>
      <c r="E246" s="2474"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042"/>
      <c r="C247" s="485"/>
      <c r="D247" s="2397"/>
      <c r="E247" s="2474"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042"/>
      <c r="C248" s="485"/>
      <c r="D248" s="2397"/>
      <c r="E248" s="2474"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042"/>
      <c r="C249" s="487"/>
      <c r="D249" s="488"/>
      <c r="E249" s="2475"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042"/>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042"/>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042"/>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042"/>
      <c r="C253" s="6099" t="s">
        <v>2253</v>
      </c>
      <c r="D253" s="6100"/>
      <c r="E253" s="6100"/>
      <c r="F253" s="6100"/>
      <c r="G253" s="6100"/>
      <c r="H253" s="6100"/>
      <c r="I253" s="6100"/>
      <c r="J253" s="6101"/>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042"/>
      <c r="C254" s="6102"/>
      <c r="D254" s="6103"/>
      <c r="E254" s="6103"/>
      <c r="F254" s="6103"/>
      <c r="G254" s="6103"/>
      <c r="H254" s="6103"/>
      <c r="I254" s="6103"/>
      <c r="J254" s="6104"/>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042"/>
      <c r="C255" s="6282" t="s">
        <v>6381</v>
      </c>
      <c r="D255" s="6283"/>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042"/>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042"/>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042"/>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5"/>
      <c r="Z258" s="2465"/>
      <c r="AA258" s="2465"/>
      <c r="AB258" s="2465"/>
      <c r="AE258" s="2465"/>
      <c r="AF258" s="2465"/>
      <c r="AG258" s="2465"/>
      <c r="AH258" s="2465"/>
      <c r="AI258" s="2465"/>
      <c r="AJ258" s="2465"/>
      <c r="AK258" s="2465"/>
      <c r="AL258" s="2465"/>
      <c r="AM258" s="2465"/>
      <c r="AN258" s="2465"/>
      <c r="AO258" s="2465"/>
    </row>
    <row r="259" spans="1:41" ht="12.75" customHeight="1" x14ac:dyDescent="0.2">
      <c r="A259" s="227">
        <v>259</v>
      </c>
      <c r="B259" s="6042"/>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5"/>
      <c r="Z259" s="2465"/>
      <c r="AA259" s="2465"/>
      <c r="AB259" s="2465"/>
      <c r="AE259" s="2465"/>
      <c r="AF259" s="2465"/>
      <c r="AG259" s="2465"/>
      <c r="AH259" s="2465"/>
      <c r="AI259" s="2465"/>
      <c r="AJ259" s="2465"/>
      <c r="AK259" s="2465"/>
      <c r="AL259" s="2465"/>
      <c r="AM259" s="2465"/>
      <c r="AN259" s="2465"/>
      <c r="AO259" s="2465"/>
    </row>
    <row r="260" spans="1:41" ht="12.75" customHeight="1" x14ac:dyDescent="0.2">
      <c r="A260" s="227">
        <v>260</v>
      </c>
      <c r="B260" s="6042"/>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5"/>
      <c r="Z260" s="2465"/>
      <c r="AA260" s="2465"/>
      <c r="AB260" s="2465"/>
      <c r="AE260" s="2465"/>
      <c r="AF260" s="2465"/>
      <c r="AG260" s="2465"/>
      <c r="AH260" s="2465"/>
      <c r="AI260" s="2465"/>
      <c r="AJ260" s="2465"/>
      <c r="AK260" s="2465"/>
      <c r="AL260" s="2465"/>
      <c r="AM260" s="2465"/>
      <c r="AN260" s="2465"/>
      <c r="AO260" s="2465"/>
    </row>
    <row r="261" spans="1:41" ht="12.75" customHeight="1" x14ac:dyDescent="0.2">
      <c r="A261" s="227">
        <v>261</v>
      </c>
      <c r="B261" s="6042"/>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5"/>
      <c r="AI261" s="2465"/>
      <c r="AJ261" s="2465"/>
      <c r="AK261" s="2465"/>
      <c r="AL261" s="2465"/>
      <c r="AM261" s="2465"/>
      <c r="AN261" s="2465"/>
      <c r="AO261" s="2465"/>
    </row>
    <row r="262" spans="1:41" ht="12.75" customHeight="1" x14ac:dyDescent="0.2">
      <c r="A262" s="227">
        <v>262</v>
      </c>
      <c r="B262" s="6042"/>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5"/>
      <c r="AI262" s="2465"/>
      <c r="AJ262" s="2465"/>
      <c r="AK262" s="2465"/>
      <c r="AL262" s="2465"/>
      <c r="AM262" s="2465"/>
      <c r="AN262" s="2465"/>
      <c r="AO262" s="2465"/>
    </row>
    <row r="263" spans="1:41" ht="12.75" customHeight="1" x14ac:dyDescent="0.2">
      <c r="A263" s="227">
        <v>263</v>
      </c>
      <c r="B263" s="6042"/>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5"/>
      <c r="AI263" s="2465"/>
      <c r="AJ263" s="2465"/>
      <c r="AK263" s="2465"/>
      <c r="AL263" s="2465"/>
      <c r="AM263" s="2465"/>
      <c r="AN263" s="2465"/>
      <c r="AO263" s="2465"/>
    </row>
    <row r="264" spans="1:41" ht="12.75" customHeight="1" x14ac:dyDescent="0.2">
      <c r="A264" s="227">
        <v>264</v>
      </c>
      <c r="B264" s="6042"/>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5"/>
      <c r="AI264" s="2465"/>
      <c r="AJ264" s="2465"/>
      <c r="AK264" s="2465"/>
      <c r="AL264" s="2465"/>
      <c r="AM264" s="2465"/>
      <c r="AN264" s="2465"/>
      <c r="AO264" s="2465"/>
    </row>
    <row r="265" spans="1:41" ht="12.75" customHeight="1" x14ac:dyDescent="0.2">
      <c r="A265" s="227">
        <v>265</v>
      </c>
      <c r="B265" s="6042"/>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5"/>
      <c r="AI265" s="2465"/>
      <c r="AJ265" s="2465"/>
      <c r="AK265" s="2465"/>
      <c r="AL265" s="2465"/>
      <c r="AM265" s="2465"/>
      <c r="AN265" s="2465"/>
      <c r="AO265" s="2465"/>
    </row>
    <row r="266" spans="1:41" ht="12.75" customHeight="1" thickBot="1" x14ac:dyDescent="0.25">
      <c r="A266" s="227">
        <v>266</v>
      </c>
      <c r="B266" s="6042"/>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042"/>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88">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042"/>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89"/>
    </row>
    <row r="269" spans="1:41" ht="12.75" customHeight="1" x14ac:dyDescent="0.2">
      <c r="A269" s="227">
        <v>269</v>
      </c>
      <c r="B269" s="6042"/>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042"/>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042"/>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042"/>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042"/>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042"/>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042"/>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042"/>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042"/>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069" t="s">
        <v>2465</v>
      </c>
      <c r="M277" s="6130"/>
      <c r="N277" s="6130"/>
      <c r="O277" s="6130"/>
      <c r="P277" s="6130"/>
      <c r="Q277" s="6130"/>
      <c r="R277" s="6130"/>
      <c r="S277" s="6130"/>
      <c r="T277" s="6130"/>
      <c r="U277" s="6130"/>
      <c r="V277" s="6130"/>
      <c r="W277" s="6130"/>
      <c r="X277" s="6070"/>
      <c r="Y277"/>
      <c r="Z277"/>
    </row>
    <row r="278" spans="1:26" ht="12.75" customHeight="1" thickBot="1" x14ac:dyDescent="0.25">
      <c r="A278" s="227">
        <v>278</v>
      </c>
      <c r="B278" s="6042"/>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79"/>
      <c r="M278" s="6280"/>
      <c r="N278" s="6280"/>
      <c r="O278" s="6280"/>
      <c r="P278" s="6280"/>
      <c r="Q278" s="6280"/>
      <c r="R278" s="6280"/>
      <c r="S278" s="6280"/>
      <c r="T278" s="6280"/>
      <c r="U278" s="6280"/>
      <c r="V278" s="6280"/>
      <c r="W278" s="6280"/>
      <c r="X278" s="6281"/>
      <c r="Y278"/>
      <c r="Z278"/>
    </row>
    <row r="279" spans="1:26" ht="12.75" customHeight="1" x14ac:dyDescent="0.2">
      <c r="A279" s="227">
        <v>279</v>
      </c>
      <c r="B279" s="6042"/>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2"/>
      <c r="N279" s="6274" t="s">
        <v>1530</v>
      </c>
      <c r="O279" s="6275"/>
      <c r="P279" s="6287" t="s">
        <v>1532</v>
      </c>
      <c r="Q279" s="6287"/>
      <c r="R279" s="6334" t="s">
        <v>1531</v>
      </c>
      <c r="S279" s="6335"/>
      <c r="T279" s="6274" t="s">
        <v>1533</v>
      </c>
      <c r="U279" s="6275"/>
      <c r="V279" s="6284" t="s">
        <v>1534</v>
      </c>
      <c r="W279" s="6285"/>
      <c r="X279" s="6113" t="s">
        <v>7073</v>
      </c>
    </row>
    <row r="280" spans="1:26" ht="12.75" customHeight="1" thickBot="1" x14ac:dyDescent="0.25">
      <c r="A280" s="227">
        <v>280</v>
      </c>
      <c r="B280" s="6042"/>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7" t="s">
        <v>1398</v>
      </c>
      <c r="M280" s="2888" t="s">
        <v>1440</v>
      </c>
      <c r="N280" s="1353" t="s">
        <v>1489</v>
      </c>
      <c r="O280" s="1353" t="s">
        <v>2251</v>
      </c>
      <c r="P280" s="2889" t="s">
        <v>1489</v>
      </c>
      <c r="Q280" s="1353" t="s">
        <v>2251</v>
      </c>
      <c r="R280" s="2889" t="s">
        <v>1489</v>
      </c>
      <c r="S280" s="1353" t="s">
        <v>2251</v>
      </c>
      <c r="T280" s="2889" t="s">
        <v>1489</v>
      </c>
      <c r="U280" s="1353" t="s">
        <v>2251</v>
      </c>
      <c r="V280" s="2889" t="s">
        <v>1489</v>
      </c>
      <c r="W280" s="1210" t="s">
        <v>2251</v>
      </c>
      <c r="X280" s="6114"/>
    </row>
    <row r="281" spans="1:26" ht="12.75" customHeight="1" x14ac:dyDescent="0.2">
      <c r="A281" s="227">
        <v>281</v>
      </c>
      <c r="B281" s="6042"/>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042"/>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042"/>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042"/>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042"/>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042"/>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042"/>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042"/>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042"/>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042"/>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042"/>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042"/>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042"/>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042"/>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042"/>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042"/>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042"/>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042"/>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042"/>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042"/>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042"/>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042"/>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042"/>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042"/>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042"/>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042"/>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042"/>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042"/>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042"/>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042"/>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042"/>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042"/>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042"/>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042"/>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042"/>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042"/>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042"/>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042"/>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042"/>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042"/>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042"/>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042"/>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042"/>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042"/>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042"/>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042"/>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042"/>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042"/>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042"/>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042"/>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042"/>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042"/>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042"/>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042"/>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042"/>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042"/>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042"/>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042"/>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042"/>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042"/>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042"/>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042"/>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042"/>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042"/>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042"/>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042"/>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042"/>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042"/>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042"/>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042"/>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042"/>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042"/>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042"/>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042"/>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042"/>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042"/>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042"/>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042"/>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042"/>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042"/>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042"/>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042"/>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042"/>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042"/>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042"/>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042"/>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042"/>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042"/>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042"/>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042"/>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042"/>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042"/>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042"/>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042"/>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042"/>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042"/>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042"/>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042"/>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042"/>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042"/>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042"/>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042"/>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042"/>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042"/>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042"/>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042"/>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042"/>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042"/>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042"/>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042"/>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042"/>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042"/>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042"/>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042"/>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042"/>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042"/>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042"/>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042"/>
      <c r="C398" s="1872" t="e">
        <f t="shared" si="54"/>
        <v>#N/A</v>
      </c>
      <c r="D398" s="866">
        <f t="shared" si="53"/>
        <v>-6</v>
      </c>
      <c r="E398" s="47" t="s">
        <v>10021</v>
      </c>
      <c r="F398" s="1865"/>
      <c r="G398" s="1865"/>
      <c r="H398" s="1866"/>
      <c r="I398" s="871"/>
      <c r="J398" s="1870" t="s">
        <v>2810</v>
      </c>
      <c r="N398"/>
    </row>
    <row r="399" spans="1:14" ht="12.75" customHeight="1" x14ac:dyDescent="0.2">
      <c r="A399" s="227">
        <v>399</v>
      </c>
      <c r="B399" s="6042"/>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042"/>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042"/>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042"/>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042"/>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042"/>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042"/>
      <c r="C405" s="1874"/>
      <c r="D405" s="867"/>
      <c r="E405" s="1875" t="s">
        <v>10023</v>
      </c>
      <c r="F405" s="732"/>
      <c r="G405" s="732"/>
      <c r="H405" s="870"/>
      <c r="I405" s="1867"/>
      <c r="J405" s="1868" t="s">
        <v>2267</v>
      </c>
      <c r="N405"/>
    </row>
    <row r="406" spans="1:14" ht="12.75" customHeight="1" x14ac:dyDescent="0.2">
      <c r="A406" s="227">
        <v>406</v>
      </c>
      <c r="B406" s="6042"/>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042"/>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042"/>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042"/>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042"/>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042"/>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042"/>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042"/>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042"/>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042"/>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042"/>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042"/>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042"/>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042"/>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042"/>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042"/>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042"/>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042"/>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042"/>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042"/>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042"/>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042"/>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042"/>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042"/>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042"/>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042"/>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042"/>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042"/>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042"/>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042"/>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042"/>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042"/>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042"/>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042"/>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042"/>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042"/>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042"/>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042"/>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042"/>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042"/>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042"/>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042"/>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042"/>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042"/>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042"/>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042"/>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042"/>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042"/>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042"/>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042"/>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042"/>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042"/>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042"/>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042"/>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042"/>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042"/>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042"/>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042"/>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042"/>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042"/>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042"/>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042"/>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042"/>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042"/>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042"/>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042"/>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042"/>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042"/>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042"/>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042"/>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042"/>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042"/>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042"/>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042"/>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042"/>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042"/>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042"/>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042"/>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042"/>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042"/>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042"/>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042"/>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042"/>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042"/>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042"/>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042"/>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042"/>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042"/>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042"/>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042"/>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042"/>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042"/>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042"/>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042"/>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042"/>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042"/>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042"/>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042"/>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042"/>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042"/>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042"/>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042"/>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042"/>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042"/>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042"/>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042"/>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042"/>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042"/>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042"/>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042"/>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042"/>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042"/>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042"/>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042"/>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042"/>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042"/>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042"/>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042"/>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042"/>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042"/>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042"/>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042"/>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042"/>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042"/>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042"/>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042"/>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042"/>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042"/>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042"/>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042"/>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042"/>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042"/>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042"/>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042"/>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042"/>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042"/>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042"/>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042"/>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042"/>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042"/>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042"/>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042"/>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042"/>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042"/>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042"/>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042"/>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042"/>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042"/>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042"/>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042"/>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042"/>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042"/>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042"/>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042"/>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042"/>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042"/>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042"/>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042"/>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042"/>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042"/>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042"/>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042"/>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042"/>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042"/>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042"/>
      <c r="N570"/>
    </row>
    <row r="571" spans="1:73" ht="12.75" customHeight="1" x14ac:dyDescent="0.2">
      <c r="A571" s="227">
        <v>571</v>
      </c>
      <c r="B571" s="6042"/>
      <c r="H571"/>
      <c r="I571" s="555"/>
      <c r="N571"/>
      <c r="O571" s="555"/>
    </row>
    <row r="572" spans="1:73" ht="12.75" customHeight="1" x14ac:dyDescent="0.2">
      <c r="A572" s="227">
        <v>572</v>
      </c>
      <c r="B572" s="6042"/>
      <c r="C572" s="6059" t="s">
        <v>7316</v>
      </c>
      <c r="D572" s="6059"/>
      <c r="E572" s="6059"/>
      <c r="F572" s="6059"/>
      <c r="G572" s="6059"/>
      <c r="H572" s="6059"/>
      <c r="I572" s="6059"/>
      <c r="J572" s="6059"/>
      <c r="K572" s="6059"/>
      <c r="L572" s="6059"/>
      <c r="M572" s="6059"/>
      <c r="N572" s="6059"/>
      <c r="O572" s="6059"/>
      <c r="P572" s="6059"/>
      <c r="Q572" s="6059"/>
      <c r="R572" s="6059"/>
      <c r="S572" s="6059"/>
      <c r="T572" s="6059"/>
      <c r="U572" s="6059"/>
      <c r="V572" s="6059"/>
      <c r="W572" s="6059"/>
      <c r="X572" s="6059"/>
      <c r="Y572" s="6059"/>
      <c r="Z572" s="6059"/>
      <c r="AA572" s="6059"/>
      <c r="AB572" s="6059"/>
      <c r="AC572" s="6059"/>
      <c r="AD572" s="6059"/>
      <c r="AE572" s="6059"/>
      <c r="AF572" s="6059"/>
      <c r="AG572" s="6059"/>
      <c r="AH572" s="6059"/>
      <c r="AI572" s="6059"/>
      <c r="AJ572" s="6059"/>
      <c r="AK572" s="6059"/>
      <c r="AL572" s="6059"/>
      <c r="AM572" s="6059"/>
      <c r="AN572" s="6059"/>
      <c r="AO572" s="6059"/>
      <c r="AP572" s="6059"/>
      <c r="AQ572" s="6059"/>
      <c r="AR572" s="6059"/>
      <c r="AS572" s="6059"/>
      <c r="AT572" s="6059"/>
      <c r="AU572" s="6059"/>
      <c r="AV572" s="6059"/>
      <c r="AW572" s="6059"/>
      <c r="AX572" s="6059"/>
      <c r="AY572" s="6059"/>
      <c r="AZ572" s="6059"/>
      <c r="BA572" s="6059"/>
      <c r="BB572" s="6059"/>
      <c r="BC572" s="6059"/>
      <c r="BD572" s="6059"/>
      <c r="BE572" s="6059"/>
      <c r="BF572" s="6059"/>
      <c r="BG572" s="6059"/>
      <c r="BH572" s="6059"/>
      <c r="BI572" s="6059"/>
      <c r="BJ572" s="6059"/>
      <c r="BK572" s="6059"/>
      <c r="BL572" s="6059"/>
      <c r="BM572" s="6059"/>
      <c r="BN572" s="6059"/>
      <c r="BO572" s="6059"/>
      <c r="BP572" s="6059"/>
      <c r="BQ572" s="6059"/>
      <c r="BR572" s="6059"/>
      <c r="BS572" s="6059"/>
      <c r="BT572" s="6059"/>
      <c r="BU572" s="6059"/>
    </row>
    <row r="573" spans="1:73" ht="12.75" customHeight="1" x14ac:dyDescent="0.2">
      <c r="A573" s="227">
        <v>573</v>
      </c>
      <c r="B573" s="6042"/>
      <c r="C573" s="6059"/>
      <c r="D573" s="6059"/>
      <c r="E573" s="6059"/>
      <c r="F573" s="6059"/>
      <c r="G573" s="6059"/>
      <c r="H573" s="6059"/>
      <c r="I573" s="6059"/>
      <c r="J573" s="6059"/>
      <c r="K573" s="6059"/>
      <c r="L573" s="6059"/>
      <c r="M573" s="6059"/>
      <c r="N573" s="6059"/>
      <c r="O573" s="6059"/>
      <c r="P573" s="6059"/>
      <c r="Q573" s="6059"/>
      <c r="R573" s="6059"/>
      <c r="S573" s="6059"/>
      <c r="T573" s="6059"/>
      <c r="U573" s="6059"/>
      <c r="V573" s="6059"/>
      <c r="W573" s="6059"/>
      <c r="X573" s="6059"/>
      <c r="Y573" s="6059"/>
      <c r="Z573" s="6059"/>
      <c r="AA573" s="6059"/>
      <c r="AB573" s="6059"/>
      <c r="AC573" s="6059"/>
      <c r="AD573" s="6059"/>
      <c r="AE573" s="6059"/>
      <c r="AF573" s="6059"/>
      <c r="AG573" s="6059"/>
      <c r="AH573" s="6059"/>
      <c r="AI573" s="6059"/>
      <c r="AJ573" s="6059"/>
      <c r="AK573" s="6059"/>
      <c r="AL573" s="6059"/>
      <c r="AM573" s="6059"/>
      <c r="AN573" s="6059"/>
      <c r="AO573" s="6059"/>
      <c r="AP573" s="6059"/>
      <c r="AQ573" s="6059"/>
      <c r="AR573" s="6059"/>
      <c r="AS573" s="6059"/>
      <c r="AT573" s="6059"/>
      <c r="AU573" s="6059"/>
      <c r="AV573" s="6059"/>
      <c r="AW573" s="6059"/>
      <c r="AX573" s="6059"/>
      <c r="AY573" s="6059"/>
      <c r="AZ573" s="6059"/>
      <c r="BA573" s="6059"/>
      <c r="BB573" s="6059"/>
      <c r="BC573" s="6059"/>
      <c r="BD573" s="6059"/>
      <c r="BE573" s="6059"/>
      <c r="BF573" s="6059"/>
      <c r="BG573" s="6059"/>
      <c r="BH573" s="6059"/>
      <c r="BI573" s="6059"/>
      <c r="BJ573" s="6059"/>
      <c r="BK573" s="6059"/>
      <c r="BL573" s="6059"/>
      <c r="BM573" s="6059"/>
      <c r="BN573" s="6059"/>
      <c r="BO573" s="6059"/>
      <c r="BP573" s="6059"/>
      <c r="BQ573" s="6059"/>
      <c r="BR573" s="6059"/>
      <c r="BS573" s="6059"/>
      <c r="BT573" s="6059"/>
      <c r="BU573" s="6059"/>
    </row>
    <row r="574" spans="1:73" ht="12.75" customHeight="1" x14ac:dyDescent="0.2">
      <c r="A574" s="227">
        <v>574</v>
      </c>
      <c r="B574" s="6042"/>
      <c r="C574" s="6059"/>
      <c r="D574" s="6059"/>
      <c r="E574" s="6059"/>
      <c r="F574" s="6059"/>
      <c r="G574" s="6059"/>
      <c r="H574" s="6059"/>
      <c r="I574" s="6059"/>
      <c r="J574" s="6059"/>
      <c r="K574" s="6059"/>
      <c r="L574" s="6059"/>
      <c r="M574" s="6059"/>
      <c r="N574" s="6059"/>
      <c r="O574" s="6059"/>
      <c r="P574" s="6059"/>
      <c r="Q574" s="6059"/>
      <c r="R574" s="6059"/>
      <c r="S574" s="6059"/>
      <c r="T574" s="6059"/>
      <c r="U574" s="6059"/>
      <c r="V574" s="6059"/>
      <c r="W574" s="6059"/>
      <c r="X574" s="6059"/>
      <c r="Y574" s="6059"/>
      <c r="Z574" s="6059"/>
      <c r="AA574" s="6059"/>
      <c r="AB574" s="6059"/>
      <c r="AC574" s="6059"/>
      <c r="AD574" s="6059"/>
      <c r="AE574" s="6059"/>
      <c r="AF574" s="6059"/>
      <c r="AG574" s="6059"/>
      <c r="AH574" s="6059"/>
      <c r="AI574" s="6059"/>
      <c r="AJ574" s="6059"/>
      <c r="AK574" s="6059"/>
      <c r="AL574" s="6059"/>
      <c r="AM574" s="6059"/>
      <c r="AN574" s="6059"/>
      <c r="AO574" s="6059"/>
      <c r="AP574" s="6059"/>
      <c r="AQ574" s="6059"/>
      <c r="AR574" s="6059"/>
      <c r="AS574" s="6059"/>
      <c r="AT574" s="6059"/>
      <c r="AU574" s="6059"/>
      <c r="AV574" s="6059"/>
      <c r="AW574" s="6059"/>
      <c r="AX574" s="6059"/>
      <c r="AY574" s="6059"/>
      <c r="AZ574" s="6059"/>
      <c r="BA574" s="6059"/>
      <c r="BB574" s="6059"/>
      <c r="BC574" s="6059"/>
      <c r="BD574" s="6059"/>
      <c r="BE574" s="6059"/>
      <c r="BF574" s="6059"/>
      <c r="BG574" s="6059"/>
      <c r="BH574" s="6059"/>
      <c r="BI574" s="6059"/>
      <c r="BJ574" s="6059"/>
      <c r="BK574" s="6059"/>
      <c r="BL574" s="6059"/>
      <c r="BM574" s="6059"/>
      <c r="BN574" s="6059"/>
      <c r="BO574" s="6059"/>
      <c r="BP574" s="6059"/>
      <c r="BQ574" s="6059"/>
      <c r="BR574" s="6059"/>
      <c r="BS574" s="6059"/>
      <c r="BT574" s="6059"/>
      <c r="BU574" s="6059"/>
    </row>
    <row r="575" spans="1:73" ht="12.75" customHeight="1" thickBot="1" x14ac:dyDescent="0.25">
      <c r="A575" s="227">
        <v>575</v>
      </c>
      <c r="B575" s="6042"/>
      <c r="H575"/>
      <c r="I575" s="555"/>
      <c r="N575"/>
      <c r="O575" s="555"/>
      <c r="AL575"/>
    </row>
    <row r="576" spans="1:73" ht="12.75" customHeight="1" thickBot="1" x14ac:dyDescent="0.25">
      <c r="A576" s="227">
        <v>576</v>
      </c>
      <c r="B576" s="6042"/>
      <c r="C576" s="6265" t="s">
        <v>1154</v>
      </c>
      <c r="D576" s="6266"/>
      <c r="E576" s="6266"/>
      <c r="F576" s="6266"/>
      <c r="G576" s="6266"/>
      <c r="H576" s="6266"/>
      <c r="I576" s="6266"/>
      <c r="J576" s="6266"/>
      <c r="K576" s="6266"/>
      <c r="L576" s="6266"/>
      <c r="M576" s="6266"/>
      <c r="N576" s="6266"/>
      <c r="O576" s="6266"/>
      <c r="P576" s="6266"/>
      <c r="Q576" s="6266"/>
      <c r="R576" s="6267"/>
      <c r="T576" s="6164" t="s">
        <v>1206</v>
      </c>
      <c r="U576" s="6164"/>
      <c r="X576" s="6086" t="s">
        <v>2524</v>
      </c>
      <c r="Y576" s="6087"/>
      <c r="Z576" s="6087"/>
      <c r="AA576" s="6088"/>
      <c r="AC576" s="6255" t="s">
        <v>1148</v>
      </c>
      <c r="AG576" s="6086" t="s">
        <v>8597</v>
      </c>
      <c r="AH576" s="6087"/>
      <c r="AI576" s="6087"/>
      <c r="AJ576" s="6087"/>
      <c r="AK576" s="6088"/>
      <c r="AL576"/>
    </row>
    <row r="577" spans="1:38" ht="12.75" customHeight="1" thickBot="1" x14ac:dyDescent="0.25">
      <c r="A577" s="227">
        <v>577</v>
      </c>
      <c r="B577" s="6042"/>
      <c r="C577" s="6268"/>
      <c r="D577" s="6269"/>
      <c r="E577" s="6269"/>
      <c r="F577" s="6269"/>
      <c r="G577" s="6269"/>
      <c r="H577" s="6269"/>
      <c r="I577" s="6269"/>
      <c r="J577" s="6269"/>
      <c r="K577" s="6269"/>
      <c r="L577" s="6269"/>
      <c r="M577" s="6269"/>
      <c r="N577" s="6269"/>
      <c r="O577" s="6269"/>
      <c r="P577" s="6269"/>
      <c r="Q577" s="6269"/>
      <c r="R577" s="6270"/>
      <c r="T577" s="173" t="s">
        <v>2100</v>
      </c>
      <c r="U577" s="175" t="s">
        <v>1207</v>
      </c>
      <c r="X577" s="6089"/>
      <c r="Y577" s="4977"/>
      <c r="Z577" s="4977"/>
      <c r="AA577" s="6090"/>
      <c r="AC577" s="6255"/>
      <c r="AE577" s="1385" t="s">
        <v>2100</v>
      </c>
      <c r="AF577" s="1380"/>
      <c r="AG577" s="6089"/>
      <c r="AH577" s="4977"/>
      <c r="AI577" s="4977"/>
      <c r="AJ577" s="4977"/>
      <c r="AK577" s="6090"/>
      <c r="AL577"/>
    </row>
    <row r="578" spans="1:38" ht="12.75" customHeight="1" thickBot="1" x14ac:dyDescent="0.25">
      <c r="A578" s="227">
        <v>578</v>
      </c>
      <c r="B578" s="6042"/>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042"/>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042"/>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042"/>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042"/>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042"/>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042"/>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203" t="s">
        <v>7091</v>
      </c>
      <c r="U584" s="6204"/>
      <c r="V584" s="6205"/>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042"/>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29" t="s">
        <v>1526</v>
      </c>
      <c r="U585" s="6230"/>
      <c r="V585" s="842" t="s">
        <v>2251</v>
      </c>
      <c r="X585" s="6248" t="str">
        <f>X584</f>
        <v>Tabla de armas arquetípicas</v>
      </c>
      <c r="Y585" s="6249"/>
      <c r="Z585" s="6249"/>
      <c r="AA585" s="6250"/>
      <c r="AC585" s="1239" t="s">
        <v>1153</v>
      </c>
      <c r="AG585" s="560" t="s">
        <v>8592</v>
      </c>
      <c r="AH585" s="226" t="s">
        <v>1739</v>
      </c>
      <c r="AI585" s="226">
        <v>240</v>
      </c>
      <c r="AJ585" s="226">
        <v>5</v>
      </c>
      <c r="AK585" s="833">
        <v>5</v>
      </c>
      <c r="AL585"/>
    </row>
    <row r="586" spans="1:38" ht="12.75" customHeight="1" thickBot="1" x14ac:dyDescent="0.25">
      <c r="A586" s="227">
        <v>586</v>
      </c>
      <c r="B586" s="6042"/>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65" t="s">
        <v>1636</v>
      </c>
      <c r="U586" s="6166"/>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042"/>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65" t="s">
        <v>1639</v>
      </c>
      <c r="U587" s="6166"/>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042"/>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65" t="s">
        <v>2133</v>
      </c>
      <c r="U588" s="6166"/>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59" t="s">
        <v>8513</v>
      </c>
      <c r="AD588" s="6260"/>
      <c r="AE588" s="6260"/>
      <c r="AF588" s="6261"/>
    </row>
    <row r="589" spans="1:38" ht="12.75" customHeight="1" thickBot="1" x14ac:dyDescent="0.25">
      <c r="A589" s="227">
        <v>589</v>
      </c>
      <c r="B589" s="6042"/>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65" t="s">
        <v>7092</v>
      </c>
      <c r="U589" s="6166"/>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042"/>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65" t="s">
        <v>7093</v>
      </c>
      <c r="U590" s="6166"/>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042"/>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65" t="s">
        <v>7094</v>
      </c>
      <c r="U591" s="6166"/>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042"/>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65" t="s">
        <v>7095</v>
      </c>
      <c r="U592" s="6166"/>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042"/>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65" t="s">
        <v>7096</v>
      </c>
      <c r="U593" s="6166"/>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042"/>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271" t="s">
        <v>7097</v>
      </c>
      <c r="U594" s="6272"/>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042"/>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042"/>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203" t="s">
        <v>7099</v>
      </c>
      <c r="U596" s="6204"/>
      <c r="V596" s="6205"/>
      <c r="X596" s="886" t="s">
        <v>2061</v>
      </c>
      <c r="Y596" s="226"/>
      <c r="Z596" s="226" t="s">
        <v>2547</v>
      </c>
      <c r="AA596" s="873">
        <f>COUNTIF(PDs!$Y$43:$AA$48,Tablas!X596)</f>
        <v>0</v>
      </c>
      <c r="AC596" s="6256" t="s">
        <v>1182</v>
      </c>
      <c r="AE596" s="6258" t="s">
        <v>1193</v>
      </c>
      <c r="AF596" s="6258"/>
      <c r="AG596" s="6258"/>
      <c r="AH596" s="6258"/>
      <c r="AI596" s="6258"/>
      <c r="AJ596" s="6258"/>
      <c r="AK596" s="6258"/>
    </row>
    <row r="597" spans="1:39" ht="12.75" customHeight="1" thickBot="1" x14ac:dyDescent="0.25">
      <c r="A597" s="227">
        <v>597</v>
      </c>
      <c r="B597" s="6042"/>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00" t="s">
        <v>6428</v>
      </c>
      <c r="U597" s="6201"/>
      <c r="V597" s="844">
        <f>COUNTIF(Combate!$AB$55:$AG$64,$E$1027)*COUNTIF(Personalización!$AD$86:$AF$88,Tablas!$T597)</f>
        <v>0</v>
      </c>
      <c r="X597" s="886" t="s">
        <v>2548</v>
      </c>
      <c r="Y597" s="226"/>
      <c r="Z597" s="226" t="s">
        <v>2549</v>
      </c>
      <c r="AA597" s="873">
        <f>COUNTIF(PDs!$Y$43:$AA$48,Tablas!X597)</f>
        <v>0</v>
      </c>
      <c r="AC597" s="6257"/>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042"/>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00" t="s">
        <v>7101</v>
      </c>
      <c r="U598" s="6201"/>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042"/>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00" t="s">
        <v>134</v>
      </c>
      <c r="U599" s="6201"/>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042"/>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00" t="s">
        <v>7104</v>
      </c>
      <c r="U600" s="6201"/>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042"/>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00" t="s">
        <v>7106</v>
      </c>
      <c r="U601" s="6201"/>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042"/>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206" t="s">
        <v>7108</v>
      </c>
      <c r="U602" s="6207"/>
      <c r="V602" s="847">
        <f>COUNTIF(Combate!$AB$55:$AG$64,$E$1027)*COUNTIF(Personalización!$AD$86:$AF$88,Tablas!$T602)</f>
        <v>0</v>
      </c>
      <c r="X602" s="6248" t="str">
        <f>X582</f>
        <v>Tabla de tipología</v>
      </c>
      <c r="Y602" s="6249"/>
      <c r="Z602" s="6249"/>
      <c r="AA602" s="6250"/>
      <c r="AC602" s="703">
        <v>10</v>
      </c>
    </row>
    <row r="603" spans="1:39" ht="12.75" customHeight="1" thickBot="1" x14ac:dyDescent="0.25">
      <c r="A603" s="227">
        <v>603</v>
      </c>
      <c r="B603" s="6042"/>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042"/>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203" t="s">
        <v>7098</v>
      </c>
      <c r="U604" s="6205"/>
      <c r="X604" s="886" t="s">
        <v>2111</v>
      </c>
      <c r="Y604" s="226"/>
      <c r="Z604" s="226" t="s">
        <v>8274</v>
      </c>
      <c r="AA604" s="873">
        <f>COUNTIF(PDs!$Y$43:$AA$48,Tablas!X604)</f>
        <v>0</v>
      </c>
      <c r="AC604" s="703">
        <v>20</v>
      </c>
    </row>
    <row r="605" spans="1:39" ht="12.75" customHeight="1" x14ac:dyDescent="0.2">
      <c r="A605" s="227">
        <v>605</v>
      </c>
      <c r="B605" s="6042"/>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042"/>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042"/>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089" t="s">
        <v>7254</v>
      </c>
      <c r="AF607" s="4977"/>
      <c r="AG607" s="4977"/>
      <c r="AH607" s="4977"/>
      <c r="AI607" s="4977"/>
      <c r="AJ607" s="4977"/>
      <c r="AK607" s="4977"/>
      <c r="AL607" s="4977"/>
      <c r="AM607" s="4977"/>
    </row>
    <row r="608" spans="1:39" ht="12.75" customHeight="1" thickBot="1" x14ac:dyDescent="0.25">
      <c r="A608" s="227">
        <v>608</v>
      </c>
      <c r="B608" s="6042"/>
      <c r="C608" s="485"/>
      <c r="D608" s="80" t="s">
        <v>10257</v>
      </c>
      <c r="E608" s="2650">
        <v>0</v>
      </c>
      <c r="F608" s="2650">
        <v>0</v>
      </c>
      <c r="G608" s="2650">
        <v>0</v>
      </c>
      <c r="H608" s="2650">
        <v>0</v>
      </c>
      <c r="I608" s="585">
        <v>0</v>
      </c>
      <c r="J608" s="2650" t="s">
        <v>1455</v>
      </c>
      <c r="K608" s="2650" t="s">
        <v>1455</v>
      </c>
      <c r="L608" s="2650">
        <v>0</v>
      </c>
      <c r="M608" s="2650">
        <v>0</v>
      </c>
      <c r="N608" s="2650">
        <v>0</v>
      </c>
      <c r="O608" s="585">
        <v>0</v>
      </c>
      <c r="P608" s="2650">
        <v>0</v>
      </c>
      <c r="Q608" s="2650">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089"/>
      <c r="AF608" s="4977"/>
      <c r="AG608" s="4977"/>
      <c r="AH608" s="4977"/>
      <c r="AI608" s="4977"/>
      <c r="AJ608" s="4977"/>
      <c r="AK608" s="4977"/>
      <c r="AL608" s="4977"/>
      <c r="AM608" s="4977"/>
    </row>
    <row r="609" spans="1:39" ht="12.75" customHeight="1" x14ac:dyDescent="0.2">
      <c r="A609" s="227">
        <v>609</v>
      </c>
      <c r="B609" s="6042"/>
      <c r="C609" s="485"/>
      <c r="D609" s="80" t="s">
        <v>10258</v>
      </c>
      <c r="E609" s="2650">
        <v>0</v>
      </c>
      <c r="F609" s="2650">
        <v>0</v>
      </c>
      <c r="G609" s="2650">
        <v>0</v>
      </c>
      <c r="H609" s="2650">
        <v>0</v>
      </c>
      <c r="I609" s="585">
        <v>0</v>
      </c>
      <c r="J609" s="2650" t="s">
        <v>1153</v>
      </c>
      <c r="K609" s="2650" t="s">
        <v>1971</v>
      </c>
      <c r="L609" s="2650">
        <v>1</v>
      </c>
      <c r="M609" s="2650">
        <v>1</v>
      </c>
      <c r="N609" s="2650">
        <v>1</v>
      </c>
      <c r="O609" s="585">
        <v>1</v>
      </c>
      <c r="P609" s="2650">
        <v>1</v>
      </c>
      <c r="Q609" s="2650">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105" t="s">
        <v>8281</v>
      </c>
      <c r="AF609" s="6106"/>
      <c r="AG609" s="1032" t="str">
        <f>Arma_Desarrollada&amp;", "</f>
        <v xml:space="preserve">Desarmado, </v>
      </c>
      <c r="AH609" s="1031"/>
      <c r="AI609" s="1031"/>
      <c r="AJ609" s="1031"/>
      <c r="AK609" s="1244"/>
      <c r="AL609" s="1244"/>
      <c r="AM609" s="1245"/>
    </row>
    <row r="610" spans="1:39" ht="12.75" customHeight="1" thickBot="1" x14ac:dyDescent="0.25">
      <c r="A610" s="227">
        <v>610</v>
      </c>
      <c r="B610" s="6042"/>
      <c r="C610" s="485"/>
      <c r="D610" s="80" t="s">
        <v>10259</v>
      </c>
      <c r="E610" s="2650">
        <v>0</v>
      </c>
      <c r="F610" s="2650">
        <v>0</v>
      </c>
      <c r="G610" s="2650">
        <v>0</v>
      </c>
      <c r="H610" s="2650">
        <v>0</v>
      </c>
      <c r="I610" s="585">
        <v>0</v>
      </c>
      <c r="J610" s="2650" t="s">
        <v>1153</v>
      </c>
      <c r="K610" s="2650" t="s">
        <v>1971</v>
      </c>
      <c r="L610" s="2650">
        <v>2</v>
      </c>
      <c r="M610" s="2650">
        <v>2</v>
      </c>
      <c r="N610" s="2650">
        <v>2</v>
      </c>
      <c r="O610" s="585">
        <v>2</v>
      </c>
      <c r="P610" s="2650">
        <v>2</v>
      </c>
      <c r="Q610" s="2650">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107" t="s">
        <v>8285</v>
      </c>
      <c r="AF610" s="6108"/>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042"/>
      <c r="C611" s="485"/>
      <c r="D611" s="80" t="s">
        <v>10260</v>
      </c>
      <c r="E611" s="2650">
        <v>0</v>
      </c>
      <c r="F611" s="2650">
        <v>0</v>
      </c>
      <c r="G611" s="2650">
        <v>0</v>
      </c>
      <c r="H611" s="2650">
        <v>0</v>
      </c>
      <c r="I611" s="585">
        <v>0</v>
      </c>
      <c r="J611" s="2650" t="s">
        <v>1153</v>
      </c>
      <c r="K611" s="2650" t="s">
        <v>1971</v>
      </c>
      <c r="L611" s="2650">
        <v>4</v>
      </c>
      <c r="M611" s="2650">
        <v>4</v>
      </c>
      <c r="N611" s="2650">
        <v>4</v>
      </c>
      <c r="O611" s="585">
        <v>4</v>
      </c>
      <c r="P611" s="2650">
        <v>4</v>
      </c>
      <c r="Q611" s="2650">
        <v>4</v>
      </c>
      <c r="R611" s="1137">
        <v>8</v>
      </c>
      <c r="X611" s="886" t="s">
        <v>2140</v>
      </c>
      <c r="Y611" s="226"/>
      <c r="Z611" s="226" t="s">
        <v>8278</v>
      </c>
      <c r="AA611" s="873">
        <f>COUNTIF(PDs!$Y$43:$AA$48,Tablas!X611)</f>
        <v>0</v>
      </c>
      <c r="AC611" s="227"/>
      <c r="AE611" s="6107" t="s">
        <v>8282</v>
      </c>
      <c r="AF611" s="6108"/>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042"/>
      <c r="C612" s="485"/>
      <c r="D612" s="80" t="s">
        <v>10261</v>
      </c>
      <c r="E612" s="2650">
        <v>0</v>
      </c>
      <c r="F612" s="2650">
        <v>0</v>
      </c>
      <c r="G612" s="2650">
        <v>0</v>
      </c>
      <c r="H612" s="2650">
        <v>0</v>
      </c>
      <c r="I612" s="585">
        <v>0</v>
      </c>
      <c r="J612" s="2650" t="s">
        <v>1153</v>
      </c>
      <c r="K612" s="2650" t="s">
        <v>1971</v>
      </c>
      <c r="L612" s="2650">
        <v>6</v>
      </c>
      <c r="M612" s="2650">
        <v>6</v>
      </c>
      <c r="N612" s="2650">
        <v>6</v>
      </c>
      <c r="O612" s="585">
        <v>6</v>
      </c>
      <c r="P612" s="2650">
        <v>6</v>
      </c>
      <c r="Q612" s="2650">
        <v>6</v>
      </c>
      <c r="R612" s="1137">
        <v>12</v>
      </c>
      <c r="X612" s="886" t="s">
        <v>2115</v>
      </c>
      <c r="Y612" s="226"/>
      <c r="Z612" s="226" t="s">
        <v>8279</v>
      </c>
      <c r="AA612" s="873">
        <f>COUNTIF(PDs!$Y$43:$AA$48,Tablas!X612)</f>
        <v>0</v>
      </c>
      <c r="AC612" s="227"/>
      <c r="AE612" s="6107" t="s">
        <v>8283</v>
      </c>
      <c r="AF612" s="6108"/>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042"/>
      <c r="C613" s="485"/>
      <c r="D613" s="80" t="s">
        <v>10262</v>
      </c>
      <c r="E613" s="2650">
        <v>0</v>
      </c>
      <c r="F613" s="2650">
        <v>0</v>
      </c>
      <c r="G613" s="2650">
        <v>0</v>
      </c>
      <c r="H613" s="2650">
        <v>0</v>
      </c>
      <c r="I613" s="585">
        <v>0</v>
      </c>
      <c r="J613" s="2650" t="s">
        <v>1153</v>
      </c>
      <c r="K613" s="2650" t="s">
        <v>1971</v>
      </c>
      <c r="L613" s="2650">
        <v>2</v>
      </c>
      <c r="M613" s="2650">
        <v>2</v>
      </c>
      <c r="N613" s="2650">
        <v>2</v>
      </c>
      <c r="O613" s="585">
        <v>2</v>
      </c>
      <c r="P613" s="2650">
        <v>2</v>
      </c>
      <c r="Q613" s="2650">
        <v>2</v>
      </c>
      <c r="R613" s="1137">
        <v>0</v>
      </c>
      <c r="X613" s="886" t="s">
        <v>2196</v>
      </c>
      <c r="Y613" s="226"/>
      <c r="Z613" s="226" t="s">
        <v>8578</v>
      </c>
      <c r="AA613" s="873">
        <f>COUNTIF(PDs!$Y$43:$AA$48,Tablas!X613)</f>
        <v>0</v>
      </c>
      <c r="AE613" s="6107" t="s">
        <v>8284</v>
      </c>
      <c r="AF613" s="6108"/>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042"/>
      <c r="C614" s="485"/>
      <c r="D614" s="80" t="s">
        <v>10263</v>
      </c>
      <c r="E614" s="2650">
        <v>0</v>
      </c>
      <c r="F614" s="2650">
        <v>0</v>
      </c>
      <c r="G614" s="2650">
        <v>0</v>
      </c>
      <c r="H614" s="2650">
        <v>0</v>
      </c>
      <c r="I614" s="585">
        <v>0</v>
      </c>
      <c r="J614" s="2650" t="s">
        <v>1153</v>
      </c>
      <c r="K614" s="2650" t="s">
        <v>1971</v>
      </c>
      <c r="L614" s="2650">
        <v>4</v>
      </c>
      <c r="M614" s="2650">
        <v>4</v>
      </c>
      <c r="N614" s="2650">
        <v>4</v>
      </c>
      <c r="O614" s="585">
        <v>4</v>
      </c>
      <c r="P614" s="2650">
        <v>4</v>
      </c>
      <c r="Q614" s="2650">
        <v>4</v>
      </c>
      <c r="R614" s="1137">
        <v>0</v>
      </c>
      <c r="X614" s="887" t="s">
        <v>1579</v>
      </c>
      <c r="Y614" s="888"/>
      <c r="Z614" s="888" t="s">
        <v>8280</v>
      </c>
      <c r="AA614" s="1038">
        <f>COUNTIF(PDs!$Y$43:$AA$48,Tablas!X614)</f>
        <v>0</v>
      </c>
      <c r="AE614" s="6253" t="s">
        <v>3182</v>
      </c>
      <c r="AF614" s="6262"/>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042"/>
      <c r="C615" s="485"/>
      <c r="D615" s="80" t="s">
        <v>10264</v>
      </c>
      <c r="E615" s="2650">
        <v>0</v>
      </c>
      <c r="F615" s="2650">
        <v>0</v>
      </c>
      <c r="G615" s="2650">
        <v>0</v>
      </c>
      <c r="H615" s="2650">
        <v>0</v>
      </c>
      <c r="I615" s="585">
        <v>0</v>
      </c>
      <c r="J615" s="2650" t="s">
        <v>1153</v>
      </c>
      <c r="K615" s="2650" t="s">
        <v>1971</v>
      </c>
      <c r="L615" s="2650">
        <v>6</v>
      </c>
      <c r="M615" s="2650">
        <v>6</v>
      </c>
      <c r="N615" s="2650">
        <v>6</v>
      </c>
      <c r="O615" s="585">
        <v>6</v>
      </c>
      <c r="P615" s="2650">
        <v>6</v>
      </c>
      <c r="Q615" s="2650">
        <v>6</v>
      </c>
      <c r="R615" s="1137">
        <v>0</v>
      </c>
    </row>
    <row r="616" spans="1:39" ht="12.75" customHeight="1" thickBot="1" x14ac:dyDescent="0.25">
      <c r="A616" s="227">
        <v>616</v>
      </c>
      <c r="B616" s="6042"/>
      <c r="C616" s="485"/>
      <c r="D616" s="80" t="s">
        <v>10265</v>
      </c>
      <c r="E616" s="2650">
        <v>0</v>
      </c>
      <c r="F616" s="2650">
        <v>0</v>
      </c>
      <c r="G616" s="2650">
        <v>0</v>
      </c>
      <c r="H616" s="2650">
        <v>0</v>
      </c>
      <c r="I616" s="585">
        <v>0</v>
      </c>
      <c r="J616" s="2650" t="s">
        <v>1153</v>
      </c>
      <c r="K616" s="2650" t="s">
        <v>1971</v>
      </c>
      <c r="L616" s="2650">
        <v>8</v>
      </c>
      <c r="M616" s="2650">
        <v>8</v>
      </c>
      <c r="N616" s="2650">
        <v>8</v>
      </c>
      <c r="O616" s="585">
        <v>8</v>
      </c>
      <c r="P616" s="2650">
        <v>8</v>
      </c>
      <c r="Q616" s="2650">
        <v>8</v>
      </c>
      <c r="R616" s="1137">
        <v>0</v>
      </c>
    </row>
    <row r="617" spans="1:39" ht="12.75" customHeight="1" x14ac:dyDescent="0.2">
      <c r="A617" s="227">
        <v>617</v>
      </c>
      <c r="B617" s="6042"/>
      <c r="C617" s="485"/>
      <c r="D617" s="80" t="s">
        <v>10269</v>
      </c>
      <c r="E617" s="2650">
        <v>0</v>
      </c>
      <c r="F617" s="2650">
        <v>0</v>
      </c>
      <c r="G617" s="2650">
        <v>0</v>
      </c>
      <c r="H617" s="2650">
        <v>0</v>
      </c>
      <c r="I617" s="585">
        <v>0</v>
      </c>
      <c r="J617" s="2650" t="s">
        <v>1153</v>
      </c>
      <c r="K617" s="2650" t="s">
        <v>1971</v>
      </c>
      <c r="L617" s="2650">
        <v>6</v>
      </c>
      <c r="M617" s="2650">
        <v>6</v>
      </c>
      <c r="N617" s="2650">
        <v>6</v>
      </c>
      <c r="O617" s="585">
        <v>6</v>
      </c>
      <c r="P617" s="2650">
        <v>6</v>
      </c>
      <c r="Q617" s="2650">
        <v>6</v>
      </c>
      <c r="R617" s="1137">
        <v>0</v>
      </c>
      <c r="U617" s="6111" t="s">
        <v>1183</v>
      </c>
      <c r="V617" s="6111"/>
      <c r="W617" s="6111"/>
      <c r="X617" s="6111"/>
      <c r="Y617" s="6111"/>
      <c r="Z617" s="6111"/>
      <c r="AA617" s="6111"/>
      <c r="AB617" s="6111"/>
      <c r="AC617" s="6111"/>
      <c r="AD617" s="6111"/>
      <c r="AE617" s="6111"/>
      <c r="AF617" s="6111"/>
      <c r="AG617" s="6111"/>
      <c r="AH617" s="6111"/>
      <c r="AI617" s="6111"/>
    </row>
    <row r="618" spans="1:39" ht="12.75" customHeight="1" thickBot="1" x14ac:dyDescent="0.25">
      <c r="A618" s="227">
        <v>618</v>
      </c>
      <c r="B618" s="6042"/>
      <c r="C618" s="485"/>
      <c r="D618" s="80" t="s">
        <v>10266</v>
      </c>
      <c r="E618" s="2650">
        <v>0</v>
      </c>
      <c r="F618" s="2650">
        <v>0</v>
      </c>
      <c r="G618" s="2650">
        <v>0</v>
      </c>
      <c r="H618" s="2650">
        <v>0</v>
      </c>
      <c r="I618" s="585">
        <v>0</v>
      </c>
      <c r="J618" s="2650" t="s">
        <v>1153</v>
      </c>
      <c r="K618" s="2650" t="s">
        <v>1971</v>
      </c>
      <c r="L618" s="2650">
        <v>8</v>
      </c>
      <c r="M618" s="2650">
        <v>8</v>
      </c>
      <c r="N618" s="2650">
        <v>8</v>
      </c>
      <c r="O618" s="585">
        <v>8</v>
      </c>
      <c r="P618" s="2650">
        <v>8</v>
      </c>
      <c r="Q618" s="2650">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042"/>
      <c r="C619" s="485"/>
      <c r="D619" s="80" t="s">
        <v>10267</v>
      </c>
      <c r="E619" s="2650">
        <v>0</v>
      </c>
      <c r="F619" s="2650">
        <v>0</v>
      </c>
      <c r="G619" s="2650">
        <v>0</v>
      </c>
      <c r="H619" s="2650">
        <v>0</v>
      </c>
      <c r="I619" s="585">
        <v>0</v>
      </c>
      <c r="J619" s="2650" t="s">
        <v>1153</v>
      </c>
      <c r="K619" s="2650" t="s">
        <v>1971</v>
      </c>
      <c r="L619" s="2650">
        <v>10</v>
      </c>
      <c r="M619" s="2650">
        <v>10</v>
      </c>
      <c r="N619" s="2650">
        <v>10</v>
      </c>
      <c r="O619" s="585">
        <v>10</v>
      </c>
      <c r="P619" s="2650">
        <v>10</v>
      </c>
      <c r="Q619" s="2650">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042"/>
      <c r="C620" s="485"/>
      <c r="D620" s="80" t="s">
        <v>10268</v>
      </c>
      <c r="E620" s="2650">
        <v>0</v>
      </c>
      <c r="F620" s="2650">
        <v>0</v>
      </c>
      <c r="G620" s="2650">
        <v>0</v>
      </c>
      <c r="H620" s="2650">
        <v>0</v>
      </c>
      <c r="I620" s="585">
        <v>0</v>
      </c>
      <c r="J620" s="2650" t="s">
        <v>1153</v>
      </c>
      <c r="K620" s="2650" t="s">
        <v>1971</v>
      </c>
      <c r="L620" s="2650">
        <v>12</v>
      </c>
      <c r="M620" s="2650">
        <v>12</v>
      </c>
      <c r="N620" s="2650">
        <v>12</v>
      </c>
      <c r="O620" s="585">
        <v>12</v>
      </c>
      <c r="P620" s="2650">
        <v>12</v>
      </c>
      <c r="Q620" s="2650">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042"/>
      <c r="C621" s="485"/>
      <c r="D621" s="80" t="s">
        <v>10270</v>
      </c>
      <c r="E621" s="2650">
        <v>0</v>
      </c>
      <c r="F621" s="2650">
        <v>0</v>
      </c>
      <c r="G621" s="2650">
        <v>0</v>
      </c>
      <c r="H621" s="2650">
        <v>0</v>
      </c>
      <c r="I621" s="585">
        <v>0</v>
      </c>
      <c r="J621" s="2650" t="s">
        <v>1153</v>
      </c>
      <c r="K621" s="2650" t="s">
        <v>1971</v>
      </c>
      <c r="L621" s="2650">
        <v>2</v>
      </c>
      <c r="M621" s="2650">
        <v>2</v>
      </c>
      <c r="N621" s="2650">
        <v>2</v>
      </c>
      <c r="O621" s="585">
        <v>2</v>
      </c>
      <c r="P621" s="2650">
        <v>2</v>
      </c>
      <c r="Q621" s="2650">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042"/>
      <c r="C622" s="485"/>
      <c r="D622" s="80" t="s">
        <v>10271</v>
      </c>
      <c r="E622" s="2650">
        <v>0</v>
      </c>
      <c r="F622" s="2650">
        <v>0</v>
      </c>
      <c r="G622" s="2650">
        <v>0</v>
      </c>
      <c r="H622" s="2650">
        <v>0</v>
      </c>
      <c r="I622" s="585">
        <v>0</v>
      </c>
      <c r="J622" s="2650" t="s">
        <v>1153</v>
      </c>
      <c r="K622" s="2650" t="s">
        <v>1971</v>
      </c>
      <c r="L622" s="2650">
        <v>4</v>
      </c>
      <c r="M622" s="2650">
        <v>4</v>
      </c>
      <c r="N622" s="2650">
        <v>4</v>
      </c>
      <c r="O622" s="585">
        <v>4</v>
      </c>
      <c r="P622" s="2650">
        <v>4</v>
      </c>
      <c r="Q622" s="2650">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042"/>
      <c r="C623" s="485"/>
      <c r="D623" s="80" t="s">
        <v>10272</v>
      </c>
      <c r="E623" s="2650">
        <v>0</v>
      </c>
      <c r="F623" s="2650">
        <v>0</v>
      </c>
      <c r="G623" s="2650">
        <v>0</v>
      </c>
      <c r="H623" s="2650">
        <v>0</v>
      </c>
      <c r="I623" s="585">
        <v>0</v>
      </c>
      <c r="J623" s="2650" t="s">
        <v>1153</v>
      </c>
      <c r="K623" s="2650" t="s">
        <v>1971</v>
      </c>
      <c r="L623" s="2650">
        <v>6</v>
      </c>
      <c r="M623" s="2650">
        <v>6</v>
      </c>
      <c r="N623" s="2650">
        <v>6</v>
      </c>
      <c r="O623" s="585">
        <v>6</v>
      </c>
      <c r="P623" s="2650">
        <v>6</v>
      </c>
      <c r="Q623" s="2650">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042"/>
      <c r="C624" s="485"/>
      <c r="D624" s="80" t="s">
        <v>10273</v>
      </c>
      <c r="E624" s="2650">
        <v>0</v>
      </c>
      <c r="F624" s="2650">
        <v>0</v>
      </c>
      <c r="G624" s="2650">
        <v>0</v>
      </c>
      <c r="H624" s="2650">
        <v>0</v>
      </c>
      <c r="I624" s="585">
        <v>0</v>
      </c>
      <c r="J624" s="2650" t="s">
        <v>1153</v>
      </c>
      <c r="K624" s="2650" t="s">
        <v>1971</v>
      </c>
      <c r="L624" s="2650">
        <v>8</v>
      </c>
      <c r="M624" s="2650">
        <v>8</v>
      </c>
      <c r="N624" s="2650">
        <v>8</v>
      </c>
      <c r="O624" s="585">
        <v>8</v>
      </c>
      <c r="P624" s="2650">
        <v>8</v>
      </c>
      <c r="Q624" s="2650">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042"/>
      <c r="C625" s="485"/>
      <c r="D625" s="80" t="s">
        <v>10274</v>
      </c>
      <c r="E625" s="2650">
        <v>0</v>
      </c>
      <c r="F625" s="2650">
        <v>0</v>
      </c>
      <c r="G625" s="2650">
        <v>0</v>
      </c>
      <c r="H625" s="2650">
        <v>0</v>
      </c>
      <c r="I625" s="585">
        <v>0</v>
      </c>
      <c r="J625" s="2650" t="s">
        <v>1153</v>
      </c>
      <c r="K625" s="2650" t="s">
        <v>1971</v>
      </c>
      <c r="L625" s="2650">
        <v>4</v>
      </c>
      <c r="M625" s="2650">
        <v>4</v>
      </c>
      <c r="N625" s="2650">
        <v>4</v>
      </c>
      <c r="O625" s="585">
        <v>4</v>
      </c>
      <c r="P625" s="2650">
        <v>4</v>
      </c>
      <c r="Q625" s="2650">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042"/>
      <c r="C626" s="485"/>
      <c r="D626" s="80" t="s">
        <v>10275</v>
      </c>
      <c r="E626" s="2650">
        <v>0</v>
      </c>
      <c r="F626" s="2650">
        <v>0</v>
      </c>
      <c r="G626" s="2650">
        <v>0</v>
      </c>
      <c r="H626" s="2650">
        <v>0</v>
      </c>
      <c r="I626" s="585">
        <v>0</v>
      </c>
      <c r="J626" s="2650" t="s">
        <v>1153</v>
      </c>
      <c r="K626" s="2650" t="s">
        <v>1971</v>
      </c>
      <c r="L626" s="2650">
        <v>0</v>
      </c>
      <c r="M626" s="2650">
        <v>0</v>
      </c>
      <c r="N626" s="2650">
        <v>0</v>
      </c>
      <c r="O626" s="585">
        <v>0</v>
      </c>
      <c r="P626" s="2650">
        <v>0</v>
      </c>
      <c r="Q626" s="2650">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39"/>
      <c r="AK626" s="2839"/>
      <c r="AL626" s="2839"/>
      <c r="AM626" s="2839"/>
      <c r="AN626" s="2839"/>
      <c r="AO626" s="2839"/>
    </row>
    <row r="627" spans="1:92" ht="12.75" customHeight="1" x14ac:dyDescent="0.2">
      <c r="A627" s="227">
        <v>627</v>
      </c>
      <c r="B627" s="6042"/>
      <c r="C627" s="485"/>
      <c r="D627" s="80" t="s">
        <v>10276</v>
      </c>
      <c r="E627" s="2650">
        <v>0</v>
      </c>
      <c r="F627" s="2650">
        <v>0</v>
      </c>
      <c r="G627" s="2650">
        <v>0</v>
      </c>
      <c r="H627" s="2650">
        <v>0</v>
      </c>
      <c r="I627" s="585">
        <v>0</v>
      </c>
      <c r="J627" s="2650" t="s">
        <v>1153</v>
      </c>
      <c r="K627" s="2650" t="s">
        <v>1971</v>
      </c>
      <c r="L627" s="2650">
        <v>0</v>
      </c>
      <c r="M627" s="2650">
        <v>0</v>
      </c>
      <c r="N627" s="2650">
        <v>0</v>
      </c>
      <c r="O627" s="585">
        <v>0</v>
      </c>
      <c r="P627" s="2650">
        <v>0</v>
      </c>
      <c r="Q627" s="2650">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39"/>
      <c r="AK627" s="2839"/>
      <c r="AL627" s="2839"/>
      <c r="AM627" s="2839"/>
      <c r="AN627" s="2839"/>
      <c r="AO627" s="2839"/>
    </row>
    <row r="628" spans="1:92" ht="12.75" customHeight="1" thickBot="1" x14ac:dyDescent="0.25">
      <c r="A628" s="227">
        <v>628</v>
      </c>
      <c r="B628" s="6042"/>
      <c r="C628" s="485"/>
      <c r="D628" s="80" t="s">
        <v>10277</v>
      </c>
      <c r="E628" s="2650">
        <v>0</v>
      </c>
      <c r="F628" s="2650">
        <v>0</v>
      </c>
      <c r="G628" s="2650">
        <v>0</v>
      </c>
      <c r="H628" s="2650">
        <v>0</v>
      </c>
      <c r="I628" s="585">
        <v>0</v>
      </c>
      <c r="J628" s="2650" t="s">
        <v>1153</v>
      </c>
      <c r="K628" s="2650" t="s">
        <v>1971</v>
      </c>
      <c r="L628" s="2650">
        <v>0</v>
      </c>
      <c r="M628" s="2650">
        <v>0</v>
      </c>
      <c r="N628" s="2650">
        <v>0</v>
      </c>
      <c r="O628" s="585">
        <v>0</v>
      </c>
      <c r="P628" s="2650">
        <v>0</v>
      </c>
      <c r="Q628" s="2650">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39"/>
      <c r="AK628" s="2839"/>
      <c r="AL628" s="2839"/>
      <c r="AM628" s="2839"/>
      <c r="AN628" s="2839"/>
      <c r="AO628" s="2839"/>
    </row>
    <row r="629" spans="1:92" ht="12.75" customHeight="1" x14ac:dyDescent="0.2">
      <c r="A629" s="227">
        <v>629</v>
      </c>
      <c r="B629" s="6042"/>
      <c r="C629" s="485"/>
      <c r="D629" s="80" t="s">
        <v>10278</v>
      </c>
      <c r="E629" s="2650">
        <v>0</v>
      </c>
      <c r="F629" s="2650">
        <v>0</v>
      </c>
      <c r="G629" s="2650">
        <v>0</v>
      </c>
      <c r="H629" s="2650">
        <v>0</v>
      </c>
      <c r="I629" s="585">
        <v>0</v>
      </c>
      <c r="J629" s="2650" t="s">
        <v>1153</v>
      </c>
      <c r="K629" s="2650" t="s">
        <v>1971</v>
      </c>
      <c r="L629" s="2650">
        <v>0</v>
      </c>
      <c r="M629" s="2650">
        <v>0</v>
      </c>
      <c r="N629" s="2650">
        <v>0</v>
      </c>
      <c r="O629" s="585">
        <v>0</v>
      </c>
      <c r="P629" s="2650">
        <v>0</v>
      </c>
      <c r="Q629" s="2650">
        <v>0</v>
      </c>
      <c r="R629" s="1137">
        <v>10</v>
      </c>
      <c r="Y629" s="2839"/>
      <c r="Z629" s="2839"/>
      <c r="AA629" s="2839"/>
      <c r="AB629" s="2839"/>
      <c r="AC629" s="2839"/>
      <c r="AD629" s="2839"/>
      <c r="AE629" s="2839"/>
      <c r="AF629" s="2839"/>
      <c r="AG629" s="2839"/>
      <c r="AH629" s="2839"/>
      <c r="AI629" s="2839"/>
      <c r="AJ629" s="2839"/>
      <c r="AK629" s="2839"/>
    </row>
    <row r="630" spans="1:92" ht="12.75" customHeight="1" x14ac:dyDescent="0.2">
      <c r="A630" s="227">
        <v>630</v>
      </c>
      <c r="B630" s="6042"/>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042"/>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042"/>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042"/>
    </row>
    <row r="634" spans="1:92" ht="12.75" customHeight="1" x14ac:dyDescent="0.2">
      <c r="A634" s="227">
        <v>634</v>
      </c>
      <c r="B634" s="6042"/>
      <c r="C634" s="6174" t="s">
        <v>2095</v>
      </c>
      <c r="D634" s="6175"/>
      <c r="E634" s="6175"/>
      <c r="F634" s="6175"/>
      <c r="G634" s="6175"/>
      <c r="H634" s="6175"/>
      <c r="I634" s="6175"/>
      <c r="J634" s="6175"/>
      <c r="K634" s="6175"/>
      <c r="L634" s="6175"/>
      <c r="M634" s="6175"/>
      <c r="N634" s="6175"/>
      <c r="O634" s="6175"/>
      <c r="P634" s="6175"/>
      <c r="Q634" s="6175"/>
      <c r="R634" s="6175"/>
      <c r="S634" s="6175"/>
      <c r="T634" s="6175"/>
      <c r="U634" s="6175"/>
      <c r="V634" s="6175"/>
      <c r="W634" s="6175"/>
      <c r="X634" s="6175"/>
      <c r="Y634" s="6176"/>
      <c r="Z634" s="5934" t="s">
        <v>7228</v>
      </c>
      <c r="AA634" s="3158" t="s">
        <v>10486</v>
      </c>
      <c r="AC634" s="6086" t="s">
        <v>1205</v>
      </c>
      <c r="AD634" s="6087"/>
      <c r="AE634" s="6087"/>
      <c r="AF634" s="6087"/>
      <c r="AG634" s="6087"/>
      <c r="AH634" s="6087"/>
      <c r="AI634" s="6087"/>
      <c r="AJ634" s="6087"/>
      <c r="AK634" s="6087"/>
      <c r="AL634" s="6087"/>
      <c r="AM634" s="6087"/>
      <c r="AN634" s="6087"/>
      <c r="AO634" s="6087"/>
      <c r="AP634" s="6087"/>
      <c r="AQ634" s="6087"/>
      <c r="AR634" s="6087"/>
      <c r="AS634" s="6087"/>
      <c r="AT634" s="6087"/>
      <c r="AU634" s="6087"/>
      <c r="AV634" s="6088"/>
      <c r="AX634" s="555"/>
      <c r="AY634" s="555"/>
      <c r="AZ634" s="6292" t="s">
        <v>8730</v>
      </c>
      <c r="BA634" s="6292"/>
      <c r="BB634" s="6292"/>
      <c r="BC634" s="6292"/>
      <c r="BD634" s="6292"/>
      <c r="BE634" s="6292"/>
      <c r="BF634" s="6292"/>
      <c r="BG634" s="6292"/>
      <c r="BH634" s="6292"/>
      <c r="BI634" s="6292"/>
      <c r="BJ634" s="6292"/>
      <c r="BK634" s="6292"/>
      <c r="BL634" s="6292"/>
      <c r="BM634" s="6292"/>
      <c r="BN634" s="6292"/>
      <c r="BO634" s="6292"/>
      <c r="BP634" s="6292"/>
      <c r="BQ634" s="6292"/>
      <c r="BR634" s="6292"/>
      <c r="BS634" s="6292"/>
      <c r="BT634" s="6292"/>
      <c r="BU634" s="6292"/>
      <c r="BV634" s="6292"/>
      <c r="BW634" s="6292"/>
      <c r="BX634" s="6292"/>
      <c r="BY634" s="6292"/>
      <c r="BZ634" s="6292"/>
      <c r="CA634" s="6292"/>
      <c r="CB634" s="6292"/>
      <c r="CC634" s="6292"/>
      <c r="CD634" s="6292"/>
      <c r="CE634" s="6292"/>
      <c r="CF634" s="6292"/>
      <c r="CG634" s="6292"/>
      <c r="CH634" s="6292"/>
      <c r="CI634" s="6292"/>
      <c r="CJ634" s="6292"/>
      <c r="CK634" s="6292"/>
      <c r="CL634" s="6292"/>
      <c r="CM634" s="6292"/>
      <c r="CN634" s="6292"/>
    </row>
    <row r="635" spans="1:92" ht="12.75" customHeight="1" thickBot="1" x14ac:dyDescent="0.25">
      <c r="A635" s="227">
        <v>635</v>
      </c>
      <c r="B635" s="6042"/>
      <c r="C635" s="6177"/>
      <c r="D635" s="6178"/>
      <c r="E635" s="6178"/>
      <c r="F635" s="6178"/>
      <c r="G635" s="6178"/>
      <c r="H635" s="6178"/>
      <c r="I635" s="6178"/>
      <c r="J635" s="6178"/>
      <c r="K635" s="6178"/>
      <c r="L635" s="6178"/>
      <c r="M635" s="6178"/>
      <c r="N635" s="6178"/>
      <c r="O635" s="6178"/>
      <c r="P635" s="6178"/>
      <c r="Q635" s="6178"/>
      <c r="R635" s="6178"/>
      <c r="S635" s="6178"/>
      <c r="T635" s="6178"/>
      <c r="U635" s="6178"/>
      <c r="V635" s="6178"/>
      <c r="W635" s="6178"/>
      <c r="X635" s="6178"/>
      <c r="Y635" s="6179"/>
      <c r="Z635" s="6202"/>
      <c r="AA635" s="3188"/>
      <c r="AC635" s="6143"/>
      <c r="AD635" s="6151"/>
      <c r="AE635" s="6151"/>
      <c r="AF635" s="6151"/>
      <c r="AG635" s="6151"/>
      <c r="AH635" s="6151"/>
      <c r="AI635" s="6151"/>
      <c r="AJ635" s="6151"/>
      <c r="AK635" s="6151"/>
      <c r="AL635" s="6151"/>
      <c r="AM635" s="6151"/>
      <c r="AN635" s="6151"/>
      <c r="AO635" s="6151"/>
      <c r="AP635" s="6151"/>
      <c r="AQ635" s="6151"/>
      <c r="AR635" s="6151"/>
      <c r="AS635" s="6151"/>
      <c r="AT635" s="6151"/>
      <c r="AU635" s="6151"/>
      <c r="AV635" s="6144"/>
      <c r="AX635" s="555"/>
      <c r="AY635" s="555"/>
      <c r="AZ635" s="6292"/>
      <c r="BA635" s="6292"/>
      <c r="BB635" s="6292"/>
      <c r="BC635" s="6292"/>
      <c r="BD635" s="6292"/>
      <c r="BE635" s="6292"/>
      <c r="BF635" s="6292"/>
      <c r="BG635" s="6292"/>
      <c r="BH635" s="6292"/>
      <c r="BI635" s="6292"/>
      <c r="BJ635" s="6292"/>
      <c r="BK635" s="6292"/>
      <c r="BL635" s="6292"/>
      <c r="BM635" s="6292"/>
      <c r="BN635" s="6292"/>
      <c r="BO635" s="6292"/>
      <c r="BP635" s="6292"/>
      <c r="BQ635" s="6292"/>
      <c r="BR635" s="6292"/>
      <c r="BS635" s="6292"/>
      <c r="BT635" s="6292"/>
      <c r="BU635" s="6292"/>
      <c r="BV635" s="6292"/>
      <c r="BW635" s="6292"/>
      <c r="BX635" s="6292"/>
      <c r="BY635" s="6292"/>
      <c r="BZ635" s="6292"/>
      <c r="CA635" s="6292"/>
      <c r="CB635" s="6292"/>
      <c r="CC635" s="6292"/>
      <c r="CD635" s="6292"/>
      <c r="CE635" s="6292"/>
      <c r="CF635" s="6292"/>
      <c r="CG635" s="6292"/>
      <c r="CH635" s="6292"/>
      <c r="CI635" s="6292"/>
      <c r="CJ635" s="6292"/>
      <c r="CK635" s="6292"/>
      <c r="CL635" s="6292"/>
      <c r="CM635" s="6292"/>
      <c r="CN635" s="6292"/>
    </row>
    <row r="636" spans="1:92" ht="12.75" customHeight="1" thickBot="1" x14ac:dyDescent="0.25">
      <c r="A636" s="227">
        <v>636</v>
      </c>
      <c r="B636" s="6042"/>
      <c r="C636" s="1058"/>
      <c r="D636" s="2612">
        <v>1</v>
      </c>
      <c r="E636" s="2612">
        <v>2</v>
      </c>
      <c r="F636" s="2612">
        <v>3</v>
      </c>
      <c r="G636" s="2612">
        <v>4</v>
      </c>
      <c r="H636" s="2612">
        <v>5</v>
      </c>
      <c r="I636" s="2612">
        <v>6</v>
      </c>
      <c r="J636" s="2612">
        <v>7</v>
      </c>
      <c r="K636" s="2612">
        <v>8</v>
      </c>
      <c r="L636" s="2612">
        <v>9</v>
      </c>
      <c r="M636" s="2612">
        <v>10</v>
      </c>
      <c r="N636" s="2612">
        <v>11</v>
      </c>
      <c r="O636" s="2612">
        <v>12</v>
      </c>
      <c r="P636" s="2612">
        <v>13</v>
      </c>
      <c r="Q636" s="2612">
        <v>14</v>
      </c>
      <c r="R636" s="2612">
        <v>15</v>
      </c>
      <c r="S636" s="2612">
        <v>16</v>
      </c>
      <c r="T636" s="2612">
        <v>17</v>
      </c>
      <c r="U636" s="2612">
        <v>18</v>
      </c>
      <c r="V636" s="2612">
        <v>19</v>
      </c>
      <c r="W636" s="2612">
        <v>20</v>
      </c>
      <c r="X636" s="2612">
        <v>21</v>
      </c>
      <c r="Y636" s="1059">
        <v>22</v>
      </c>
      <c r="Z636" s="5935"/>
      <c r="AA636" s="3188"/>
      <c r="AC636" s="6307" t="s">
        <v>8617</v>
      </c>
      <c r="AD636" s="6299"/>
      <c r="AE636" s="6299"/>
      <c r="AF636" s="6299"/>
      <c r="AG636" s="6300"/>
      <c r="AH636" s="6307" t="s">
        <v>1578</v>
      </c>
      <c r="AI636" s="6299"/>
      <c r="AJ636" s="6299"/>
      <c r="AK636" s="6299"/>
      <c r="AL636" s="6300"/>
      <c r="AM636" s="6307" t="s">
        <v>8545</v>
      </c>
      <c r="AN636" s="6299"/>
      <c r="AO636" s="6299"/>
      <c r="AP636" s="6299"/>
      <c r="AQ636" s="6299"/>
      <c r="AR636" s="6299" t="s">
        <v>8618</v>
      </c>
      <c r="AS636" s="6299"/>
      <c r="AT636" s="6299"/>
      <c r="AU636" s="6299"/>
      <c r="AV636" s="6300"/>
      <c r="AX636" s="555"/>
      <c r="AY636" s="3025"/>
      <c r="AZ636" s="4825" t="s">
        <v>8716</v>
      </c>
      <c r="BA636" s="4958"/>
      <c r="BB636" s="4958"/>
      <c r="BC636" s="4958"/>
      <c r="BD636" s="4959"/>
      <c r="BE636" s="1361">
        <f>PDs!Y43</f>
        <v>0</v>
      </c>
      <c r="BF636" s="3025"/>
      <c r="BG636" s="4825" t="s">
        <v>8717</v>
      </c>
      <c r="BH636" s="4958"/>
      <c r="BI636" s="4958"/>
      <c r="BJ636" s="6299"/>
      <c r="BK636" s="6300"/>
      <c r="BL636" s="1361">
        <f>PDs!Y44</f>
        <v>0</v>
      </c>
      <c r="BM636" s="3025"/>
      <c r="BN636" s="4825" t="s">
        <v>8718</v>
      </c>
      <c r="BO636" s="4958"/>
      <c r="BP636" s="4958"/>
      <c r="BQ636" s="4958"/>
      <c r="BR636" s="4959"/>
      <c r="BS636" s="1361">
        <f>PDs!Y45</f>
        <v>0</v>
      </c>
      <c r="BT636" s="3025"/>
      <c r="BU636" s="4825" t="s">
        <v>8719</v>
      </c>
      <c r="BV636" s="4958"/>
      <c r="BW636" s="4958"/>
      <c r="BX636" s="4958"/>
      <c r="BY636" s="4959"/>
      <c r="BZ636" s="1361">
        <f>PDs!Y46</f>
        <v>0</v>
      </c>
      <c r="CA636" s="3025"/>
      <c r="CB636" s="4825" t="s">
        <v>8720</v>
      </c>
      <c r="CC636" s="4958"/>
      <c r="CD636" s="4958"/>
      <c r="CE636" s="4958"/>
      <c r="CF636" s="4959"/>
      <c r="CG636" s="1361">
        <f>PDs!Y47</f>
        <v>0</v>
      </c>
      <c r="CI636" s="4825" t="s">
        <v>8721</v>
      </c>
      <c r="CJ636" s="4958"/>
      <c r="CK636" s="4958"/>
      <c r="CL636" s="4958"/>
      <c r="CM636" s="4959"/>
      <c r="CN636" s="1361">
        <f>PDs!Y48</f>
        <v>0</v>
      </c>
    </row>
    <row r="637" spans="1:92" ht="12.75" customHeight="1" thickBot="1" x14ac:dyDescent="0.25">
      <c r="A637" s="227">
        <v>637</v>
      </c>
      <c r="B637" s="6042"/>
      <c r="C637" s="2623"/>
      <c r="D637" s="2862" t="s">
        <v>1414</v>
      </c>
      <c r="E637" s="2862" t="s">
        <v>1565</v>
      </c>
      <c r="F637" s="2862" t="s">
        <v>1392</v>
      </c>
      <c r="G637" s="2862" t="s">
        <v>2096</v>
      </c>
      <c r="H637" s="2862" t="s">
        <v>2097</v>
      </c>
      <c r="I637" s="2862" t="s">
        <v>2098</v>
      </c>
      <c r="J637" s="2862" t="s">
        <v>2099</v>
      </c>
      <c r="K637" s="2862" t="s">
        <v>2100</v>
      </c>
      <c r="L637" s="2862" t="s">
        <v>7278</v>
      </c>
      <c r="M637" s="2862" t="s">
        <v>1963</v>
      </c>
      <c r="N637" s="2862" t="s">
        <v>1569</v>
      </c>
      <c r="O637" s="2862" t="s">
        <v>2101</v>
      </c>
      <c r="P637" s="2862" t="s">
        <v>2102</v>
      </c>
      <c r="Q637" s="2862" t="s">
        <v>2103</v>
      </c>
      <c r="R637" s="2862" t="s">
        <v>2104</v>
      </c>
      <c r="S637" s="2862" t="s">
        <v>2105</v>
      </c>
      <c r="T637" s="2862" t="s">
        <v>2106</v>
      </c>
      <c r="U637" s="2862" t="s">
        <v>2107</v>
      </c>
      <c r="V637" s="2624" t="s">
        <v>1476</v>
      </c>
      <c r="W637" s="2624"/>
      <c r="X637" s="2624" t="s">
        <v>1900</v>
      </c>
      <c r="Y637" s="2625" t="s">
        <v>10060</v>
      </c>
      <c r="Z637" s="2626"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88"/>
      <c r="AC637" s="6392" t="str">
        <f ca="1">"Tablas!"&amp;ADDRESS(ROW(AF639),COLUMN(AF639))&amp;":"&amp;ADDRESS(ROW(AF639)+COUNTIF(AF640:AF774,"?*"),COLUMN(AF639))</f>
        <v>Tablas!$AF$639:$AF$758</v>
      </c>
      <c r="AD637" s="6393"/>
      <c r="AE637" s="6387" t="s">
        <v>10484</v>
      </c>
      <c r="AF637" s="6387"/>
      <c r="AG637" s="3065">
        <f ca="1">MAX(AD646:AD774)+COUNTIF(AD639:AD644,"&gt;0")</f>
        <v>0</v>
      </c>
      <c r="AH637" s="6392" t="str">
        <f ca="1">"Tablas!"&amp;ADDRESS(ROW(AK639),COLUMN(AK639))&amp;":"&amp;ADDRESS(ROW(AK639)+COUNTIF(AK640:AK774,"?*"),COLUMN(AK639))</f>
        <v>Tablas!$AK$639:$AK$695</v>
      </c>
      <c r="AI637" s="6393"/>
      <c r="AJ637" s="6387" t="s">
        <v>10484</v>
      </c>
      <c r="AK637" s="6387"/>
      <c r="AL637" s="3065">
        <f ca="1">MAX(AI646:AI774)+COUNTIF(AI639:AI644,"&gt;0")</f>
        <v>0</v>
      </c>
      <c r="AM637" s="6392" t="str">
        <f ca="1">"Tablas!"&amp;ADDRESS(ROW(AP639),COLUMN(AP639))&amp;":"&amp;ADDRESS(ROW(AP639)+COUNTIF(AP640:AP774,"?*"),COLUMN(AP639))</f>
        <v>Tablas!$AP$639:$AP$654</v>
      </c>
      <c r="AN637" s="6393"/>
      <c r="AO637" s="6387" t="s">
        <v>10484</v>
      </c>
      <c r="AP637" s="6387"/>
      <c r="AQ637" s="3065">
        <f ca="1">MAX(AN646:AN774)+COUNTIF(AN639:AN644,"&gt;0")</f>
        <v>0</v>
      </c>
      <c r="AR637" s="6392" t="str">
        <f ca="1">"Tablas!"&amp;ADDRESS(ROW(AU639),COLUMN(AU639))&amp;":"&amp;ADDRESS(ROW(AU639)+COUNTIF(AU640:AU774,"?*"),COLUMN(AU639))</f>
        <v>Tablas!$AU$639:$AU$659</v>
      </c>
      <c r="AS637" s="6393"/>
      <c r="AT637" s="6387" t="s">
        <v>10484</v>
      </c>
      <c r="AU637" s="6387"/>
      <c r="AV637" s="3067">
        <f ca="1">MAX(AS646:AS774)+COUNTIF(AS639:AS644,"&gt;0")</f>
        <v>0</v>
      </c>
      <c r="AX637" s="555"/>
      <c r="AY637" s="3025"/>
      <c r="AZ637" s="1611" t="s">
        <v>1211</v>
      </c>
      <c r="BA637" s="1612" t="s">
        <v>1210</v>
      </c>
      <c r="BB637" s="1627" t="s">
        <v>1209</v>
      </c>
      <c r="BC637" s="1611" t="s">
        <v>1211</v>
      </c>
      <c r="BD637" s="1612" t="s">
        <v>1210</v>
      </c>
      <c r="BE637" s="1627" t="s">
        <v>1209</v>
      </c>
      <c r="BF637" s="3025"/>
      <c r="BG637" s="1611" t="s">
        <v>1211</v>
      </c>
      <c r="BH637" s="1612" t="s">
        <v>1210</v>
      </c>
      <c r="BI637" s="1627" t="s">
        <v>1209</v>
      </c>
      <c r="BJ637" s="1611" t="s">
        <v>1211</v>
      </c>
      <c r="BK637" s="1612" t="s">
        <v>1210</v>
      </c>
      <c r="BL637" s="1627" t="s">
        <v>1209</v>
      </c>
      <c r="BM637" s="3025"/>
      <c r="BN637" s="1611" t="s">
        <v>1211</v>
      </c>
      <c r="BO637" s="1612" t="s">
        <v>1210</v>
      </c>
      <c r="BP637" s="1627" t="s">
        <v>1209</v>
      </c>
      <c r="BQ637" s="1611" t="s">
        <v>1211</v>
      </c>
      <c r="BR637" s="1612" t="s">
        <v>1210</v>
      </c>
      <c r="BS637" s="1627" t="s">
        <v>1209</v>
      </c>
      <c r="BT637" s="3025"/>
      <c r="BU637" s="1611" t="s">
        <v>1211</v>
      </c>
      <c r="BV637" s="1612" t="s">
        <v>1210</v>
      </c>
      <c r="BW637" s="1627" t="s">
        <v>1209</v>
      </c>
      <c r="BX637" s="1611" t="s">
        <v>1211</v>
      </c>
      <c r="BY637" s="1612" t="s">
        <v>1210</v>
      </c>
      <c r="BZ637" s="1627" t="s">
        <v>1209</v>
      </c>
      <c r="CA637" s="3025"/>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042"/>
      <c r="C638" s="2865"/>
      <c r="D638" s="2866" t="s">
        <v>2108</v>
      </c>
      <c r="E638" s="2867"/>
      <c r="F638" s="2867"/>
      <c r="G638" s="2867"/>
      <c r="H638" s="2867"/>
      <c r="I638" s="2867"/>
      <c r="J638" s="2867"/>
      <c r="K638" s="2868" t="s">
        <v>7277</v>
      </c>
      <c r="L638" s="2869" t="str">
        <f>IF(ISNUMBER(SEARCH($D638,Armas_Conocidas)),"Conocida",IF(ISNUMBER(SEARCH(LEFT($K638,SEARCH("/",$K638)),Tipologías_Conocidas)),IF(ISNUMBER(SEARCH($K638,Tipologías_Conocidas)),"Similar","Mixta"),"Distinta"))</f>
        <v>Conocida</v>
      </c>
      <c r="M638" s="2867"/>
      <c r="N638" s="2867"/>
      <c r="O638" s="2867"/>
      <c r="P638" s="2867"/>
      <c r="Q638" s="2867"/>
      <c r="R638" s="2867"/>
      <c r="S638" s="2867"/>
      <c r="T638" s="2867"/>
      <c r="U638" s="2867"/>
      <c r="V638" s="2868"/>
      <c r="W638" s="2867"/>
      <c r="X638" s="2870" t="s">
        <v>8680</v>
      </c>
      <c r="Y638" s="2871">
        <f>Bono_Fue</f>
        <v>0</v>
      </c>
      <c r="Z638" s="1259" t="str">
        <f>IF(AND(K638&lt;&gt;"Natural/-",ISNUMBER(SEARCH(D638&amp;",",Armas_Conocidas))),", "&amp;K638,"")</f>
        <v/>
      </c>
      <c r="AA638" s="1316" t="str">
        <f>IF(AND($K$638:$K$840&lt;&gt;"Natural/-",ISNUMBER(SEARCH($D$638:$D$840,Armas_Conocidas))),CONCATENATE($K$638:$K$840),"")</f>
        <v/>
      </c>
      <c r="AC638" s="3047" t="s">
        <v>10477</v>
      </c>
      <c r="AD638" s="3048" t="s">
        <v>10478</v>
      </c>
      <c r="AE638" s="3048" t="s">
        <v>10479</v>
      </c>
      <c r="AF638" s="3048" t="s">
        <v>10480</v>
      </c>
      <c r="AG638" s="3048" t="s">
        <v>10487</v>
      </c>
      <c r="AH638" s="3047" t="s">
        <v>10477</v>
      </c>
      <c r="AI638" s="3048" t="s">
        <v>10478</v>
      </c>
      <c r="AJ638" s="3048" t="s">
        <v>10479</v>
      </c>
      <c r="AK638" s="3048" t="s">
        <v>10480</v>
      </c>
      <c r="AL638" s="3049" t="s">
        <v>10487</v>
      </c>
      <c r="AM638" s="3047" t="s">
        <v>10477</v>
      </c>
      <c r="AN638" s="3048" t="s">
        <v>10478</v>
      </c>
      <c r="AO638" s="3048" t="s">
        <v>10479</v>
      </c>
      <c r="AP638" s="3048" t="s">
        <v>10480</v>
      </c>
      <c r="AQ638" s="3049" t="s">
        <v>10487</v>
      </c>
      <c r="AR638" s="3047" t="s">
        <v>10477</v>
      </c>
      <c r="AS638" s="3048" t="s">
        <v>10478</v>
      </c>
      <c r="AT638" s="3048" t="s">
        <v>10479</v>
      </c>
      <c r="AU638" s="3048" t="s">
        <v>10480</v>
      </c>
      <c r="AV638" s="3049" t="s">
        <v>10487</v>
      </c>
      <c r="AX638" s="5934" t="s">
        <v>10476</v>
      </c>
      <c r="AY638" s="3025"/>
      <c r="AZ638" s="1358" t="s">
        <v>8330</v>
      </c>
      <c r="BA638" s="1359" t="s">
        <v>8330</v>
      </c>
      <c r="BB638" s="1360" t="s">
        <v>8330</v>
      </c>
      <c r="BC638" s="1358" t="s">
        <v>2636</v>
      </c>
      <c r="BD638" s="1359" t="s">
        <v>2636</v>
      </c>
      <c r="BE638" s="1360" t="s">
        <v>2636</v>
      </c>
      <c r="BF638" s="3025"/>
      <c r="BG638" s="1358" t="s">
        <v>8330</v>
      </c>
      <c r="BH638" s="1359" t="s">
        <v>8330</v>
      </c>
      <c r="BI638" s="1360" t="s">
        <v>8330</v>
      </c>
      <c r="BJ638" s="1358" t="s">
        <v>2636</v>
      </c>
      <c r="BK638" s="1359" t="s">
        <v>2636</v>
      </c>
      <c r="BL638" s="1360" t="s">
        <v>2636</v>
      </c>
      <c r="BM638" s="3025"/>
      <c r="BN638" s="1358" t="s">
        <v>8330</v>
      </c>
      <c r="BO638" s="1359" t="s">
        <v>8330</v>
      </c>
      <c r="BP638" s="1360" t="s">
        <v>8330</v>
      </c>
      <c r="BQ638" s="1358" t="s">
        <v>2636</v>
      </c>
      <c r="BR638" s="1359" t="s">
        <v>2636</v>
      </c>
      <c r="BS638" s="1360" t="s">
        <v>2636</v>
      </c>
      <c r="BT638" s="3025"/>
      <c r="BU638" s="1358" t="s">
        <v>8330</v>
      </c>
      <c r="BV638" s="1359" t="s">
        <v>8330</v>
      </c>
      <c r="BW638" s="1360" t="s">
        <v>8330</v>
      </c>
      <c r="BX638" s="1358" t="s">
        <v>2636</v>
      </c>
      <c r="BY638" s="1359" t="s">
        <v>2636</v>
      </c>
      <c r="BZ638" s="1360" t="s">
        <v>2636</v>
      </c>
      <c r="CA638" s="3025"/>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042"/>
      <c r="C639" s="1141"/>
      <c r="D639" s="2614"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6" t="str">
        <f>IF(Raza="Ebudan","Mandoble/-","Natural/-")</f>
        <v>Natural/-</v>
      </c>
      <c r="L639" s="2615" t="str">
        <f>IF(OR(Arma_Desarrollada=$D639,COUNTIF(PDs!Y43:AA48,$D639)&gt;0,$R$1250&gt;0,$P$256&gt;0,$R$1657&gt;0),"Conocida","Distinta")</f>
        <v>Distinta</v>
      </c>
      <c r="M639" s="2616">
        <f>IF(Raza="Ebudan","20",VLOOKUP(Tamaño,$W$47:$AF$54,10))</f>
        <v>4</v>
      </c>
      <c r="N639" s="2616">
        <f>IF(Raza="Ebudan","5",VLOOKUP(Tamaño,$W$47:$AF$54,9))+$S$1673</f>
        <v>-4</v>
      </c>
      <c r="O639" s="2617"/>
      <c r="P639" s="2405"/>
      <c r="Q639" s="2405"/>
      <c r="R639" s="2405"/>
      <c r="S639" s="2405" t="str">
        <f>IF(R1657=0,"-",IF(R1659&gt;0,0,IF(R1658&gt;0,"1h","1 sem.")))</f>
        <v>-</v>
      </c>
      <c r="T639" s="2405">
        <f>IF($R$1657=0,0,IF($R$1660&gt;0,100,30))</f>
        <v>0</v>
      </c>
      <c r="U639" s="2405">
        <f>FUE</f>
        <v>0</v>
      </c>
      <c r="V639" s="260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8"/>
      <c r="X639" s="2860" t="str">
        <f t="shared" ref="X639:X644" si="75">IF(K639="/","",IF(OR(ISNUMBER(FIND("Mandoble",K639)),ISNUMBER(FIND("Asta",K639))),"Grande",IF(ISNUMBER(FIND("Corta",K639)),"Pequeña","Mediana")))</f>
        <v>Mediana</v>
      </c>
      <c r="Y639" s="2603">
        <f>Bono_Fue</f>
        <v>0</v>
      </c>
      <c r="Z639" s="1259" t="str">
        <f>IF(AND(K639&lt;&gt;"Natural/-",ISNUMBER(SEARCH(D639&amp;",",Armas_Conocidas))),", "&amp;K639,"")</f>
        <v/>
      </c>
      <c r="AA639" s="1955"/>
      <c r="AC639" s="3053" t="s">
        <v>10483</v>
      </c>
      <c r="AD639" s="3051">
        <f t="array" aca="1" ref="AD639" ca="1">MIN(IF(AD647:AD650&gt;0,AD647:AD650))</f>
        <v>0</v>
      </c>
      <c r="AE639" s="3051">
        <f ca="1">AD639</f>
        <v>0</v>
      </c>
      <c r="AF639" s="3066" t="s">
        <v>10482</v>
      </c>
      <c r="AG639" s="3073" t="str">
        <f ca="1">IF(AG640="Armas naturales","","Armas naturales")</f>
        <v>Armas naturales</v>
      </c>
      <c r="AH639" s="3053" t="s">
        <v>10483</v>
      </c>
      <c r="AI639" s="3051">
        <f t="array" ref="AI639">MIN(IF(AI647:AI649&gt;0,AI647:AI649))</f>
        <v>0</v>
      </c>
      <c r="AJ639" s="3051">
        <f>AI639</f>
        <v>0</v>
      </c>
      <c r="AK639" s="3066" t="s">
        <v>10482</v>
      </c>
      <c r="AL639" s="3073"/>
      <c r="AM639" s="3053" t="s">
        <v>10483</v>
      </c>
      <c r="AN639" s="3051">
        <f t="array" ref="AN639">MIN(IF(AN648:AN650&gt;0,AN648:AN650))</f>
        <v>0</v>
      </c>
      <c r="AO639" s="3051">
        <f>AN639</f>
        <v>0</v>
      </c>
      <c r="AP639" s="3066" t="s">
        <v>10482</v>
      </c>
      <c r="AQ639" s="3074"/>
      <c r="AR639" s="3053" t="s">
        <v>10483</v>
      </c>
      <c r="AS639" s="3051">
        <f t="array" ref="AS639">MIN(IF(AS647:AS649&gt;0,AS647:AS649))</f>
        <v>0</v>
      </c>
      <c r="AT639" s="3051">
        <f>AS639</f>
        <v>0</v>
      </c>
      <c r="AU639" s="3066" t="s">
        <v>10482</v>
      </c>
      <c r="AV639" s="3075"/>
      <c r="AX639" s="6202"/>
      <c r="AY639" s="3025"/>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5"/>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5"/>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5"/>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5"/>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042"/>
      <c r="C640" s="1141"/>
      <c r="D640" s="2614"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6" t="str">
        <f>IF(Personalización!$W$20="","-",Personalización!$W$20)&amp;"/"&amp;IF(Personalización!$W$21="","-",Personalización!$W$21)</f>
        <v>-/-</v>
      </c>
      <c r="L640" s="2615"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6">
        <f>Personalización!$AC$21</f>
        <v>0</v>
      </c>
      <c r="N640" s="2616">
        <f>Personalización!$AD$21</f>
        <v>0</v>
      </c>
      <c r="O640" s="2616">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6" t="str">
        <f>IF(Personalización!$AC$18="","",Personalización!$AC$18)</f>
        <v/>
      </c>
      <c r="W640" s="2858"/>
      <c r="X640" s="2860" t="str">
        <f t="shared" si="75"/>
        <v>Mediana</v>
      </c>
      <c r="Y640" s="2603">
        <f>IF(Personalización!$Z$21="N/A",0,IF(Personalización!$Z$21="",Bono_Fue,VLOOKUP(Personalización!$Z$21,Tabla_Características,5,0)))</f>
        <v>0</v>
      </c>
      <c r="Z640" s="1259" t="str">
        <f>IF(AND(K640&lt;&gt;"Natural/-",ISNUMBER(SEARCH(D640&amp;",",Armas_Conocidas))),", "&amp;K640,"")</f>
        <v/>
      </c>
      <c r="AA640" s="1955" t="s">
        <v>10483</v>
      </c>
      <c r="AC640" s="3050" t="s">
        <v>2109</v>
      </c>
      <c r="AD640" s="3051">
        <f t="array" ref="AD640">MIN(IF(AD652:AD711&gt;0,AD652:AD711))</f>
        <v>0</v>
      </c>
      <c r="AE640" s="3051">
        <f>IF(AD640&gt;0,AD640+COUNTIF(AE$639:AE639,"&gt;0"),0)</f>
        <v>0</v>
      </c>
      <c r="AF640" s="2847" t="str">
        <f ca="1">IFERROR(INDEX(AC$639:AC$774,MATCH($A1,AE$639:AE$774,0)),"")</f>
        <v>-- NO CONOCIDAS --</v>
      </c>
      <c r="AG640" s="2847" t="str">
        <f ca="1">IF($A1&lt;MIN(AE$645,IF($AE$643&gt;0,$AE$643,9999),IF($AE$644&gt;0,$AE$644,9999)),IFERROR(INDEX(AC$639:AC$774,MATCH($A1,AE$639:AE$774,0)),""),"")</f>
        <v/>
      </c>
      <c r="AH640" s="3050" t="s">
        <v>2109</v>
      </c>
      <c r="AI640" s="3051">
        <f t="array" ref="AI640">MIN(IF(AI651:AI677&gt;0,AI651:AI677))</f>
        <v>0</v>
      </c>
      <c r="AJ640" s="3051">
        <f>IF(AI640&gt;0,AI640+COUNTIF(AJ$639:AJ639,"&gt;0"),0)</f>
        <v>0</v>
      </c>
      <c r="AK640" s="2847" t="str">
        <f t="shared" ref="AK640:AK671" ca="1" si="76">IFERROR(INDEX(AH$639:AH$774,MATCH($A1,AJ$639:AJ$774,0)),"")</f>
        <v>-- NO CONOCIDAS --</v>
      </c>
      <c r="AL640" s="2847" t="str">
        <f ca="1">IF($A1&lt;MIN(AJ$645,IF($AJ$642&gt;0,$AJ$642,9999)),IFERROR(INDEX(AH$639:AH$774,MATCH($A1,AJ$639:AJ$774,0)),""),"")</f>
        <v/>
      </c>
      <c r="AM640" s="3053" t="s">
        <v>2194</v>
      </c>
      <c r="AN640" s="3051">
        <f t="array" ref="AN640">MIN(IF(AN652:AN659&gt;0,AN652:AN659))</f>
        <v>0</v>
      </c>
      <c r="AO640" s="3051">
        <f>IF(AN640&gt;0,AN640+COUNTIF(AO$639:AO639,"&gt;0"),0)</f>
        <v>0</v>
      </c>
      <c r="AP640" s="2847" t="str">
        <f t="shared" ref="AP640:AP671" ca="1" si="77">IFERROR(INDEX(AM$639:AM$774,MATCH($A1,AO$639:AO$774,0)),"")</f>
        <v>-- NO CONOCIDAS --</v>
      </c>
      <c r="AQ640" s="3073" t="str">
        <f ca="1">IF($A1&lt;MIN(AO$645,IF($AO$641&gt;0,$AO$641,9999)),IFERROR(INDEX(AM$639:AM$774,MATCH($A1,AO$639:AO$774,0)),""),"")</f>
        <v/>
      </c>
      <c r="AR640" s="3050" t="s">
        <v>2194</v>
      </c>
      <c r="AS640" s="3051">
        <f t="array" ref="AS640">MIN(IF(AS651:AS659&gt;0,AS651:AS659))</f>
        <v>0</v>
      </c>
      <c r="AT640" s="3051">
        <f>IF(AS640&gt;0,AS640+COUNTIF(AT$639:AT639,"&gt;0"),0)</f>
        <v>0</v>
      </c>
      <c r="AU640" s="2847" t="str">
        <f t="shared" ref="AU640:AU671" ca="1" si="78">IFERROR(INDEX(AR$639:AR$774,MATCH($A1,AT$639:AT$774,0)),"")</f>
        <v>-- NO CONOCIDAS --</v>
      </c>
      <c r="AV640" s="2847" t="str">
        <f ca="1">IF($A1&lt;MIN(AT$645,IF($AT$642&gt;0,$AT$642,9999)),IFERROR(INDEX(AR$639:AR$774,MATCH($A1,AT$639:AT$774,0)),""),"")</f>
        <v/>
      </c>
      <c r="AX640" s="1250" t="str">
        <f t="shared" ref="AX640:AX671" si="79">D638</f>
        <v>Desarmado</v>
      </c>
      <c r="AY640" s="3025"/>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5"/>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5"/>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5"/>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5"/>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042"/>
      <c r="C641" s="1141"/>
      <c r="D641" s="2614"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6" t="str">
        <f>IF(Personalización!$W$24="","-",Personalización!$W$24)&amp;"/"&amp;IF(Personalización!$W$25="","-",Personalización!$W$25)</f>
        <v>-/-</v>
      </c>
      <c r="L641" s="2615"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6">
        <f>Personalización!$AC$25</f>
        <v>0</v>
      </c>
      <c r="N641" s="2616">
        <f>Personalización!$AD$25</f>
        <v>0</v>
      </c>
      <c r="O641" s="2616">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6" t="str">
        <f>IF(Personalización!$AC$22="","",Personalización!$AC$22)</f>
        <v/>
      </c>
      <c r="W641" s="2858"/>
      <c r="X641" s="2860" t="str">
        <f t="shared" si="75"/>
        <v>Mediana</v>
      </c>
      <c r="Y641" s="2603">
        <f>IF(Personalización!$Z$25="N/A",0,IF(Personalización!$Z$25="",Bono_Fue,VLOOKUP(Personalización!$Z$25,Tabla_Características,5,0)))</f>
        <v>0</v>
      </c>
      <c r="Z641" s="1259" t="str">
        <f>IF(AND(K641&lt;&gt;"Natural/-",ISNUMBER(SEARCH(D641&amp;",",Armas_Conocidas))),", "&amp;K641,"")</f>
        <v/>
      </c>
      <c r="AA641" s="1955" t="s">
        <v>10483</v>
      </c>
      <c r="AC641" s="3052" t="s">
        <v>2166</v>
      </c>
      <c r="AD641" s="3051">
        <f t="array" ref="AD641">MIN(IF(AD713:AD715&gt;0,AD713:AD715))</f>
        <v>0</v>
      </c>
      <c r="AE641" s="3051">
        <f>IF(AD641&gt;0,AD641+COUNTIF(AE$639:AE640,"&gt;0"),0)</f>
        <v>0</v>
      </c>
      <c r="AF641" s="2847" t="str">
        <f t="shared" ref="AF641:AF704" ca="1" si="98">IFERROR(INDEX(AC$639:AC$774,MATCH($A2,AE$639:AE$774,0)),"")</f>
        <v>Armas naturales</v>
      </c>
      <c r="AG641" s="2847" t="str">
        <f t="shared" ref="AG641:AG704" ca="1" si="99">IF($A2&lt;MIN(AE$645,IF($AE$643&gt;0,$AE$643,9999),IF($AE$644&gt;0,$AE$644,9999)),IFERROR(INDEX(AC$639:AC$774,MATCH($A2,AE$639:AE$774,0)),""),"")</f>
        <v/>
      </c>
      <c r="AH641" s="3052" t="s">
        <v>2171</v>
      </c>
      <c r="AI641" s="3051">
        <f t="array" ref="AI641">MIN(IF(AI679:AI691&gt;0,AI679:AI691))</f>
        <v>0</v>
      </c>
      <c r="AJ641" s="3051">
        <f>IF(AI641&gt;0,AI641+COUNTIF(AJ$639:AJ640,"&gt;0"),0)</f>
        <v>0</v>
      </c>
      <c r="AK641" s="2847" t="str">
        <f t="shared" ca="1" si="76"/>
        <v>&gt; ARMAS PERSONALIZADAS</v>
      </c>
      <c r="AL641" s="2847" t="str">
        <f t="shared" ref="AL641:AL704" ca="1" si="100">IF($A2&lt;MIN(AJ$645,IF($AJ$642&gt;0,$AJ$642,9999)),IFERROR(INDEX(AH$639:AH$774,MATCH($A2,AJ$639:AJ$774,0)),""),"")</f>
        <v/>
      </c>
      <c r="AM641" s="3052" t="s">
        <v>2225</v>
      </c>
      <c r="AN641" s="3051">
        <f t="array" ref="AN641">MIN(IF(AN661:AN662&gt;0,AN661:AN662))</f>
        <v>0</v>
      </c>
      <c r="AO641" s="3051">
        <f>IF(AN641&gt;0,AN641+COUNTIF(AO$639:AO640,"&gt;0"),0)</f>
        <v>0</v>
      </c>
      <c r="AP641" s="2847" t="str">
        <f t="shared" ca="1" si="77"/>
        <v>Armas naturales</v>
      </c>
      <c r="AQ641" s="2847" t="str">
        <f t="shared" ref="AQ641:AQ704" ca="1" si="101">IF($A2&lt;MIN(AO$645,IF($AO$641&gt;0,$AO$641,9999)),IFERROR(INDEX(AM$639:AM$774,MATCH($A2,AO$639:AO$774,0)),""),"")</f>
        <v/>
      </c>
      <c r="AR641" s="3052" t="s">
        <v>8296</v>
      </c>
      <c r="AS641" s="3051">
        <f t="array" ref="AS641">MIN(IF(AS661:AS663&gt;0,AS661:AS663))</f>
        <v>0</v>
      </c>
      <c r="AT641" s="3051">
        <f>IF(AS641&gt;0,AS641+COUNTIF(AT$639:AT640,"&gt;0"),0)</f>
        <v>0</v>
      </c>
      <c r="AU641" s="2847" t="str">
        <f t="shared" ca="1" si="78"/>
        <v>&gt; ARMAS PERSONALIZADAS</v>
      </c>
      <c r="AV641" s="2847" t="str">
        <f t="shared" ref="AV641:AV704" ca="1" si="102">IF($A2&lt;MIN(AT$645,IF($AT$642&gt;0,$AT$642,9999)),IFERROR(INDEX(AR$639:AR$774,MATCH($A2,AT$639:AT$774,0)),""),"")</f>
        <v/>
      </c>
      <c r="AX641" s="1250" t="str">
        <f t="shared" si="79"/>
        <v>Armas naturales</v>
      </c>
      <c r="AY641" s="3025"/>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5"/>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5"/>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5"/>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5"/>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042"/>
      <c r="C642" s="1141"/>
      <c r="D642" s="2614"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6" t="str">
        <f>IF(Personalización!$W$28="","-",Personalización!$W$28)&amp;"/"&amp;IF(Personalización!$W$29="","-",Personalización!$W$29)</f>
        <v>-/-</v>
      </c>
      <c r="L642" s="2615"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6">
        <f>Personalización!$AC$29</f>
        <v>0</v>
      </c>
      <c r="N642" s="2616">
        <f>Personalización!$AD$29</f>
        <v>0</v>
      </c>
      <c r="O642" s="2616">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6" t="str">
        <f>IF(Personalización!$AC$26="","",Personalización!$AC$26)</f>
        <v/>
      </c>
      <c r="W642" s="2858"/>
      <c r="X642" s="2860" t="str">
        <f t="shared" si="75"/>
        <v>Mediana</v>
      </c>
      <c r="Y642" s="2603">
        <f>IF(Personalización!$Z$29="N/A",0,IF(Personalización!$Z$29="",Bono_Fue,VLOOKUP(Personalización!$Z$29,Tabla_Características,5,0)))</f>
        <v>0</v>
      </c>
      <c r="Z642" s="1259" t="str">
        <f t="shared" ref="Z642:Z669" si="103">IF(AND(K642&lt;&gt;"Natural/-",ISNUMBER(SEARCH(D642&amp;",",Armas_Conocidas))),", "&amp;K642,"")</f>
        <v/>
      </c>
      <c r="AA642" s="1955" t="s">
        <v>10483</v>
      </c>
      <c r="AC642" s="3050" t="s">
        <v>2171</v>
      </c>
      <c r="AD642" s="3051">
        <f t="array" ref="AD642">MIN(IF(AD717:AD747&gt;0,AD717:AD747))</f>
        <v>0</v>
      </c>
      <c r="AE642" s="3051">
        <f>IF(AD642&gt;0,AD642+COUNTIF(AE$639:AE641,"&gt;0"),0)</f>
        <v>0</v>
      </c>
      <c r="AF642" s="2847" t="str">
        <f t="shared" ca="1" si="98"/>
        <v>&gt; ARMAS PERSONALIZADAS</v>
      </c>
      <c r="AG642" s="2847" t="str">
        <f t="shared" ca="1" si="99"/>
        <v/>
      </c>
      <c r="AH642" s="3052" t="s">
        <v>2225</v>
      </c>
      <c r="AI642" s="3051">
        <f t="array" ref="AI642">MIN(IF(AI693:AI700&gt;0,AI693:AI700))</f>
        <v>0</v>
      </c>
      <c r="AJ642" s="3051">
        <f>IF(AI642&gt;0,AI642+COUNTIF(AJ$639:AJ641,"&gt;0"),0)</f>
        <v>0</v>
      </c>
      <c r="AK642" s="2847" t="str">
        <f t="shared" ca="1" si="76"/>
        <v>Arma #1</v>
      </c>
      <c r="AL642" s="2847" t="str">
        <f t="shared" ca="1" si="100"/>
        <v/>
      </c>
      <c r="AM642" s="1025"/>
      <c r="AN642" s="2847"/>
      <c r="AO642" s="2847"/>
      <c r="AP642" s="2847" t="str">
        <f t="shared" ca="1" si="77"/>
        <v>&gt; ARMAS PERSONALIZADAS</v>
      </c>
      <c r="AQ642" s="2847" t="str">
        <f t="shared" ca="1" si="101"/>
        <v/>
      </c>
      <c r="AR642" s="3052" t="s">
        <v>2225</v>
      </c>
      <c r="AS642" s="3051">
        <f t="array" ref="AS642">MIN(IF(AS665:AS667&gt;0,AS665:AS667))</f>
        <v>0</v>
      </c>
      <c r="AT642" s="3051">
        <f>IF(AS642&gt;0,AS642+COUNTIF(AT$639:AT641,"&gt;0"),0)</f>
        <v>0</v>
      </c>
      <c r="AU642" s="2847" t="str">
        <f t="shared" ca="1" si="78"/>
        <v>&gt; A. DE PROYECTILES</v>
      </c>
      <c r="AV642" s="2847" t="str">
        <f t="shared" ca="1" si="102"/>
        <v/>
      </c>
      <c r="AX642" s="1250" t="str">
        <f t="shared" si="79"/>
        <v>Arma #1</v>
      </c>
      <c r="AY642" s="3025"/>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5"/>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5"/>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5"/>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5"/>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042"/>
      <c r="C643" s="1141"/>
      <c r="D643" s="2614" t="s">
        <v>2109</v>
      </c>
      <c r="E643" s="2611"/>
      <c r="F643" s="2611"/>
      <c r="G643" s="2611"/>
      <c r="H643" s="2611"/>
      <c r="I643" s="2611"/>
      <c r="J643" s="2611"/>
      <c r="K643" s="2607" t="s">
        <v>7255</v>
      </c>
      <c r="L643" s="2611"/>
      <c r="M643" s="2611"/>
      <c r="N643" s="2611"/>
      <c r="O643" s="2611"/>
      <c r="P643" s="2611"/>
      <c r="Q643" s="2611"/>
      <c r="R643" s="2611"/>
      <c r="S643" s="2611"/>
      <c r="T643" s="2611"/>
      <c r="U643" s="2611"/>
      <c r="V643" s="2607"/>
      <c r="W643" s="2607"/>
      <c r="X643" s="2860" t="str">
        <f t="shared" si="75"/>
        <v/>
      </c>
      <c r="Y643" s="2603"/>
      <c r="Z643" s="1259" t="str">
        <f t="shared" si="103"/>
        <v/>
      </c>
      <c r="AA643" s="1955"/>
      <c r="AC643" s="3050" t="s">
        <v>2225</v>
      </c>
      <c r="AD643" s="3051">
        <f t="array" ref="AD643">MIN(IF(AD749:AD763&gt;0,AD749:AD763))</f>
        <v>0</v>
      </c>
      <c r="AE643" s="3051">
        <f>IF(AD643&gt;0,AD643+COUNTIF(AE$639:AE642,"&gt;0"),0)</f>
        <v>0</v>
      </c>
      <c r="AF643" s="2847" t="str">
        <f t="shared" ca="1" si="98"/>
        <v>Arma #1</v>
      </c>
      <c r="AG643" s="2847" t="str">
        <f t="shared" ca="1" si="99"/>
        <v/>
      </c>
      <c r="AH643" s="1025"/>
      <c r="AI643" s="2847"/>
      <c r="AJ643" s="2847"/>
      <c r="AK643" s="2847" t="str">
        <f t="shared" ca="1" si="76"/>
        <v>Arma #2</v>
      </c>
      <c r="AL643" s="2847" t="str">
        <f t="shared" ca="1" si="100"/>
        <v/>
      </c>
      <c r="AM643" s="1025"/>
      <c r="AN643" s="2847"/>
      <c r="AO643" s="2847"/>
      <c r="AP643" s="2847" t="str">
        <f t="shared" ca="1" si="77"/>
        <v>&gt; A. DE PROYECTILES</v>
      </c>
      <c r="AQ643" s="2847" t="str">
        <f t="shared" ca="1" si="101"/>
        <v/>
      </c>
      <c r="AR643" s="1025"/>
      <c r="AS643" s="2847"/>
      <c r="AT643" s="2847"/>
      <c r="AU643" s="2847" t="str">
        <f t="shared" ca="1" si="78"/>
        <v>Arco compuesto</v>
      </c>
      <c r="AV643" s="2847" t="str">
        <f t="shared" ca="1" si="102"/>
        <v/>
      </c>
      <c r="AX643" s="1250" t="str">
        <f t="shared" si="79"/>
        <v>Arma #2</v>
      </c>
      <c r="AY643" s="3025"/>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5"/>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5"/>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5"/>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5"/>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042"/>
      <c r="C644" s="1141"/>
      <c r="D644" s="2614" t="s">
        <v>2110</v>
      </c>
      <c r="E644" s="2618">
        <v>60</v>
      </c>
      <c r="F644" s="2613">
        <v>-15</v>
      </c>
      <c r="G644" s="2613">
        <v>11</v>
      </c>
      <c r="H644" s="2613">
        <v>6</v>
      </c>
      <c r="I644" s="2613" t="s">
        <v>1550</v>
      </c>
      <c r="J644" s="2613" t="s">
        <v>1497</v>
      </c>
      <c r="K644" s="2859" t="s">
        <v>7256</v>
      </c>
      <c r="L644" s="2613"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19">
        <v>15</v>
      </c>
      <c r="N644" s="2619">
        <v>4</v>
      </c>
      <c r="O644" s="2619">
        <v>20</v>
      </c>
      <c r="P644" s="2613"/>
      <c r="Q644" s="2613"/>
      <c r="R644" s="2613" t="s">
        <v>1455</v>
      </c>
      <c r="S644" s="2613" t="s">
        <v>1455</v>
      </c>
      <c r="T644" s="2613" t="s">
        <v>1455</v>
      </c>
      <c r="U644" s="2613"/>
      <c r="V644" s="2859" t="s">
        <v>2129</v>
      </c>
      <c r="W644" s="2859"/>
      <c r="X644" s="2860" t="str">
        <f t="shared" si="75"/>
        <v>Grande</v>
      </c>
      <c r="Y644" s="2603">
        <f t="shared" ref="Y644:Y675" si="105">Bono_Fue</f>
        <v>0</v>
      </c>
      <c r="Z644" s="1259" t="str">
        <f t="shared" si="103"/>
        <v/>
      </c>
      <c r="AA644" s="1955" t="s">
        <v>2109</v>
      </c>
      <c r="AC644" s="3054" t="s">
        <v>10302</v>
      </c>
      <c r="AD644" s="3068">
        <f t="array" aca="1" ref="AD644" ca="1">MIN(IF(AD765:AD774&gt;0,AD765:AD774))</f>
        <v>0</v>
      </c>
      <c r="AE644" s="3068">
        <f ca="1">IF(AD644&gt;0,AD644+COUNTIF(AE$639:AE643,"&gt;0"),0)</f>
        <v>0</v>
      </c>
      <c r="AF644" s="2847" t="str">
        <f t="shared" ca="1" si="98"/>
        <v>Arma #2</v>
      </c>
      <c r="AG644" s="2847" t="str">
        <f t="shared" ca="1" si="99"/>
        <v/>
      </c>
      <c r="AH644" s="3055"/>
      <c r="AI644" s="3069"/>
      <c r="AJ644" s="3069"/>
      <c r="AK644" s="2847" t="str">
        <f t="shared" ca="1" si="76"/>
        <v>Arma #3</v>
      </c>
      <c r="AL644" s="2847" t="str">
        <f t="shared" ca="1" si="100"/>
        <v/>
      </c>
      <c r="AM644" s="3055"/>
      <c r="AN644" s="3069"/>
      <c r="AO644" s="3069"/>
      <c r="AP644" s="2847" t="str">
        <f t="shared" ca="1" si="77"/>
        <v>Arcabuz</v>
      </c>
      <c r="AQ644" s="2847" t="str">
        <f t="shared" ca="1" si="101"/>
        <v/>
      </c>
      <c r="AR644" s="3055"/>
      <c r="AS644" s="3069"/>
      <c r="AT644" s="3069"/>
      <c r="AU644" s="2847" t="str">
        <f t="shared" ca="1" si="78"/>
        <v>Arco corto</v>
      </c>
      <c r="AV644" s="2847" t="str">
        <f t="shared" ca="1" si="102"/>
        <v/>
      </c>
      <c r="AX644" s="1250" t="str">
        <f t="shared" si="79"/>
        <v>Arma #3</v>
      </c>
      <c r="AY644" s="3025"/>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5"/>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5"/>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5"/>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5"/>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042"/>
      <c r="C645" s="1141"/>
      <c r="D645" s="2614" t="s">
        <v>2113</v>
      </c>
      <c r="E645" s="2618">
        <v>35</v>
      </c>
      <c r="F645" s="2613">
        <v>-5</v>
      </c>
      <c r="G645" s="2613">
        <v>5</v>
      </c>
      <c r="H645" s="2613">
        <v>5</v>
      </c>
      <c r="I645" s="2613" t="s">
        <v>1551</v>
      </c>
      <c r="J645" s="2613" t="s">
        <v>1455</v>
      </c>
      <c r="K645" s="2859" t="s">
        <v>7257</v>
      </c>
      <c r="L645" s="2613" t="str">
        <f t="shared" si="104"/>
        <v>Distinta</v>
      </c>
      <c r="M645" s="2619">
        <v>11</v>
      </c>
      <c r="N645" s="2619">
        <v>0</v>
      </c>
      <c r="O645" s="2619">
        <v>15</v>
      </c>
      <c r="P645" s="2613"/>
      <c r="Q645" s="2613"/>
      <c r="R645" s="2619">
        <v>100</v>
      </c>
      <c r="S645" s="2613" t="s">
        <v>1455</v>
      </c>
      <c r="T645" s="2613">
        <v>20</v>
      </c>
      <c r="U645" s="2613"/>
      <c r="V645" s="2859" t="s">
        <v>8561</v>
      </c>
      <c r="W645" s="2859"/>
      <c r="X645" s="2860" t="str">
        <f t="shared" ref="X645:X708" si="106">IF(K645="/","",IF(OR(ISNUMBER(FIND("Mandoble",K645)),ISNUMBER(FIND("Asta",K645))),"Grande",IF(ISNUMBER(FIND("Corta",K645)),"Pequeña","Mediana")))</f>
        <v>Grande</v>
      </c>
      <c r="Y645" s="2603">
        <f t="shared" si="105"/>
        <v>0</v>
      </c>
      <c r="Z645" s="1259" t="str">
        <f t="shared" si="103"/>
        <v/>
      </c>
      <c r="AA645" s="1955" t="s">
        <v>2109</v>
      </c>
      <c r="AC645" s="3056" t="s">
        <v>10481</v>
      </c>
      <c r="AD645" s="3070">
        <v>0</v>
      </c>
      <c r="AE645" s="2847">
        <f ca="1">IF(AC645="",0,IF(AD645=0,MAX(AE$639:AE644,AG$637)+1,AD645+IFERROR(VLOOKUP(VLOOKUP(AC645,$D$638:$AA$840,24,0),AC$639:AE$644,3,0)-VLOOKUP(VLOOKUP(AC645,$D$638:$AA$840,24,0),AC$639:AE$644,2,0)+1,0)))</f>
        <v>1</v>
      </c>
      <c r="AF645" s="2847" t="str">
        <f t="shared" ca="1" si="98"/>
        <v>Arma #3</v>
      </c>
      <c r="AG645" s="2847" t="str">
        <f t="shared" ca="1" si="99"/>
        <v/>
      </c>
      <c r="AH645" s="3056" t="s">
        <v>10481</v>
      </c>
      <c r="AI645" s="3070">
        <v>0</v>
      </c>
      <c r="AJ645" s="2847">
        <f ca="1">IF(AH645="",0,IF(AI645=0,MAX(AJ$639:AJ644,AL$637)+1,AI645+IFERROR(VLOOKUP(VLOOKUP(AH645,$D$638:$AA$840,24,0),AH$639:AJ$644,3,0)-VLOOKUP(VLOOKUP(AH645,$D$638:$AA$840,24,0),AH$639:AJ$644,2,0)+1,0)))</f>
        <v>1</v>
      </c>
      <c r="AK645" s="2847" t="str">
        <f t="shared" ca="1" si="76"/>
        <v>&gt; ARMAS COMUNES</v>
      </c>
      <c r="AL645" s="2847" t="str">
        <f t="shared" ca="1" si="100"/>
        <v/>
      </c>
      <c r="AM645" s="3056" t="s">
        <v>10481</v>
      </c>
      <c r="AN645" s="3070">
        <v>0</v>
      </c>
      <c r="AO645" s="2847">
        <f ca="1">IF(AM645="",0,IF(AN645=0,MAX(AO$639:AO644,AQ$637)+1,AN645+IFERROR(VLOOKUP(VLOOKUP(AM645,$D$638:$AA$840,24,0),AM$639:AO$644,3,0)-VLOOKUP(VLOOKUP(AM645,$D$638:$AA$840,24,0),AM$639:AO$644,2,0)+1,0)))</f>
        <v>1</v>
      </c>
      <c r="AP645" s="2847" t="str">
        <f t="shared" ca="1" si="77"/>
        <v>Atlatl</v>
      </c>
      <c r="AQ645" s="2847" t="str">
        <f t="shared" ca="1" si="101"/>
        <v/>
      </c>
      <c r="AR645" s="3056" t="s">
        <v>10481</v>
      </c>
      <c r="AS645" s="3070">
        <v>0</v>
      </c>
      <c r="AT645" s="2847">
        <f ca="1">IF(AR645="",0,IF(AS645=0,MAX(AT$639:AT644,AV$637)+1,AS645+IFERROR(VLOOKUP(VLOOKUP(AR645,$D$638:$AA$840,24,0),AR$639:AT$644,3,0)-VLOOKUP(VLOOKUP(AR645,$D$638:$AA$840,24,0),AR$639:AT$644,2,0)+1,0)))</f>
        <v>1</v>
      </c>
      <c r="AU645" s="2847" t="str">
        <f t="shared" ca="1" si="78"/>
        <v>Arco de balas</v>
      </c>
      <c r="AV645" s="2847" t="str">
        <f t="shared" ca="1" si="102"/>
        <v/>
      </c>
      <c r="AX645" s="1250" t="str">
        <f t="shared" si="79"/>
        <v>&gt; ARMAS COMUNES</v>
      </c>
      <c r="AY645" s="3025"/>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5"/>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5"/>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5"/>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5"/>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042"/>
      <c r="C646" s="1141"/>
      <c r="D646" s="2614" t="s">
        <v>6974</v>
      </c>
      <c r="E646" s="2618">
        <v>25</v>
      </c>
      <c r="F646" s="2613">
        <v>15</v>
      </c>
      <c r="G646" s="2613">
        <v>5</v>
      </c>
      <c r="H646" s="2613">
        <v>5</v>
      </c>
      <c r="I646" s="2613" t="s">
        <v>1497</v>
      </c>
      <c r="J646" s="2613" t="s">
        <v>1455</v>
      </c>
      <c r="K646" s="2859" t="s">
        <v>7257</v>
      </c>
      <c r="L646" s="2613"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19">
        <v>10</v>
      </c>
      <c r="N646" s="2619">
        <v>-1</v>
      </c>
      <c r="O646" s="2619">
        <v>15</v>
      </c>
      <c r="P646" s="2613"/>
      <c r="Q646" s="2613"/>
      <c r="R646" s="2613" t="s">
        <v>1455</v>
      </c>
      <c r="S646" s="2613" t="s">
        <v>1455</v>
      </c>
      <c r="T646" s="2613" t="s">
        <v>1455</v>
      </c>
      <c r="U646" s="2613"/>
      <c r="V646" s="2859" t="s">
        <v>1455</v>
      </c>
      <c r="W646" s="2859"/>
      <c r="X646" s="2860" t="str">
        <f t="shared" si="106"/>
        <v>Grande</v>
      </c>
      <c r="Y646" s="2603">
        <f t="shared" si="105"/>
        <v>0</v>
      </c>
      <c r="Z646" s="1259" t="str">
        <f t="shared" si="103"/>
        <v/>
      </c>
      <c r="AA646" s="1955" t="s">
        <v>2109</v>
      </c>
      <c r="AC646" s="3053" t="s">
        <v>1915</v>
      </c>
      <c r="AD646" s="2847">
        <f>IFERROR(IF(IF(AC646&lt;&gt;"",VLOOKUP(AC646,Tabla_ArmasyEscudos,9,0),"")="Conocida",MAX(AD$645:AD645)+1,0),0)</f>
        <v>0</v>
      </c>
      <c r="AE646" s="2847">
        <f ca="1">IF(AC646="",0,IF(AD646=0,MAX(AE$639:AE645,AG$637)+1,AD646+IFERROR(VLOOKUP(VLOOKUP(AC646,$D$638:$AA$840,24,0),AC$639:AE$644,3,0)-VLOOKUP(VLOOKUP(AC646,$D$638:$AA$840,24,0),AC$639:AE$644,2,0)+1,0)))</f>
        <v>2</v>
      </c>
      <c r="AF646" s="2847" t="str">
        <f t="shared" ca="1" si="98"/>
        <v>&gt; ARMAS COMUNES</v>
      </c>
      <c r="AG646" s="2847" t="str">
        <f t="shared" ca="1" si="99"/>
        <v/>
      </c>
      <c r="AH646" s="3053" t="s">
        <v>10483</v>
      </c>
      <c r="AI646" s="2847">
        <f ca="1">IFERROR(IF(IF(AH646&lt;&gt;"",VLOOKUP(AH646,Tabla_ArmasyEscudos,9,0),"")="Conocida",MAX(AI$645:AI645)+1,0),0)</f>
        <v>0</v>
      </c>
      <c r="AJ646" s="2847">
        <f ca="1">IF(AH646="",0,IF(AI646=0,MAX(AJ$639:AJ645,AL$637)+1,AI646+IFERROR(VLOOKUP(VLOOKUP(AH646,$D$638:$AA$840,24,0),AH$639:AJ$644,3,0)-VLOOKUP(VLOOKUP(AH646,$D$638:$AA$840,24,0),AH$639:AJ$644,2,0)+1,0)))</f>
        <v>2</v>
      </c>
      <c r="AK646" s="2847" t="str">
        <f t="shared" ca="1" si="76"/>
        <v>Alabarda</v>
      </c>
      <c r="AL646" s="2847" t="str">
        <f t="shared" ca="1" si="100"/>
        <v/>
      </c>
      <c r="AM646" s="3053" t="s">
        <v>1915</v>
      </c>
      <c r="AN646" s="3070">
        <f>IF($R$1657&gt;0,1,0)</f>
        <v>0</v>
      </c>
      <c r="AO646" s="2847">
        <f ca="1">IF(AM646="",0,IF(AN646=0,MAX(AO$639:AO645,AQ$637)+1,AN646+IFERROR(VLOOKUP(VLOOKUP(AM646,$D$638:$AA$840,24,0),AM$639:AO$644,3,0)-VLOOKUP(VLOOKUP(AM646,$D$638:$AA$840,24,0),AM$639:AO$644,2,0)+1,0)))</f>
        <v>2</v>
      </c>
      <c r="AP646" s="2847" t="str">
        <f t="shared" ca="1" si="77"/>
        <v>Ballesta</v>
      </c>
      <c r="AQ646" s="2847" t="str">
        <f t="shared" ca="1" si="101"/>
        <v/>
      </c>
      <c r="AR646" s="3053" t="s">
        <v>10483</v>
      </c>
      <c r="AS646" s="2847">
        <f ca="1">IFERROR(IF(IF(AR646&lt;&gt;"",VLOOKUP(AR646,Tabla_ArmasyEscudos,9,0),"")="Conocida",MAX(AS$645:AS645)+1,0),0)</f>
        <v>0</v>
      </c>
      <c r="AT646" s="2847">
        <f ca="1">IF(AR646="",0,IF(AS646=0,MAX(AT$639:AT645,AV$637)+1,AS646+IFERROR(VLOOKUP(VLOOKUP(AR646,$D$638:$AA$840,24,0),AR$639:AT$644,3,0)-VLOOKUP(VLOOKUP(AR646,$D$638:$AA$840,24,0),AR$639:AT$644,2,0)+1,0)))</f>
        <v>2</v>
      </c>
      <c r="AU646" s="2847" t="str">
        <f t="shared" ca="1" si="78"/>
        <v>Arco largo</v>
      </c>
      <c r="AV646" s="2847" t="str">
        <f t="shared" ca="1" si="102"/>
        <v/>
      </c>
      <c r="AX646" s="1250" t="str">
        <f t="shared" si="79"/>
        <v>Alabarda</v>
      </c>
      <c r="AY646" s="3025"/>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5"/>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5"/>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5"/>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5"/>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042"/>
      <c r="C647" s="1141"/>
      <c r="D647" s="2614" t="s">
        <v>10386</v>
      </c>
      <c r="E647" s="2618">
        <v>50</v>
      </c>
      <c r="F647" s="2613">
        <v>-10</v>
      </c>
      <c r="G647" s="2613" t="s">
        <v>1455</v>
      </c>
      <c r="H647" s="2613">
        <v>6</v>
      </c>
      <c r="I647" s="2613" t="s">
        <v>1551</v>
      </c>
      <c r="J647" s="2613" t="s">
        <v>7024</v>
      </c>
      <c r="K647" s="2859" t="s">
        <v>7258</v>
      </c>
      <c r="L647" s="2613" t="str">
        <f t="shared" si="104"/>
        <v>Distinta</v>
      </c>
      <c r="M647" s="2619">
        <v>12</v>
      </c>
      <c r="N647" s="2619">
        <v>2</v>
      </c>
      <c r="O647" s="2619">
        <v>20</v>
      </c>
      <c r="P647" s="2613"/>
      <c r="Q647" s="2613"/>
      <c r="R647" s="2613" t="s">
        <v>1455</v>
      </c>
      <c r="S647" s="2613" t="s">
        <v>1455</v>
      </c>
      <c r="T647" s="2613" t="s">
        <v>1455</v>
      </c>
      <c r="U647" s="2613"/>
      <c r="V647" s="2859" t="s">
        <v>1578</v>
      </c>
      <c r="W647" s="2859"/>
      <c r="X647" s="2860" t="str">
        <f t="shared" si="106"/>
        <v>Grande</v>
      </c>
      <c r="Y647" s="2603">
        <f t="shared" si="105"/>
        <v>0</v>
      </c>
      <c r="Z647" s="1259" t="str">
        <f t="shared" si="103"/>
        <v/>
      </c>
      <c r="AA647" s="1955" t="s">
        <v>2109</v>
      </c>
      <c r="AC647" s="3053" t="s">
        <v>10483</v>
      </c>
      <c r="AD647" s="2847">
        <f ca="1">IFERROR(IF(IF(AC647&lt;&gt;"",VLOOKUP(AC647,Tabla_ArmasyEscudos,9,0),"")="Conocida",MAX(AD$645:AD646)+1,0),0)</f>
        <v>0</v>
      </c>
      <c r="AE647" s="2847">
        <f ca="1">IF(AC647="",0,IF(AD647=0,MAX(AE$639:AE646,AG$637)+1,AD647+IFERROR(VLOOKUP(VLOOKUP(AC647,$D$638:$AA$840,24,0),AC$639:AE$644,3,0)-VLOOKUP(VLOOKUP(AC647,$D$638:$AA$840,24,0),AC$639:AE$644,2,0)+1,0)))</f>
        <v>3</v>
      </c>
      <c r="AF647" s="2847" t="str">
        <f t="shared" ca="1" si="98"/>
        <v>Alabarda</v>
      </c>
      <c r="AG647" s="2847" t="str">
        <f t="shared" ca="1" si="99"/>
        <v/>
      </c>
      <c r="AH647" s="1371" t="str">
        <f>IF(AND(AH649&lt;&gt;"",$D$640&lt;&gt;AH649,$D$640&lt;&gt;AH648,NOT(OR(ISNUMBER(FIND("Munición",VLOOKUP($D$640,Tabla_ArmasyEscudos,8,0))),ISNUMBER(FIND("Proyectiles",VLOOKUP($D$640,Tabla_ArmasyEscudos,8,0)))))),$D$640,"")</f>
        <v>Arma #1</v>
      </c>
      <c r="AI647" s="2847">
        <f>IFERROR(IF(IF(AH647&lt;&gt;"",VLOOKUP(AH647,Tabla_ArmasyEscudos,9,0),"")="Conocida",MAX(AI$645:AI646)+1,0),0)</f>
        <v>0</v>
      </c>
      <c r="AJ647" s="2847">
        <f ca="1">IF(AH647="",0,IF(AI647=0,MAX(AJ$639:AJ646,AL$637)+1,AI647+IFERROR(VLOOKUP(VLOOKUP(AH647,$D$638:$AA$840,24,0),AH$639:AJ$644,3,0)-VLOOKUP(VLOOKUP(AH647,$D$638:$AA$840,24,0),AH$639:AJ$644,2,0)+1,0)))</f>
        <v>3</v>
      </c>
      <c r="AK647" s="2847" t="str">
        <f t="shared" ca="1" si="76"/>
        <v>Arpón</v>
      </c>
      <c r="AL647" s="2847" t="str">
        <f t="shared" ca="1" si="100"/>
        <v/>
      </c>
      <c r="AM647" s="3053" t="s">
        <v>10483</v>
      </c>
      <c r="AN647" s="2847">
        <f ca="1">IFERROR(IF(IF(AM647&lt;&gt;"",VLOOKUP(AM647,Tabla_ArmasyEscudos,9,0),"")="Conocida",MAX(AN$645:AN646)+1,0),0)</f>
        <v>0</v>
      </c>
      <c r="AO647" s="2847">
        <f ca="1">IF(AM647="",0,IF(AN647=0,MAX(AO$639:AO646,AQ$637)+1,AN647+IFERROR(VLOOKUP(VLOOKUP(AM647,$D$638:$AA$840,24,0),AM$639:AO$644,3,0)-VLOOKUP(VLOOKUP(AM647,$D$638:$AA$840,24,0),AM$639:AO$644,2,0)+1,0)))</f>
        <v>3</v>
      </c>
      <c r="AP647" s="2847" t="str">
        <f t="shared" ca="1" si="77"/>
        <v>Ballesta de mano</v>
      </c>
      <c r="AQ647" s="2847" t="str">
        <f t="shared" ca="1" si="101"/>
        <v/>
      </c>
      <c r="AR647" s="1371" t="str">
        <f>IF(AND(AR649&lt;&gt;"",$D$640&lt;&gt;AR649,$D$640&lt;&gt;AR648,ISNUMBER(FIND("Proyectiles",VLOOKUP($D$640,Tabla_ArmasyEscudos,8,0)))),$D$640,"")</f>
        <v/>
      </c>
      <c r="AS647" s="2847">
        <f>IFERROR(IF(IF(AR647&lt;&gt;"",VLOOKUP(AR647,Tabla_ArmasyEscudos,9,0),"")="Conocida",MAX(AS$645:AS646)+1,0),0)</f>
        <v>0</v>
      </c>
      <c r="AT647" s="2847">
        <f>IF(AR647="",0,IF(AS647=0,MAX(AT$639:AT646,AV$637)+1,AS647+IFERROR(VLOOKUP(VLOOKUP(AR647,$D$638:$AA$840,24,0),AR$639:AT$644,3,0)-VLOOKUP(VLOOKUP(AR647,$D$638:$AA$840,24,0),AR$639:AT$644,2,0)+1,0)))</f>
        <v>0</v>
      </c>
      <c r="AU647" s="2847" t="str">
        <f t="shared" ca="1" si="78"/>
        <v>Ballesta</v>
      </c>
      <c r="AV647" s="2847" t="str">
        <f t="shared" ca="1" si="102"/>
        <v/>
      </c>
      <c r="AX647" s="1250" t="str">
        <f t="shared" si="79"/>
        <v>Arpón</v>
      </c>
      <c r="AY647" s="3025"/>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5"/>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5"/>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5"/>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5"/>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042"/>
      <c r="C648" s="1141"/>
      <c r="D648" s="2614" t="s">
        <v>6975</v>
      </c>
      <c r="E648" s="2618">
        <v>50</v>
      </c>
      <c r="F648" s="2613">
        <v>-15</v>
      </c>
      <c r="G648" s="2613" t="s">
        <v>1455</v>
      </c>
      <c r="H648" s="2613">
        <v>6</v>
      </c>
      <c r="I648" s="2613" t="s">
        <v>1550</v>
      </c>
      <c r="J648" s="2613" t="s">
        <v>1497</v>
      </c>
      <c r="K648" s="2859" t="s">
        <v>7257</v>
      </c>
      <c r="L648" s="2613" t="str">
        <f t="shared" si="104"/>
        <v>Distinta</v>
      </c>
      <c r="M648" s="2619">
        <v>12</v>
      </c>
      <c r="N648" s="2619">
        <v>4</v>
      </c>
      <c r="O648" s="2619">
        <v>20</v>
      </c>
      <c r="P648" s="2613"/>
      <c r="Q648" s="2613"/>
      <c r="R648" s="2613" t="s">
        <v>1455</v>
      </c>
      <c r="S648" s="2613" t="s">
        <v>1455</v>
      </c>
      <c r="T648" s="2613" t="s">
        <v>1455</v>
      </c>
      <c r="U648" s="2613"/>
      <c r="V648" s="2859" t="s">
        <v>1578</v>
      </c>
      <c r="W648" s="2859"/>
      <c r="X648" s="2860" t="str">
        <f t="shared" si="106"/>
        <v>Grande</v>
      </c>
      <c r="Y648" s="2603">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7">
        <f>IFERROR(IF(IF(AC648&lt;&gt;"",VLOOKUP(AC648,Tabla_ArmasyEscudos,9,0),"")="Conocida",MAX(AD$645:AD647)+1,0),0)</f>
        <v>0</v>
      </c>
      <c r="AE648" s="2847">
        <f ca="1">IF(AC648="",0,IF(AD648=0,MAX(AE$639:AE647,AG$637)+1,AD648+IFERROR(VLOOKUP(VLOOKUP(AC648,$D$638:$AA$840,24,0),AC$639:AE$644,3,0)-VLOOKUP(VLOOKUP(AC648,$D$638:$AA$840,24,0),AC$639:AE$644,2,0)+1,0)))</f>
        <v>4</v>
      </c>
      <c r="AF648" s="2847" t="str">
        <f t="shared" ca="1" si="98"/>
        <v>Arpón</v>
      </c>
      <c r="AG648" s="2847"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7">
        <f>IFERROR(IF(IF(AH648&lt;&gt;"",VLOOKUP(AH648,Tabla_ArmasyEscudos,9,0),"")="Conocida",MAX(AI$645:AI647)+1,0),0)</f>
        <v>0</v>
      </c>
      <c r="AJ648" s="2847">
        <f ca="1">IF(AH648="",0,IF(AI648=0,MAX(AJ$639:AJ647,AL$637)+1,AI648+IFERROR(VLOOKUP(VLOOKUP(AH648,$D$638:$AA$840,24,0),AH$639:AJ$644,3,0)-VLOOKUP(VLOOKUP(AH648,$D$638:$AA$840,24,0),AH$639:AJ$644,2,0)+1,0)))</f>
        <v>4</v>
      </c>
      <c r="AK648" s="2847" t="str">
        <f t="shared" ca="1" si="76"/>
        <v>Bec de Corbin</v>
      </c>
      <c r="AL648" s="2847" t="str">
        <f t="shared" ca="1" si="100"/>
        <v/>
      </c>
      <c r="AM648" s="1371" t="str">
        <f>IF(AND(AM650&lt;&gt;"",$D$640&lt;&gt;AM650,$D$640&lt;&gt;AM649,ISNUMBER(FIND("Proyectiles",VLOOKUP($D$640,Tabla_ArmasyEscudos,8,0)))),$D$640,"")</f>
        <v/>
      </c>
      <c r="AN648" s="2847">
        <f>IFERROR(IF(IF(AM648&lt;&gt;"",VLOOKUP(AM648,Tabla_ArmasyEscudos,9,0),"")="Conocida",MAX(AN$645:AN647)+1,0),0)</f>
        <v>0</v>
      </c>
      <c r="AO648" s="2847">
        <f>IF(AM648="",0,IF(AN648=0,MAX(AO$639:AO647,AQ$637)+1,AN648+IFERROR(VLOOKUP(VLOOKUP(AM648,$D$638:$AA$840,24,0),AM$639:AO$644,3,0)-VLOOKUP(VLOOKUP(AM648,$D$638:$AA$840,24,0),AM$639:AO$644,2,0)+1,0)))</f>
        <v>0</v>
      </c>
      <c r="AP648" s="2847" t="str">
        <f t="shared" ca="1" si="77"/>
        <v>Ballesta de repetición</v>
      </c>
      <c r="AQ648" s="2847" t="str">
        <f t="shared" ca="1" si="101"/>
        <v/>
      </c>
      <c r="AR648" s="1371" t="str">
        <f>IF(AR649&lt;&gt;"",IF(AND($D$641&lt;&gt;AR649,ISNUMBER(FIND("Proyectiles",VLOOKUP($D$641,Tabla_ArmasyEscudos,8,0)))),$D$641,IF(AND($D$640&lt;&gt;AR649,ISNUMBER(FIND("Proyectiles",VLOOKUP($D$640,Tabla_ArmasyEscudos,8,0)))),$D$640,"")),"")</f>
        <v/>
      </c>
      <c r="AS648" s="2847">
        <f>IFERROR(IF(IF(AR648&lt;&gt;"",VLOOKUP(AR648,Tabla_ArmasyEscudos,9,0),"")="Conocida",MAX(AS$645:AS647)+1,0),0)</f>
        <v>0</v>
      </c>
      <c r="AT648" s="2847">
        <f>IF(AR648="",0,IF(AS648=0,MAX(AT$639:AT647,AV$637)+1,AS648+IFERROR(VLOOKUP(VLOOKUP(AR648,$D$638:$AA$840,24,0),AR$639:AT$644,3,0)-VLOOKUP(VLOOKUP(AR648,$D$638:$AA$840,24,0),AR$639:AT$644,2,0)+1,0)))</f>
        <v>0</v>
      </c>
      <c r="AU648" s="2847" t="str">
        <f t="shared" ca="1" si="78"/>
        <v>Ballesta de repetición</v>
      </c>
      <c r="AV648" s="2847" t="str">
        <f t="shared" ca="1" si="102"/>
        <v/>
      </c>
      <c r="AX648" s="1250" t="str">
        <f t="shared" si="79"/>
        <v>Bastón de Combate</v>
      </c>
      <c r="AY648" s="3025"/>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5"/>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5"/>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5"/>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5"/>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042"/>
      <c r="C649" s="1141"/>
      <c r="D649" s="2614" t="s">
        <v>2114</v>
      </c>
      <c r="E649" s="2613">
        <v>20</v>
      </c>
      <c r="F649" s="2613">
        <v>0</v>
      </c>
      <c r="G649" s="2613">
        <v>5</v>
      </c>
      <c r="H649" s="2613">
        <v>5</v>
      </c>
      <c r="I649" s="2613" t="s">
        <v>1497</v>
      </c>
      <c r="J649" s="2613" t="s">
        <v>1455</v>
      </c>
      <c r="K649" s="2859" t="s">
        <v>7259</v>
      </c>
      <c r="L649" s="2613" t="str">
        <f t="shared" si="104"/>
        <v>Distinta</v>
      </c>
      <c r="M649" s="2619">
        <v>10</v>
      </c>
      <c r="N649" s="2619">
        <v>2</v>
      </c>
      <c r="O649" s="2619">
        <v>15</v>
      </c>
      <c r="P649" s="2613"/>
      <c r="Q649" s="2613"/>
      <c r="R649" s="2619">
        <v>50</v>
      </c>
      <c r="S649" s="2613" t="s">
        <v>1455</v>
      </c>
      <c r="T649" s="2613">
        <v>20</v>
      </c>
      <c r="U649" s="2613"/>
      <c r="V649" s="2859" t="s">
        <v>2116</v>
      </c>
      <c r="W649" s="2859"/>
      <c r="X649" s="2860" t="str">
        <f t="shared" si="106"/>
        <v>Mediana</v>
      </c>
      <c r="Y649" s="2603">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7">
        <f>IFERROR(IF(IF(AC649&lt;&gt;"",VLOOKUP(AC649,Tabla_ArmasyEscudos,9,0),"")="Conocida",MAX(AD$645:AD648)+1,0),0)</f>
        <v>0</v>
      </c>
      <c r="AE649" s="2847">
        <f ca="1">IF(AC649="",0,IF(AD649=0,MAX(AE$639:AE648,AG$637)+1,AD649+IFERROR(VLOOKUP(VLOOKUP(AC649,$D$638:$AA$840,24,0),AC$639:AE$644,3,0)-VLOOKUP(VLOOKUP(AC649,$D$638:$AA$840,24,0),AC$639:AE$644,2,0)+1,0)))</f>
        <v>5</v>
      </c>
      <c r="AF649" s="2847" t="str">
        <f t="shared" ca="1" si="98"/>
        <v>Bastón de Combate</v>
      </c>
      <c r="AG649" s="2847"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7">
        <f>IFERROR(IF(IF(AH649&lt;&gt;"",VLOOKUP(AH649,Tabla_ArmasyEscudos,9,0),"")="Conocida",MAX(AI$645:AI648)+1,0),0)</f>
        <v>0</v>
      </c>
      <c r="AJ649" s="2847">
        <f ca="1">IF(AH649="",0,IF(AI649=0,MAX(AJ$639:AJ648,AL$637)+1,AI649+IFERROR(VLOOKUP(VLOOKUP(AH649,$D$638:$AA$840,24,0),AH$639:AJ$644,3,0)-VLOOKUP(VLOOKUP(AH649,$D$638:$AA$840,24,0),AH$639:AJ$644,2,0)+1,0)))</f>
        <v>5</v>
      </c>
      <c r="AK649" s="2847" t="str">
        <f t="shared" ca="1" si="76"/>
        <v>Berdiche</v>
      </c>
      <c r="AL649" s="2847" t="str">
        <f t="shared" ca="1" si="100"/>
        <v/>
      </c>
      <c r="AM649" s="1371" t="str">
        <f>IF(AM650&lt;&gt;"",IF(AND($D$641&lt;&gt;AM650,ISNUMBER(FIND("Proyectiles",VLOOKUP($D$641,Tabla_ArmasyEscudos,8,0)))),$D$641,IF(AND($D$640&lt;&gt;AM650,ISNUMBER(FIND("Proyectiles",VLOOKUP($D$640,Tabla_ArmasyEscudos,8,0)))),$D$640,"")),"")</f>
        <v/>
      </c>
      <c r="AN649" s="2847">
        <f>IFERROR(IF(IF(AM649&lt;&gt;"",VLOOKUP(AM649,Tabla_ArmasyEscudos,9,0),"")="Conocida",MAX(AN$645:AN648)+1,0),0)</f>
        <v>0</v>
      </c>
      <c r="AO649" s="2847">
        <f>IF(AM649="",0,IF(AN649=0,MAX(AO$639:AO648,AQ$637)+1,AN649+IFERROR(VLOOKUP(VLOOKUP(AM649,$D$638:$AA$840,24,0),AM$639:AO$644,3,0)-VLOOKUP(VLOOKUP(AM649,$D$638:$AA$840,24,0),AM$639:AO$644,2,0)+1,0)))</f>
        <v>0</v>
      </c>
      <c r="AP649" s="2847" t="str">
        <f t="shared" ca="1" si="77"/>
        <v>Ballesta pesada</v>
      </c>
      <c r="AQ649" s="2847" t="str">
        <f t="shared" ca="1" si="101"/>
        <v/>
      </c>
      <c r="AR649" s="1371" t="str">
        <f>IF(ISNUMBER(FIND("Proyectiles",VLOOKUP($D$642,Tabla_ArmasyEscudos,8,0))),$D$642,IF(ISNUMBER(FIND("Proyectiles",VLOOKUP($D$641,Tabla_ArmasyEscudos,8,0))),$D$641,IF(ISNUMBER(FIND("Proyectiles",VLOOKUP($D$640,Tabla_ArmasyEscudos,8,0))),$D$640,"")))</f>
        <v/>
      </c>
      <c r="AS649" s="2847">
        <f>IFERROR(IF(IF(AR649&lt;&gt;"",VLOOKUP(AR649,Tabla_ArmasyEscudos,9,0),"")="Conocida",MAX(AS$645:AS648)+1,0),0)</f>
        <v>0</v>
      </c>
      <c r="AT649" s="2847">
        <f>IF(AR649="",0,IF(AS649=0,MAX(AT$639:AT648,AV$637)+1,AS649+IFERROR(VLOOKUP(VLOOKUP(AR649,$D$638:$AA$840,24,0),AR$639:AT$644,3,0)-VLOOKUP(VLOOKUP(AR649,$D$638:$AA$840,24,0),AR$639:AT$644,2,0)+1,0)))</f>
        <v>0</v>
      </c>
      <c r="AU649" s="2847" t="str">
        <f t="shared" ca="1" si="78"/>
        <v>Ballesta pesada</v>
      </c>
      <c r="AV649" s="2847" t="str">
        <f t="shared" ca="1" si="102"/>
        <v/>
      </c>
      <c r="AX649" s="1250" t="str">
        <f t="shared" si="79"/>
        <v>Bec de Corbin</v>
      </c>
      <c r="AY649" s="3025"/>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5"/>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5"/>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5"/>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5"/>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042"/>
      <c r="C650" s="1141"/>
      <c r="D650" s="2614" t="s">
        <v>2117</v>
      </c>
      <c r="E650" s="2613">
        <v>30</v>
      </c>
      <c r="F650" s="2613">
        <v>-10</v>
      </c>
      <c r="G650" s="2613">
        <v>5</v>
      </c>
      <c r="H650" s="2613">
        <v>5</v>
      </c>
      <c r="I650" s="2613" t="s">
        <v>1497</v>
      </c>
      <c r="J650" s="2613" t="s">
        <v>1455</v>
      </c>
      <c r="K650" s="2859" t="s">
        <v>7259</v>
      </c>
      <c r="L650" s="2613" t="str">
        <f t="shared" si="104"/>
        <v>Distinta</v>
      </c>
      <c r="M650" s="2619">
        <v>6</v>
      </c>
      <c r="N650" s="2619">
        <v>2</v>
      </c>
      <c r="O650" s="2619">
        <v>15</v>
      </c>
      <c r="P650" s="2613"/>
      <c r="Q650" s="2613"/>
      <c r="R650" s="2619">
        <v>80</v>
      </c>
      <c r="S650" s="2613" t="s">
        <v>1455</v>
      </c>
      <c r="T650" s="2613">
        <v>20</v>
      </c>
      <c r="U650" s="2613"/>
      <c r="V650" s="2859" t="s">
        <v>8562</v>
      </c>
      <c r="W650" s="2859"/>
      <c r="X650" s="2860" t="str">
        <f t="shared" si="106"/>
        <v>Mediana</v>
      </c>
      <c r="Y650" s="2603">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7">
        <f>IFERROR(IF(IF(AC650&lt;&gt;"",VLOOKUP(AC650,Tabla_ArmasyEscudos,9,0),"")="Conocida",MAX(AD$645:AD649)+1,0),0)</f>
        <v>0</v>
      </c>
      <c r="AE650" s="2847">
        <f ca="1">IF(AC650="",0,IF(AD650=0,MAX(AE$639:AE649,AG$637)+1,AD650+IFERROR(VLOOKUP(VLOOKUP(AC650,$D$638:$AA$840,24,0),AC$639:AE$644,3,0)-VLOOKUP(VLOOKUP(AC650,$D$638:$AA$840,24,0),AC$639:AE$644,2,0)+1,0)))</f>
        <v>6</v>
      </c>
      <c r="AF650" s="2847" t="str">
        <f t="shared" ca="1" si="98"/>
        <v>Bolas</v>
      </c>
      <c r="AG650" s="2847" t="str">
        <f t="shared" ca="1" si="99"/>
        <v/>
      </c>
      <c r="AH650" s="3050" t="s">
        <v>2109</v>
      </c>
      <c r="AI650" s="2847">
        <f>IFERROR(IF(IF(AH650&lt;&gt;"",VLOOKUP(AH650,Tabla_ArmasyEscudos,9,0),"")="Conocida",MAX(AI$645:AI649)+1,0),0)</f>
        <v>0</v>
      </c>
      <c r="AJ650" s="2847">
        <f ca="1">IF(AH650="",0,IF(AI650=0,MAX(AJ$639:AJ649,AL$637)+1,AI650+IFERROR(VLOOKUP(VLOOKUP(AH650,$D$638:$AA$840,24,0),AH$639:AJ$644,3,0)-VLOOKUP(VLOOKUP(AH650,$D$638:$AA$840,24,0),AH$639:AJ$644,2,0)+1,0)))</f>
        <v>6</v>
      </c>
      <c r="AK650" s="2847" t="str">
        <f t="shared" ca="1" si="76"/>
        <v>Brandistock</v>
      </c>
      <c r="AL650" s="2847" t="str">
        <f t="shared" ca="1" si="100"/>
        <v/>
      </c>
      <c r="AM650" s="1371" t="str">
        <f>IF(ISNUMBER(FIND("Proyectiles",VLOOKUP($D$642,Tabla_ArmasyEscudos,8,0))),$D$642,IF(ISNUMBER(FIND("Proyectiles",VLOOKUP($D$641,Tabla_ArmasyEscudos,8,0))),$D$641,IF(ISNUMBER(FIND("Proyectiles",VLOOKUP($D$640,Tabla_ArmasyEscudos,8,0))),$D$640,"")))</f>
        <v/>
      </c>
      <c r="AN650" s="2847">
        <f>IFERROR(IF(IF(AM650&lt;&gt;"",VLOOKUP(AM650,Tabla_ArmasyEscudos,9,0),"")="Conocida",MAX(AN$645:AN649)+1,0),0)</f>
        <v>0</v>
      </c>
      <c r="AO650" s="2847">
        <f>IF(AM650="",0,IF(AN650=0,MAX(AO$639:AO649,AQ$637)+1,AN650+IFERROR(VLOOKUP(VLOOKUP(AM650,$D$638:$AA$840,24,0),AM$639:AO$644,3,0)-VLOOKUP(VLOOKUP(AM650,$D$638:$AA$840,24,0),AM$639:AO$644,2,0)+1,0)))</f>
        <v>0</v>
      </c>
      <c r="AP650" s="2847" t="str">
        <f t="shared" ca="1" si="77"/>
        <v>Honda</v>
      </c>
      <c r="AQ650" s="2847" t="str">
        <f t="shared" ca="1" si="101"/>
        <v/>
      </c>
      <c r="AR650" s="3050" t="s">
        <v>2194</v>
      </c>
      <c r="AS650" s="2847">
        <f>IFERROR(IF(IF(AR650&lt;&gt;"",VLOOKUP(AR650,Tabla_ArmasyEscudos,9,0),"")="Conocida",MAX(AS$645:AS649)+1,0),0)</f>
        <v>0</v>
      </c>
      <c r="AT650" s="2847">
        <f ca="1">IF(AR650="",0,IF(AS650=0,MAX(AT$639:AT649,AV$637)+1,AS650+IFERROR(VLOOKUP(VLOOKUP(AR650,$D$638:$AA$840,24,0),AR$639:AT$644,3,0)-VLOOKUP(VLOOKUP(AR650,$D$638:$AA$840,24,0),AR$639:AT$644,2,0)+1,0)))</f>
        <v>3</v>
      </c>
      <c r="AU650" s="2847" t="str">
        <f t="shared" ca="1" si="78"/>
        <v>Cerbatana</v>
      </c>
      <c r="AV650" s="2847" t="str">
        <f t="shared" ca="1" si="102"/>
        <v/>
      </c>
      <c r="AX650" s="1250" t="str">
        <f t="shared" si="79"/>
        <v>Berdiche</v>
      </c>
      <c r="AY650" s="3025"/>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5"/>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5"/>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5"/>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5"/>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042"/>
      <c r="C651" s="1141"/>
      <c r="D651" s="2614" t="s">
        <v>6978</v>
      </c>
      <c r="E651" s="2618">
        <v>60</v>
      </c>
      <c r="F651" s="2613">
        <v>-10</v>
      </c>
      <c r="G651" s="2613">
        <v>7</v>
      </c>
      <c r="H651" s="2613">
        <v>7</v>
      </c>
      <c r="I651" s="2613" t="s">
        <v>1550</v>
      </c>
      <c r="J651" s="2613" t="s">
        <v>1455</v>
      </c>
      <c r="K651" s="2859" t="s">
        <v>7260</v>
      </c>
      <c r="L651" s="2613" t="str">
        <f t="shared" si="104"/>
        <v>Distinta</v>
      </c>
      <c r="M651" s="2619">
        <v>15</v>
      </c>
      <c r="N651" s="2619">
        <v>4</v>
      </c>
      <c r="O651" s="2619">
        <v>20</v>
      </c>
      <c r="P651" s="2613"/>
      <c r="Q651" s="2613"/>
      <c r="R651" s="2613" t="s">
        <v>1455</v>
      </c>
      <c r="S651" s="2613" t="s">
        <v>1455</v>
      </c>
      <c r="T651" s="2613" t="s">
        <v>1455</v>
      </c>
      <c r="U651" s="2613"/>
      <c r="V651" s="2859" t="s">
        <v>1455</v>
      </c>
      <c r="W651" s="2859"/>
      <c r="X651" s="2860" t="str">
        <f t="shared" si="106"/>
        <v>Mediana</v>
      </c>
      <c r="Y651" s="2603">
        <f t="shared" si="105"/>
        <v>0</v>
      </c>
      <c r="Z651" s="1259" t="str">
        <f t="shared" si="103"/>
        <v/>
      </c>
      <c r="AA651" s="1955" t="s">
        <v>2109</v>
      </c>
      <c r="AC651" s="3050" t="s">
        <v>2109</v>
      </c>
      <c r="AD651" s="2847">
        <f>IFERROR(IF(IF(AC651&lt;&gt;"",VLOOKUP(AC651,Tabla_ArmasyEscudos,9,0),"")="Conocida",MAX(AD$645:AD650)+1,0),0)</f>
        <v>0</v>
      </c>
      <c r="AE651" s="2847">
        <f ca="1">IF(AC651="",0,IF(AD651=0,MAX(AE$639:AE650,AG$637)+1,AD651+IFERROR(VLOOKUP(VLOOKUP(AC651,$D$638:$AA$840,24,0),AC$639:AE$644,3,0)-VLOOKUP(VLOOKUP(AC651,$D$638:$AA$840,24,0),AC$639:AE$644,2,0)+1,0)))</f>
        <v>7</v>
      </c>
      <c r="AF651" s="2847" t="str">
        <f t="shared" ca="1" si="98"/>
        <v>Boleadoras</v>
      </c>
      <c r="AG651" s="2847" t="str">
        <f t="shared" ca="1" si="99"/>
        <v/>
      </c>
      <c r="AH651" s="1023" t="s">
        <v>2110</v>
      </c>
      <c r="AI651" s="2847">
        <f>IFERROR(IF(IF(AH651&lt;&gt;"",VLOOKUP(AH651,Tabla_ArmasyEscudos,9,0),"")="Conocida",MAX(AI$645:AI650)+1,0),0)</f>
        <v>0</v>
      </c>
      <c r="AJ651" s="2847">
        <f ca="1">IF(AH651="",0,IF(AI651=0,MAX(AJ$639:AJ650,AL$637)+1,AI651+IFERROR(VLOOKUP(VLOOKUP(AH651,$D$638:$AA$840,24,0),AH$639:AJ$644,3,0)-VLOOKUP(VLOOKUP(AH651,$D$638:$AA$840,24,0),AH$639:AJ$644,2,0)+1,0)))</f>
        <v>7</v>
      </c>
      <c r="AK651" s="2847" t="str">
        <f t="shared" ca="1" si="76"/>
        <v>Claymore</v>
      </c>
      <c r="AL651" s="2847" t="str">
        <f t="shared" ca="1" si="100"/>
        <v/>
      </c>
      <c r="AM651" s="3053" t="s">
        <v>2194</v>
      </c>
      <c r="AN651" s="2847">
        <f>IFERROR(IF(IF(AM651&lt;&gt;"",VLOOKUP(AM651,Tabla_ArmasyEscudos,9,0),"")="Conocida",MAX(AN$645:AN650)+1,0),0)</f>
        <v>0</v>
      </c>
      <c r="AO651" s="2847">
        <f ca="1">IF(AM651="",0,IF(AN651=0,MAX(AO$639:AO650,AQ$637)+1,AN651+IFERROR(VLOOKUP(VLOOKUP(AM651,$D$638:$AA$840,24,0),AM$639:AO$644,3,0)-VLOOKUP(VLOOKUP(AM651,$D$638:$AA$840,24,0),AM$639:AO$644,2,0)+1,0)))</f>
        <v>4</v>
      </c>
      <c r="AP651" s="2847" t="str">
        <f t="shared" ca="1" si="77"/>
        <v>Pistola</v>
      </c>
      <c r="AQ651" s="2847" t="str">
        <f t="shared" ca="1" si="101"/>
        <v/>
      </c>
      <c r="AR651" s="1023" t="s">
        <v>2195</v>
      </c>
      <c r="AS651" s="2847">
        <f>IFERROR(IF(IF(AR651&lt;&gt;"",VLOOKUP(AR651,Tabla_ArmasyEscudos,9,0),"")="Conocida",MAX(AS$645:AS650)+1,0),0)</f>
        <v>0</v>
      </c>
      <c r="AT651" s="2847">
        <f ca="1">IF(AR651="",0,IF(AS651=0,MAX(AT$639:AT650,AV$637)+1,AS651+IFERROR(VLOOKUP(VLOOKUP(AR651,$D$638:$AA$840,24,0),AR$639:AT$644,3,0)-VLOOKUP(VLOOKUP(AR651,$D$638:$AA$840,24,0),AR$639:AT$644,2,0)+1,0)))</f>
        <v>4</v>
      </c>
      <c r="AU651" s="2847" t="str">
        <f t="shared" ca="1" si="78"/>
        <v>Daikyu</v>
      </c>
      <c r="AV651" s="2847" t="str">
        <f t="shared" ca="1" si="102"/>
        <v/>
      </c>
      <c r="AX651" s="1250" t="str">
        <f t="shared" si="79"/>
        <v>Bolas</v>
      </c>
      <c r="AY651" s="3025"/>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5"/>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5"/>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5"/>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5"/>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042"/>
      <c r="C652" s="1141"/>
      <c r="D652" s="2614" t="s">
        <v>6977</v>
      </c>
      <c r="E652" s="2618">
        <v>40</v>
      </c>
      <c r="F652" s="2613">
        <v>0</v>
      </c>
      <c r="G652" s="2613" t="s">
        <v>1455</v>
      </c>
      <c r="H652" s="2613">
        <v>6</v>
      </c>
      <c r="I652" s="2613" t="s">
        <v>1551</v>
      </c>
      <c r="J652" s="2613" t="s">
        <v>1497</v>
      </c>
      <c r="K652" s="2859" t="s">
        <v>7257</v>
      </c>
      <c r="L652" s="2613" t="str">
        <f t="shared" si="104"/>
        <v>Distinta</v>
      </c>
      <c r="M652" s="2619">
        <v>9</v>
      </c>
      <c r="N652" s="2619">
        <v>3</v>
      </c>
      <c r="O652" s="2619">
        <v>25</v>
      </c>
      <c r="P652" s="2613"/>
      <c r="Q652" s="2613"/>
      <c r="R652" s="2613" t="s">
        <v>1455</v>
      </c>
      <c r="S652" s="2613" t="s">
        <v>1455</v>
      </c>
      <c r="T652" s="2613" t="s">
        <v>1455</v>
      </c>
      <c r="U652" s="2613"/>
      <c r="V652" s="2859" t="s">
        <v>7025</v>
      </c>
      <c r="W652" s="2859"/>
      <c r="X652" s="2860" t="str">
        <f t="shared" si="106"/>
        <v>Grande</v>
      </c>
      <c r="Y652" s="2603">
        <f t="shared" si="105"/>
        <v>0</v>
      </c>
      <c r="Z652" s="1259" t="str">
        <f t="shared" si="103"/>
        <v/>
      </c>
      <c r="AA652" s="1955" t="s">
        <v>2109</v>
      </c>
      <c r="AC652" s="1023" t="s">
        <v>2110</v>
      </c>
      <c r="AD652" s="2847">
        <f>IFERROR(IF(IF(AC652&lt;&gt;"",VLOOKUP(AC652,Tabla_ArmasyEscudos,9,0),"")="Conocida",MAX(AD$645:AD651)+1,0),0)</f>
        <v>0</v>
      </c>
      <c r="AE652" s="2847">
        <f ca="1">IF(AC652="",0,IF(AD652=0,MAX(AE$639:AE651,AG$637)+1,AD652+IFERROR(VLOOKUP(VLOOKUP(AC652,$D$638:$AA$840,24,0),AC$639:AE$644,3,0)-VLOOKUP(VLOOKUP(AC652,$D$638:$AA$840,24,0),AC$639:AE$644,2,0)+1,0)))</f>
        <v>8</v>
      </c>
      <c r="AF652" s="2847" t="str">
        <f t="shared" ca="1" si="98"/>
        <v>Bracamarte</v>
      </c>
      <c r="AG652" s="2847" t="str">
        <f t="shared" ca="1" si="99"/>
        <v/>
      </c>
      <c r="AH652" s="1023" t="s">
        <v>2113</v>
      </c>
      <c r="AI652" s="2847">
        <f>IFERROR(IF(IF(AH652&lt;&gt;"",VLOOKUP(AH652,Tabla_ArmasyEscudos,9,0),"")="Conocida",MAX(AI$645:AI651)+1,0),0)</f>
        <v>0</v>
      </c>
      <c r="AJ652" s="2847">
        <f ca="1">IF(AH652="",0,IF(AI652=0,MAX(AJ$639:AJ651,AL$637)+1,AI652+IFERROR(VLOOKUP(VLOOKUP(AH652,$D$638:$AA$840,24,0),AH$639:AJ$644,3,0)-VLOOKUP(VLOOKUP(AH652,$D$638:$AA$840,24,0),AH$639:AJ$644,2,0)+1,0)))</f>
        <v>8</v>
      </c>
      <c r="AK652" s="2847" t="str">
        <f t="shared" ca="1" si="76"/>
        <v>Espada a dos manos</v>
      </c>
      <c r="AL652" s="2847" t="str">
        <f t="shared" ca="1" si="100"/>
        <v/>
      </c>
      <c r="AM652" s="3045" t="s">
        <v>8547</v>
      </c>
      <c r="AN652" s="2847">
        <f>IFERROR(IF(IF(AM652&lt;&gt;"",VLOOKUP(AM652,Tabla_ArmasyEscudos,9,0),"")="Conocida",MAX(AN$645:AN651)+1,0),0)</f>
        <v>0</v>
      </c>
      <c r="AO652" s="2847">
        <f ca="1">IF(AM652="",0,IF(AN652=0,MAX(AO$639:AO651,AQ$637)+1,AN652+IFERROR(VLOOKUP(VLOOKUP(AM652,$D$638:$AA$840,24,0),AM$639:AO$644,3,0)-VLOOKUP(VLOOKUP(AM652,$D$638:$AA$840,24,0),AM$639:AO$644,2,0)+1,0)))</f>
        <v>5</v>
      </c>
      <c r="AP652" s="2847" t="str">
        <f t="shared" ca="1" si="77"/>
        <v>&gt; ARS MAGNUS</v>
      </c>
      <c r="AQ652" s="2847" t="str">
        <f t="shared" ca="1" si="101"/>
        <v/>
      </c>
      <c r="AR652" s="1023" t="s">
        <v>2197</v>
      </c>
      <c r="AS652" s="2847">
        <f>IFERROR(IF(IF(AR652&lt;&gt;"",VLOOKUP(AR652,Tabla_ArmasyEscudos,9,0),"")="Conocida",MAX(AS$645:AS651)+1,0),0)</f>
        <v>0</v>
      </c>
      <c r="AT652" s="2847">
        <f ca="1">IF(AR652="",0,IF(AS652=0,MAX(AT$639:AT651,AV$637)+1,AS652+IFERROR(VLOOKUP(VLOOKUP(AR652,$D$638:$AA$840,24,0),AR$639:AT$644,3,0)-VLOOKUP(VLOOKUP(AR652,$D$638:$AA$840,24,0),AR$639:AT$644,2,0)+1,0)))</f>
        <v>5</v>
      </c>
      <c r="AU652" s="2847" t="str">
        <f t="shared" ca="1" si="78"/>
        <v>&gt; ARMAS DE ASEDIO</v>
      </c>
      <c r="AV652" s="2847" t="str">
        <f t="shared" ca="1" si="102"/>
        <v/>
      </c>
      <c r="AX652" s="1250" t="str">
        <f t="shared" si="79"/>
        <v>Boleadoras</v>
      </c>
      <c r="AY652" s="3025"/>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5"/>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5"/>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5"/>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5"/>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042"/>
      <c r="C653" s="1141"/>
      <c r="D653" s="2614" t="s">
        <v>2118</v>
      </c>
      <c r="E653" s="2618">
        <v>25</v>
      </c>
      <c r="F653" s="2613">
        <v>0</v>
      </c>
      <c r="G653" s="2613">
        <v>6</v>
      </c>
      <c r="H653" s="2613">
        <v>6</v>
      </c>
      <c r="I653" s="2613" t="s">
        <v>1497</v>
      </c>
      <c r="J653" s="2613" t="s">
        <v>1455</v>
      </c>
      <c r="K653" s="2859" t="s">
        <v>7261</v>
      </c>
      <c r="L653" s="2613" t="str">
        <f t="shared" si="104"/>
        <v>Distinta</v>
      </c>
      <c r="M653" s="2619">
        <v>13</v>
      </c>
      <c r="N653" s="2619">
        <v>2</v>
      </c>
      <c r="O653" s="2619">
        <v>15</v>
      </c>
      <c r="P653" s="2613"/>
      <c r="Q653" s="2613"/>
      <c r="R653" s="2613" t="s">
        <v>1455</v>
      </c>
      <c r="S653" s="2613" t="s">
        <v>1455</v>
      </c>
      <c r="T653" s="2613" t="s">
        <v>1455</v>
      </c>
      <c r="U653" s="2613"/>
      <c r="V653" s="2859" t="s">
        <v>2120</v>
      </c>
      <c r="W653" s="2859"/>
      <c r="X653" s="2860" t="str">
        <f t="shared" si="106"/>
        <v>Mediana</v>
      </c>
      <c r="Y653" s="2603">
        <f t="shared" si="105"/>
        <v>0</v>
      </c>
      <c r="Z653" s="1259" t="str">
        <f t="shared" si="103"/>
        <v/>
      </c>
      <c r="AA653" s="1955" t="s">
        <v>2109</v>
      </c>
      <c r="AC653" s="1023" t="s">
        <v>2113</v>
      </c>
      <c r="AD653" s="2847">
        <f>IFERROR(IF(IF(AC653&lt;&gt;"",VLOOKUP(AC653,Tabla_ArmasyEscudos,9,0),"")="Conocida",MAX(AD$645:AD652)+1,0),0)</f>
        <v>0</v>
      </c>
      <c r="AE653" s="2847">
        <f ca="1">IF(AC653="",0,IF(AD653=0,MAX(AE$639:AE652,AG$637)+1,AD653+IFERROR(VLOOKUP(VLOOKUP(AC653,$D$638:$AA$840,24,0),AC$639:AE$644,3,0)-VLOOKUP(VLOOKUP(AC653,$D$638:$AA$840,24,0),AC$639:AE$644,2,0)+1,0)))</f>
        <v>9</v>
      </c>
      <c r="AF653" s="2847" t="str">
        <f t="shared" ca="1" si="98"/>
        <v>Cadena</v>
      </c>
      <c r="AG653" s="2847" t="str">
        <f t="shared" ca="1" si="99"/>
        <v/>
      </c>
      <c r="AH653" s="1023" t="s">
        <v>10386</v>
      </c>
      <c r="AI653" s="2847">
        <f>IFERROR(IF(IF(AH653&lt;&gt;"",VLOOKUP(AH653,Tabla_ArmasyEscudos,9,0),"")="Conocida",MAX(AI$645:AI652)+1,0),0)</f>
        <v>0</v>
      </c>
      <c r="AJ653" s="2847">
        <f ca="1">IF(AH653="",0,IF(AI653=0,MAX(AJ$639:AJ652,AL$637)+1,AI653+IFERROR(VLOOKUP(VLOOKUP(AH653,$D$638:$AA$840,24,0),AH$639:AJ$644,3,0)-VLOOKUP(VLOOKUP(AH653,$D$638:$AA$840,24,0),AH$639:AJ$644,2,0)+1,0)))</f>
        <v>9</v>
      </c>
      <c r="AK653" s="2847" t="str">
        <f t="shared" ca="1" si="76"/>
        <v>Espada bastarda</v>
      </c>
      <c r="AL653" s="2847" t="str">
        <f t="shared" ca="1" si="100"/>
        <v/>
      </c>
      <c r="AM653" s="1023" t="s">
        <v>6980</v>
      </c>
      <c r="AN653" s="2847">
        <f>IFERROR(IF(IF(AM653&lt;&gt;"",VLOOKUP(AM653,Tabla_ArmasyEscudos,9,0),"")="Conocida",MAX(AN$645:AN652)+1,0),0)</f>
        <v>0</v>
      </c>
      <c r="AO653" s="2847">
        <f ca="1">IF(AM653="",0,IF(AN653=0,MAX(AO$639:AO652,AQ$637)+1,AN653+IFERROR(VLOOKUP(VLOOKUP(AM653,$D$638:$AA$840,24,0),AM$639:AO$644,3,0)-VLOOKUP(VLOOKUP(AM653,$D$638:$AA$840,24,0),AM$639:AO$644,2,0)+1,0)))</f>
        <v>6</v>
      </c>
      <c r="AP653" s="2847" t="str">
        <f t="shared" ca="1" si="77"/>
        <v>Leo (Espada-Pistola) P.</v>
      </c>
      <c r="AQ653" s="2847" t="str">
        <f t="shared" ca="1" si="101"/>
        <v/>
      </c>
      <c r="AR653" s="1023" t="s">
        <v>6976</v>
      </c>
      <c r="AS653" s="2847">
        <f>IFERROR(IF(IF(AR653&lt;&gt;"",VLOOKUP(AR653,Tabla_ArmasyEscudos,9,0),"")="Conocida",MAX(AS$645:AS652)+1,0),0)</f>
        <v>0</v>
      </c>
      <c r="AT653" s="2847">
        <f ca="1">IF(AR653="",0,IF(AS653=0,MAX(AT$639:AT652,AV$637)+1,AS653+IFERROR(VLOOKUP(VLOOKUP(AR653,$D$638:$AA$840,24,0),AR$639:AT$644,3,0)-VLOOKUP(VLOOKUP(AR653,$D$638:$AA$840,24,0),AR$639:AT$644,2,0)+1,0)))</f>
        <v>6</v>
      </c>
      <c r="AU653" s="2847" t="str">
        <f t="shared" ca="1" si="78"/>
        <v>Balista ligera</v>
      </c>
      <c r="AV653" s="2847" t="str">
        <f t="shared" ca="1" si="102"/>
        <v/>
      </c>
      <c r="AX653" s="1250" t="str">
        <f t="shared" si="79"/>
        <v>Bracamarte</v>
      </c>
      <c r="AY653" s="3025"/>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5"/>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5"/>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5"/>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5"/>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042"/>
      <c r="C654" s="1141"/>
      <c r="D654" s="2614" t="s">
        <v>2121</v>
      </c>
      <c r="E654" s="2618">
        <v>25</v>
      </c>
      <c r="F654" s="2613">
        <v>10</v>
      </c>
      <c r="G654" s="2613">
        <v>3</v>
      </c>
      <c r="H654" s="2613">
        <v>3</v>
      </c>
      <c r="I654" s="2613" t="s">
        <v>1551</v>
      </c>
      <c r="J654" s="2613" t="s">
        <v>1550</v>
      </c>
      <c r="K654" s="2859" t="s">
        <v>7262</v>
      </c>
      <c r="L654" s="2613" t="str">
        <f t="shared" si="104"/>
        <v>Distinta</v>
      </c>
      <c r="M654" s="2619">
        <v>11</v>
      </c>
      <c r="N654" s="2619">
        <v>-2</v>
      </c>
      <c r="O654" s="2619">
        <v>15</v>
      </c>
      <c r="P654" s="2613"/>
      <c r="Q654" s="2613"/>
      <c r="R654" s="2613" t="s">
        <v>1455</v>
      </c>
      <c r="S654" s="2613" t="s">
        <v>1455</v>
      </c>
      <c r="T654" s="2613" t="s">
        <v>1455</v>
      </c>
      <c r="U654" s="2613"/>
      <c r="V654" s="2859" t="s">
        <v>1455</v>
      </c>
      <c r="W654" s="2859"/>
      <c r="X654" s="2860" t="str">
        <f t="shared" si="106"/>
        <v>Pequeña</v>
      </c>
      <c r="Y654" s="2603">
        <f t="shared" si="105"/>
        <v>0</v>
      </c>
      <c r="Z654" s="1259" t="str">
        <f t="shared" si="103"/>
        <v/>
      </c>
      <c r="AA654" s="1955" t="s">
        <v>2109</v>
      </c>
      <c r="AC654" s="1023" t="s">
        <v>6974</v>
      </c>
      <c r="AD654" s="2847">
        <f>IFERROR(IF(IF(AC654&lt;&gt;"",VLOOKUP(AC654,Tabla_ArmasyEscudos,9,0),"")="Conocida",MAX(AD$645:AD653)+1,0),0)</f>
        <v>0</v>
      </c>
      <c r="AE654" s="2847">
        <f ca="1">IF(AC654="",0,IF(AD654=0,MAX(AE$639:AE653,AG$637)+1,AD654+IFERROR(VLOOKUP(VLOOKUP(AC654,$D$638:$AA$840,24,0),AC$639:AE$644,3,0)-VLOOKUP(VLOOKUP(AC654,$D$638:$AA$840,24,0),AC$639:AE$644,2,0)+1,0)))</f>
        <v>10</v>
      </c>
      <c r="AF654" s="2847" t="str">
        <f t="shared" ca="1" si="98"/>
        <v>Cestus</v>
      </c>
      <c r="AG654" s="2847" t="str">
        <f t="shared" ca="1" si="99"/>
        <v/>
      </c>
      <c r="AH654" s="1023" t="s">
        <v>6975</v>
      </c>
      <c r="AI654" s="2847">
        <f>IFERROR(IF(IF(AH654&lt;&gt;"",VLOOKUP(AH654,Tabla_ArmasyEscudos,9,0),"")="Conocida",MAX(AI$645:AI653)+1,0),0)</f>
        <v>0</v>
      </c>
      <c r="AJ654" s="2847">
        <f ca="1">IF(AH654="",0,IF(AI654=0,MAX(AJ$639:AJ653,AL$637)+1,AI654+IFERROR(VLOOKUP(VLOOKUP(AH654,$D$638:$AA$840,24,0),AH$639:AJ$644,3,0)-VLOOKUP(VLOOKUP(AH654,$D$638:$AA$840,24,0),AH$639:AJ$644,2,0)+1,0)))</f>
        <v>10</v>
      </c>
      <c r="AK654" s="2847" t="str">
        <f t="shared" ca="1" si="76"/>
        <v>Glavius</v>
      </c>
      <c r="AL654" s="2847" t="str">
        <f t="shared" ca="1" si="100"/>
        <v/>
      </c>
      <c r="AM654" s="3045" t="s">
        <v>2199</v>
      </c>
      <c r="AN654" s="2847">
        <f>IFERROR(IF(IF(AM654&lt;&gt;"",VLOOKUP(AM654,Tabla_ArmasyEscudos,9,0),"")="Conocida",MAX(AN$645:AN653)+1,0),0)</f>
        <v>0</v>
      </c>
      <c r="AO654" s="2847">
        <f ca="1">IF(AM654="",0,IF(AN654=0,MAX(AO$639:AO653,AQ$637)+1,AN654+IFERROR(VLOOKUP(VLOOKUP(AM654,$D$638:$AA$840,24,0),AM$639:AO$644,3,0)-VLOOKUP(VLOOKUP(AM654,$D$638:$AA$840,24,0),AM$639:AO$644,2,0)+1,0)))</f>
        <v>7</v>
      </c>
      <c r="AP654" s="2847" t="str">
        <f t="shared" ca="1" si="77"/>
        <v>Leo (Lanza-Rifle) R.</v>
      </c>
      <c r="AQ654" s="2847" t="str">
        <f t="shared" ca="1" si="101"/>
        <v/>
      </c>
      <c r="AR654" s="1023" t="s">
        <v>2198</v>
      </c>
      <c r="AS654" s="2847">
        <f>IFERROR(IF(IF(AR654&lt;&gt;"",VLOOKUP(AR654,Tabla_ArmasyEscudos,9,0),"")="Conocida",MAX(AS$645:AS653)+1,0),0)</f>
        <v>0</v>
      </c>
      <c r="AT654" s="2847">
        <f ca="1">IF(AR654="",0,IF(AS654=0,MAX(AT$639:AT653,AV$637)+1,AS654+IFERROR(VLOOKUP(VLOOKUP(AR654,$D$638:$AA$840,24,0),AR$639:AT$644,3,0)-VLOOKUP(VLOOKUP(AR654,$D$638:$AA$840,24,0),AR$639:AT$644,2,0)+1,0)))</f>
        <v>7</v>
      </c>
      <c r="AU654" s="2847" t="str">
        <f t="shared" ca="1" si="78"/>
        <v>Balista pesada</v>
      </c>
      <c r="AV654" s="2847" t="str">
        <f t="shared" ca="1" si="102"/>
        <v/>
      </c>
      <c r="AX654" s="1250" t="str">
        <f t="shared" si="79"/>
        <v>Brandistock</v>
      </c>
      <c r="AY654" s="3025"/>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5"/>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5"/>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5"/>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5"/>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042"/>
      <c r="C655" s="1141"/>
      <c r="D655" s="2614" t="s">
        <v>6981</v>
      </c>
      <c r="E655" s="2618">
        <v>40</v>
      </c>
      <c r="F655" s="2613">
        <v>5</v>
      </c>
      <c r="G655" s="2613">
        <v>6</v>
      </c>
      <c r="H655" s="2613">
        <v>6</v>
      </c>
      <c r="I655" s="2613" t="s">
        <v>1497</v>
      </c>
      <c r="J655" s="2613" t="s">
        <v>1455</v>
      </c>
      <c r="K655" s="2859" t="s">
        <v>7263</v>
      </c>
      <c r="L655" s="2613" t="str">
        <f t="shared" si="104"/>
        <v>Distinta</v>
      </c>
      <c r="M655" s="2619">
        <v>13</v>
      </c>
      <c r="N655" s="2619">
        <v>3</v>
      </c>
      <c r="O655" s="2619">
        <v>15</v>
      </c>
      <c r="P655" s="2613"/>
      <c r="Q655" s="2613"/>
      <c r="R655" s="2613" t="s">
        <v>1455</v>
      </c>
      <c r="S655" s="2613" t="s">
        <v>1455</v>
      </c>
      <c r="T655" s="2613" t="s">
        <v>1455</v>
      </c>
      <c r="U655" s="2613"/>
      <c r="V655" s="2859" t="s">
        <v>1455</v>
      </c>
      <c r="W655" s="2859"/>
      <c r="X655" s="2860" t="str">
        <f t="shared" si="106"/>
        <v>Mediana</v>
      </c>
      <c r="Y655" s="2603">
        <f t="shared" si="105"/>
        <v>0</v>
      </c>
      <c r="Z655" s="1259" t="str">
        <f t="shared" si="103"/>
        <v/>
      </c>
      <c r="AA655" s="1955" t="s">
        <v>2109</v>
      </c>
      <c r="AC655" s="1023" t="s">
        <v>2114</v>
      </c>
      <c r="AD655" s="2847">
        <f>IFERROR(IF(IF(AC655&lt;&gt;"",VLOOKUP(AC655,Tabla_ArmasyEscudos,9,0),"")="Conocida",MAX(AD$645:AD654)+1,0),0)</f>
        <v>0</v>
      </c>
      <c r="AE655" s="2847">
        <f ca="1">IF(AC655="",0,IF(AD655=0,MAX(AE$639:AE654,AG$637)+1,AD655+IFERROR(VLOOKUP(VLOOKUP(AC655,$D$638:$AA$840,24,0),AC$639:AE$644,3,0)-VLOOKUP(VLOOKUP(AC655,$D$638:$AA$840,24,0),AC$639:AE$644,2,0)+1,0)))</f>
        <v>11</v>
      </c>
      <c r="AF655" s="2847" t="str">
        <f t="shared" ca="1" si="98"/>
        <v>Chui</v>
      </c>
      <c r="AG655" s="2847" t="str">
        <f t="shared" ca="1" si="99"/>
        <v/>
      </c>
      <c r="AH655" s="1023" t="s">
        <v>6977</v>
      </c>
      <c r="AI655" s="2847">
        <f>IFERROR(IF(IF(AH655&lt;&gt;"",VLOOKUP(AH655,Tabla_ArmasyEscudos,9,0),"")="Conocida",MAX(AI$645:AI654)+1,0),0)</f>
        <v>0</v>
      </c>
      <c r="AJ655" s="2847">
        <f ca="1">IF(AH655="",0,IF(AI655=0,MAX(AJ$639:AJ654,AL$637)+1,AI655+IFERROR(VLOOKUP(VLOOKUP(AH655,$D$638:$AA$840,24,0),AH$639:AJ$644,3,0)-VLOOKUP(VLOOKUP(AH655,$D$638:$AA$840,24,0),AH$639:AJ$644,2,0)+1,0)))</f>
        <v>11</v>
      </c>
      <c r="AK655" s="2847" t="str">
        <f t="shared" ca="1" si="76"/>
        <v>Goedendag</v>
      </c>
      <c r="AL655" s="2847" t="str">
        <f t="shared" ca="1" si="100"/>
        <v/>
      </c>
      <c r="AM655" s="3045" t="s">
        <v>2201</v>
      </c>
      <c r="AN655" s="2847">
        <f>IFERROR(IF(IF(AM655&lt;&gt;"",VLOOKUP(AM655,Tabla_ArmasyEscudos,9,0),"")="Conocida",MAX(AN$645:AN654)+1,0),0)</f>
        <v>0</v>
      </c>
      <c r="AO655" s="2847">
        <f ca="1">IF(AM655="",0,IF(AN655=0,MAX(AO$639:AO654,AQ$637)+1,AN655+IFERROR(VLOOKUP(VLOOKUP(AM655,$D$638:$AA$840,24,0),AM$639:AO$644,3,0)-VLOOKUP(VLOOKUP(AM655,$D$638:$AA$840,24,0),AM$639:AO$644,2,0)+1,0)))</f>
        <v>8</v>
      </c>
      <c r="AP655" s="2847" t="str">
        <f t="shared" ca="1" si="77"/>
        <v/>
      </c>
      <c r="AQ655" s="2847" t="str">
        <f t="shared" ca="1" si="101"/>
        <v/>
      </c>
      <c r="AR655" s="3045" t="s">
        <v>2199</v>
      </c>
      <c r="AS655" s="2847">
        <f>IFERROR(IF(IF(AR655&lt;&gt;"",VLOOKUP(AR655,Tabla_ArmasyEscudos,9,0),"")="Conocida",MAX(AS$645:AS654)+1,0),0)</f>
        <v>0</v>
      </c>
      <c r="AT655" s="2847">
        <f ca="1">IF(AR655="",0,IF(AS655=0,MAX(AT$639:AT654,AV$637)+1,AS655+IFERROR(VLOOKUP(VLOOKUP(AR655,$D$638:$AA$840,24,0),AR$639:AT$644,3,0)-VLOOKUP(VLOOKUP(AR655,$D$638:$AA$840,24,0),AR$639:AT$644,2,0)+1,0)))</f>
        <v>8</v>
      </c>
      <c r="AU655" s="2847" t="str">
        <f t="shared" ca="1" si="78"/>
        <v>Cañón</v>
      </c>
      <c r="AV655" s="2847" t="str">
        <f t="shared" ca="1" si="102"/>
        <v/>
      </c>
      <c r="AX655" s="1250" t="str">
        <f t="shared" si="79"/>
        <v>Cadena</v>
      </c>
      <c r="AY655" s="3025"/>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5"/>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5"/>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5"/>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5"/>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042"/>
      <c r="C656" s="1141"/>
      <c r="D656" s="2614" t="s">
        <v>2123</v>
      </c>
      <c r="E656" s="2618">
        <v>50</v>
      </c>
      <c r="F656" s="2613">
        <v>-5</v>
      </c>
      <c r="G656" s="2613">
        <v>5</v>
      </c>
      <c r="H656" s="2613">
        <v>5</v>
      </c>
      <c r="I656" s="2613" t="s">
        <v>1550</v>
      </c>
      <c r="J656" s="2613" t="s">
        <v>1455</v>
      </c>
      <c r="K656" s="2859" t="s">
        <v>7260</v>
      </c>
      <c r="L656" s="2613" t="str">
        <f t="shared" si="104"/>
        <v>Distinta</v>
      </c>
      <c r="M656" s="2619">
        <v>13</v>
      </c>
      <c r="N656" s="2619">
        <v>4</v>
      </c>
      <c r="O656" s="2619">
        <v>20</v>
      </c>
      <c r="P656" s="2613"/>
      <c r="Q656" s="2613"/>
      <c r="R656" s="2613" t="s">
        <v>1455</v>
      </c>
      <c r="S656" s="2613" t="s">
        <v>1455</v>
      </c>
      <c r="T656" s="2613" t="s">
        <v>1455</v>
      </c>
      <c r="U656" s="2613"/>
      <c r="V656" s="2859" t="s">
        <v>1455</v>
      </c>
      <c r="W656" s="2859"/>
      <c r="X656" s="2860" t="str">
        <f t="shared" si="106"/>
        <v>Mediana</v>
      </c>
      <c r="Y656" s="2603">
        <f t="shared" si="105"/>
        <v>0</v>
      </c>
      <c r="Z656" s="1259" t="str">
        <f t="shared" si="103"/>
        <v/>
      </c>
      <c r="AA656" s="1955" t="s">
        <v>2109</v>
      </c>
      <c r="AC656" s="1023" t="s">
        <v>2117</v>
      </c>
      <c r="AD656" s="2847">
        <f>IFERROR(IF(IF(AC656&lt;&gt;"",VLOOKUP(AC656,Tabla_ArmasyEscudos,9,0),"")="Conocida",MAX(AD$645:AD655)+1,0),0)</f>
        <v>0</v>
      </c>
      <c r="AE656" s="2847">
        <f ca="1">IF(AC656="",0,IF(AD656=0,MAX(AE$639:AE655,AG$637)+1,AD656+IFERROR(VLOOKUP(VLOOKUP(AC656,$D$638:$AA$840,24,0),AC$639:AE$644,3,0)-VLOOKUP(VLOOKUP(AC656,$D$638:$AA$840,24,0),AC$639:AE$644,2,0)+1,0)))</f>
        <v>12</v>
      </c>
      <c r="AF656" s="2847" t="str">
        <f t="shared" ca="1" si="98"/>
        <v>Cimitarra</v>
      </c>
      <c r="AG656" s="2847" t="str">
        <f t="shared" ca="1" si="99"/>
        <v/>
      </c>
      <c r="AH656" s="1023" t="s">
        <v>6979</v>
      </c>
      <c r="AI656" s="2847">
        <f>IFERROR(IF(IF(AH656&lt;&gt;"",VLOOKUP(AH656,Tabla_ArmasyEscudos,9,0),"")="Conocida",MAX(AI$645:AI655)+1,0),0)</f>
        <v>0</v>
      </c>
      <c r="AJ656" s="2847">
        <f ca="1">IF(AH656="",0,IF(AI656=0,MAX(AJ$639:AJ655,AL$637)+1,AI656+IFERROR(VLOOKUP(VLOOKUP(AH656,$D$638:$AA$840,24,0),AH$639:AJ$644,3,0)-VLOOKUP(VLOOKUP(AH656,$D$638:$AA$840,24,0),AH$639:AJ$644,2,0)+1,0)))</f>
        <v>12</v>
      </c>
      <c r="AK656" s="2847" t="str">
        <f t="shared" ca="1" si="76"/>
        <v>Gran martillo guerra</v>
      </c>
      <c r="AL656" s="2847" t="str">
        <f t="shared" ca="1" si="100"/>
        <v/>
      </c>
      <c r="AM656" s="3045" t="s">
        <v>2202</v>
      </c>
      <c r="AN656" s="2847">
        <f>IFERROR(IF(IF(AM656&lt;&gt;"",VLOOKUP(AM656,Tabla_ArmasyEscudos,9,0),"")="Conocida",MAX(AN$645:AN655)+1,0),0)</f>
        <v>0</v>
      </c>
      <c r="AO656" s="2847">
        <f ca="1">IF(AM656="",0,IF(AN656=0,MAX(AO$639:AO655,AQ$637)+1,AN656+IFERROR(VLOOKUP(VLOOKUP(AM656,$D$638:$AA$840,24,0),AM$639:AO$644,3,0)-VLOOKUP(VLOOKUP(AM656,$D$638:$AA$840,24,0),AM$639:AO$644,2,0)+1,0)))</f>
        <v>9</v>
      </c>
      <c r="AP656" s="2847" t="str">
        <f t="shared" ca="1" si="77"/>
        <v/>
      </c>
      <c r="AQ656" s="2847" t="str">
        <f t="shared" ca="1" si="101"/>
        <v/>
      </c>
      <c r="AR656" s="3045" t="s">
        <v>2202</v>
      </c>
      <c r="AS656" s="2847">
        <f>IFERROR(IF(IF(AR656&lt;&gt;"",VLOOKUP(AR656,Tabla_ArmasyEscudos,9,0),"")="Conocida",MAX(AS$645:AS655)+1,0),0)</f>
        <v>0</v>
      </c>
      <c r="AT656" s="2847">
        <f ca="1">IF(AR656="",0,IF(AS656=0,MAX(AT$639:AT655,AV$637)+1,AS656+IFERROR(VLOOKUP(VLOOKUP(AR656,$D$638:$AA$840,24,0),AR$639:AT$644,3,0)-VLOOKUP(VLOOKUP(AR656,$D$638:$AA$840,24,0),AR$639:AT$644,2,0)+1,0)))</f>
        <v>9</v>
      </c>
      <c r="AU656" s="2847" t="str">
        <f t="shared" ca="1" si="78"/>
        <v>&gt; ARS MAGNUS</v>
      </c>
      <c r="AV656" s="2847" t="str">
        <f t="shared" ca="1" si="102"/>
        <v/>
      </c>
      <c r="AX656" s="1250" t="str">
        <f t="shared" si="79"/>
        <v>Cestus</v>
      </c>
      <c r="AY656" s="3025"/>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5"/>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5"/>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5"/>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5"/>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042"/>
      <c r="C657" s="1141"/>
      <c r="D657" s="2614" t="s">
        <v>6984</v>
      </c>
      <c r="E657" s="2618">
        <v>35</v>
      </c>
      <c r="F657" s="2613">
        <v>0</v>
      </c>
      <c r="G657" s="2613">
        <v>4</v>
      </c>
      <c r="H657" s="2613">
        <v>4</v>
      </c>
      <c r="I657" s="2613" t="s">
        <v>1551</v>
      </c>
      <c r="J657" s="2613" t="s">
        <v>1550</v>
      </c>
      <c r="K657" s="2859" t="s">
        <v>7262</v>
      </c>
      <c r="L657" s="2613" t="str">
        <f t="shared" si="104"/>
        <v>Distinta</v>
      </c>
      <c r="M657" s="2619">
        <v>12</v>
      </c>
      <c r="N657" s="2619">
        <v>0</v>
      </c>
      <c r="O657" s="2619">
        <v>20</v>
      </c>
      <c r="P657" s="2613"/>
      <c r="Q657" s="2613"/>
      <c r="R657" s="2613" t="s">
        <v>1455</v>
      </c>
      <c r="S657" s="2613" t="s">
        <v>1455</v>
      </c>
      <c r="T657" s="2613" t="s">
        <v>1455</v>
      </c>
      <c r="U657" s="2613"/>
      <c r="V657" s="2859" t="s">
        <v>2133</v>
      </c>
      <c r="W657" s="2859"/>
      <c r="X657" s="2860" t="str">
        <f t="shared" si="106"/>
        <v>Pequeña</v>
      </c>
      <c r="Y657" s="2603">
        <f t="shared" si="105"/>
        <v>0</v>
      </c>
      <c r="Z657" s="1259" t="str">
        <f t="shared" si="103"/>
        <v/>
      </c>
      <c r="AA657" s="1955" t="s">
        <v>2109</v>
      </c>
      <c r="AC657" s="1023" t="s">
        <v>6978</v>
      </c>
      <c r="AD657" s="2847">
        <f>IFERROR(IF(IF(AC657&lt;&gt;"",VLOOKUP(AC657,Tabla_ArmasyEscudos,9,0),"")="Conocida",MAX(AD$645:AD656)+1,0),0)</f>
        <v>0</v>
      </c>
      <c r="AE657" s="2847">
        <f ca="1">IF(AC657="",0,IF(AD657=0,MAX(AE$639:AE656,AG$637)+1,AD657+IFERROR(VLOOKUP(VLOOKUP(AC657,$D$638:$AA$840,24,0),AC$639:AE$644,3,0)-VLOOKUP(VLOOKUP(AC657,$D$638:$AA$840,24,0),AC$639:AE$644,2,0)+1,0)))</f>
        <v>13</v>
      </c>
      <c r="AF657" s="2847" t="str">
        <f t="shared" ca="1" si="98"/>
        <v>Cinquedea</v>
      </c>
      <c r="AG657" s="2847" t="str">
        <f t="shared" ca="1" si="99"/>
        <v/>
      </c>
      <c r="AH657" s="1023" t="s">
        <v>2128</v>
      </c>
      <c r="AI657" s="2847">
        <f>IFERROR(IF(IF(AH657&lt;&gt;"",VLOOKUP(AH657,Tabla_ArmasyEscudos,9,0),"")="Conocida",MAX(AI$645:AI656)+1,0),0)</f>
        <v>0</v>
      </c>
      <c r="AJ657" s="2847">
        <f ca="1">IF(AH657="",0,IF(AI657=0,MAX(AJ$639:AJ656,AL$637)+1,AI657+IFERROR(VLOOKUP(VLOOKUP(AH657,$D$638:$AA$840,24,0),AH$639:AJ$644,3,0)-VLOOKUP(VLOOKUP(AH657,$D$638:$AA$840,24,0),AH$639:AJ$644,2,0)+1,0)))</f>
        <v>13</v>
      </c>
      <c r="AK657" s="2847" t="str">
        <f t="shared" ca="1" si="76"/>
        <v>Grosse Messer</v>
      </c>
      <c r="AL657" s="2847" t="str">
        <f t="shared" ca="1" si="100"/>
        <v/>
      </c>
      <c r="AM657" s="1023" t="s">
        <v>2203</v>
      </c>
      <c r="AN657" s="2847">
        <f>IFERROR(IF(IF(AM657&lt;&gt;"",VLOOKUP(AM657,Tabla_ArmasyEscudos,9,0),"")="Conocida",MAX(AN$645:AN656)+1,0),0)</f>
        <v>0</v>
      </c>
      <c r="AO657" s="2847">
        <f ca="1">IF(AM657="",0,IF(AN657=0,MAX(AO$639:AO656,AQ$637)+1,AN657+IFERROR(VLOOKUP(VLOOKUP(AM657,$D$638:$AA$840,24,0),AM$639:AO$644,3,0)-VLOOKUP(VLOOKUP(AM657,$D$638:$AA$840,24,0),AM$639:AO$644,2,0)+1,0)))</f>
        <v>10</v>
      </c>
      <c r="AP657" s="2847" t="str">
        <f t="shared" ca="1" si="77"/>
        <v/>
      </c>
      <c r="AQ657" s="2847" t="str">
        <f t="shared" ca="1" si="101"/>
        <v/>
      </c>
      <c r="AR657" s="1023" t="s">
        <v>2203</v>
      </c>
      <c r="AS657" s="2847">
        <f>IFERROR(IF(IF(AR657&lt;&gt;"",VLOOKUP(AR657,Tabla_ArmasyEscudos,9,0),"")="Conocida",MAX(AS$645:AS656)+1,0),0)</f>
        <v>0</v>
      </c>
      <c r="AT657" s="2847">
        <f ca="1">IF(AR657="",0,IF(AS657=0,MAX(AT$639:AT656,AV$637)+1,AS657+IFERROR(VLOOKUP(VLOOKUP(AR657,$D$638:$AA$840,24,0),AR$639:AT$644,3,0)-VLOOKUP(VLOOKUP(AR657,$D$638:$AA$840,24,0),AR$639:AT$644,2,0)+1,0)))</f>
        <v>10</v>
      </c>
      <c r="AU657" s="2847" t="str">
        <f t="shared" ca="1" si="78"/>
        <v>Leo (Espada-Pistola) P.</v>
      </c>
      <c r="AV657" s="2847" t="str">
        <f t="shared" ca="1" si="102"/>
        <v/>
      </c>
      <c r="AX657" s="1250" t="str">
        <f t="shared" si="79"/>
        <v>Chui</v>
      </c>
      <c r="AY657" s="3025"/>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5"/>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5"/>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5"/>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5"/>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042"/>
      <c r="C658" s="1141"/>
      <c r="D658" s="2614" t="s">
        <v>6979</v>
      </c>
      <c r="E658" s="2618">
        <v>65</v>
      </c>
      <c r="F658" s="2613">
        <v>-20</v>
      </c>
      <c r="G658" s="2613" t="s">
        <v>1455</v>
      </c>
      <c r="H658" s="2613">
        <v>7</v>
      </c>
      <c r="I658" s="2613" t="s">
        <v>1550</v>
      </c>
      <c r="J658" s="2613" t="s">
        <v>1497</v>
      </c>
      <c r="K658" s="2859" t="s">
        <v>7264</v>
      </c>
      <c r="L658" s="2613" t="str">
        <f t="shared" si="104"/>
        <v>Distinta</v>
      </c>
      <c r="M658" s="2619">
        <v>16</v>
      </c>
      <c r="N658" s="2619">
        <v>5</v>
      </c>
      <c r="O658" s="2619">
        <v>25</v>
      </c>
      <c r="P658" s="2613"/>
      <c r="Q658" s="2613"/>
      <c r="R658" s="2613" t="s">
        <v>1455</v>
      </c>
      <c r="S658" s="2613" t="s">
        <v>1455</v>
      </c>
      <c r="T658" s="2613" t="s">
        <v>1455</v>
      </c>
      <c r="U658" s="2613"/>
      <c r="V658" s="2859" t="s">
        <v>1578</v>
      </c>
      <c r="W658" s="2859"/>
      <c r="X658" s="2860" t="str">
        <f t="shared" si="106"/>
        <v>Grande</v>
      </c>
      <c r="Y658" s="2603">
        <f t="shared" si="105"/>
        <v>0</v>
      </c>
      <c r="Z658" s="1259" t="str">
        <f t="shared" si="103"/>
        <v/>
      </c>
      <c r="AA658" s="1955" t="s">
        <v>2109</v>
      </c>
      <c r="AC658" s="1023" t="s">
        <v>2118</v>
      </c>
      <c r="AD658" s="2847">
        <f>IFERROR(IF(IF(AC658&lt;&gt;"",VLOOKUP(AC658,Tabla_ArmasyEscudos,9,0),"")="Conocida",MAX(AD$645:AD657)+1,0),0)</f>
        <v>0</v>
      </c>
      <c r="AE658" s="2847">
        <f ca="1">IF(AC658="",0,IF(AD658=0,MAX(AE$639:AE657,AG$637)+1,AD658+IFERROR(VLOOKUP(VLOOKUP(AC658,$D$638:$AA$840,24,0),AC$639:AE$644,3,0)-VLOOKUP(VLOOKUP(AC658,$D$638:$AA$840,24,0),AC$639:AE$644,2,0)+1,0)))</f>
        <v>14</v>
      </c>
      <c r="AF658" s="2847" t="str">
        <f t="shared" ca="1" si="98"/>
        <v>Daga</v>
      </c>
      <c r="AG658" s="2847" t="str">
        <f t="shared" ca="1" si="99"/>
        <v/>
      </c>
      <c r="AH658" s="1023" t="s">
        <v>2131</v>
      </c>
      <c r="AI658" s="2847">
        <f>IFERROR(IF(IF(AH658&lt;&gt;"",VLOOKUP(AH658,Tabla_ArmasyEscudos,9,0),"")="Conocida",MAX(AI$645:AI657)+1,0),0)</f>
        <v>0</v>
      </c>
      <c r="AJ658" s="2847">
        <f ca="1">IF(AH658="",0,IF(AI658=0,MAX(AJ$639:AJ657,AL$637)+1,AI658+IFERROR(VLOOKUP(VLOOKUP(AH658,$D$638:$AA$840,24,0),AH$639:AJ$644,3,0)-VLOOKUP(VLOOKUP(AH658,$D$638:$AA$840,24,0),AH$639:AJ$644,2,0)+1,0)))</f>
        <v>14</v>
      </c>
      <c r="AK658" s="2847" t="str">
        <f t="shared" ca="1" si="76"/>
        <v>Guadaña</v>
      </c>
      <c r="AL658" s="2847" t="str">
        <f t="shared" ca="1" si="100"/>
        <v/>
      </c>
      <c r="AM658" s="3045" t="s">
        <v>2205</v>
      </c>
      <c r="AN658" s="2847">
        <f>IFERROR(IF(IF(AM658&lt;&gt;"",VLOOKUP(AM658,Tabla_ArmasyEscudos,9,0),"")="Conocida",MAX(AN$645:AN657)+1,0),0)</f>
        <v>0</v>
      </c>
      <c r="AO658" s="2847">
        <f ca="1">IF(AM658="",0,IF(AN658=0,MAX(AO$639:AO657,AQ$637)+1,AN658+IFERROR(VLOOKUP(VLOOKUP(AM658,$D$638:$AA$840,24,0),AM$639:AO$644,3,0)-VLOOKUP(VLOOKUP(AM658,$D$638:$AA$840,24,0),AM$639:AO$644,2,0)+1,0)))</f>
        <v>11</v>
      </c>
      <c r="AP658" s="2847" t="str">
        <f t="shared" ca="1" si="77"/>
        <v/>
      </c>
      <c r="AQ658" s="2847" t="str">
        <f t="shared" ca="1" si="101"/>
        <v/>
      </c>
      <c r="AR658" s="1023" t="s">
        <v>2204</v>
      </c>
      <c r="AS658" s="2847">
        <f>IFERROR(IF(IF(AR658&lt;&gt;"",VLOOKUP(AR658,Tabla_ArmasyEscudos,9,0),"")="Conocida",MAX(AS$645:AS657)+1,0),0)</f>
        <v>0</v>
      </c>
      <c r="AT658" s="2847">
        <f ca="1">IF(AR658="",0,IF(AS658=0,MAX(AT$639:AT657,AV$637)+1,AS658+IFERROR(VLOOKUP(VLOOKUP(AR658,$D$638:$AA$840,24,0),AR$639:AT$644,3,0)-VLOOKUP(VLOOKUP(AR658,$D$638:$AA$840,24,0),AR$639:AT$644,2,0)+1,0)))</f>
        <v>11</v>
      </c>
      <c r="AU658" s="2847" t="str">
        <f t="shared" ca="1" si="78"/>
        <v>Leo (Lanza-Rifle) R.</v>
      </c>
      <c r="AV658" s="2847" t="str">
        <f t="shared" ca="1" si="102"/>
        <v/>
      </c>
      <c r="AX658" s="1250" t="str">
        <f t="shared" si="79"/>
        <v>Cimitarra</v>
      </c>
      <c r="AY658" s="3025"/>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5"/>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5"/>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5"/>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5"/>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042"/>
      <c r="C659" s="1141"/>
      <c r="D659" s="2614" t="s">
        <v>2125</v>
      </c>
      <c r="E659" s="2618">
        <v>30</v>
      </c>
      <c r="F659" s="2613">
        <v>20</v>
      </c>
      <c r="G659" s="2613">
        <v>3</v>
      </c>
      <c r="H659" s="2613">
        <v>3</v>
      </c>
      <c r="I659" s="2613" t="s">
        <v>1551</v>
      </c>
      <c r="J659" s="2613" t="s">
        <v>1550</v>
      </c>
      <c r="K659" s="2859" t="s">
        <v>7262</v>
      </c>
      <c r="L659" s="2613" t="str">
        <f t="shared" si="104"/>
        <v>Distinta</v>
      </c>
      <c r="M659" s="2619">
        <v>10</v>
      </c>
      <c r="N659" s="2619">
        <v>-2</v>
      </c>
      <c r="O659" s="2619">
        <v>15</v>
      </c>
      <c r="P659" s="2613"/>
      <c r="Q659" s="2613"/>
      <c r="R659" s="2619">
        <v>50</v>
      </c>
      <c r="S659" s="2613" t="s">
        <v>1455</v>
      </c>
      <c r="T659" s="2613">
        <v>20</v>
      </c>
      <c r="U659" s="2613"/>
      <c r="V659" s="2859" t="s">
        <v>8563</v>
      </c>
      <c r="W659" s="2859"/>
      <c r="X659" s="2860" t="str">
        <f t="shared" si="106"/>
        <v>Pequeña</v>
      </c>
      <c r="Y659" s="2603">
        <f t="shared" si="105"/>
        <v>0</v>
      </c>
      <c r="Z659" s="1259" t="str">
        <f t="shared" si="103"/>
        <v/>
      </c>
      <c r="AA659" s="1955" t="s">
        <v>2109</v>
      </c>
      <c r="AC659" s="1023" t="s">
        <v>2121</v>
      </c>
      <c r="AD659" s="2847">
        <f>IFERROR(IF(IF(AC659&lt;&gt;"",VLOOKUP(AC659,Tabla_ArmasyEscudos,9,0),"")="Conocida",MAX(AD$645:AD658)+1,0),0)</f>
        <v>0</v>
      </c>
      <c r="AE659" s="2847">
        <f ca="1">IF(AC659="",0,IF(AD659=0,MAX(AE$639:AE658,AG$637)+1,AD659+IFERROR(VLOOKUP(VLOOKUP(AC659,$D$638:$AA$840,24,0),AC$639:AE$644,3,0)-VLOOKUP(VLOOKUP(AC659,$D$638:$AA$840,24,0),AC$639:AE$644,2,0)+1,0)))</f>
        <v>15</v>
      </c>
      <c r="AF659" s="2847" t="str">
        <f t="shared" ca="1" si="98"/>
        <v>Daga de parada</v>
      </c>
      <c r="AG659" s="2847" t="str">
        <f t="shared" ca="1" si="99"/>
        <v/>
      </c>
      <c r="AH659" s="1023" t="s">
        <v>6982</v>
      </c>
      <c r="AI659" s="2847">
        <f>IFERROR(IF(IF(AH659&lt;&gt;"",VLOOKUP(AH659,Tabla_ArmasyEscudos,9,0),"")="Conocida",MAX(AI$645:AI658)+1,0),0)</f>
        <v>0</v>
      </c>
      <c r="AJ659" s="2847">
        <f ca="1">IF(AH659="",0,IF(AI659=0,MAX(AJ$639:AJ658,AL$637)+1,AI659+IFERROR(VLOOKUP(VLOOKUP(AH659,$D$638:$AA$840,24,0),AH$639:AJ$644,3,0)-VLOOKUP(VLOOKUP(AH659,$D$638:$AA$840,24,0),AH$639:AJ$644,2,0)+1,0)))</f>
        <v>15</v>
      </c>
      <c r="AK659" s="2847" t="str">
        <f t="shared" ca="1" si="76"/>
        <v>Guandao</v>
      </c>
      <c r="AL659" s="2847" t="str">
        <f t="shared" ca="1" si="100"/>
        <v/>
      </c>
      <c r="AM659" s="3045" t="s">
        <v>2206</v>
      </c>
      <c r="AN659" s="2847">
        <f>IFERROR(IF(IF(AM659&lt;&gt;"",VLOOKUP(AM659,Tabla_ArmasyEscudos,9,0),"")="Conocida",MAX(AN$645:AN658)+1,0),0)</f>
        <v>0</v>
      </c>
      <c r="AO659" s="2847">
        <f ca="1">IF(AM659="",0,IF(AN659=0,MAX(AO$639:AO658,AQ$637)+1,AN659+IFERROR(VLOOKUP(VLOOKUP(AM659,$D$638:$AA$840,24,0),AM$639:AO$644,3,0)-VLOOKUP(VLOOKUP(AM659,$D$638:$AA$840,24,0),AM$639:AO$644,2,0)+1,0)))</f>
        <v>12</v>
      </c>
      <c r="AP659" s="2847" t="str">
        <f t="shared" ca="1" si="77"/>
        <v/>
      </c>
      <c r="AQ659" s="2847" t="str">
        <f t="shared" ca="1" si="101"/>
        <v/>
      </c>
      <c r="AR659" s="1023" t="s">
        <v>6985</v>
      </c>
      <c r="AS659" s="2847">
        <f>IFERROR(IF(IF(AR659&lt;&gt;"",VLOOKUP(AR659,Tabla_ArmasyEscudos,9,0),"")="Conocida",MAX(AS$645:AS658)+1,0),0)</f>
        <v>0</v>
      </c>
      <c r="AT659" s="2847">
        <f ca="1">IF(AR659="",0,IF(AS659=0,MAX(AT$639:AT658,AV$637)+1,AS659+IFERROR(VLOOKUP(VLOOKUP(AR659,$D$638:$AA$840,24,0),AR$639:AT$644,3,0)-VLOOKUP(VLOOKUP(AR659,$D$638:$AA$840,24,0),AR$639:AT$644,2,0)+1,0)))</f>
        <v>12</v>
      </c>
      <c r="AU659" s="2847" t="str">
        <f t="shared" ca="1" si="78"/>
        <v>Leo (Maza-Cañón) C.</v>
      </c>
      <c r="AV659" s="2847" t="str">
        <f t="shared" ca="1" si="102"/>
        <v/>
      </c>
      <c r="AX659" s="1250" t="str">
        <f t="shared" si="79"/>
        <v>Cinquedea</v>
      </c>
      <c r="AY659" s="3025"/>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5"/>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5"/>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5"/>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5"/>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042"/>
      <c r="C660" s="1141"/>
      <c r="D660" s="2614" t="s">
        <v>2126</v>
      </c>
      <c r="E660" s="2618">
        <v>30</v>
      </c>
      <c r="F660" s="2613">
        <v>15</v>
      </c>
      <c r="G660" s="2613">
        <v>3</v>
      </c>
      <c r="H660" s="2613">
        <v>3</v>
      </c>
      <c r="I660" s="2613" t="s">
        <v>1551</v>
      </c>
      <c r="J660" s="2613" t="s">
        <v>1550</v>
      </c>
      <c r="K660" s="2859" t="s">
        <v>7262</v>
      </c>
      <c r="L660" s="2613" t="str">
        <f t="shared" si="104"/>
        <v>Distinta</v>
      </c>
      <c r="M660" s="2619">
        <v>12</v>
      </c>
      <c r="N660" s="2619">
        <v>0</v>
      </c>
      <c r="O660" s="2619">
        <v>20</v>
      </c>
      <c r="P660" s="2613"/>
      <c r="Q660" s="2613"/>
      <c r="R660" s="2619">
        <v>50</v>
      </c>
      <c r="S660" s="2613" t="s">
        <v>1455</v>
      </c>
      <c r="T660" s="2613">
        <v>15</v>
      </c>
      <c r="U660" s="2613"/>
      <c r="V660" s="2859" t="s">
        <v>8564</v>
      </c>
      <c r="W660" s="2859"/>
      <c r="X660" s="2860" t="str">
        <f t="shared" si="106"/>
        <v>Pequeña</v>
      </c>
      <c r="Y660" s="2603">
        <f t="shared" si="105"/>
        <v>0</v>
      </c>
      <c r="Z660" s="1259" t="str">
        <f t="shared" si="103"/>
        <v/>
      </c>
      <c r="AA660" s="1955" t="s">
        <v>2109</v>
      </c>
      <c r="AC660" s="1023" t="s">
        <v>6981</v>
      </c>
      <c r="AD660" s="2847">
        <f>IFERROR(IF(IF(AC660&lt;&gt;"",VLOOKUP(AC660,Tabla_ArmasyEscudos,9,0),"")="Conocida",MAX(AD$645:AD659)+1,0),0)</f>
        <v>0</v>
      </c>
      <c r="AE660" s="2847">
        <f ca="1">IF(AC660="",0,IF(AD660=0,MAX(AE$639:AE659,AG$637)+1,AD660+IFERROR(VLOOKUP(VLOOKUP(AC660,$D$638:$AA$840,24,0),AC$639:AE$644,3,0)-VLOOKUP(VLOOKUP(AC660,$D$638:$AA$840,24,0),AC$639:AE$644,2,0)+1,0)))</f>
        <v>16</v>
      </c>
      <c r="AF660" s="2847" t="str">
        <f t="shared" ca="1" si="98"/>
        <v>Dardos de mano</v>
      </c>
      <c r="AG660" s="2847" t="str">
        <f t="shared" ca="1" si="99"/>
        <v/>
      </c>
      <c r="AH660" s="1023" t="s">
        <v>6983</v>
      </c>
      <c r="AI660" s="2847">
        <f>IFERROR(IF(IF(AH660&lt;&gt;"",VLOOKUP(AH660,Tabla_ArmasyEscudos,9,0),"")="Conocida",MAX(AI$645:AI659)+1,0),0)</f>
        <v>0</v>
      </c>
      <c r="AJ660" s="2847">
        <f ca="1">IF(AH660="",0,IF(AI660=0,MAX(AJ$639:AJ659,AL$637)+1,AI660+IFERROR(VLOOKUP(VLOOKUP(AH660,$D$638:$AA$840,24,0),AH$639:AJ$644,3,0)-VLOOKUP(VLOOKUP(AH660,$D$638:$AA$840,24,0),AH$639:AJ$644,2,0)+1,0)))</f>
        <v>16</v>
      </c>
      <c r="AK660" s="2847" t="str">
        <f t="shared" ca="1" si="76"/>
        <v>Hacha a dos manos</v>
      </c>
      <c r="AL660" s="2847" t="str">
        <f t="shared" ca="1" si="100"/>
        <v/>
      </c>
      <c r="AM660" s="3052" t="s">
        <v>2225</v>
      </c>
      <c r="AN660" s="2847">
        <f>IFERROR(IF(IF(AM660&lt;&gt;"",VLOOKUP(AM660,Tabla_ArmasyEscudos,9,0),"")="Conocida",MAX(AN$645:AN659)+1,0),0)</f>
        <v>0</v>
      </c>
      <c r="AO660" s="2847">
        <f ca="1">IF(AM660="",0,IF(AN660=0,MAX(AO$639:AO659,AQ$637)+1,AN660+IFERROR(VLOOKUP(VLOOKUP(AM660,$D$638:$AA$840,24,0),AM$639:AO$644,3,0)-VLOOKUP(VLOOKUP(AM660,$D$638:$AA$840,24,0),AM$639:AO$644,2,0)+1,0)))</f>
        <v>13</v>
      </c>
      <c r="AP660" s="2847" t="str">
        <f t="shared" ca="1" si="77"/>
        <v/>
      </c>
      <c r="AQ660" s="2847" t="str">
        <f t="shared" ca="1" si="101"/>
        <v/>
      </c>
      <c r="AR660" s="3052" t="s">
        <v>8296</v>
      </c>
      <c r="AS660" s="2847">
        <f>IFERROR(IF(IF(AR660&lt;&gt;"",VLOOKUP(AR660,Tabla_ArmasyEscudos,9,0),"")="Conocida",MAX(AS$645:AS659)+1,0),0)</f>
        <v>0</v>
      </c>
      <c r="AT660" s="2847">
        <f ca="1">IF(AR660="",0,IF(AS660=0,MAX(AT$639:AT659,AV$637)+1,AS660+IFERROR(VLOOKUP(VLOOKUP(AR660,$D$638:$AA$840,24,0),AR$639:AT$644,3,0)-VLOOKUP(VLOOKUP(AR660,$D$638:$AA$840,24,0),AR$639:AT$644,2,0)+1,0)))</f>
        <v>13</v>
      </c>
      <c r="AU660" s="2847" t="str">
        <f t="shared" ca="1" si="78"/>
        <v/>
      </c>
      <c r="AV660" s="2847" t="str">
        <f t="shared" ca="1" si="102"/>
        <v/>
      </c>
      <c r="AX660" s="1250" t="str">
        <f t="shared" si="79"/>
        <v>Claymore</v>
      </c>
      <c r="AY660" s="3025"/>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5"/>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5"/>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5"/>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5"/>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042"/>
      <c r="C661" s="1141"/>
      <c r="D661" s="2614" t="s">
        <v>2127</v>
      </c>
      <c r="E661" s="2613">
        <v>20</v>
      </c>
      <c r="F661" s="2613">
        <v>20</v>
      </c>
      <c r="G661" s="2613">
        <v>3</v>
      </c>
      <c r="H661" s="2613">
        <v>3</v>
      </c>
      <c r="I661" s="2613" t="s">
        <v>1551</v>
      </c>
      <c r="J661" s="2613" t="s">
        <v>1455</v>
      </c>
      <c r="K661" s="2859" t="s">
        <v>7259</v>
      </c>
      <c r="L661" s="2613" t="str">
        <f t="shared" si="104"/>
        <v>Distinta</v>
      </c>
      <c r="M661" s="2619">
        <v>3</v>
      </c>
      <c r="N661" s="2619">
        <v>-4</v>
      </c>
      <c r="O661" s="2619">
        <v>15</v>
      </c>
      <c r="P661" s="2613"/>
      <c r="Q661" s="2613"/>
      <c r="R661" s="2619">
        <v>40</v>
      </c>
      <c r="S661" s="2613" t="s">
        <v>1455</v>
      </c>
      <c r="T661" s="2613">
        <v>20</v>
      </c>
      <c r="U661" s="2613"/>
      <c r="V661" s="2859" t="s">
        <v>8565</v>
      </c>
      <c r="W661" s="2859"/>
      <c r="X661" s="2860" t="str">
        <f t="shared" si="106"/>
        <v>Mediana</v>
      </c>
      <c r="Y661" s="2603">
        <f t="shared" si="105"/>
        <v>0</v>
      </c>
      <c r="Z661" s="1259" t="str">
        <f t="shared" si="103"/>
        <v/>
      </c>
      <c r="AA661" s="1955" t="s">
        <v>2109</v>
      </c>
      <c r="AC661" s="1023" t="s">
        <v>2123</v>
      </c>
      <c r="AD661" s="2847">
        <f>IFERROR(IF(IF(AC661&lt;&gt;"",VLOOKUP(AC661,Tabla_ArmasyEscudos,9,0),"")="Conocida",MAX(AD$645:AD660)+1,0),0)</f>
        <v>0</v>
      </c>
      <c r="AE661" s="2847">
        <f ca="1">IF(AC661="",0,IF(AD661=0,MAX(AE$639:AE660,AG$637)+1,AD661+IFERROR(VLOOKUP(VLOOKUP(AC661,$D$638:$AA$840,24,0),AC$639:AE$644,3,0)-VLOOKUP(VLOOKUP(AC661,$D$638:$AA$840,24,0),AC$639:AE$644,2,0)+1,0)))</f>
        <v>17</v>
      </c>
      <c r="AF661" s="2847" t="str">
        <f t="shared" ca="1" si="98"/>
        <v>Dirk</v>
      </c>
      <c r="AG661" s="2847" t="str">
        <f t="shared" ca="1" si="99"/>
        <v/>
      </c>
      <c r="AH661" s="1023" t="s">
        <v>2141</v>
      </c>
      <c r="AI661" s="2847">
        <f>IFERROR(IF(IF(AH661&lt;&gt;"",VLOOKUP(AH661,Tabla_ArmasyEscudos,9,0),"")="Conocida",MAX(AI$645:AI660)+1,0),0)</f>
        <v>0</v>
      </c>
      <c r="AJ661" s="2847">
        <f ca="1">IF(AH661="",0,IF(AI661=0,MAX(AJ$639:AJ660,AL$637)+1,AI661+IFERROR(VLOOKUP(VLOOKUP(AH661,$D$638:$AA$840,24,0),AH$639:AJ$644,3,0)-VLOOKUP(VLOOKUP(AH661,$D$638:$AA$840,24,0),AH$639:AJ$644,2,0)+1,0)))</f>
        <v>17</v>
      </c>
      <c r="AK661" s="2847" t="str">
        <f t="shared" ca="1" si="76"/>
        <v>Lanza</v>
      </c>
      <c r="AL661" s="2847" t="str">
        <f t="shared" ca="1" si="100"/>
        <v/>
      </c>
      <c r="AM661" s="3045" t="s">
        <v>8579</v>
      </c>
      <c r="AN661" s="2847">
        <f>IFERROR(IF(IF(AM661&lt;&gt;"",VLOOKUP(AM661,Tabla_ArmasyEscudos,9,0),"")="Conocida",MAX(AN$645:AN660)+1,0),0)</f>
        <v>0</v>
      </c>
      <c r="AO661" s="2847">
        <f ca="1">IF(AM661="",0,IF(AN661=0,MAX(AO$639:AO660,AQ$637)+1,AN661+IFERROR(VLOOKUP(VLOOKUP(AM661,$D$638:$AA$840,24,0),AM$639:AO$644,3,0)-VLOOKUP(VLOOKUP(AM661,$D$638:$AA$840,24,0),AM$639:AO$644,2,0)+1,0)))</f>
        <v>14</v>
      </c>
      <c r="AP661" s="2847" t="str">
        <f t="shared" ca="1" si="77"/>
        <v/>
      </c>
      <c r="AQ661" s="2847" t="str">
        <f t="shared" ca="1" si="101"/>
        <v/>
      </c>
      <c r="AR661" s="3045" t="s">
        <v>8297</v>
      </c>
      <c r="AS661" s="2847">
        <f>IFERROR(IF(IF(AR661&lt;&gt;"",VLOOKUP(AR661,Tabla_ArmasyEscudos,9,0),"")="Conocida",MAX(AS$645:AS660)+1,0),0)</f>
        <v>0</v>
      </c>
      <c r="AT661" s="2847">
        <f ca="1">IF(AR661="",0,IF(AS661=0,MAX(AT$639:AT660,AV$637)+1,AS661+IFERROR(VLOOKUP(VLOOKUP(AR661,$D$638:$AA$840,24,0),AR$639:AT$644,3,0)-VLOOKUP(VLOOKUP(AR661,$D$638:$AA$840,24,0),AR$639:AT$644,2,0)+1,0)))</f>
        <v>14</v>
      </c>
      <c r="AU661" s="2847" t="str">
        <f t="shared" ca="1" si="78"/>
        <v/>
      </c>
      <c r="AV661" s="2847" t="str">
        <f t="shared" ca="1" si="102"/>
        <v/>
      </c>
      <c r="AX661" s="1250" t="str">
        <f t="shared" si="79"/>
        <v>Daga</v>
      </c>
      <c r="AY661" s="3025"/>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5"/>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5"/>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5"/>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5"/>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042"/>
      <c r="C662" s="1141"/>
      <c r="D662" s="2614" t="s">
        <v>6987</v>
      </c>
      <c r="E662" s="2618">
        <v>35</v>
      </c>
      <c r="F662" s="2613">
        <v>15</v>
      </c>
      <c r="G662" s="2613">
        <v>5</v>
      </c>
      <c r="H662" s="2613">
        <v>5</v>
      </c>
      <c r="I662" s="2613" t="s">
        <v>1551</v>
      </c>
      <c r="J662" s="2613" t="s">
        <v>1455</v>
      </c>
      <c r="K662" s="2859" t="s">
        <v>7262</v>
      </c>
      <c r="L662" s="2613" t="str">
        <f t="shared" si="104"/>
        <v>Distinta</v>
      </c>
      <c r="M662" s="2619">
        <v>10</v>
      </c>
      <c r="N662" s="2619">
        <v>-2</v>
      </c>
      <c r="O662" s="2619">
        <v>15</v>
      </c>
      <c r="P662" s="2613"/>
      <c r="Q662" s="2613"/>
      <c r="R662" s="2613" t="s">
        <v>1455</v>
      </c>
      <c r="S662" s="2613" t="s">
        <v>1455</v>
      </c>
      <c r="T662" s="2613" t="s">
        <v>1455</v>
      </c>
      <c r="U662" s="2613"/>
      <c r="V662" s="2859" t="s">
        <v>2133</v>
      </c>
      <c r="W662" s="2859"/>
      <c r="X662" s="2860" t="str">
        <f t="shared" si="106"/>
        <v>Pequeña</v>
      </c>
      <c r="Y662" s="2603">
        <f t="shared" si="105"/>
        <v>0</v>
      </c>
      <c r="Z662" s="1259" t="str">
        <f t="shared" si="103"/>
        <v/>
      </c>
      <c r="AA662" s="1955" t="s">
        <v>2109</v>
      </c>
      <c r="AC662" s="1023" t="s">
        <v>6984</v>
      </c>
      <c r="AD662" s="2847">
        <f>IFERROR(IF(IF(AC662&lt;&gt;"",VLOOKUP(AC662,Tabla_ArmasyEscudos,9,0),"")="Conocida",MAX(AD$645:AD661)+1,0),0)</f>
        <v>0</v>
      </c>
      <c r="AE662" s="2847">
        <f ca="1">IF(AC662="",0,IF(AD662=0,MAX(AE$639:AE661,AG$637)+1,AD662+IFERROR(VLOOKUP(VLOOKUP(AC662,$D$638:$AA$840,24,0),AC$639:AE$644,3,0)-VLOOKUP(VLOOKUP(AC662,$D$638:$AA$840,24,0),AC$639:AE$644,2,0)+1,0)))</f>
        <v>18</v>
      </c>
      <c r="AF662" s="2847" t="str">
        <f t="shared" ca="1" si="98"/>
        <v>Escramasajón</v>
      </c>
      <c r="AG662" s="2847" t="str">
        <f t="shared" ca="1" si="99"/>
        <v/>
      </c>
      <c r="AH662" s="1023" t="s">
        <v>10116</v>
      </c>
      <c r="AI662" s="2847">
        <f>IFERROR(IF(IF(AH662&lt;&gt;"",VLOOKUP(AH662,Tabla_ArmasyEscudos,9,0),"")="Conocida",MAX(AI$645:AI661)+1,0),0)</f>
        <v>0</v>
      </c>
      <c r="AJ662" s="2847">
        <f ca="1">IF(AH662="",0,IF(AI662=0,MAX(AJ$639:AJ661,AL$637)+1,AI662+IFERROR(VLOOKUP(VLOOKUP(AH662,$D$638:$AA$840,24,0),AH$639:AJ$644,3,0)-VLOOKUP(VLOOKUP(AH662,$D$638:$AA$840,24,0),AH$639:AJ$644,2,0)+1,0)))</f>
        <v>18</v>
      </c>
      <c r="AK662" s="2847" t="str">
        <f t="shared" ca="1" si="76"/>
        <v>Lazo</v>
      </c>
      <c r="AL662" s="2847" t="str">
        <f t="shared" ca="1" si="100"/>
        <v/>
      </c>
      <c r="AM662" s="3045" t="s">
        <v>8580</v>
      </c>
      <c r="AN662" s="2847">
        <f>IFERROR(IF(IF(AM662&lt;&gt;"",VLOOKUP(AM662,Tabla_ArmasyEscudos,9,0),"")="Conocida",MAX(AN$645:AN661)+1,0),0)</f>
        <v>0</v>
      </c>
      <c r="AO662" s="2847">
        <f ca="1">IF(AM662="",0,IF(AN662=0,MAX(AO$639:AO661,AQ$637)+1,AN662+IFERROR(VLOOKUP(VLOOKUP(AM662,$D$638:$AA$840,24,0),AM$639:AO$644,3,0)-VLOOKUP(VLOOKUP(AM662,$D$638:$AA$840,24,0),AM$639:AO$644,2,0)+1,0)))</f>
        <v>15</v>
      </c>
      <c r="AP662" s="2847" t="str">
        <f t="shared" ca="1" si="77"/>
        <v/>
      </c>
      <c r="AQ662" s="2847" t="str">
        <f t="shared" ca="1" si="101"/>
        <v/>
      </c>
      <c r="AR662" s="3045" t="s">
        <v>8298</v>
      </c>
      <c r="AS662" s="2847">
        <f>IFERROR(IF(IF(AR662&lt;&gt;"",VLOOKUP(AR662,Tabla_ArmasyEscudos,9,0),"")="Conocida",MAX(AS$645:AS661)+1,0),0)</f>
        <v>0</v>
      </c>
      <c r="AT662" s="2847">
        <f ca="1">IF(AR662="",0,IF(AS662=0,MAX(AT$639:AT661,AV$637)+1,AS662+IFERROR(VLOOKUP(VLOOKUP(AR662,$D$638:$AA$840,24,0),AR$639:AT$644,3,0)-VLOOKUP(VLOOKUP(AR662,$D$638:$AA$840,24,0),AR$639:AT$644,2,0)+1,0)))</f>
        <v>15</v>
      </c>
      <c r="AU662" s="2847" t="str">
        <f t="shared" ca="1" si="78"/>
        <v/>
      </c>
      <c r="AV662" s="2847" t="str">
        <f t="shared" ca="1" si="102"/>
        <v/>
      </c>
      <c r="AX662" s="1250" t="str">
        <f t="shared" si="79"/>
        <v>Daga de parada</v>
      </c>
      <c r="AY662" s="3025"/>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5"/>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5"/>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5"/>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5"/>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042"/>
      <c r="C663" s="1141"/>
      <c r="D663" s="2614" t="s">
        <v>6988</v>
      </c>
      <c r="E663" s="2618">
        <v>45</v>
      </c>
      <c r="F663" s="2613">
        <v>0</v>
      </c>
      <c r="G663" s="2613">
        <v>4</v>
      </c>
      <c r="H663" s="2613">
        <v>4</v>
      </c>
      <c r="I663" s="2613" t="s">
        <v>1550</v>
      </c>
      <c r="J663" s="2613" t="s">
        <v>1551</v>
      </c>
      <c r="K663" s="2859" t="s">
        <v>7262</v>
      </c>
      <c r="L663" s="2613" t="str">
        <f t="shared" si="104"/>
        <v>Distinta</v>
      </c>
      <c r="M663" s="2619">
        <v>14</v>
      </c>
      <c r="N663" s="2619">
        <v>4</v>
      </c>
      <c r="O663" s="2619">
        <v>20</v>
      </c>
      <c r="P663" s="2613"/>
      <c r="Q663" s="2613"/>
      <c r="R663" s="2613" t="s">
        <v>1455</v>
      </c>
      <c r="S663" s="2613" t="s">
        <v>1455</v>
      </c>
      <c r="T663" s="2613" t="s">
        <v>1455</v>
      </c>
      <c r="U663" s="2613"/>
      <c r="V663" s="2859" t="s">
        <v>1455</v>
      </c>
      <c r="W663" s="2859"/>
      <c r="X663" s="2860" t="str">
        <f t="shared" si="106"/>
        <v>Pequeña</v>
      </c>
      <c r="Y663" s="2603">
        <f t="shared" si="105"/>
        <v>0</v>
      </c>
      <c r="Z663" s="1259" t="str">
        <f t="shared" si="103"/>
        <v/>
      </c>
      <c r="AA663" s="1955" t="s">
        <v>2109</v>
      </c>
      <c r="AC663" s="1023" t="s">
        <v>2125</v>
      </c>
      <c r="AD663" s="2847">
        <f>IFERROR(IF(IF(AC663&lt;&gt;"",VLOOKUP(AC663,Tabla_ArmasyEscudos,9,0),"")="Conocida",MAX(AD$645:AD662)+1,0),0)</f>
        <v>0</v>
      </c>
      <c r="AE663" s="2847">
        <f ca="1">IF(AC663="",0,IF(AD663=0,MAX(AE$639:AE662,AG$637)+1,AD663+IFERROR(VLOOKUP(VLOOKUP(AC663,$D$638:$AA$840,24,0),AC$639:AE$644,3,0)-VLOOKUP(VLOOKUP(AC663,$D$638:$AA$840,24,0),AC$639:AE$644,2,0)+1,0)))</f>
        <v>19</v>
      </c>
      <c r="AF663" s="2847" t="str">
        <f t="shared" ca="1" si="98"/>
        <v>Espada a dos manos</v>
      </c>
      <c r="AG663" s="2847" t="str">
        <f t="shared" ca="1" si="99"/>
        <v/>
      </c>
      <c r="AH663" s="1023" t="s">
        <v>2142</v>
      </c>
      <c r="AI663" s="2847">
        <f>IFERROR(IF(IF(AH663&lt;&gt;"",VLOOKUP(AH663,Tabla_ArmasyEscudos,9,0),"")="Conocida",MAX(AI$645:AI662)+1,0),0)</f>
        <v>0</v>
      </c>
      <c r="AJ663" s="2847">
        <f ca="1">IF(AH663="",0,IF(AI663=0,MAX(AJ$639:AJ662,AL$637)+1,AI663+IFERROR(VLOOKUP(VLOOKUP(AH663,$D$638:$AA$840,24,0),AH$639:AJ$644,3,0)-VLOOKUP(VLOOKUP(AH663,$D$638:$AA$840,24,0),AH$639:AJ$644,2,0)+1,0)))</f>
        <v>19</v>
      </c>
      <c r="AK663" s="2847" t="str">
        <f t="shared" ca="1" si="76"/>
        <v>Liu Xing Chui</v>
      </c>
      <c r="AL663" s="2847" t="str">
        <f t="shared" ca="1" si="100"/>
        <v/>
      </c>
      <c r="AM663" s="1025"/>
      <c r="AN663" s="2847">
        <f>IFERROR(IF(IF(AM663&lt;&gt;"",VLOOKUP(AM663,Tabla_ArmasyEscudos,9,0),"")="Conocida",MAX(AN$645:AN662)+1,0),0)</f>
        <v>0</v>
      </c>
      <c r="AO663" s="2847">
        <f>IF(AM663="",0,IF(AN663=0,MAX(AO$639:AO662,AQ$637)+1,AN663+IFERROR(VLOOKUP(VLOOKUP(AM663,$D$638:$AA$840,24,0),AM$639:AO$644,3,0)-VLOOKUP(VLOOKUP(AM663,$D$638:$AA$840,24,0),AM$639:AO$644,2,0)+1,0)))</f>
        <v>0</v>
      </c>
      <c r="AP663" s="2847" t="str">
        <f t="shared" ca="1" si="77"/>
        <v/>
      </c>
      <c r="AQ663" s="2847" t="str">
        <f t="shared" ca="1" si="101"/>
        <v/>
      </c>
      <c r="AR663" s="3045" t="s">
        <v>8299</v>
      </c>
      <c r="AS663" s="2847">
        <f>IFERROR(IF(IF(AR663&lt;&gt;"",VLOOKUP(AR663,Tabla_ArmasyEscudos,9,0),"")="Conocida",MAX(AS$645:AS662)+1,0),0)</f>
        <v>0</v>
      </c>
      <c r="AT663" s="2847">
        <f ca="1">IF(AR663="",0,IF(AS663=0,MAX(AT$639:AT662,AV$637)+1,AS663+IFERROR(VLOOKUP(VLOOKUP(AR663,$D$638:$AA$840,24,0),AR$639:AT$644,3,0)-VLOOKUP(VLOOKUP(AR663,$D$638:$AA$840,24,0),AR$639:AT$644,2,0)+1,0)))</f>
        <v>16</v>
      </c>
      <c r="AU663" s="2847" t="str">
        <f t="shared" ca="1" si="78"/>
        <v/>
      </c>
      <c r="AV663" s="2847" t="str">
        <f t="shared" ca="1" si="102"/>
        <v/>
      </c>
      <c r="AX663" s="1250" t="str">
        <f t="shared" si="79"/>
        <v>Dardos de mano</v>
      </c>
      <c r="AY663" s="3025"/>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5"/>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5"/>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5"/>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5"/>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042"/>
      <c r="C664" s="1141"/>
      <c r="D664" s="2614" t="s">
        <v>2128</v>
      </c>
      <c r="E664" s="2618">
        <v>90</v>
      </c>
      <c r="F664" s="2613">
        <v>-60</v>
      </c>
      <c r="G664" s="2613">
        <v>10</v>
      </c>
      <c r="H664" s="2613">
        <v>8</v>
      </c>
      <c r="I664" s="2613" t="s">
        <v>1550</v>
      </c>
      <c r="J664" s="2613" t="s">
        <v>1497</v>
      </c>
      <c r="K664" s="2859" t="s">
        <v>7264</v>
      </c>
      <c r="L664" s="2613" t="str">
        <f t="shared" si="104"/>
        <v>Distinta</v>
      </c>
      <c r="M664" s="2619">
        <v>18</v>
      </c>
      <c r="N664" s="2619">
        <v>6</v>
      </c>
      <c r="O664" s="2619">
        <v>30</v>
      </c>
      <c r="P664" s="2613"/>
      <c r="Q664" s="2613"/>
      <c r="R664" s="2613" t="s">
        <v>1455</v>
      </c>
      <c r="S664" s="2613" t="s">
        <v>1455</v>
      </c>
      <c r="T664" s="2613" t="s">
        <v>1455</v>
      </c>
      <c r="U664" s="2613"/>
      <c r="V664" s="2859" t="s">
        <v>2129</v>
      </c>
      <c r="W664" s="2859"/>
      <c r="X664" s="2860" t="str">
        <f t="shared" si="106"/>
        <v>Grande</v>
      </c>
      <c r="Y664" s="2603">
        <f t="shared" si="105"/>
        <v>0</v>
      </c>
      <c r="Z664" s="1259" t="str">
        <f t="shared" si="103"/>
        <v/>
      </c>
      <c r="AA664" s="1955" t="s">
        <v>2109</v>
      </c>
      <c r="AC664" s="1023" t="s">
        <v>2126</v>
      </c>
      <c r="AD664" s="2847">
        <f>IFERROR(IF(IF(AC664&lt;&gt;"",VLOOKUP(AC664,Tabla_ArmasyEscudos,9,0),"")="Conocida",MAX(AD$645:AD663)+1,0),0)</f>
        <v>0</v>
      </c>
      <c r="AE664" s="2847">
        <f ca="1">IF(AC664="",0,IF(AD664=0,MAX(AE$639:AE663,AG$637)+1,AD664+IFERROR(VLOOKUP(VLOOKUP(AC664,$D$638:$AA$840,24,0),AC$639:AE$644,3,0)-VLOOKUP(VLOOKUP(AC664,$D$638:$AA$840,24,0),AC$639:AE$644,2,0)+1,0)))</f>
        <v>20</v>
      </c>
      <c r="AF664" s="2847" t="str">
        <f t="shared" ca="1" si="98"/>
        <v>Espada ancha</v>
      </c>
      <c r="AG664" s="2847" t="str">
        <f t="shared" ca="1" si="99"/>
        <v/>
      </c>
      <c r="AH664" s="1023" t="s">
        <v>6986</v>
      </c>
      <c r="AI664" s="2847">
        <f>IFERROR(IF(IF(AH664&lt;&gt;"",VLOOKUP(AH664,Tabla_ArmasyEscudos,9,0),"")="Conocida",MAX(AI$645:AI663)+1,0),0)</f>
        <v>0</v>
      </c>
      <c r="AJ664" s="2847">
        <f ca="1">IF(AH664="",0,IF(AI664=0,MAX(AJ$639:AJ663,AL$637)+1,AI664+IFERROR(VLOOKUP(VLOOKUP(AH664,$D$638:$AA$840,24,0),AH$639:AJ$644,3,0)-VLOOKUP(VLOOKUP(AH664,$D$638:$AA$840,24,0),AH$639:AJ$644,2,0)+1,0)))</f>
        <v>20</v>
      </c>
      <c r="AK664" s="2847" t="str">
        <f t="shared" ca="1" si="76"/>
        <v>Mangual</v>
      </c>
      <c r="AL664" s="2847" t="str">
        <f t="shared" ca="1" si="100"/>
        <v/>
      </c>
      <c r="AM664" s="1025"/>
      <c r="AN664" s="2847">
        <f>IFERROR(IF(IF(AM664&lt;&gt;"",VLOOKUP(AM664,Tabla_ArmasyEscudos,9,0),"")="Conocida",MAX(AN$645:AN663)+1,0),0)</f>
        <v>0</v>
      </c>
      <c r="AO664" s="2847">
        <f>IF(AM664="",0,IF(AN664=0,MAX(AO$639:AO663,AQ$637)+1,AN664+IFERROR(VLOOKUP(VLOOKUP(AM664,$D$638:$AA$840,24,0),AM$639:AO$644,3,0)-VLOOKUP(VLOOKUP(AM664,$D$638:$AA$840,24,0),AM$639:AO$644,2,0)+1,0)))</f>
        <v>0</v>
      </c>
      <c r="AP664" s="2847" t="str">
        <f t="shared" ca="1" si="77"/>
        <v/>
      </c>
      <c r="AQ664" s="2847" t="str">
        <f t="shared" ca="1" si="101"/>
        <v/>
      </c>
      <c r="AR664" s="3052" t="s">
        <v>2225</v>
      </c>
      <c r="AS664" s="2847">
        <f>IFERROR(IF(IF(AR664&lt;&gt;"",VLOOKUP(AR664,Tabla_ArmasyEscudos,9,0),"")="Conocida",MAX(AS$645:AS663)+1,0),0)</f>
        <v>0</v>
      </c>
      <c r="AT664" s="2847">
        <f ca="1">IF(AR664="",0,IF(AS664=0,MAX(AT$639:AT663,AV$637)+1,AS664+IFERROR(VLOOKUP(VLOOKUP(AR664,$D$638:$AA$840,24,0),AR$639:AT$644,3,0)-VLOOKUP(VLOOKUP(AR664,$D$638:$AA$840,24,0),AR$639:AT$644,2,0)+1,0)))</f>
        <v>17</v>
      </c>
      <c r="AU664" s="2847" t="str">
        <f t="shared" ca="1" si="78"/>
        <v/>
      </c>
      <c r="AV664" s="2847" t="str">
        <f t="shared" ca="1" si="102"/>
        <v/>
      </c>
      <c r="AX664" s="1250" t="str">
        <f t="shared" si="79"/>
        <v>Dirk</v>
      </c>
      <c r="AY664" s="3025"/>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5"/>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5"/>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5"/>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5"/>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042"/>
      <c r="C665" s="1141"/>
      <c r="D665" s="2614" t="s">
        <v>2130</v>
      </c>
      <c r="E665" s="2618">
        <v>55</v>
      </c>
      <c r="F665" s="2613">
        <v>-5</v>
      </c>
      <c r="G665" s="2613">
        <v>5</v>
      </c>
      <c r="H665" s="2613">
        <v>5</v>
      </c>
      <c r="I665" s="2613" t="s">
        <v>1550</v>
      </c>
      <c r="J665" s="2613" t="s">
        <v>1455</v>
      </c>
      <c r="K665" s="2859" t="s">
        <v>7260</v>
      </c>
      <c r="L665" s="2613" t="str">
        <f t="shared" si="104"/>
        <v>Distinta</v>
      </c>
      <c r="M665" s="2619">
        <v>15</v>
      </c>
      <c r="N665" s="2619">
        <v>3</v>
      </c>
      <c r="O665" s="2619">
        <v>25</v>
      </c>
      <c r="P665" s="2613"/>
      <c r="Q665" s="2613"/>
      <c r="R665" s="2613" t="s">
        <v>1455</v>
      </c>
      <c r="S665" s="2613" t="s">
        <v>1455</v>
      </c>
      <c r="T665" s="2613" t="s">
        <v>1455</v>
      </c>
      <c r="U665" s="2613"/>
      <c r="V665" s="2859" t="s">
        <v>1455</v>
      </c>
      <c r="W665" s="2859"/>
      <c r="X665" s="2860" t="str">
        <f t="shared" si="106"/>
        <v>Mediana</v>
      </c>
      <c r="Y665" s="2603">
        <f t="shared" si="105"/>
        <v>0</v>
      </c>
      <c r="Z665" s="1259" t="str">
        <f t="shared" si="103"/>
        <v/>
      </c>
      <c r="AA665" s="1955" t="s">
        <v>2109</v>
      </c>
      <c r="AC665" s="1023" t="s">
        <v>2127</v>
      </c>
      <c r="AD665" s="2847">
        <f>IFERROR(IF(IF(AC665&lt;&gt;"",VLOOKUP(AC665,Tabla_ArmasyEscudos,9,0),"")="Conocida",MAX(AD$645:AD664)+1,0),0)</f>
        <v>0</v>
      </c>
      <c r="AE665" s="2847">
        <f ca="1">IF(AC665="",0,IF(AD665=0,MAX(AE$639:AE664,AG$637)+1,AD665+IFERROR(VLOOKUP(VLOOKUP(AC665,$D$638:$AA$840,24,0),AC$639:AE$644,3,0)-VLOOKUP(VLOOKUP(AC665,$D$638:$AA$840,24,0),AC$639:AE$644,2,0)+1,0)))</f>
        <v>21</v>
      </c>
      <c r="AF665" s="2847" t="str">
        <f t="shared" ca="1" si="98"/>
        <v>Espada bastarda</v>
      </c>
      <c r="AG665" s="2847" t="str">
        <f t="shared" ca="1" si="99"/>
        <v/>
      </c>
      <c r="AH665" s="1023" t="s">
        <v>2143</v>
      </c>
      <c r="AI665" s="2847">
        <f>IFERROR(IF(IF(AH665&lt;&gt;"",VLOOKUP(AH665,Tabla_ArmasyEscudos,9,0),"")="Conocida",MAX(AI$645:AI664)+1,0),0)</f>
        <v>0</v>
      </c>
      <c r="AJ665" s="2847">
        <f ca="1">IF(AH665="",0,IF(AI665=0,MAX(AJ$639:AJ664,AL$637)+1,AI665+IFERROR(VLOOKUP(VLOOKUP(AH665,$D$638:$AA$840,24,0),AH$639:AJ$644,3,0)-VLOOKUP(VLOOKUP(AH665,$D$638:$AA$840,24,0),AH$639:AJ$644,2,0)+1,0)))</f>
        <v>21</v>
      </c>
      <c r="AK665" s="2847" t="str">
        <f t="shared" ca="1" si="76"/>
        <v>Maza Barra</v>
      </c>
      <c r="AL665" s="2847" t="str">
        <f t="shared" ca="1" si="100"/>
        <v/>
      </c>
      <c r="AM665" s="1025"/>
      <c r="AN665" s="2847">
        <f>IFERROR(IF(IF(AM665&lt;&gt;"",VLOOKUP(AM665,Tabla_ArmasyEscudos,9,0),"")="Conocida",MAX(AN$645:AN664)+1,0),0)</f>
        <v>0</v>
      </c>
      <c r="AO665" s="2847">
        <f>IF(AM665="",0,IF(AN665=0,MAX(AO$639:AO664,AQ$637)+1,AN665+IFERROR(VLOOKUP(VLOOKUP(AM665,$D$638:$AA$840,24,0),AM$639:AO$644,3,0)-VLOOKUP(VLOOKUP(AM665,$D$638:$AA$840,24,0),AM$639:AO$644,2,0)+1,0)))</f>
        <v>0</v>
      </c>
      <c r="AP665" s="2847" t="str">
        <f t="shared" ca="1" si="77"/>
        <v/>
      </c>
      <c r="AQ665" s="2847" t="str">
        <f t="shared" ca="1" si="101"/>
        <v/>
      </c>
      <c r="AR665" s="3045" t="s">
        <v>8579</v>
      </c>
      <c r="AS665" s="2847">
        <f>IFERROR(IF(IF(AR665&lt;&gt;"",VLOOKUP(AR665,Tabla_ArmasyEscudos,9,0),"")="Conocida",MAX(AS$645:AS664)+1,0),0)</f>
        <v>0</v>
      </c>
      <c r="AT665" s="2847">
        <f ca="1">IF(AR665="",0,IF(AS665=0,MAX(AT$639:AT664,AV$637)+1,AS665+IFERROR(VLOOKUP(VLOOKUP(AR665,$D$638:$AA$840,24,0),AR$639:AT$644,3,0)-VLOOKUP(VLOOKUP(AR665,$D$638:$AA$840,24,0),AR$639:AT$644,2,0)+1,0)))</f>
        <v>18</v>
      </c>
      <c r="AU665" s="2847" t="str">
        <f t="shared" ca="1" si="78"/>
        <v/>
      </c>
      <c r="AV665" s="2847" t="str">
        <f t="shared" ca="1" si="102"/>
        <v/>
      </c>
      <c r="AX665" s="1250" t="str">
        <f t="shared" si="79"/>
        <v>Escramasajón</v>
      </c>
      <c r="AY665" s="3025"/>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5"/>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5"/>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5"/>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5"/>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042"/>
      <c r="C666" s="1141"/>
      <c r="D666" s="2614" t="s">
        <v>2131</v>
      </c>
      <c r="E666" s="2618">
        <v>70</v>
      </c>
      <c r="F666" s="2613">
        <v>-30</v>
      </c>
      <c r="G666" s="2613">
        <v>9</v>
      </c>
      <c r="H666" s="2613">
        <v>7</v>
      </c>
      <c r="I666" s="2613" t="s">
        <v>1550</v>
      </c>
      <c r="J666" s="2613" t="s">
        <v>1497</v>
      </c>
      <c r="K666" s="2859" t="s">
        <v>7265</v>
      </c>
      <c r="L666" s="2613" t="str">
        <f t="shared" si="104"/>
        <v>Distinta</v>
      </c>
      <c r="M666" s="2619">
        <v>15</v>
      </c>
      <c r="N666" s="2619">
        <v>5</v>
      </c>
      <c r="O666" s="2619">
        <v>25</v>
      </c>
      <c r="P666" s="2613"/>
      <c r="Q666" s="2613"/>
      <c r="R666" s="2613" t="s">
        <v>1455</v>
      </c>
      <c r="S666" s="2613" t="s">
        <v>1455</v>
      </c>
      <c r="T666" s="2613" t="s">
        <v>1455</v>
      </c>
      <c r="U666" s="2613"/>
      <c r="V666" s="2859" t="s">
        <v>2129</v>
      </c>
      <c r="W666" s="2859"/>
      <c r="X666" s="2860" t="str">
        <f t="shared" si="106"/>
        <v>Grande</v>
      </c>
      <c r="Y666" s="2603">
        <f t="shared" si="105"/>
        <v>0</v>
      </c>
      <c r="Z666" s="1259" t="str">
        <f t="shared" si="103"/>
        <v/>
      </c>
      <c r="AA666" s="1955" t="s">
        <v>2109</v>
      </c>
      <c r="AC666" s="1023" t="s">
        <v>6987</v>
      </c>
      <c r="AD666" s="2847">
        <f>IFERROR(IF(IF(AC666&lt;&gt;"",VLOOKUP(AC666,Tabla_ArmasyEscudos,9,0),"")="Conocida",MAX(AD$645:AD665)+1,0),0)</f>
        <v>0</v>
      </c>
      <c r="AE666" s="2847">
        <f ca="1">IF(AC666="",0,IF(AD666=0,MAX(AE$639:AE665,AG$637)+1,AD666+IFERROR(VLOOKUP(VLOOKUP(AC666,$D$638:$AA$840,24,0),AC$639:AE$644,3,0)-VLOOKUP(VLOOKUP(AC666,$D$638:$AA$840,24,0),AC$639:AE$644,2,0)+1,0)))</f>
        <v>22</v>
      </c>
      <c r="AF666" s="2847" t="str">
        <f t="shared" ca="1" si="98"/>
        <v>Espada corta</v>
      </c>
      <c r="AG666" s="2847" t="str">
        <f t="shared" ca="1" si="99"/>
        <v/>
      </c>
      <c r="AH666" s="1023" t="s">
        <v>2148</v>
      </c>
      <c r="AI666" s="2847">
        <f>IFERROR(IF(IF(AH666&lt;&gt;"",VLOOKUP(AH666,Tabla_ArmasyEscudos,9,0),"")="Conocida",MAX(AI$645:AI665)+1,0),0)</f>
        <v>0</v>
      </c>
      <c r="AJ666" s="2847">
        <f ca="1">IF(AH666="",0,IF(AI666=0,MAX(AJ$639:AJ665,AL$637)+1,AI666+IFERROR(VLOOKUP(VLOOKUP(AH666,$D$638:$AA$840,24,0),AH$639:AJ$644,3,0)-VLOOKUP(VLOOKUP(AH666,$D$638:$AA$840,24,0),AH$639:AJ$644,2,0)+1,0)))</f>
        <v>22</v>
      </c>
      <c r="AK666" s="2847" t="str">
        <f t="shared" ca="1" si="76"/>
        <v>Maza pesada</v>
      </c>
      <c r="AL666" s="2847" t="str">
        <f t="shared" ca="1" si="100"/>
        <v/>
      </c>
      <c r="AM666" s="1025"/>
      <c r="AN666" s="2847">
        <f>IFERROR(IF(IF(AM666&lt;&gt;"",VLOOKUP(AM666,Tabla_ArmasyEscudos,9,0),"")="Conocida",MAX(AN$645:AN665)+1,0),0)</f>
        <v>0</v>
      </c>
      <c r="AO666" s="2847">
        <f>IF(AM666="",0,IF(AN666=0,MAX(AO$639:AO665,AQ$637)+1,AN666+IFERROR(VLOOKUP(VLOOKUP(AM666,$D$638:$AA$840,24,0),AM$639:AO$644,3,0)-VLOOKUP(VLOOKUP(AM666,$D$638:$AA$840,24,0),AM$639:AO$644,2,0)+1,0)))</f>
        <v>0</v>
      </c>
      <c r="AP666" s="2847" t="str">
        <f t="shared" ca="1" si="77"/>
        <v/>
      </c>
      <c r="AQ666" s="2847" t="str">
        <f t="shared" ca="1" si="101"/>
        <v/>
      </c>
      <c r="AR666" s="3045" t="s">
        <v>8580</v>
      </c>
      <c r="AS666" s="2847">
        <f>IFERROR(IF(IF(AR666&lt;&gt;"",VLOOKUP(AR666,Tabla_ArmasyEscudos,9,0),"")="Conocida",MAX(AS$645:AS665)+1,0),0)</f>
        <v>0</v>
      </c>
      <c r="AT666" s="2847">
        <f ca="1">IF(AR666="",0,IF(AS666=0,MAX(AT$639:AT665,AV$637)+1,AS666+IFERROR(VLOOKUP(VLOOKUP(AR666,$D$638:$AA$840,24,0),AR$639:AT$644,3,0)-VLOOKUP(VLOOKUP(AR666,$D$638:$AA$840,24,0),AR$639:AT$644,2,0)+1,0)))</f>
        <v>19</v>
      </c>
      <c r="AU666" s="2847" t="str">
        <f t="shared" ca="1" si="78"/>
        <v/>
      </c>
      <c r="AV666" s="2847" t="str">
        <f t="shared" ca="1" si="102"/>
        <v/>
      </c>
      <c r="AX666" s="1250" t="str">
        <f t="shared" si="79"/>
        <v>Espada a dos manos</v>
      </c>
      <c r="AY666" s="3025"/>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5"/>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5"/>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5"/>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5"/>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042"/>
      <c r="C667" s="1141"/>
      <c r="D667" s="2614" t="s">
        <v>2132</v>
      </c>
      <c r="E667" s="2618">
        <v>40</v>
      </c>
      <c r="F667" s="2613">
        <v>15</v>
      </c>
      <c r="G667" s="2613">
        <v>4</v>
      </c>
      <c r="H667" s="2613">
        <v>4</v>
      </c>
      <c r="I667" s="2613" t="s">
        <v>1551</v>
      </c>
      <c r="J667" s="2613" t="s">
        <v>1550</v>
      </c>
      <c r="K667" s="2859" t="s">
        <v>7262</v>
      </c>
      <c r="L667" s="2613" t="str">
        <f t="shared" si="104"/>
        <v>Distinta</v>
      </c>
      <c r="M667" s="2619">
        <v>12</v>
      </c>
      <c r="N667" s="2619">
        <v>1</v>
      </c>
      <c r="O667" s="2619">
        <v>20</v>
      </c>
      <c r="P667" s="2613"/>
      <c r="Q667" s="2613"/>
      <c r="R667" s="2613" t="s">
        <v>1455</v>
      </c>
      <c r="S667" s="2613" t="s">
        <v>1455</v>
      </c>
      <c r="T667" s="2613" t="s">
        <v>1455</v>
      </c>
      <c r="U667" s="2613"/>
      <c r="V667" s="2859" t="s">
        <v>2133</v>
      </c>
      <c r="W667" s="2859"/>
      <c r="X667" s="2860" t="str">
        <f t="shared" si="106"/>
        <v>Pequeña</v>
      </c>
      <c r="Y667" s="2603">
        <f t="shared" si="105"/>
        <v>0</v>
      </c>
      <c r="Z667" s="1259" t="str">
        <f t="shared" si="103"/>
        <v/>
      </c>
      <c r="AA667" s="1955" t="s">
        <v>2109</v>
      </c>
      <c r="AC667" s="1023" t="s">
        <v>6988</v>
      </c>
      <c r="AD667" s="2847">
        <f>IFERROR(IF(IF(AC667&lt;&gt;"",VLOOKUP(AC667,Tabla_ArmasyEscudos,9,0),"")="Conocida",MAX(AD$645:AD666)+1,0),0)</f>
        <v>0</v>
      </c>
      <c r="AE667" s="2847">
        <f ca="1">IF(AC667="",0,IF(AD667=0,MAX(AE$639:AE666,AG$637)+1,AD667+IFERROR(VLOOKUP(VLOOKUP(AC667,$D$638:$AA$840,24,0),AC$639:AE$644,3,0)-VLOOKUP(VLOOKUP(AC667,$D$638:$AA$840,24,0),AC$639:AE$644,2,0)+1,0)))</f>
        <v>23</v>
      </c>
      <c r="AF667" s="2847" t="str">
        <f t="shared" ca="1" si="98"/>
        <v>Espada larga</v>
      </c>
      <c r="AG667" s="2847" t="str">
        <f t="shared" ca="1" si="99"/>
        <v/>
      </c>
      <c r="AH667" s="1023" t="s">
        <v>2153</v>
      </c>
      <c r="AI667" s="2847">
        <f>IFERROR(IF(IF(AH667&lt;&gt;"",VLOOKUP(AH667,Tabla_ArmasyEscudos,9,0),"")="Conocida",MAX(AI$645:AI666)+1,0),0)</f>
        <v>0</v>
      </c>
      <c r="AJ667" s="2847">
        <f ca="1">IF(AH667="",0,IF(AI667=0,MAX(AJ$639:AJ666,AL$637)+1,AI667+IFERROR(VLOOKUP(VLOOKUP(AH667,$D$638:$AA$840,24,0),AH$639:AJ$644,3,0)-VLOOKUP(VLOOKUP(AH667,$D$638:$AA$840,24,0),AH$639:AJ$644,2,0)+1,0)))</f>
        <v>23</v>
      </c>
      <c r="AK667" s="2847" t="str">
        <f t="shared" ca="1" si="76"/>
        <v>Montante</v>
      </c>
      <c r="AL667" s="2847" t="str">
        <f t="shared" ca="1" si="100"/>
        <v/>
      </c>
      <c r="AM667" s="1025"/>
      <c r="AN667" s="2847">
        <f>IFERROR(IF(IF(AM667&lt;&gt;"",VLOOKUP(AM667,Tabla_ArmasyEscudos,9,0),"")="Conocida",MAX(AN$645:AN666)+1,0),0)</f>
        <v>0</v>
      </c>
      <c r="AO667" s="2847">
        <f>IF(AM667="",0,IF(AN667=0,MAX(AO$639:AO666,AQ$637)+1,AN667+IFERROR(VLOOKUP(VLOOKUP(AM667,$D$638:$AA$840,24,0),AM$639:AO$644,3,0)-VLOOKUP(VLOOKUP(AM667,$D$638:$AA$840,24,0),AM$639:AO$644,2,0)+1,0)))</f>
        <v>0</v>
      </c>
      <c r="AP667" s="2847" t="str">
        <f t="shared" ca="1" si="77"/>
        <v/>
      </c>
      <c r="AQ667" s="2847" t="str">
        <f t="shared" ca="1" si="101"/>
        <v/>
      </c>
      <c r="AR667" s="3045" t="s">
        <v>8581</v>
      </c>
      <c r="AS667" s="2847">
        <f>IFERROR(IF(IF(AR667&lt;&gt;"",VLOOKUP(AR667,Tabla_ArmasyEscudos,9,0),"")="Conocida",MAX(AS$645:AS666)+1,0),0)</f>
        <v>0</v>
      </c>
      <c r="AT667" s="2847">
        <f ca="1">IF(AR667="",0,IF(AS667=0,MAX(AT$639:AT666,AV$637)+1,AS667+IFERROR(VLOOKUP(VLOOKUP(AR667,$D$638:$AA$840,24,0),AR$639:AT$644,3,0)-VLOOKUP(VLOOKUP(AR667,$D$638:$AA$840,24,0),AR$639:AT$644,2,0)+1,0)))</f>
        <v>20</v>
      </c>
      <c r="AU667" s="2847" t="str">
        <f t="shared" ca="1" si="78"/>
        <v/>
      </c>
      <c r="AV667" s="2847" t="str">
        <f t="shared" ca="1" si="102"/>
        <v/>
      </c>
      <c r="AX667" s="1250" t="str">
        <f t="shared" si="79"/>
        <v>Espada ancha</v>
      </c>
      <c r="AY667" s="3025"/>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5"/>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5"/>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5"/>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5"/>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042"/>
      <c r="C668" s="1141"/>
      <c r="D668" s="2614" t="s">
        <v>2134</v>
      </c>
      <c r="E668" s="2618">
        <v>50</v>
      </c>
      <c r="F668" s="2613">
        <v>0</v>
      </c>
      <c r="G668" s="2613">
        <v>6</v>
      </c>
      <c r="H668" s="2613">
        <v>6</v>
      </c>
      <c r="I668" s="2613" t="s">
        <v>1550</v>
      </c>
      <c r="J668" s="2613" t="s">
        <v>1455</v>
      </c>
      <c r="K668" s="2859" t="s">
        <v>7260</v>
      </c>
      <c r="L668" s="2613" t="str">
        <f t="shared" si="104"/>
        <v>Distinta</v>
      </c>
      <c r="M668" s="2619">
        <v>13</v>
      </c>
      <c r="N668" s="2619">
        <v>3</v>
      </c>
      <c r="O668" s="2619">
        <v>25</v>
      </c>
      <c r="P668" s="2613"/>
      <c r="Q668" s="2613"/>
      <c r="R668" s="2613" t="s">
        <v>1455</v>
      </c>
      <c r="S668" s="2613" t="s">
        <v>1455</v>
      </c>
      <c r="T668" s="2613" t="s">
        <v>1455</v>
      </c>
      <c r="U668" s="2613"/>
      <c r="V668" s="2859" t="s">
        <v>1455</v>
      </c>
      <c r="W668" s="2859"/>
      <c r="X668" s="2860" t="str">
        <f t="shared" si="106"/>
        <v>Mediana</v>
      </c>
      <c r="Y668" s="2603">
        <f t="shared" si="105"/>
        <v>0</v>
      </c>
      <c r="Z668" s="1259" t="str">
        <f t="shared" si="103"/>
        <v/>
      </c>
      <c r="AA668" s="1955" t="s">
        <v>2109</v>
      </c>
      <c r="AC668" s="1023" t="s">
        <v>2128</v>
      </c>
      <c r="AD668" s="2847">
        <f>IFERROR(IF(IF(AC668&lt;&gt;"",VLOOKUP(AC668,Tabla_ArmasyEscudos,9,0),"")="Conocida",MAX(AD$645:AD667)+1,0),0)</f>
        <v>0</v>
      </c>
      <c r="AE668" s="2847">
        <f ca="1">IF(AC668="",0,IF(AD668=0,MAX(AE$639:AE667,AG$637)+1,AD668+IFERROR(VLOOKUP(VLOOKUP(AC668,$D$638:$AA$840,24,0),AC$639:AE$644,3,0)-VLOOKUP(VLOOKUP(AC668,$D$638:$AA$840,24,0),AC$639:AE$644,2,0)+1,0)))</f>
        <v>24</v>
      </c>
      <c r="AF668" s="2847" t="str">
        <f t="shared" ca="1" si="98"/>
        <v>Estilete</v>
      </c>
      <c r="AG668" s="2847" t="str">
        <f t="shared" ca="1" si="99"/>
        <v/>
      </c>
      <c r="AH668" s="1023" t="s">
        <v>6989</v>
      </c>
      <c r="AI668" s="2847">
        <f>IFERROR(IF(IF(AH668&lt;&gt;"",VLOOKUP(AH668,Tabla_ArmasyEscudos,9,0),"")="Conocida",MAX(AI$645:AI667)+1,0),0)</f>
        <v>0</v>
      </c>
      <c r="AJ668" s="2847">
        <f ca="1">IF(AH668="",0,IF(AI668=0,MAX(AJ$639:AJ667,AL$637)+1,AI668+IFERROR(VLOOKUP(VLOOKUP(AH668,$D$638:$AA$840,24,0),AH$639:AJ$644,3,0)-VLOOKUP(VLOOKUP(AH668,$D$638:$AA$840,24,0),AH$639:AJ$644,2,0)+1,0)))</f>
        <v>24</v>
      </c>
      <c r="AK668" s="2847" t="str">
        <f t="shared" ca="1" si="76"/>
        <v>Pica</v>
      </c>
      <c r="AL668" s="2847" t="str">
        <f t="shared" ca="1" si="100"/>
        <v/>
      </c>
      <c r="AM668" s="1025"/>
      <c r="AN668" s="2847">
        <f>IFERROR(IF(IF(AM668&lt;&gt;"",VLOOKUP(AM668,Tabla_ArmasyEscudos,9,0),"")="Conocida",MAX(AN$645:AN667)+1,0),0)</f>
        <v>0</v>
      </c>
      <c r="AO668" s="2847">
        <f>IF(AM668="",0,IF(AN668=0,MAX(AO$639:AO667,AQ$637)+1,AN668+IFERROR(VLOOKUP(VLOOKUP(AM668,$D$638:$AA$840,24,0),AM$639:AO$644,3,0)-VLOOKUP(VLOOKUP(AM668,$D$638:$AA$840,24,0),AM$639:AO$644,2,0)+1,0)))</f>
        <v>0</v>
      </c>
      <c r="AP668" s="2847" t="str">
        <f t="shared" ca="1" si="77"/>
        <v/>
      </c>
      <c r="AQ668" s="2847" t="str">
        <f t="shared" ca="1" si="101"/>
        <v/>
      </c>
      <c r="AR668" s="1025"/>
      <c r="AS668" s="2847">
        <f>IFERROR(IF(IF(AR668&lt;&gt;"",VLOOKUP(AR668,Tabla_ArmasyEscudos,9,0),"")="Conocida",MAX(AS$645:AS667)+1,0),0)</f>
        <v>0</v>
      </c>
      <c r="AT668" s="2847">
        <f>IF(AR668="",0,IF(AS668=0,MAX(AT$639:AT667,AV$637)+1,AS668+IFERROR(VLOOKUP(VLOOKUP(AR668,$D$638:$AA$840,24,0),AR$639:AT$644,3,0)-VLOOKUP(VLOOKUP(AR668,$D$638:$AA$840,24,0),AR$639:AT$644,2,0)+1,0)))</f>
        <v>0</v>
      </c>
      <c r="AU668" s="2847" t="str">
        <f t="shared" ca="1" si="78"/>
        <v/>
      </c>
      <c r="AV668" s="2847" t="str">
        <f t="shared" ca="1" si="102"/>
        <v/>
      </c>
      <c r="AX668" s="1250" t="str">
        <f t="shared" si="79"/>
        <v>Espada bastarda</v>
      </c>
      <c r="AY668" s="3025"/>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5"/>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5"/>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5"/>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5"/>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042"/>
      <c r="C669" s="1141"/>
      <c r="D669" s="2614" t="s">
        <v>2135</v>
      </c>
      <c r="E669" s="2618">
        <v>25</v>
      </c>
      <c r="F669" s="2613">
        <v>20</v>
      </c>
      <c r="G669" s="2613">
        <v>3</v>
      </c>
      <c r="H669" s="2613">
        <v>3</v>
      </c>
      <c r="I669" s="2613" t="s">
        <v>1551</v>
      </c>
      <c r="J669" s="2613" t="s">
        <v>1455</v>
      </c>
      <c r="K669" s="2859" t="s">
        <v>7262</v>
      </c>
      <c r="L669" s="2613" t="str">
        <f t="shared" si="104"/>
        <v>Distinta</v>
      </c>
      <c r="M669" s="2619">
        <v>8</v>
      </c>
      <c r="N669" s="2619">
        <v>-3</v>
      </c>
      <c r="O669" s="2619">
        <v>15</v>
      </c>
      <c r="P669" s="2613"/>
      <c r="Q669" s="2613"/>
      <c r="R669" s="2619">
        <v>30</v>
      </c>
      <c r="S669" s="2613" t="s">
        <v>1455</v>
      </c>
      <c r="T669" s="2613">
        <v>30</v>
      </c>
      <c r="U669" s="2613"/>
      <c r="V669" s="2859" t="s">
        <v>8566</v>
      </c>
      <c r="W669" s="2859"/>
      <c r="X669" s="2860" t="str">
        <f t="shared" si="106"/>
        <v>Pequeña</v>
      </c>
      <c r="Y669" s="2603">
        <f t="shared" si="105"/>
        <v>0</v>
      </c>
      <c r="Z669" s="1259" t="str">
        <f t="shared" si="103"/>
        <v/>
      </c>
      <c r="AA669" s="1955" t="s">
        <v>2109</v>
      </c>
      <c r="AC669" s="1023" t="s">
        <v>2130</v>
      </c>
      <c r="AD669" s="2847">
        <f>IFERROR(IF(IF(AC669&lt;&gt;"",VLOOKUP(AC669,Tabla_ArmasyEscudos,9,0),"")="Conocida",MAX(AD$645:AD668)+1,0),0)</f>
        <v>0</v>
      </c>
      <c r="AE669" s="2847">
        <f ca="1">IF(AC669="",0,IF(AD669=0,MAX(AE$639:AE668,AG$637)+1,AD669+IFERROR(VLOOKUP(VLOOKUP(AC669,$D$638:$AA$840,24,0),AC$639:AE$644,3,0)-VLOOKUP(VLOOKUP(AC669,$D$638:$AA$840,24,0),AC$639:AE$644,2,0)+1,0)))</f>
        <v>25</v>
      </c>
      <c r="AF669" s="2847" t="str">
        <f t="shared" ca="1" si="98"/>
        <v>Estoque</v>
      </c>
      <c r="AG669" s="2847" t="str">
        <f t="shared" ca="1" si="99"/>
        <v/>
      </c>
      <c r="AH669" s="1023" t="s">
        <v>2155</v>
      </c>
      <c r="AI669" s="2847">
        <f>IFERROR(IF(IF(AH669&lt;&gt;"",VLOOKUP(AH669,Tabla_ArmasyEscudos,9,0),"")="Conocida",MAX(AI$645:AI668)+1,0),0)</f>
        <v>0</v>
      </c>
      <c r="AJ669" s="2847">
        <f ca="1">IF(AH669="",0,IF(AI669=0,MAX(AJ$639:AJ668,AL$637)+1,AI669+IFERROR(VLOOKUP(VLOOKUP(AH669,$D$638:$AA$840,24,0),AH$639:AJ$644,3,0)-VLOOKUP(VLOOKUP(AH669,$D$638:$AA$840,24,0),AH$639:AJ$644,2,0)+1,0)))</f>
        <v>25</v>
      </c>
      <c r="AK669" s="2847" t="str">
        <f t="shared" ca="1" si="76"/>
        <v>Pudao</v>
      </c>
      <c r="AL669" s="2847" t="str">
        <f t="shared" ca="1" si="100"/>
        <v/>
      </c>
      <c r="AM669" s="1025"/>
      <c r="AN669" s="2847">
        <f>IFERROR(IF(IF(AM669&lt;&gt;"",VLOOKUP(AM669,Tabla_ArmasyEscudos,9,0),"")="Conocida",MAX(AN$645:AN668)+1,0),0)</f>
        <v>0</v>
      </c>
      <c r="AO669" s="2847">
        <f>IF(AM669="",0,IF(AN669=0,MAX(AO$639:AO668,AQ$637)+1,AN669+IFERROR(VLOOKUP(VLOOKUP(AM669,$D$638:$AA$840,24,0),AM$639:AO$644,3,0)-VLOOKUP(VLOOKUP(AM669,$D$638:$AA$840,24,0),AM$639:AO$644,2,0)+1,0)))</f>
        <v>0</v>
      </c>
      <c r="AP669" s="2847" t="str">
        <f t="shared" ca="1" si="77"/>
        <v/>
      </c>
      <c r="AQ669" s="2847" t="str">
        <f t="shared" ca="1" si="101"/>
        <v/>
      </c>
      <c r="AR669" s="1025"/>
      <c r="AS669" s="2847">
        <f>IFERROR(IF(IF(AR669&lt;&gt;"",VLOOKUP(AR669,Tabla_ArmasyEscudos,9,0),"")="Conocida",MAX(AS$645:AS668)+1,0),0)</f>
        <v>0</v>
      </c>
      <c r="AT669" s="2847">
        <f>IF(AR669="",0,IF(AS669=0,MAX(AT$639:AT668,AV$637)+1,AS669+IFERROR(VLOOKUP(VLOOKUP(AR669,$D$638:$AA$840,24,0),AR$639:AT$644,3,0)-VLOOKUP(VLOOKUP(AR669,$D$638:$AA$840,24,0),AR$639:AT$644,2,0)+1,0)))</f>
        <v>0</v>
      </c>
      <c r="AU669" s="2847" t="str">
        <f t="shared" ca="1" si="78"/>
        <v/>
      </c>
      <c r="AV669" s="2847" t="str">
        <f t="shared" ca="1" si="102"/>
        <v/>
      </c>
      <c r="AX669" s="1250" t="str">
        <f t="shared" si="79"/>
        <v>Espada corta</v>
      </c>
      <c r="AY669" s="3025"/>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5"/>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5"/>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5"/>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5"/>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042"/>
      <c r="C670" s="1141"/>
      <c r="D670" s="2614" t="s">
        <v>2136</v>
      </c>
      <c r="E670" s="2618">
        <v>40</v>
      </c>
      <c r="F670" s="2613">
        <v>15</v>
      </c>
      <c r="G670" s="2613">
        <v>4</v>
      </c>
      <c r="H670" s="2613">
        <v>4</v>
      </c>
      <c r="I670" s="2613" t="s">
        <v>1551</v>
      </c>
      <c r="J670" s="2613" t="s">
        <v>1550</v>
      </c>
      <c r="K670" s="2859" t="s">
        <v>7260</v>
      </c>
      <c r="L670" s="2613" t="str">
        <f t="shared" si="104"/>
        <v>Distinta</v>
      </c>
      <c r="M670" s="2619">
        <v>11</v>
      </c>
      <c r="N670" s="2619">
        <v>2</v>
      </c>
      <c r="O670" s="2619">
        <v>20</v>
      </c>
      <c r="P670" s="2613"/>
      <c r="Q670" s="2613"/>
      <c r="R670" s="2613" t="s">
        <v>1455</v>
      </c>
      <c r="S670" s="2613" t="s">
        <v>1455</v>
      </c>
      <c r="T670" s="2613" t="s">
        <v>1455</v>
      </c>
      <c r="U670" s="2613"/>
      <c r="V670" s="2859" t="s">
        <v>2133</v>
      </c>
      <c r="W670" s="2859"/>
      <c r="X670" s="2860" t="str">
        <f t="shared" si="106"/>
        <v>Mediana</v>
      </c>
      <c r="Y670" s="2603">
        <f t="shared" si="105"/>
        <v>0</v>
      </c>
      <c r="Z670" s="1259" t="str">
        <f t="shared" ref="Z670:Z701" si="107">IF(AND(K670&lt;&gt;"Natural/-",ISNUMBER(SEARCH(D670&amp;",",Armas_Conocidas))),", "&amp;K670,"")</f>
        <v/>
      </c>
      <c r="AA670" s="1955" t="s">
        <v>2109</v>
      </c>
      <c r="AC670" s="1023" t="s">
        <v>2131</v>
      </c>
      <c r="AD670" s="2847">
        <f>IFERROR(IF(IF(AC670&lt;&gt;"",VLOOKUP(AC670,Tabla_ArmasyEscudos,9,0),"")="Conocida",MAX(AD$645:AD669)+1,0),0)</f>
        <v>0</v>
      </c>
      <c r="AE670" s="2847">
        <f ca="1">IF(AC670="",0,IF(AD670=0,MAX(AE$639:AE669,AG$637)+1,AD670+IFERROR(VLOOKUP(VLOOKUP(AC670,$D$638:$AA$840,24,0),AC$639:AE$644,3,0)-VLOOKUP(VLOOKUP(AC670,$D$638:$AA$840,24,0),AC$639:AE$644,2,0)+1,0)))</f>
        <v>26</v>
      </c>
      <c r="AF670" s="2847" t="str">
        <f t="shared" ca="1" si="98"/>
        <v>Falcata</v>
      </c>
      <c r="AG670" s="2847" t="str">
        <f t="shared" ca="1" si="99"/>
        <v/>
      </c>
      <c r="AH670" s="1023" t="s">
        <v>6990</v>
      </c>
      <c r="AI670" s="2847">
        <f>IFERROR(IF(IF(AH670&lt;&gt;"",VLOOKUP(AH670,Tabla_ArmasyEscudos,9,0),"")="Conocida",MAX(AI$645:AI669)+1,0),0)</f>
        <v>0</v>
      </c>
      <c r="AJ670" s="2847">
        <f ca="1">IF(AH670="",0,IF(AI670=0,MAX(AJ$639:AJ669,AL$637)+1,AI670+IFERROR(VLOOKUP(VLOOKUP(AH670,$D$638:$AA$840,24,0),AH$639:AJ$644,3,0)-VLOOKUP(VLOOKUP(AH670,$D$638:$AA$840,24,0),AH$639:AJ$644,2,0)+1,0)))</f>
        <v>26</v>
      </c>
      <c r="AK670" s="2847" t="str">
        <f t="shared" ca="1" si="76"/>
        <v>Tridente</v>
      </c>
      <c r="AL670" s="2847" t="str">
        <f t="shared" ca="1" si="100"/>
        <v/>
      </c>
      <c r="AM670" s="1025"/>
      <c r="AN670" s="2847">
        <f>IFERROR(IF(IF(AM670&lt;&gt;"",VLOOKUP(AM670,Tabla_ArmasyEscudos,9,0),"")="Conocida",MAX(AN$645:AN669)+1,0),0)</f>
        <v>0</v>
      </c>
      <c r="AO670" s="2847">
        <f>IF(AM670="",0,IF(AN670=0,MAX(AO$639:AO669,AQ$637)+1,AN670+IFERROR(VLOOKUP(VLOOKUP(AM670,$D$638:$AA$840,24,0),AM$639:AO$644,3,0)-VLOOKUP(VLOOKUP(AM670,$D$638:$AA$840,24,0),AM$639:AO$644,2,0)+1,0)))</f>
        <v>0</v>
      </c>
      <c r="AP670" s="2847" t="str">
        <f t="shared" ca="1" si="77"/>
        <v/>
      </c>
      <c r="AQ670" s="2847" t="str">
        <f t="shared" ca="1" si="101"/>
        <v/>
      </c>
      <c r="AR670" s="1025"/>
      <c r="AS670" s="2847">
        <f>IFERROR(IF(IF(AR670&lt;&gt;"",VLOOKUP(AR670,Tabla_ArmasyEscudos,9,0),"")="Conocida",MAX(AS$645:AS669)+1,0),0)</f>
        <v>0</v>
      </c>
      <c r="AT670" s="2847">
        <f>IF(AR670="",0,IF(AS670=0,MAX(AT$639:AT669,AV$637)+1,AS670+IFERROR(VLOOKUP(VLOOKUP(AR670,$D$638:$AA$840,24,0),AR$639:AT$644,3,0)-VLOOKUP(VLOOKUP(AR670,$D$638:$AA$840,24,0),AR$639:AT$644,2,0)+1,0)))</f>
        <v>0</v>
      </c>
      <c r="AU670" s="2847" t="str">
        <f t="shared" ca="1" si="78"/>
        <v/>
      </c>
      <c r="AV670" s="2847" t="str">
        <f t="shared" ca="1" si="102"/>
        <v/>
      </c>
      <c r="AX670" s="1250" t="str">
        <f t="shared" si="79"/>
        <v>Espada larga</v>
      </c>
      <c r="AY670" s="3025"/>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5"/>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5"/>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5"/>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5"/>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042"/>
      <c r="C671" s="1141"/>
      <c r="D671" s="2614" t="s">
        <v>6995</v>
      </c>
      <c r="E671" s="2618">
        <v>60</v>
      </c>
      <c r="F671" s="2613">
        <v>-10</v>
      </c>
      <c r="G671" s="2613">
        <v>7</v>
      </c>
      <c r="H671" s="2613">
        <v>7</v>
      </c>
      <c r="I671" s="2613" t="s">
        <v>1550</v>
      </c>
      <c r="J671" s="2613" t="s">
        <v>1455</v>
      </c>
      <c r="K671" s="2859" t="s">
        <v>7266</v>
      </c>
      <c r="L671" s="2613" t="str">
        <f t="shared" si="104"/>
        <v>Distinta</v>
      </c>
      <c r="M671" s="2619">
        <v>12</v>
      </c>
      <c r="N671" s="2619">
        <v>5</v>
      </c>
      <c r="O671" s="2619">
        <v>20</v>
      </c>
      <c r="P671" s="2613"/>
      <c r="Q671" s="2613"/>
      <c r="R671" s="2613" t="s">
        <v>1455</v>
      </c>
      <c r="S671" s="2613" t="s">
        <v>1455</v>
      </c>
      <c r="T671" s="2613" t="s">
        <v>1455</v>
      </c>
      <c r="U671" s="2613"/>
      <c r="V671" s="2859" t="s">
        <v>1455</v>
      </c>
      <c r="W671" s="2859"/>
      <c r="X671" s="2860" t="str">
        <f t="shared" si="106"/>
        <v>Mediana</v>
      </c>
      <c r="Y671" s="2603">
        <f t="shared" si="105"/>
        <v>0</v>
      </c>
      <c r="Z671" s="1259" t="str">
        <f t="shared" si="107"/>
        <v/>
      </c>
      <c r="AA671" s="1955" t="s">
        <v>2109</v>
      </c>
      <c r="AC671" s="1023" t="s">
        <v>2132</v>
      </c>
      <c r="AD671" s="2847">
        <f>IFERROR(IF(IF(AC671&lt;&gt;"",VLOOKUP(AC671,Tabla_ArmasyEscudos,9,0),"")="Conocida",MAX(AD$645:AD670)+1,0),0)</f>
        <v>0</v>
      </c>
      <c r="AE671" s="2847">
        <f ca="1">IF(AC671="",0,IF(AD671=0,MAX(AE$639:AE670,AG$637)+1,AD671+IFERROR(VLOOKUP(VLOOKUP(AC671,$D$638:$AA$840,24,0),AC$639:AE$644,3,0)-VLOOKUP(VLOOKUP(AC671,$D$638:$AA$840,24,0),AC$639:AE$644,2,0)+1,0)))</f>
        <v>27</v>
      </c>
      <c r="AF671" s="2847" t="str">
        <f t="shared" ca="1" si="98"/>
        <v>Florete</v>
      </c>
      <c r="AG671" s="2847" t="str">
        <f t="shared" ca="1" si="99"/>
        <v/>
      </c>
      <c r="AH671" s="1023" t="s">
        <v>2160</v>
      </c>
      <c r="AI671" s="2847">
        <f>IFERROR(IF(IF(AH671&lt;&gt;"",VLOOKUP(AH671,Tabla_ArmasyEscudos,9,0),"")="Conocida",MAX(AI$645:AI670)+1,0),0)</f>
        <v>0</v>
      </c>
      <c r="AJ671" s="2847">
        <f ca="1">IF(AH671="",0,IF(AI671=0,MAX(AJ$639:AJ670,AL$637)+1,AI671+IFERROR(VLOOKUP(VLOOKUP(AH671,$D$638:$AA$840,24,0),AH$639:AJ$644,3,0)-VLOOKUP(VLOOKUP(AH671,$D$638:$AA$840,24,0),AH$639:AJ$644,2,0)+1,0)))</f>
        <v>27</v>
      </c>
      <c r="AK671" s="2847" t="str">
        <f t="shared" ca="1" si="76"/>
        <v>Valaska</v>
      </c>
      <c r="AL671" s="2847" t="str">
        <f t="shared" ca="1" si="100"/>
        <v/>
      </c>
      <c r="AM671" s="1025"/>
      <c r="AN671" s="2847">
        <f>IFERROR(IF(IF(AM671&lt;&gt;"",VLOOKUP(AM671,Tabla_ArmasyEscudos,9,0),"")="Conocida",MAX(AN$645:AN670)+1,0),0)</f>
        <v>0</v>
      </c>
      <c r="AO671" s="2847">
        <f>IF(AM671="",0,IF(AN671=0,MAX(AO$639:AO670,AQ$637)+1,AN671+IFERROR(VLOOKUP(VLOOKUP(AM671,$D$638:$AA$840,24,0),AM$639:AO$644,3,0)-VLOOKUP(VLOOKUP(AM671,$D$638:$AA$840,24,0),AM$639:AO$644,2,0)+1,0)))</f>
        <v>0</v>
      </c>
      <c r="AP671" s="2847" t="str">
        <f t="shared" ca="1" si="77"/>
        <v/>
      </c>
      <c r="AQ671" s="2847" t="str">
        <f t="shared" ca="1" si="101"/>
        <v/>
      </c>
      <c r="AR671" s="1025"/>
      <c r="AS671" s="2847">
        <f>IFERROR(IF(IF(AR671&lt;&gt;"",VLOOKUP(AR671,Tabla_ArmasyEscudos,9,0),"")="Conocida",MAX(AS$645:AS670)+1,0),0)</f>
        <v>0</v>
      </c>
      <c r="AT671" s="2847">
        <f>IF(AR671="",0,IF(AS671=0,MAX(AT$639:AT670,AV$637)+1,AS671+IFERROR(VLOOKUP(VLOOKUP(AR671,$D$638:$AA$840,24,0),AR$639:AT$644,3,0)-VLOOKUP(VLOOKUP(AR671,$D$638:$AA$840,24,0),AR$639:AT$644,2,0)+1,0)))</f>
        <v>0</v>
      </c>
      <c r="AU671" s="2847" t="str">
        <f t="shared" ca="1" si="78"/>
        <v/>
      </c>
      <c r="AV671" s="2847" t="str">
        <f t="shared" ca="1" si="102"/>
        <v/>
      </c>
      <c r="AX671" s="1250" t="str">
        <f t="shared" si="79"/>
        <v>Estilete</v>
      </c>
      <c r="AY671" s="3025"/>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5"/>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5"/>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5"/>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5"/>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042"/>
      <c r="C672" s="1141"/>
      <c r="D672" s="2614" t="s">
        <v>2137</v>
      </c>
      <c r="E672" s="2618">
        <v>35</v>
      </c>
      <c r="F672" s="2613">
        <v>15</v>
      </c>
      <c r="G672" s="2613">
        <v>3</v>
      </c>
      <c r="H672" s="2613">
        <v>3</v>
      </c>
      <c r="I672" s="2613" t="s">
        <v>1551</v>
      </c>
      <c r="J672" s="2613" t="s">
        <v>1455</v>
      </c>
      <c r="K672" s="2859" t="s">
        <v>7267</v>
      </c>
      <c r="L672" s="2613" t="str">
        <f t="shared" si="104"/>
        <v>Distinta</v>
      </c>
      <c r="M672" s="2619">
        <v>9</v>
      </c>
      <c r="N672" s="2619">
        <v>-2</v>
      </c>
      <c r="O672" s="2619">
        <v>20</v>
      </c>
      <c r="P672" s="2613"/>
      <c r="Q672" s="2613"/>
      <c r="R672" s="2613" t="s">
        <v>1455</v>
      </c>
      <c r="S672" s="2613" t="s">
        <v>1455</v>
      </c>
      <c r="T672" s="2613" t="s">
        <v>1455</v>
      </c>
      <c r="U672" s="2613"/>
      <c r="V672" s="2859" t="s">
        <v>2133</v>
      </c>
      <c r="W672" s="2859"/>
      <c r="X672" s="2860" t="str">
        <f t="shared" si="106"/>
        <v>Pequeña</v>
      </c>
      <c r="Y672" s="2603">
        <f t="shared" si="105"/>
        <v>0</v>
      </c>
      <c r="Z672" s="1259" t="str">
        <f t="shared" si="107"/>
        <v/>
      </c>
      <c r="AA672" s="1955" t="s">
        <v>2109</v>
      </c>
      <c r="AC672" s="1023" t="s">
        <v>2134</v>
      </c>
      <c r="AD672" s="2847">
        <f>IFERROR(IF(IF(AC672&lt;&gt;"",VLOOKUP(AC672,Tabla_ArmasyEscudos,9,0),"")="Conocida",MAX(AD$645:AD671)+1,0),0)</f>
        <v>0</v>
      </c>
      <c r="AE672" s="2847">
        <f ca="1">IF(AC672="",0,IF(AD672=0,MAX(AE$639:AE671,AG$637)+1,AD672+IFERROR(VLOOKUP(VLOOKUP(AC672,$D$638:$AA$840,24,0),AC$639:AE$644,3,0)-VLOOKUP(VLOOKUP(AC672,$D$638:$AA$840,24,0),AC$639:AE$644,2,0)+1,0)))</f>
        <v>28</v>
      </c>
      <c r="AF672" s="2847" t="str">
        <f t="shared" ca="1" si="98"/>
        <v>Garfio</v>
      </c>
      <c r="AG672" s="2847" t="str">
        <f t="shared" ca="1" si="99"/>
        <v/>
      </c>
      <c r="AH672" s="3045" t="s">
        <v>6991</v>
      </c>
      <c r="AI672" s="2847">
        <f>IFERROR(IF(IF(AH672&lt;&gt;"",VLOOKUP(AH672,Tabla_ArmasyEscudos,9,0),"")="Conocida",MAX(AI$645:AI671)+1,0),0)</f>
        <v>0</v>
      </c>
      <c r="AJ672" s="2847">
        <f ca="1">IF(AH672="",0,IF(AI672=0,MAX(AJ$639:AJ671,AL$637)+1,AI672+IFERROR(VLOOKUP(VLOOKUP(AH672,$D$638:$AA$840,24,0),AH$639:AJ$644,3,0)-VLOOKUP(VLOOKUP(AH672,$D$638:$AA$840,24,0),AH$639:AJ$644,2,0)+1,0)))</f>
        <v>28</v>
      </c>
      <c r="AK672" s="2847" t="str">
        <f t="shared" ref="AK672:AK703" ca="1" si="108">IFERROR(INDEX(AH$639:AH$774,MATCH($A33,AJ$639:AJ$774,0)),"")</f>
        <v>Vara</v>
      </c>
      <c r="AL672" s="2847" t="str">
        <f t="shared" ca="1" si="100"/>
        <v/>
      </c>
      <c r="AM672" s="1025"/>
      <c r="AN672" s="2847">
        <f>IFERROR(IF(IF(AM672&lt;&gt;"",VLOOKUP(AM672,Tabla_ArmasyEscudos,9,0),"")="Conocida",MAX(AN$645:AN671)+1,0),0)</f>
        <v>0</v>
      </c>
      <c r="AO672" s="2847">
        <f>IF(AM672="",0,IF(AN672=0,MAX(AO$639:AO671,AQ$637)+1,AN672+IFERROR(VLOOKUP(VLOOKUP(AM672,$D$638:$AA$840,24,0),AM$639:AO$644,3,0)-VLOOKUP(VLOOKUP(AM672,$D$638:$AA$840,24,0),AM$639:AO$644,2,0)+1,0)))</f>
        <v>0</v>
      </c>
      <c r="AP672" s="2847" t="str">
        <f t="shared" ref="AP672:AP703" ca="1" si="109">IFERROR(INDEX(AM$639:AM$774,MATCH($A33,AO$639:AO$774,0)),"")</f>
        <v/>
      </c>
      <c r="AQ672" s="2847" t="str">
        <f t="shared" ca="1" si="101"/>
        <v/>
      </c>
      <c r="AR672" s="1025"/>
      <c r="AS672" s="2847">
        <f>IFERROR(IF(IF(AR672&lt;&gt;"",VLOOKUP(AR672,Tabla_ArmasyEscudos,9,0),"")="Conocida",MAX(AS$645:AS671)+1,0),0)</f>
        <v>0</v>
      </c>
      <c r="AT672" s="2847">
        <f>IF(AR672="",0,IF(AS672=0,MAX(AT$639:AT671,AV$637)+1,AS672+IFERROR(VLOOKUP(VLOOKUP(AR672,$D$638:$AA$840,24,0),AR$639:AT$644,3,0)-VLOOKUP(VLOOKUP(AR672,$D$638:$AA$840,24,0),AR$639:AT$644,2,0)+1,0)))</f>
        <v>0</v>
      </c>
      <c r="AU672" s="2847" t="str">
        <f t="shared" ref="AU672:AU703" ca="1" si="110">IFERROR(INDEX(AR$639:AR$774,MATCH($A33,AT$639:AT$774,0)),"")</f>
        <v/>
      </c>
      <c r="AV672" s="2847" t="str">
        <f t="shared" ca="1" si="102"/>
        <v/>
      </c>
      <c r="AX672" s="1250" t="str">
        <f t="shared" ref="AX672:AX703" si="111">D670</f>
        <v>Estoque</v>
      </c>
      <c r="AY672" s="3025"/>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5"/>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5"/>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5"/>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5"/>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042"/>
      <c r="C673" s="1141"/>
      <c r="D673" s="2614" t="s">
        <v>2138</v>
      </c>
      <c r="E673" s="2618">
        <v>30</v>
      </c>
      <c r="F673" s="2613">
        <v>10</v>
      </c>
      <c r="G673" s="2613">
        <v>3</v>
      </c>
      <c r="H673" s="2613">
        <v>3</v>
      </c>
      <c r="I673" s="2613" t="s">
        <v>1551</v>
      </c>
      <c r="J673" s="2613" t="s">
        <v>1455</v>
      </c>
      <c r="K673" s="2859" t="s">
        <v>7262</v>
      </c>
      <c r="L673" s="2613" t="str">
        <f t="shared" si="104"/>
        <v>Distinta</v>
      </c>
      <c r="M673" s="2619">
        <v>11</v>
      </c>
      <c r="N673" s="2619">
        <v>-2</v>
      </c>
      <c r="O673" s="2619">
        <v>15</v>
      </c>
      <c r="P673" s="2613"/>
      <c r="Q673" s="2613"/>
      <c r="R673" s="2613" t="s">
        <v>1455</v>
      </c>
      <c r="S673" s="2613" t="s">
        <v>1455</v>
      </c>
      <c r="T673" s="2613" t="s">
        <v>1455</v>
      </c>
      <c r="U673" s="2613"/>
      <c r="V673" s="2859" t="s">
        <v>1455</v>
      </c>
      <c r="W673" s="2859"/>
      <c r="X673" s="2860" t="str">
        <f t="shared" si="106"/>
        <v>Pequeña</v>
      </c>
      <c r="Y673" s="2603">
        <f t="shared" si="105"/>
        <v>0</v>
      </c>
      <c r="Z673" s="1259" t="str">
        <f t="shared" si="107"/>
        <v/>
      </c>
      <c r="AA673" s="1955" t="s">
        <v>2109</v>
      </c>
      <c r="AC673" s="1023" t="s">
        <v>2135</v>
      </c>
      <c r="AD673" s="2847">
        <f>IFERROR(IF(IF(AC673&lt;&gt;"",VLOOKUP(AC673,Tabla_ArmasyEscudos,9,0),"")="Conocida",MAX(AD$645:AD672)+1,0),0)</f>
        <v>0</v>
      </c>
      <c r="AE673" s="2847">
        <f ca="1">IF(AC673="",0,IF(AD673=0,MAX(AE$639:AE672,AG$637)+1,AD673+IFERROR(VLOOKUP(VLOOKUP(AC673,$D$638:$AA$840,24,0),AC$639:AE$644,3,0)-VLOOKUP(VLOOKUP(AC673,$D$638:$AA$840,24,0),AC$639:AE$644,2,0)+1,0)))</f>
        <v>29</v>
      </c>
      <c r="AF673" s="2847" t="str">
        <f t="shared" ca="1" si="98"/>
        <v>Garrote</v>
      </c>
      <c r="AG673" s="2847" t="str">
        <f t="shared" ca="1" si="99"/>
        <v/>
      </c>
      <c r="AH673" s="3045" t="s">
        <v>6992</v>
      </c>
      <c r="AI673" s="2847">
        <f>IFERROR(IF(IF(AH673&lt;&gt;"",VLOOKUP(AH673,Tabla_ArmasyEscudos,9,0),"")="Conocida",MAX(AI$645:AI672)+1,0),0)</f>
        <v>0</v>
      </c>
      <c r="AJ673" s="2847">
        <f ca="1">IF(AH673="",0,IF(AI673=0,MAX(AJ$639:AJ672,AL$637)+1,AI673+IFERROR(VLOOKUP(VLOOKUP(AH673,$D$638:$AA$840,24,0),AH$639:AJ$644,3,0)-VLOOKUP(VLOOKUP(AH673,$D$638:$AA$840,24,0),AH$639:AJ$644,2,0)+1,0)))</f>
        <v>29</v>
      </c>
      <c r="AK673" s="2847" t="str">
        <f t="shared" ca="1" si="108"/>
        <v>&gt; ARMAS EXÓTICAS</v>
      </c>
      <c r="AL673" s="2847" t="str">
        <f t="shared" ca="1" si="100"/>
        <v/>
      </c>
      <c r="AM673" s="1025"/>
      <c r="AN673" s="2847">
        <f>IFERROR(IF(IF(AM673&lt;&gt;"",VLOOKUP(AM673,Tabla_ArmasyEscudos,9,0),"")="Conocida",MAX(AN$645:AN672)+1,0),0)</f>
        <v>0</v>
      </c>
      <c r="AO673" s="2847">
        <f>IF(AM673="",0,IF(AN673=0,MAX(AO$639:AO672,AQ$637)+1,AN673+IFERROR(VLOOKUP(VLOOKUP(AM673,$D$638:$AA$840,24,0),AM$639:AO$644,3,0)-VLOOKUP(VLOOKUP(AM673,$D$638:$AA$840,24,0),AM$639:AO$644,2,0)+1,0)))</f>
        <v>0</v>
      </c>
      <c r="AP673" s="2847" t="str">
        <f t="shared" ca="1" si="109"/>
        <v/>
      </c>
      <c r="AQ673" s="2847" t="str">
        <f t="shared" ca="1" si="101"/>
        <v/>
      </c>
      <c r="AR673" s="1025"/>
      <c r="AS673" s="2847">
        <f>IFERROR(IF(IF(AR673&lt;&gt;"",VLOOKUP(AR673,Tabla_ArmasyEscudos,9,0),"")="Conocida",MAX(AS$645:AS672)+1,0),0)</f>
        <v>0</v>
      </c>
      <c r="AT673" s="2847">
        <f>IF(AR673="",0,IF(AS673=0,MAX(AT$639:AT672,AV$637)+1,AS673+IFERROR(VLOOKUP(VLOOKUP(AR673,$D$638:$AA$840,24,0),AR$639:AT$644,3,0)-VLOOKUP(VLOOKUP(AR673,$D$638:$AA$840,24,0),AR$639:AT$644,2,0)+1,0)))</f>
        <v>0</v>
      </c>
      <c r="AU673" s="2847" t="str">
        <f t="shared" ca="1" si="110"/>
        <v/>
      </c>
      <c r="AV673" s="2847" t="str">
        <f t="shared" ca="1" si="102"/>
        <v/>
      </c>
      <c r="AX673" s="1250" t="str">
        <f t="shared" si="111"/>
        <v>Falcata</v>
      </c>
      <c r="AY673" s="3025"/>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5"/>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5"/>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5"/>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5"/>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042"/>
      <c r="C674" s="1141"/>
      <c r="D674" s="2614" t="s">
        <v>2139</v>
      </c>
      <c r="E674" s="2618">
        <v>30</v>
      </c>
      <c r="F674" s="2613">
        <v>0</v>
      </c>
      <c r="G674" s="2613">
        <v>5</v>
      </c>
      <c r="H674" s="2613">
        <v>5</v>
      </c>
      <c r="I674" s="2613" t="s">
        <v>1497</v>
      </c>
      <c r="J674" s="2613" t="s">
        <v>1455</v>
      </c>
      <c r="K674" s="2859" t="s">
        <v>7263</v>
      </c>
      <c r="L674" s="2613" t="str">
        <f t="shared" si="104"/>
        <v>Distinta</v>
      </c>
      <c r="M674" s="2619">
        <v>11</v>
      </c>
      <c r="N674" s="2619">
        <v>-2</v>
      </c>
      <c r="O674" s="2619">
        <v>15</v>
      </c>
      <c r="P674" s="2613"/>
      <c r="Q674" s="2613"/>
      <c r="R674" s="2613" t="s">
        <v>1455</v>
      </c>
      <c r="S674" s="2613" t="s">
        <v>1455</v>
      </c>
      <c r="T674" s="2613" t="s">
        <v>1455</v>
      </c>
      <c r="U674" s="2613"/>
      <c r="V674" s="2859" t="s">
        <v>1455</v>
      </c>
      <c r="W674" s="2859"/>
      <c r="X674" s="2860" t="str">
        <f t="shared" si="106"/>
        <v>Mediana</v>
      </c>
      <c r="Y674" s="2603">
        <f t="shared" si="105"/>
        <v>0</v>
      </c>
      <c r="Z674" s="1259" t="str">
        <f t="shared" si="107"/>
        <v/>
      </c>
      <c r="AA674" s="1955" t="s">
        <v>2109</v>
      </c>
      <c r="AC674" s="1023" t="s">
        <v>2136</v>
      </c>
      <c r="AD674" s="2847">
        <f>IFERROR(IF(IF(AC674&lt;&gt;"",VLOOKUP(AC674,Tabla_ArmasyEscudos,9,0),"")="Conocida",MAX(AD$645:AD673)+1,0),0)</f>
        <v>0</v>
      </c>
      <c r="AE674" s="2847">
        <f ca="1">IF(AC674="",0,IF(AD674=0,MAX(AE$639:AE673,AG$637)+1,AD674+IFERROR(VLOOKUP(VLOOKUP(AC674,$D$638:$AA$840,24,0),AC$639:AE$644,3,0)-VLOOKUP(VLOOKUP(AC674,$D$638:$AA$840,24,0),AC$639:AE$644,2,0)+1,0)))</f>
        <v>30</v>
      </c>
      <c r="AF674" s="2847" t="str">
        <f t="shared" ca="1" si="98"/>
        <v>Glavius</v>
      </c>
      <c r="AG674" s="2847" t="str">
        <f t="shared" ca="1" si="99"/>
        <v/>
      </c>
      <c r="AH674" s="3045" t="s">
        <v>6993</v>
      </c>
      <c r="AI674" s="2847">
        <f>IFERROR(IF(IF(AH674&lt;&gt;"",VLOOKUP(AH674,Tabla_ArmasyEscudos,9,0),"")="Conocida",MAX(AI$645:AI673)+1,0),0)</f>
        <v>0</v>
      </c>
      <c r="AJ674" s="2847">
        <f ca="1">IF(AH674="",0,IF(AI674=0,MAX(AJ$639:AJ673,AL$637)+1,AI674+IFERROR(VLOOKUP(VLOOKUP(AH674,$D$638:$AA$840,24,0),AH$639:AJ$644,3,0)-VLOOKUP(VLOOKUP(AH674,$D$638:$AA$840,24,0),AH$639:AJ$644,2,0)+1,0)))</f>
        <v>30</v>
      </c>
      <c r="AK674" s="2847" t="str">
        <f t="shared" ca="1" si="108"/>
        <v>Anciano de primavera</v>
      </c>
      <c r="AL674" s="2847" t="str">
        <f t="shared" ca="1" si="100"/>
        <v/>
      </c>
      <c r="AM674" s="1025"/>
      <c r="AN674" s="2847">
        <f>IFERROR(IF(IF(AM674&lt;&gt;"",VLOOKUP(AM674,Tabla_ArmasyEscudos,9,0),"")="Conocida",MAX(AN$645:AN673)+1,0),0)</f>
        <v>0</v>
      </c>
      <c r="AO674" s="2847">
        <f>IF(AM674="",0,IF(AN674=0,MAX(AO$639:AO673,AQ$637)+1,AN674+IFERROR(VLOOKUP(VLOOKUP(AM674,$D$638:$AA$840,24,0),AM$639:AO$644,3,0)-VLOOKUP(VLOOKUP(AM674,$D$638:$AA$840,24,0),AM$639:AO$644,2,0)+1,0)))</f>
        <v>0</v>
      </c>
      <c r="AP674" s="2847" t="str">
        <f t="shared" ca="1" si="109"/>
        <v/>
      </c>
      <c r="AQ674" s="2847" t="str">
        <f t="shared" ca="1" si="101"/>
        <v/>
      </c>
      <c r="AR674" s="3045"/>
      <c r="AS674" s="2847">
        <f>IFERROR(IF(IF(AR674&lt;&gt;"",VLOOKUP(AR674,Tabla_ArmasyEscudos,9,0),"")="Conocida",MAX(AS$645:AS673)+1,0),0)</f>
        <v>0</v>
      </c>
      <c r="AT674" s="2847">
        <f>IF(AR674="",0,IF(AS674=0,MAX(AT$639:AT673,AV$637)+1,AS674+IFERROR(VLOOKUP(VLOOKUP(AR674,$D$638:$AA$840,24,0),AR$639:AT$644,3,0)-VLOOKUP(VLOOKUP(AR674,$D$638:$AA$840,24,0),AR$639:AT$644,2,0)+1,0)))</f>
        <v>0</v>
      </c>
      <c r="AU674" s="2847" t="str">
        <f t="shared" ca="1" si="110"/>
        <v/>
      </c>
      <c r="AV674" s="2847" t="str">
        <f t="shared" ca="1" si="102"/>
        <v/>
      </c>
      <c r="AX674" s="1250" t="str">
        <f t="shared" si="111"/>
        <v>Florete</v>
      </c>
      <c r="AY674" s="3025"/>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5"/>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5"/>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5"/>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5"/>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042"/>
      <c r="C675" s="1141"/>
      <c r="D675" s="2614" t="s">
        <v>6982</v>
      </c>
      <c r="E675" s="2618">
        <v>40</v>
      </c>
      <c r="F675" s="2613">
        <v>0</v>
      </c>
      <c r="G675" s="2613">
        <v>7</v>
      </c>
      <c r="H675" s="2613">
        <v>6</v>
      </c>
      <c r="I675" s="2613" t="s">
        <v>1551</v>
      </c>
      <c r="J675" s="2613" t="s">
        <v>1550</v>
      </c>
      <c r="K675" s="2859" t="s">
        <v>7257</v>
      </c>
      <c r="L675" s="2613" t="str">
        <f t="shared" si="104"/>
        <v>Distinta</v>
      </c>
      <c r="M675" s="2619">
        <v>12</v>
      </c>
      <c r="N675" s="2619">
        <v>1</v>
      </c>
      <c r="O675" s="2619">
        <v>20</v>
      </c>
      <c r="P675" s="2613"/>
      <c r="Q675" s="2613"/>
      <c r="R675" s="2613" t="s">
        <v>1455</v>
      </c>
      <c r="S675" s="2613" t="s">
        <v>1455</v>
      </c>
      <c r="T675" s="2613" t="s">
        <v>1455</v>
      </c>
      <c r="U675" s="2613"/>
      <c r="V675" s="2859" t="s">
        <v>2129</v>
      </c>
      <c r="W675" s="2859"/>
      <c r="X675" s="2860" t="str">
        <f t="shared" si="106"/>
        <v>Grande</v>
      </c>
      <c r="Y675" s="2603">
        <f t="shared" si="105"/>
        <v>0</v>
      </c>
      <c r="Z675" s="1259" t="str">
        <f t="shared" si="107"/>
        <v/>
      </c>
      <c r="AA675" s="1955" t="s">
        <v>2109</v>
      </c>
      <c r="AC675" s="1023" t="s">
        <v>6995</v>
      </c>
      <c r="AD675" s="2847">
        <f>IFERROR(IF(IF(AC675&lt;&gt;"",VLOOKUP(AC675,Tabla_ArmasyEscudos,9,0),"")="Conocida",MAX(AD$645:AD674)+1,0),0)</f>
        <v>0</v>
      </c>
      <c r="AE675" s="2847">
        <f ca="1">IF(AC675="",0,IF(AD675=0,MAX(AE$639:AE674,AG$637)+1,AD675+IFERROR(VLOOKUP(VLOOKUP(AC675,$D$638:$AA$840,24,0),AC$639:AE$644,3,0)-VLOOKUP(VLOOKUP(AC675,$D$638:$AA$840,24,0),AC$639:AE$644,2,0)+1,0)))</f>
        <v>31</v>
      </c>
      <c r="AF675" s="2847" t="str">
        <f t="shared" ca="1" si="98"/>
        <v>Goedendag</v>
      </c>
      <c r="AG675" s="2847" t="str">
        <f t="shared" ca="1" si="99"/>
        <v/>
      </c>
      <c r="AH675" s="3045" t="s">
        <v>2163</v>
      </c>
      <c r="AI675" s="2847">
        <f>IFERROR(IF(IF(AH675&lt;&gt;"",VLOOKUP(AH675,Tabla_ArmasyEscudos,9,0),"")="Conocida",MAX(AI$645:AI674)+1,0),0)</f>
        <v>0</v>
      </c>
      <c r="AJ675" s="2847">
        <f ca="1">IF(AH675="",0,IF(AI675=0,MAX(AJ$639:AJ674,AL$637)+1,AI675+IFERROR(VLOOKUP(VLOOKUP(AH675,$D$638:$AA$840,24,0),AH$639:AJ$644,3,0)-VLOOKUP(VLOOKUP(AH675,$D$638:$AA$840,24,0),AH$639:AJ$644,2,0)+1,0)))</f>
        <v>31</v>
      </c>
      <c r="AK675" s="2847" t="str">
        <f t="shared" ca="1" si="108"/>
        <v>Boku-to</v>
      </c>
      <c r="AL675" s="2847" t="str">
        <f t="shared" ca="1" si="100"/>
        <v/>
      </c>
      <c r="AM675" s="1025"/>
      <c r="AN675" s="2847">
        <f>IFERROR(IF(IF(AM675&lt;&gt;"",VLOOKUP(AM675,Tabla_ArmasyEscudos,9,0),"")="Conocida",MAX(AN$645:AN674)+1,0),0)</f>
        <v>0</v>
      </c>
      <c r="AO675" s="2847">
        <f>IF(AM675="",0,IF(AN675=0,MAX(AO$639:AO674,AQ$637)+1,AN675+IFERROR(VLOOKUP(VLOOKUP(AM675,$D$638:$AA$840,24,0),AM$639:AO$644,3,0)-VLOOKUP(VLOOKUP(AM675,$D$638:$AA$840,24,0),AM$639:AO$644,2,0)+1,0)))</f>
        <v>0</v>
      </c>
      <c r="AP675" s="2847" t="str">
        <f t="shared" ca="1" si="109"/>
        <v/>
      </c>
      <c r="AQ675" s="2847" t="str">
        <f t="shared" ca="1" si="101"/>
        <v/>
      </c>
      <c r="AR675" s="3045"/>
      <c r="AS675" s="2847">
        <f>IFERROR(IF(IF(AR675&lt;&gt;"",VLOOKUP(AR675,Tabla_ArmasyEscudos,9,0),"")="Conocida",MAX(AS$645:AS674)+1,0),0)</f>
        <v>0</v>
      </c>
      <c r="AT675" s="2847">
        <f>IF(AR675="",0,IF(AS675=0,MAX(AT$639:AT674,AV$637)+1,AS675+IFERROR(VLOOKUP(VLOOKUP(AR675,$D$638:$AA$840,24,0),AR$639:AT$644,3,0)-VLOOKUP(VLOOKUP(AR675,$D$638:$AA$840,24,0),AR$639:AT$644,2,0)+1,0)))</f>
        <v>0</v>
      </c>
      <c r="AU675" s="2847" t="str">
        <f t="shared" ca="1" si="110"/>
        <v/>
      </c>
      <c r="AV675" s="2847" t="str">
        <f t="shared" ca="1" si="102"/>
        <v/>
      </c>
      <c r="AX675" s="1250" t="str">
        <f t="shared" si="111"/>
        <v>Garfio</v>
      </c>
      <c r="AY675" s="3025"/>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5"/>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5"/>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5"/>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5"/>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042"/>
      <c r="C676" s="1141"/>
      <c r="D676" s="2614" t="s">
        <v>6983</v>
      </c>
      <c r="E676" s="2618">
        <v>35</v>
      </c>
      <c r="F676" s="2613">
        <v>5</v>
      </c>
      <c r="G676" s="2613">
        <v>6</v>
      </c>
      <c r="H676" s="2613">
        <v>4</v>
      </c>
      <c r="I676" s="2613" t="s">
        <v>1551</v>
      </c>
      <c r="J676" s="2613" t="s">
        <v>1497</v>
      </c>
      <c r="K676" s="2859" t="s">
        <v>7257</v>
      </c>
      <c r="L676" s="2613"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19">
        <v>10</v>
      </c>
      <c r="N676" s="2619">
        <v>2</v>
      </c>
      <c r="O676" s="2619">
        <v>20</v>
      </c>
      <c r="P676" s="2613"/>
      <c r="Q676" s="2613"/>
      <c r="R676" s="2613" t="s">
        <v>1455</v>
      </c>
      <c r="S676" s="2613" t="s">
        <v>1455</v>
      </c>
      <c r="T676" s="2613" t="s">
        <v>1455</v>
      </c>
      <c r="U676" s="2613"/>
      <c r="V676" s="2859" t="s">
        <v>7026</v>
      </c>
      <c r="W676" s="2859"/>
      <c r="X676" s="2860" t="str">
        <f t="shared" si="106"/>
        <v>Grande</v>
      </c>
      <c r="Y676" s="2603">
        <f t="shared" ref="Y676:Y707" si="131">Bono_Fue</f>
        <v>0</v>
      </c>
      <c r="Z676" s="1259" t="str">
        <f t="shared" si="107"/>
        <v/>
      </c>
      <c r="AA676" s="1955" t="s">
        <v>2109</v>
      </c>
      <c r="AC676" s="1023" t="s">
        <v>2137</v>
      </c>
      <c r="AD676" s="2847">
        <f>IFERROR(IF(IF(AC676&lt;&gt;"",VLOOKUP(AC676,Tabla_ArmasyEscudos,9,0),"")="Conocida",MAX(AD$645:AD675)+1,0),0)</f>
        <v>0</v>
      </c>
      <c r="AE676" s="2847">
        <f ca="1">IF(AC676="",0,IF(AD676=0,MAX(AE$639:AE675,AG$637)+1,AD676+IFERROR(VLOOKUP(VLOOKUP(AC676,$D$638:$AA$840,24,0),AC$639:AE$644,3,0)-VLOOKUP(VLOOKUP(AC676,$D$638:$AA$840,24,0),AC$639:AE$644,2,0)+1,0)))</f>
        <v>32</v>
      </c>
      <c r="AF676" s="2847" t="str">
        <f t="shared" ca="1" si="98"/>
        <v>Gran martillo guerra</v>
      </c>
      <c r="AG676" s="2847" t="str">
        <f t="shared" ca="1" si="99"/>
        <v/>
      </c>
      <c r="AH676" s="3045" t="s">
        <v>6994</v>
      </c>
      <c r="AI676" s="2847">
        <f>IFERROR(IF(IF(AH676&lt;&gt;"",VLOOKUP(AH676,Tabla_ArmasyEscudos,9,0),"")="Conocida",MAX(AI$645:AI675)+1,0),0)</f>
        <v>0</v>
      </c>
      <c r="AJ676" s="2847">
        <f ca="1">IF(AH676="",0,IF(AI676=0,MAX(AJ$639:AJ675,AL$637)+1,AI676+IFERROR(VLOOKUP(VLOOKUP(AH676,$D$638:$AA$840,24,0),AH$639:AJ$644,3,0)-VLOOKUP(VLOOKUP(AH676,$D$638:$AA$840,24,0),AH$639:AJ$644,2,0)+1,0)))</f>
        <v>32</v>
      </c>
      <c r="AK676" s="2847" t="str">
        <f t="shared" ca="1" si="108"/>
        <v>Katana</v>
      </c>
      <c r="AL676" s="2847" t="str">
        <f t="shared" ca="1" si="100"/>
        <v/>
      </c>
      <c r="AM676" s="1025"/>
      <c r="AN676" s="2847">
        <f>IFERROR(IF(IF(AM676&lt;&gt;"",VLOOKUP(AM676,Tabla_ArmasyEscudos,9,0),"")="Conocida",MAX(AN$645:AN675)+1,0),0)</f>
        <v>0</v>
      </c>
      <c r="AO676" s="2847">
        <f>IF(AM676="",0,IF(AN676=0,MAX(AO$639:AO675,AQ$637)+1,AN676+IFERROR(VLOOKUP(VLOOKUP(AM676,$D$638:$AA$840,24,0),AM$639:AO$644,3,0)-VLOOKUP(VLOOKUP(AM676,$D$638:$AA$840,24,0),AM$639:AO$644,2,0)+1,0)))</f>
        <v>0</v>
      </c>
      <c r="AP676" s="2847" t="str">
        <f t="shared" ca="1" si="109"/>
        <v/>
      </c>
      <c r="AQ676" s="2847" t="str">
        <f t="shared" ca="1" si="101"/>
        <v/>
      </c>
      <c r="AR676" s="3045"/>
      <c r="AS676" s="2847">
        <f>IFERROR(IF(IF(AR676&lt;&gt;"",VLOOKUP(AR676,Tabla_ArmasyEscudos,9,0),"")="Conocida",MAX(AS$645:AS675)+1,0),0)</f>
        <v>0</v>
      </c>
      <c r="AT676" s="2847">
        <f>IF(AR676="",0,IF(AS676=0,MAX(AT$639:AT675,AV$637)+1,AS676+IFERROR(VLOOKUP(VLOOKUP(AR676,$D$638:$AA$840,24,0),AR$639:AT$644,3,0)-VLOOKUP(VLOOKUP(AR676,$D$638:$AA$840,24,0),AR$639:AT$644,2,0)+1,0)))</f>
        <v>0</v>
      </c>
      <c r="AU676" s="2847" t="str">
        <f t="shared" ca="1" si="110"/>
        <v/>
      </c>
      <c r="AV676" s="2847" t="str">
        <f t="shared" ca="1" si="102"/>
        <v/>
      </c>
      <c r="AX676" s="1250" t="str">
        <f t="shared" si="111"/>
        <v>Garrote</v>
      </c>
      <c r="AY676" s="3025"/>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5"/>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5"/>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5"/>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5"/>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042"/>
      <c r="C677" s="1141"/>
      <c r="D677" s="2614" t="s">
        <v>10116</v>
      </c>
      <c r="E677" s="2618">
        <v>75</v>
      </c>
      <c r="F677" s="2613">
        <v>-30</v>
      </c>
      <c r="G677" s="2613">
        <v>9</v>
      </c>
      <c r="H677" s="2613">
        <v>6</v>
      </c>
      <c r="I677" s="2613" t="s">
        <v>1550</v>
      </c>
      <c r="J677" s="2613" t="s">
        <v>1455</v>
      </c>
      <c r="K677" s="2859" t="s">
        <v>7264</v>
      </c>
      <c r="L677" s="2613" t="str">
        <f t="shared" si="130"/>
        <v>Distinta</v>
      </c>
      <c r="M677" s="2619">
        <v>12</v>
      </c>
      <c r="N677" s="2619">
        <v>3</v>
      </c>
      <c r="O677" s="2619">
        <v>20</v>
      </c>
      <c r="P677" s="2613"/>
      <c r="Q677" s="2613"/>
      <c r="R677" s="2613" t="s">
        <v>1455</v>
      </c>
      <c r="S677" s="2613" t="s">
        <v>1455</v>
      </c>
      <c r="T677" s="2613" t="s">
        <v>1455</v>
      </c>
      <c r="U677" s="2613"/>
      <c r="V677" s="2859" t="s">
        <v>1578</v>
      </c>
      <c r="W677" s="2859"/>
      <c r="X677" s="2860" t="str">
        <f t="shared" si="106"/>
        <v>Grande</v>
      </c>
      <c r="Y677" s="2603">
        <f t="shared" si="131"/>
        <v>0</v>
      </c>
      <c r="Z677" s="1259" t="str">
        <f t="shared" si="107"/>
        <v/>
      </c>
      <c r="AA677" s="1955" t="s">
        <v>2109</v>
      </c>
      <c r="AC677" s="1023" t="s">
        <v>2138</v>
      </c>
      <c r="AD677" s="2847">
        <f>IFERROR(IF(IF(AC677&lt;&gt;"",VLOOKUP(AC677,Tabla_ArmasyEscudos,9,0),"")="Conocida",MAX(AD$645:AD676)+1,0),0)</f>
        <v>0</v>
      </c>
      <c r="AE677" s="2847">
        <f ca="1">IF(AC677="",0,IF(AD677=0,MAX(AE$639:AE676,AG$637)+1,AD677+IFERROR(VLOOKUP(VLOOKUP(AC677,$D$638:$AA$840,24,0),AC$639:AE$644,3,0)-VLOOKUP(VLOOKUP(AC677,$D$638:$AA$840,24,0),AC$639:AE$644,2,0)+1,0)))</f>
        <v>33</v>
      </c>
      <c r="AF677" s="2847" t="str">
        <f t="shared" ca="1" si="98"/>
        <v>Guadaña</v>
      </c>
      <c r="AG677" s="2847" t="str">
        <f t="shared" ca="1" si="99"/>
        <v/>
      </c>
      <c r="AH677" s="3045" t="s">
        <v>2165</v>
      </c>
      <c r="AI677" s="2847">
        <f>IFERROR(IF(IF(AH677&lt;&gt;"",VLOOKUP(AH677,Tabla_ArmasyEscudos,9,0),"")="Conocida",MAX(AI$645:AI676)+1,0),0)</f>
        <v>0</v>
      </c>
      <c r="AJ677" s="2847">
        <f ca="1">IF(AH677="",0,IF(AI677=0,MAX(AJ$639:AJ676,AL$637)+1,AI677+IFERROR(VLOOKUP(VLOOKUP(AH677,$D$638:$AA$840,24,0),AH$639:AJ$644,3,0)-VLOOKUP(VLOOKUP(AH677,$D$638:$AA$840,24,0),AH$639:AJ$644,2,0)+1,0)))</f>
        <v>33</v>
      </c>
      <c r="AK677" s="2847" t="str">
        <f t="shared" ca="1" si="108"/>
        <v>Katana de doble hoja</v>
      </c>
      <c r="AL677" s="2847" t="str">
        <f t="shared" ca="1" si="100"/>
        <v/>
      </c>
      <c r="AM677" s="3045"/>
      <c r="AN677" s="2847">
        <f>IFERROR(IF(IF(AM677&lt;&gt;"",VLOOKUP(AM677,Tabla_ArmasyEscudos,9,0),"")="Conocida",MAX(AN$645:AN676)+1,0),0)</f>
        <v>0</v>
      </c>
      <c r="AO677" s="2847">
        <f>IF(AM677="",0,IF(AN677=0,MAX(AO$639:AO676,AQ$637)+1,AN677+IFERROR(VLOOKUP(VLOOKUP(AM677,$D$638:$AA$840,24,0),AM$639:AO$644,3,0)-VLOOKUP(VLOOKUP(AM677,$D$638:$AA$840,24,0),AM$639:AO$644,2,0)+1,0)))</f>
        <v>0</v>
      </c>
      <c r="AP677" s="2847" t="str">
        <f t="shared" ca="1" si="109"/>
        <v/>
      </c>
      <c r="AQ677" s="2847" t="str">
        <f t="shared" ca="1" si="101"/>
        <v/>
      </c>
      <c r="AR677" s="3045"/>
      <c r="AS677" s="2847">
        <f>IFERROR(IF(IF(AR677&lt;&gt;"",VLOOKUP(AR677,Tabla_ArmasyEscudos,9,0),"")="Conocida",MAX(AS$645:AS676)+1,0),0)</f>
        <v>0</v>
      </c>
      <c r="AT677" s="2847">
        <f>IF(AR677="",0,IF(AS677=0,MAX(AT$639:AT676,AV$637)+1,AS677+IFERROR(VLOOKUP(VLOOKUP(AR677,$D$638:$AA$840,24,0),AR$639:AT$644,3,0)-VLOOKUP(VLOOKUP(AR677,$D$638:$AA$840,24,0),AR$639:AT$644,2,0)+1,0)))</f>
        <v>0</v>
      </c>
      <c r="AU677" s="2847" t="str">
        <f t="shared" ca="1" si="110"/>
        <v/>
      </c>
      <c r="AV677" s="2847" t="str">
        <f t="shared" ca="1" si="102"/>
        <v/>
      </c>
      <c r="AX677" s="1250" t="str">
        <f t="shared" si="111"/>
        <v>Glavius</v>
      </c>
      <c r="AY677" s="3025"/>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5"/>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5"/>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5"/>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5"/>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042"/>
      <c r="C678" s="1141"/>
      <c r="D678" s="2614" t="s">
        <v>2141</v>
      </c>
      <c r="E678" s="2618">
        <v>70</v>
      </c>
      <c r="F678" s="2613">
        <v>-35</v>
      </c>
      <c r="G678" s="2613">
        <v>10</v>
      </c>
      <c r="H678" s="2613">
        <v>7</v>
      </c>
      <c r="I678" s="2613" t="s">
        <v>1497</v>
      </c>
      <c r="J678" s="2613" t="s">
        <v>1455</v>
      </c>
      <c r="K678" s="2859" t="s">
        <v>7263</v>
      </c>
      <c r="L678" s="2613" t="str">
        <f t="shared" si="130"/>
        <v>Distinta</v>
      </c>
      <c r="M678" s="2619">
        <v>16</v>
      </c>
      <c r="N678" s="2619">
        <v>6</v>
      </c>
      <c r="O678" s="2619">
        <v>20</v>
      </c>
      <c r="P678" s="2613"/>
      <c r="Q678" s="2613"/>
      <c r="R678" s="2613" t="s">
        <v>1455</v>
      </c>
      <c r="S678" s="2613" t="s">
        <v>1455</v>
      </c>
      <c r="T678" s="2613" t="s">
        <v>1455</v>
      </c>
      <c r="U678" s="2613"/>
      <c r="V678" s="2859" t="s">
        <v>2129</v>
      </c>
      <c r="W678" s="2859"/>
      <c r="X678" s="2860" t="str">
        <f t="shared" si="106"/>
        <v>Mediana</v>
      </c>
      <c r="Y678" s="2603">
        <f t="shared" si="131"/>
        <v>0</v>
      </c>
      <c r="Z678" s="1259" t="str">
        <f t="shared" si="107"/>
        <v/>
      </c>
      <c r="AA678" s="1955" t="s">
        <v>2109</v>
      </c>
      <c r="AC678" s="1023" t="s">
        <v>2139</v>
      </c>
      <c r="AD678" s="2847">
        <f>IFERROR(IF(IF(AC678&lt;&gt;"",VLOOKUP(AC678,Tabla_ArmasyEscudos,9,0),"")="Conocida",MAX(AD$645:AD677)+1,0),0)</f>
        <v>0</v>
      </c>
      <c r="AE678" s="2847">
        <f ca="1">IF(AC678="",0,IF(AD678=0,MAX(AE$639:AE677,AG$637)+1,AD678+IFERROR(VLOOKUP(VLOOKUP(AC678,$D$638:$AA$840,24,0),AC$639:AE$644,3,0)-VLOOKUP(VLOOKUP(AC678,$D$638:$AA$840,24,0),AC$639:AE$644,2,0)+1,0)))</f>
        <v>34</v>
      </c>
      <c r="AF678" s="2847" t="str">
        <f t="shared" ca="1" si="98"/>
        <v>Hacha a dos manos</v>
      </c>
      <c r="AG678" s="2847" t="str">
        <f t="shared" ca="1" si="99"/>
        <v/>
      </c>
      <c r="AH678" s="3052" t="s">
        <v>2171</v>
      </c>
      <c r="AI678" s="2847">
        <f>IFERROR(IF(IF(AH678&lt;&gt;"",VLOOKUP(AH678,Tabla_ArmasyEscudos,9,0),"")="Conocida",MAX(AI$645:AI677)+1,0),0)</f>
        <v>0</v>
      </c>
      <c r="AJ678" s="2847">
        <f ca="1">IF(AH678="",0,IF(AI678=0,MAX(AJ$639:AJ677,AL$637)+1,AI678+IFERROR(VLOOKUP(VLOOKUP(AH678,$D$638:$AA$840,24,0),AH$639:AJ$644,3,0)-VLOOKUP(VLOOKUP(AH678,$D$638:$AA$840,24,0),AH$639:AJ$644,2,0)+1,0)))</f>
        <v>34</v>
      </c>
      <c r="AK678" s="2847" t="str">
        <f t="shared" ca="1" si="108"/>
        <v>Kusari-Gama</v>
      </c>
      <c r="AL678" s="2847" t="str">
        <f t="shared" ca="1" si="100"/>
        <v/>
      </c>
      <c r="AM678" s="3045"/>
      <c r="AN678" s="2847">
        <f>IFERROR(IF(IF(AM678&lt;&gt;"",VLOOKUP(AM678,Tabla_ArmasyEscudos,9,0),"")="Conocida",MAX(AN$645:AN677)+1,0),0)</f>
        <v>0</v>
      </c>
      <c r="AO678" s="2847">
        <f>IF(AM678="",0,IF(AN678=0,MAX(AO$639:AO677,AQ$637)+1,AN678+IFERROR(VLOOKUP(VLOOKUP(AM678,$D$638:$AA$840,24,0),AM$639:AO$644,3,0)-VLOOKUP(VLOOKUP(AM678,$D$638:$AA$840,24,0),AM$639:AO$644,2,0)+1,0)))</f>
        <v>0</v>
      </c>
      <c r="AP678" s="2847" t="str">
        <f t="shared" ca="1" si="109"/>
        <v/>
      </c>
      <c r="AQ678" s="2847" t="str">
        <f t="shared" ca="1" si="101"/>
        <v/>
      </c>
      <c r="AR678" s="3045"/>
      <c r="AS678" s="2847">
        <f>IFERROR(IF(IF(AR678&lt;&gt;"",VLOOKUP(AR678,Tabla_ArmasyEscudos,9,0),"")="Conocida",MAX(AS$645:AS677)+1,0),0)</f>
        <v>0</v>
      </c>
      <c r="AT678" s="2847">
        <f>IF(AR678="",0,IF(AS678=0,MAX(AT$639:AT677,AV$637)+1,AS678+IFERROR(VLOOKUP(VLOOKUP(AR678,$D$638:$AA$840,24,0),AR$639:AT$644,3,0)-VLOOKUP(VLOOKUP(AR678,$D$638:$AA$840,24,0),AR$639:AT$644,2,0)+1,0)))</f>
        <v>0</v>
      </c>
      <c r="AU678" s="2847" t="str">
        <f t="shared" ca="1" si="110"/>
        <v/>
      </c>
      <c r="AV678" s="2847" t="str">
        <f t="shared" ca="1" si="102"/>
        <v/>
      </c>
      <c r="AX678" s="1250" t="str">
        <f t="shared" si="111"/>
        <v>Goedendag</v>
      </c>
      <c r="AY678" s="3025"/>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5"/>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5"/>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5"/>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5"/>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042"/>
      <c r="C679" s="1141"/>
      <c r="D679" s="2614" t="s">
        <v>2142</v>
      </c>
      <c r="E679" s="2618">
        <v>35</v>
      </c>
      <c r="F679" s="2613">
        <v>0</v>
      </c>
      <c r="G679" s="2613">
        <v>9</v>
      </c>
      <c r="H679" s="2613">
        <v>5</v>
      </c>
      <c r="I679" s="2613" t="s">
        <v>1550</v>
      </c>
      <c r="J679" s="2613" t="s">
        <v>1497</v>
      </c>
      <c r="K679" s="2859" t="s">
        <v>7256</v>
      </c>
      <c r="L679" s="2613" t="str">
        <f t="shared" si="130"/>
        <v>Distinta</v>
      </c>
      <c r="M679" s="2619">
        <v>12</v>
      </c>
      <c r="N679" s="2619">
        <v>2</v>
      </c>
      <c r="O679" s="2619">
        <v>25</v>
      </c>
      <c r="P679" s="2613"/>
      <c r="Q679" s="2613"/>
      <c r="R679" s="2613" t="s">
        <v>1455</v>
      </c>
      <c r="S679" s="2613" t="s">
        <v>1455</v>
      </c>
      <c r="T679" s="2613" t="s">
        <v>1455</v>
      </c>
      <c r="U679" s="2613"/>
      <c r="V679" s="2859" t="s">
        <v>2129</v>
      </c>
      <c r="W679" s="2859"/>
      <c r="X679" s="2860" t="str">
        <f t="shared" si="106"/>
        <v>Grande</v>
      </c>
      <c r="Y679" s="2603">
        <f t="shared" si="131"/>
        <v>0</v>
      </c>
      <c r="Z679" s="1259" t="str">
        <f t="shared" si="107"/>
        <v/>
      </c>
      <c r="AA679" s="1955" t="s">
        <v>2109</v>
      </c>
      <c r="AC679" s="1023" t="s">
        <v>6982</v>
      </c>
      <c r="AD679" s="2847">
        <f>IFERROR(IF(IF(AC679&lt;&gt;"",VLOOKUP(AC679,Tabla_ArmasyEscudos,9,0),"")="Conocida",MAX(AD$645:AD678)+1,0),0)</f>
        <v>0</v>
      </c>
      <c r="AE679" s="2847">
        <f ca="1">IF(AC679="",0,IF(AD679=0,MAX(AE$639:AE678,AG$637)+1,AD679+IFERROR(VLOOKUP(VLOOKUP(AC679,$D$638:$AA$840,24,0),AC$639:AE$644,3,0)-VLOOKUP(VLOOKUP(AC679,$D$638:$AA$840,24,0),AC$639:AE$644,2,0)+1,0)))</f>
        <v>35</v>
      </c>
      <c r="AF679" s="2847" t="str">
        <f t="shared" ca="1" si="98"/>
        <v>Hacha de guerra</v>
      </c>
      <c r="AG679" s="2847" t="str">
        <f t="shared" ca="1" si="99"/>
        <v/>
      </c>
      <c r="AH679" s="3045" t="s">
        <v>2173</v>
      </c>
      <c r="AI679" s="2847">
        <f>IFERROR(IF(IF(AH679&lt;&gt;"",VLOOKUP(AH679,Tabla_ArmasyEscudos,9,0),"")="Conocida",MAX(AI$645:AI678)+1,0),0)</f>
        <v>0</v>
      </c>
      <c r="AJ679" s="2847">
        <f ca="1">IF(AH679="",0,IF(AI679=0,MAX(AJ$639:AJ678,AL$637)+1,AI679+IFERROR(VLOOKUP(VLOOKUP(AH679,$D$638:$AA$840,24,0),AH$639:AJ$644,3,0)-VLOOKUP(VLOOKUP(AH679,$D$638:$AA$840,24,0),AH$639:AJ$644,2,0)+1,0)))</f>
        <v>35</v>
      </c>
      <c r="AK679" s="2847" t="str">
        <f t="shared" ca="1" si="108"/>
        <v>Lajatang</v>
      </c>
      <c r="AL679" s="2847" t="str">
        <f t="shared" ca="1" si="100"/>
        <v/>
      </c>
      <c r="AM679" s="3045"/>
      <c r="AN679" s="2847">
        <f>IFERROR(IF(IF(AM679&lt;&gt;"",VLOOKUP(AM679,Tabla_ArmasyEscudos,9,0),"")="Conocida",MAX(AN$645:AN678)+1,0),0)</f>
        <v>0</v>
      </c>
      <c r="AO679" s="2847">
        <f>IF(AM679="",0,IF(AN679=0,MAX(AO$639:AO678,AQ$637)+1,AN679+IFERROR(VLOOKUP(VLOOKUP(AM679,$D$638:$AA$840,24,0),AM$639:AO$644,3,0)-VLOOKUP(VLOOKUP(AM679,$D$638:$AA$840,24,0),AM$639:AO$644,2,0)+1,0)))</f>
        <v>0</v>
      </c>
      <c r="AP679" s="2847" t="str">
        <f t="shared" ca="1" si="109"/>
        <v/>
      </c>
      <c r="AQ679" s="2847" t="str">
        <f t="shared" ca="1" si="101"/>
        <v/>
      </c>
      <c r="AR679" s="3045"/>
      <c r="AS679" s="2847">
        <f>IFERROR(IF(IF(AR679&lt;&gt;"",VLOOKUP(AR679,Tabla_ArmasyEscudos,9,0),"")="Conocida",MAX(AS$645:AS678)+1,0),0)</f>
        <v>0</v>
      </c>
      <c r="AT679" s="2847">
        <f>IF(AR679="",0,IF(AS679=0,MAX(AT$639:AT678,AV$637)+1,AS679+IFERROR(VLOOKUP(VLOOKUP(AR679,$D$638:$AA$840,24,0),AR$639:AT$644,3,0)-VLOOKUP(VLOOKUP(AR679,$D$638:$AA$840,24,0),AR$639:AT$644,2,0)+1,0)))</f>
        <v>0</v>
      </c>
      <c r="AU679" s="2847" t="str">
        <f t="shared" ca="1" si="110"/>
        <v/>
      </c>
      <c r="AV679" s="2847" t="str">
        <f t="shared" ca="1" si="102"/>
        <v/>
      </c>
      <c r="AX679" s="1250" t="str">
        <f t="shared" si="111"/>
        <v>Grosse Messer</v>
      </c>
      <c r="AY679" s="3025"/>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5"/>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5"/>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5"/>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5"/>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042"/>
      <c r="C680" s="1141"/>
      <c r="D680" s="2614" t="s">
        <v>6986</v>
      </c>
      <c r="E680" s="2618">
        <v>65</v>
      </c>
      <c r="F680" s="2613">
        <v>-20</v>
      </c>
      <c r="G680" s="2613">
        <v>11</v>
      </c>
      <c r="H680" s="2613">
        <v>7</v>
      </c>
      <c r="I680" s="2613" t="s">
        <v>1550</v>
      </c>
      <c r="J680" s="2613" t="s">
        <v>1551</v>
      </c>
      <c r="K680" s="2859" t="s">
        <v>7257</v>
      </c>
      <c r="L680" s="2613" t="str">
        <f t="shared" si="130"/>
        <v>Distinta</v>
      </c>
      <c r="M680" s="2619">
        <v>13</v>
      </c>
      <c r="N680" s="2619">
        <v>3</v>
      </c>
      <c r="O680" s="2619">
        <v>20</v>
      </c>
      <c r="P680" s="2613"/>
      <c r="Q680" s="2613"/>
      <c r="R680" s="2613" t="s">
        <v>1455</v>
      </c>
      <c r="S680" s="2613" t="s">
        <v>1455</v>
      </c>
      <c r="T680" s="2613" t="s">
        <v>1455</v>
      </c>
      <c r="U680" s="2613"/>
      <c r="V680" s="2859" t="s">
        <v>1578</v>
      </c>
      <c r="W680" s="2859"/>
      <c r="X680" s="2860" t="str">
        <f t="shared" si="106"/>
        <v>Grande</v>
      </c>
      <c r="Y680" s="2603">
        <f t="shared" si="131"/>
        <v>0</v>
      </c>
      <c r="Z680" s="1259" t="str">
        <f t="shared" si="107"/>
        <v/>
      </c>
      <c r="AA680" s="1955" t="s">
        <v>2109</v>
      </c>
      <c r="AC680" s="1023" t="s">
        <v>6983</v>
      </c>
      <c r="AD680" s="2847">
        <f>IFERROR(IF(IF(AC680&lt;&gt;"",VLOOKUP(AC680,Tabla_ArmasyEscudos,9,0),"")="Conocida",MAX(AD$645:AD679)+1,0),0)</f>
        <v>0</v>
      </c>
      <c r="AE680" s="2847">
        <f ca="1">IF(AC680="",0,IF(AD680=0,MAX(AE$639:AE679,AG$637)+1,AD680+IFERROR(VLOOKUP(VLOOKUP(AC680,$D$638:$AA$840,24,0),AC$639:AE$644,3,0)-VLOOKUP(VLOOKUP(AC680,$D$638:$AA$840,24,0),AC$639:AE$644,2,0)+1,0)))</f>
        <v>36</v>
      </c>
      <c r="AF680" s="2847" t="str">
        <f t="shared" ca="1" si="98"/>
        <v>Hacha de mano</v>
      </c>
      <c r="AG680" s="2847" t="str">
        <f t="shared" ca="1" si="99"/>
        <v/>
      </c>
      <c r="AH680" s="3045" t="s">
        <v>6996</v>
      </c>
      <c r="AI680" s="2847">
        <f>IFERROR(IF(IF(AH680&lt;&gt;"",VLOOKUP(AH680,Tabla_ArmasyEscudos,9,0),"")="Conocida",MAX(AI$645:AI679)+1,0),0)</f>
        <v>0</v>
      </c>
      <c r="AJ680" s="2847">
        <f ca="1">IF(AH680="",0,IF(AI680=0,MAX(AJ$639:AJ679,AL$637)+1,AI680+IFERROR(VLOOKUP(VLOOKUP(AH680,$D$638:$AA$840,24,0),AH$639:AJ$644,3,0)-VLOOKUP(VLOOKUP(AH680,$D$638:$AA$840,24,0),AH$639:AJ$644,2,0)+1,0)))</f>
        <v>36</v>
      </c>
      <c r="AK680" s="2847" t="str">
        <f t="shared" ca="1" si="108"/>
        <v>Nagimaki</v>
      </c>
      <c r="AL680" s="2847" t="str">
        <f t="shared" ca="1" si="100"/>
        <v/>
      </c>
      <c r="AM680" s="3045"/>
      <c r="AN680" s="2847">
        <f>IFERROR(IF(IF(AM680&lt;&gt;"",VLOOKUP(AM680,Tabla_ArmasyEscudos,9,0),"")="Conocida",MAX(AN$645:AN679)+1,0),0)</f>
        <v>0</v>
      </c>
      <c r="AO680" s="2847">
        <f>IF(AM680="",0,IF(AN680=0,MAX(AO$639:AO679,AQ$637)+1,AN680+IFERROR(VLOOKUP(VLOOKUP(AM680,$D$638:$AA$840,24,0),AM$639:AO$644,3,0)-VLOOKUP(VLOOKUP(AM680,$D$638:$AA$840,24,0),AM$639:AO$644,2,0)+1,0)))</f>
        <v>0</v>
      </c>
      <c r="AP680" s="2847" t="str">
        <f t="shared" ca="1" si="109"/>
        <v/>
      </c>
      <c r="AQ680" s="2847" t="str">
        <f t="shared" ca="1" si="101"/>
        <v/>
      </c>
      <c r="AR680" s="3045"/>
      <c r="AS680" s="2847">
        <f>IFERROR(IF(IF(AR680&lt;&gt;"",VLOOKUP(AR680,Tabla_ArmasyEscudos,9,0),"")="Conocida",MAX(AS$645:AS679)+1,0),0)</f>
        <v>0</v>
      </c>
      <c r="AT680" s="2847">
        <f>IF(AR680="",0,IF(AS680=0,MAX(AT$639:AT679,AV$637)+1,AS680+IFERROR(VLOOKUP(VLOOKUP(AR680,$D$638:$AA$840,24,0),AR$639:AT$644,3,0)-VLOOKUP(VLOOKUP(AR680,$D$638:$AA$840,24,0),AR$639:AT$644,2,0)+1,0)))</f>
        <v>0</v>
      </c>
      <c r="AU680" s="2847" t="str">
        <f t="shared" ca="1" si="110"/>
        <v/>
      </c>
      <c r="AV680" s="2847" t="str">
        <f t="shared" ca="1" si="102"/>
        <v/>
      </c>
      <c r="AX680" s="1250" t="str">
        <f t="shared" si="111"/>
        <v>Gran martillo guerra</v>
      </c>
      <c r="AY680" s="3025"/>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5"/>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5"/>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5"/>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5"/>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042"/>
      <c r="C681" s="1141"/>
      <c r="D681" s="2614" t="s">
        <v>2143</v>
      </c>
      <c r="E681" s="2618">
        <v>100</v>
      </c>
      <c r="F681" s="2613">
        <v>-70</v>
      </c>
      <c r="G681" s="2613">
        <v>11</v>
      </c>
      <c r="H681" s="2613">
        <v>9</v>
      </c>
      <c r="I681" s="2613" t="s">
        <v>1550</v>
      </c>
      <c r="J681" s="2613" t="s">
        <v>1497</v>
      </c>
      <c r="K681" s="2859" t="s">
        <v>7268</v>
      </c>
      <c r="L681" s="2613" t="str">
        <f t="shared" si="130"/>
        <v>Distinta</v>
      </c>
      <c r="M681" s="2619">
        <v>17</v>
      </c>
      <c r="N681" s="2619">
        <v>7</v>
      </c>
      <c r="O681" s="2619">
        <v>30</v>
      </c>
      <c r="P681" s="2613"/>
      <c r="Q681" s="2613"/>
      <c r="R681" s="2613" t="s">
        <v>1455</v>
      </c>
      <c r="S681" s="2613" t="s">
        <v>1455</v>
      </c>
      <c r="T681" s="2613" t="s">
        <v>1455</v>
      </c>
      <c r="U681" s="2613"/>
      <c r="V681" s="2859" t="s">
        <v>2129</v>
      </c>
      <c r="W681" s="2859"/>
      <c r="X681" s="2860" t="str">
        <f t="shared" si="106"/>
        <v>Grande</v>
      </c>
      <c r="Y681" s="2603">
        <f t="shared" si="131"/>
        <v>0</v>
      </c>
      <c r="Z681" s="1259" t="str">
        <f t="shared" si="107"/>
        <v/>
      </c>
      <c r="AA681" s="1955" t="s">
        <v>2109</v>
      </c>
      <c r="AC681" s="1023" t="s">
        <v>2141</v>
      </c>
      <c r="AD681" s="2847">
        <f>IFERROR(IF(IF(AC681&lt;&gt;"",VLOOKUP(AC681,Tabla_ArmasyEscudos,9,0),"")="Conocida",MAX(AD$645:AD680)+1,0),0)</f>
        <v>0</v>
      </c>
      <c r="AE681" s="2847">
        <f ca="1">IF(AC681="",0,IF(AD681=0,MAX(AE$639:AE680,AG$637)+1,AD681+IFERROR(VLOOKUP(VLOOKUP(AC681,$D$638:$AA$840,24,0),AC$639:AE$644,3,0)-VLOOKUP(VLOOKUP(AC681,$D$638:$AA$840,24,0),AC$639:AE$644,2,0)+1,0)))</f>
        <v>37</v>
      </c>
      <c r="AF681" s="2847" t="str">
        <f t="shared" ca="1" si="98"/>
        <v>Hu Die Dao</v>
      </c>
      <c r="AG681" s="2847" t="str">
        <f t="shared" ca="1" si="99"/>
        <v/>
      </c>
      <c r="AH681" s="3045" t="s">
        <v>2178</v>
      </c>
      <c r="AI681" s="2847">
        <f>IFERROR(IF(IF(AH681&lt;&gt;"",VLOOKUP(AH681,Tabla_ArmasyEscudos,9,0),"")="Conocida",MAX(AI$645:AI680)+1,0),0)</f>
        <v>0</v>
      </c>
      <c r="AJ681" s="2847">
        <f ca="1">IF(AH681="",0,IF(AI681=0,MAX(AJ$639:AJ680,AL$637)+1,AI681+IFERROR(VLOOKUP(VLOOKUP(AH681,$D$638:$AA$840,24,0),AH$639:AJ$644,3,0)-VLOOKUP(VLOOKUP(AH681,$D$638:$AA$840,24,0),AH$639:AJ$644,2,0)+1,0)))</f>
        <v>37</v>
      </c>
      <c r="AK681" s="2847" t="str">
        <f t="shared" ca="1" si="108"/>
        <v>Naginata</v>
      </c>
      <c r="AL681" s="2847" t="str">
        <f t="shared" ca="1" si="100"/>
        <v/>
      </c>
      <c r="AM681" s="3045"/>
      <c r="AN681" s="2847">
        <f>IFERROR(IF(IF(AM681&lt;&gt;"",VLOOKUP(AM681,Tabla_ArmasyEscudos,9,0),"")="Conocida",MAX(AN$645:AN680)+1,0),0)</f>
        <v>0</v>
      </c>
      <c r="AO681" s="2847">
        <f>IF(AM681="",0,IF(AN681=0,MAX(AO$639:AO680,AQ$637)+1,AN681+IFERROR(VLOOKUP(VLOOKUP(AM681,$D$638:$AA$840,24,0),AM$639:AO$644,3,0)-VLOOKUP(VLOOKUP(AM681,$D$638:$AA$840,24,0),AM$639:AO$644,2,0)+1,0)))</f>
        <v>0</v>
      </c>
      <c r="AP681" s="2847" t="str">
        <f t="shared" ca="1" si="109"/>
        <v/>
      </c>
      <c r="AQ681" s="2847" t="str">
        <f t="shared" ca="1" si="101"/>
        <v/>
      </c>
      <c r="AR681" s="3045"/>
      <c r="AS681" s="2847">
        <f>IFERROR(IF(IF(AR681&lt;&gt;"",VLOOKUP(AR681,Tabla_ArmasyEscudos,9,0),"")="Conocida",MAX(AS$645:AS680)+1,0),0)</f>
        <v>0</v>
      </c>
      <c r="AT681" s="2847">
        <f>IF(AR681="",0,IF(AS681=0,MAX(AT$639:AT680,AV$637)+1,AS681+IFERROR(VLOOKUP(VLOOKUP(AR681,$D$638:$AA$840,24,0),AR$639:AT$644,3,0)-VLOOKUP(VLOOKUP(AR681,$D$638:$AA$840,24,0),AR$639:AT$644,2,0)+1,0)))</f>
        <v>0</v>
      </c>
      <c r="AU681" s="2847" t="str">
        <f t="shared" ca="1" si="110"/>
        <v/>
      </c>
      <c r="AV681" s="2847" t="str">
        <f t="shared" ca="1" si="102"/>
        <v/>
      </c>
      <c r="AX681" s="1250" t="str">
        <f t="shared" si="111"/>
        <v>Guadaña</v>
      </c>
      <c r="AY681" s="3025"/>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5"/>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5"/>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5"/>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5"/>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042"/>
      <c r="C682" s="1141"/>
      <c r="D682" s="2614" t="s">
        <v>2145</v>
      </c>
      <c r="E682" s="2618">
        <v>70</v>
      </c>
      <c r="F682" s="2613">
        <v>-30</v>
      </c>
      <c r="G682" s="2613">
        <v>7</v>
      </c>
      <c r="H682" s="2613">
        <v>7</v>
      </c>
      <c r="I682" s="2613" t="s">
        <v>1550</v>
      </c>
      <c r="J682" s="2613" t="s">
        <v>1497</v>
      </c>
      <c r="K682" s="2859" t="s">
        <v>7269</v>
      </c>
      <c r="L682" s="2613" t="str">
        <f t="shared" si="130"/>
        <v>Distinta</v>
      </c>
      <c r="M682" s="2619">
        <v>15</v>
      </c>
      <c r="N682" s="2619">
        <v>5</v>
      </c>
      <c r="O682" s="2619">
        <v>25</v>
      </c>
      <c r="P682" s="2613"/>
      <c r="Q682" s="2613"/>
      <c r="R682" s="2619">
        <v>100</v>
      </c>
      <c r="S682" s="2613" t="s">
        <v>1455</v>
      </c>
      <c r="T682" s="2619">
        <v>5</v>
      </c>
      <c r="U682" s="2613"/>
      <c r="V682" s="2859" t="s">
        <v>8567</v>
      </c>
      <c r="W682" s="2859"/>
      <c r="X682" s="2860" t="str">
        <f t="shared" si="106"/>
        <v>Mediana</v>
      </c>
      <c r="Y682" s="2603">
        <f t="shared" si="131"/>
        <v>0</v>
      </c>
      <c r="Z682" s="1259" t="str">
        <f t="shared" si="107"/>
        <v/>
      </c>
      <c r="AA682" s="1955" t="s">
        <v>2109</v>
      </c>
      <c r="AC682" s="1023" t="s">
        <v>2142</v>
      </c>
      <c r="AD682" s="2847">
        <f>IFERROR(IF(IF(AC682&lt;&gt;"",VLOOKUP(AC682,Tabla_ArmasyEscudos,9,0),"")="Conocida",MAX(AD$645:AD681)+1,0),0)</f>
        <v>0</v>
      </c>
      <c r="AE682" s="2847">
        <f ca="1">IF(AC682="",0,IF(AD682=0,MAX(AE$639:AE681,AG$637)+1,AD682+IFERROR(VLOOKUP(VLOOKUP(AC682,$D$638:$AA$840,24,0),AC$639:AE$644,3,0)-VLOOKUP(VLOOKUP(AC682,$D$638:$AA$840,24,0),AC$639:AE$644,2,0)+1,0)))</f>
        <v>38</v>
      </c>
      <c r="AF682" s="2847" t="str">
        <f t="shared" ca="1" si="98"/>
        <v>Jabalina</v>
      </c>
      <c r="AG682" s="2847" t="str">
        <f t="shared" ca="1" si="99"/>
        <v/>
      </c>
      <c r="AH682" s="3045" t="s">
        <v>2179</v>
      </c>
      <c r="AI682" s="2847">
        <f>IFERROR(IF(IF(AH682&lt;&gt;"",VLOOKUP(AH682,Tabla_ArmasyEscudos,9,0),"")="Conocida",MAX(AI$645:AI681)+1,0),0)</f>
        <v>0</v>
      </c>
      <c r="AJ682" s="2847">
        <f ca="1">IF(AH682="",0,IF(AI682=0,MAX(AJ$639:AJ681,AL$637)+1,AI682+IFERROR(VLOOKUP(VLOOKUP(AH682,$D$638:$AA$840,24,0),AH$639:AJ$644,3,0)-VLOOKUP(VLOOKUP(AH682,$D$638:$AA$840,24,0),AH$639:AJ$644,2,0)+1,0)))</f>
        <v>38</v>
      </c>
      <c r="AK682" s="2847" t="str">
        <f t="shared" ca="1" si="108"/>
        <v>Nodachi</v>
      </c>
      <c r="AL682" s="2847" t="str">
        <f t="shared" ca="1" si="100"/>
        <v/>
      </c>
      <c r="AM682" s="3045"/>
      <c r="AN682" s="2847">
        <f>IFERROR(IF(IF(AM682&lt;&gt;"",VLOOKUP(AM682,Tabla_ArmasyEscudos,9,0),"")="Conocida",MAX(AN$645:AN681)+1,0),0)</f>
        <v>0</v>
      </c>
      <c r="AO682" s="2847">
        <f>IF(AM682="",0,IF(AN682=0,MAX(AO$639:AO681,AQ$637)+1,AN682+IFERROR(VLOOKUP(VLOOKUP(AM682,$D$638:$AA$840,24,0),AM$639:AO$644,3,0)-VLOOKUP(VLOOKUP(AM682,$D$638:$AA$840,24,0),AM$639:AO$644,2,0)+1,0)))</f>
        <v>0</v>
      </c>
      <c r="AP682" s="2847" t="str">
        <f t="shared" ca="1" si="109"/>
        <v/>
      </c>
      <c r="AQ682" s="2847" t="str">
        <f t="shared" ca="1" si="101"/>
        <v/>
      </c>
      <c r="AR682" s="3045"/>
      <c r="AS682" s="2847">
        <f>IFERROR(IF(IF(AR682&lt;&gt;"",VLOOKUP(AR682,Tabla_ArmasyEscudos,9,0),"")="Conocida",MAX(AS$645:AS681)+1,0),0)</f>
        <v>0</v>
      </c>
      <c r="AT682" s="2847">
        <f>IF(AR682="",0,IF(AS682=0,MAX(AT$639:AT681,AV$637)+1,AS682+IFERROR(VLOOKUP(VLOOKUP(AR682,$D$638:$AA$840,24,0),AR$639:AT$644,3,0)-VLOOKUP(VLOOKUP(AR682,$D$638:$AA$840,24,0),AR$639:AT$644,2,0)+1,0)))</f>
        <v>0</v>
      </c>
      <c r="AU682" s="2847" t="str">
        <f t="shared" ca="1" si="110"/>
        <v/>
      </c>
      <c r="AV682" s="2847" t="str">
        <f t="shared" ca="1" si="102"/>
        <v/>
      </c>
      <c r="AX682" s="1250" t="str">
        <f t="shared" si="111"/>
        <v>Guandao</v>
      </c>
      <c r="AY682" s="3025"/>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5"/>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5"/>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5"/>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5"/>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042"/>
      <c r="C683" s="1141"/>
      <c r="D683" s="2614" t="s">
        <v>2146</v>
      </c>
      <c r="E683" s="2618">
        <v>45</v>
      </c>
      <c r="F683" s="2613">
        <v>0</v>
      </c>
      <c r="G683" s="2613">
        <v>5</v>
      </c>
      <c r="H683" s="2613">
        <v>5</v>
      </c>
      <c r="I683" s="2613" t="s">
        <v>1550</v>
      </c>
      <c r="J683" s="2613" t="s">
        <v>1455</v>
      </c>
      <c r="K683" s="2859" t="s">
        <v>7269</v>
      </c>
      <c r="L683" s="2613" t="str">
        <f t="shared" si="130"/>
        <v>Distinta</v>
      </c>
      <c r="M683" s="2619">
        <v>13</v>
      </c>
      <c r="N683" s="2619">
        <v>4</v>
      </c>
      <c r="O683" s="2619">
        <v>15</v>
      </c>
      <c r="P683" s="2613"/>
      <c r="Q683" s="2613"/>
      <c r="R683" s="2619">
        <v>80</v>
      </c>
      <c r="S683" s="2613" t="s">
        <v>1455</v>
      </c>
      <c r="T683" s="2619">
        <v>10</v>
      </c>
      <c r="U683" s="2613"/>
      <c r="V683" s="2859" t="s">
        <v>8568</v>
      </c>
      <c r="W683" s="2859"/>
      <c r="X683" s="2860" t="str">
        <f t="shared" si="106"/>
        <v>Mediana</v>
      </c>
      <c r="Y683" s="2603">
        <f t="shared" si="131"/>
        <v>0</v>
      </c>
      <c r="Z683" s="1259" t="str">
        <f t="shared" si="107"/>
        <v/>
      </c>
      <c r="AA683" s="1955" t="s">
        <v>2109</v>
      </c>
      <c r="AC683" s="1023" t="s">
        <v>2143</v>
      </c>
      <c r="AD683" s="2847">
        <f>IFERROR(IF(IF(AC683&lt;&gt;"",VLOOKUP(AC683,Tabla_ArmasyEscudos,9,0),"")="Conocida",MAX(AD$645:AD682)+1,0),0)</f>
        <v>0</v>
      </c>
      <c r="AE683" s="2847">
        <f ca="1">IF(AC683="",0,IF(AD683=0,MAX(AE$639:AE682,AG$637)+1,AD683+IFERROR(VLOOKUP(VLOOKUP(AC683,$D$638:$AA$840,24,0),AC$639:AE$644,3,0)-VLOOKUP(VLOOKUP(AC683,$D$638:$AA$840,24,0),AC$639:AE$644,2,0)+1,0)))</f>
        <v>39</v>
      </c>
      <c r="AF683" s="2847" t="str">
        <f t="shared" ca="1" si="98"/>
        <v>Katzbalger</v>
      </c>
      <c r="AG683" s="2847" t="str">
        <f t="shared" ca="1" si="99"/>
        <v/>
      </c>
      <c r="AH683" s="3045" t="s">
        <v>2183</v>
      </c>
      <c r="AI683" s="2847">
        <f>IFERROR(IF(IF(AH683&lt;&gt;"",VLOOKUP(AH683,Tabla_ArmasyEscudos,9,0),"")="Conocida",MAX(AI$645:AI682)+1,0),0)</f>
        <v>0</v>
      </c>
      <c r="AJ683" s="2847">
        <f ca="1">IF(AH683="",0,IF(AI683=0,MAX(AJ$639:AJ682,AL$637)+1,AI683+IFERROR(VLOOKUP(VLOOKUP(AH683,$D$638:$AA$840,24,0),AH$639:AJ$644,3,0)-VLOOKUP(VLOOKUP(AH683,$D$638:$AA$840,24,0),AH$639:AJ$644,2,0)+1,0)))</f>
        <v>39</v>
      </c>
      <c r="AK683" s="2847" t="str">
        <f t="shared" ca="1" si="108"/>
        <v>Quebradora</v>
      </c>
      <c r="AL683" s="2847" t="str">
        <f t="shared" ca="1" si="100"/>
        <v/>
      </c>
      <c r="AM683" s="3045"/>
      <c r="AN683" s="2847">
        <f>IFERROR(IF(IF(AM683&lt;&gt;"",VLOOKUP(AM683,Tabla_ArmasyEscudos,9,0),"")="Conocida",MAX(AN$645:AN682)+1,0),0)</f>
        <v>0</v>
      </c>
      <c r="AO683" s="2847">
        <f>IF(AM683="",0,IF(AN683=0,MAX(AO$639:AO682,AQ$637)+1,AN683+IFERROR(VLOOKUP(VLOOKUP(AM683,$D$638:$AA$840,24,0),AM$639:AO$644,3,0)-VLOOKUP(VLOOKUP(AM683,$D$638:$AA$840,24,0),AM$639:AO$644,2,0)+1,0)))</f>
        <v>0</v>
      </c>
      <c r="AP683" s="2847" t="str">
        <f t="shared" ca="1" si="109"/>
        <v/>
      </c>
      <c r="AQ683" s="2847" t="str">
        <f t="shared" ca="1" si="101"/>
        <v/>
      </c>
      <c r="AR683" s="3045"/>
      <c r="AS683" s="2847">
        <f>IFERROR(IF(IF(AR683&lt;&gt;"",VLOOKUP(AR683,Tabla_ArmasyEscudos,9,0),"")="Conocida",MAX(AS$645:AS682)+1,0),0)</f>
        <v>0</v>
      </c>
      <c r="AT683" s="2847">
        <f>IF(AR683="",0,IF(AS683=0,MAX(AT$639:AT682,AV$637)+1,AS683+IFERROR(VLOOKUP(VLOOKUP(AR683,$D$638:$AA$840,24,0),AR$639:AT$644,3,0)-VLOOKUP(VLOOKUP(AR683,$D$638:$AA$840,24,0),AR$639:AT$644,2,0)+1,0)))</f>
        <v>0</v>
      </c>
      <c r="AU683" s="2847" t="str">
        <f t="shared" ca="1" si="110"/>
        <v/>
      </c>
      <c r="AV683" s="2847" t="str">
        <f t="shared" ca="1" si="102"/>
        <v/>
      </c>
      <c r="AX683" s="1250" t="str">
        <f t="shared" si="111"/>
        <v>Hacha a dos manos</v>
      </c>
      <c r="AY683" s="3025"/>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5"/>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5"/>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5"/>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5"/>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042"/>
      <c r="C684" s="1141"/>
      <c r="D684" s="2614" t="s">
        <v>7000</v>
      </c>
      <c r="E684" s="2618">
        <v>30</v>
      </c>
      <c r="F684" s="2613">
        <v>15</v>
      </c>
      <c r="G684" s="2613">
        <v>5</v>
      </c>
      <c r="H684" s="2613">
        <v>5</v>
      </c>
      <c r="I684" s="2613" t="s">
        <v>1550</v>
      </c>
      <c r="J684" s="2613" t="s">
        <v>1497</v>
      </c>
      <c r="K684" s="2859" t="s">
        <v>7262</v>
      </c>
      <c r="L684" s="2613" t="str">
        <f t="shared" si="130"/>
        <v>Distinta</v>
      </c>
      <c r="M684" s="2619">
        <v>10</v>
      </c>
      <c r="N684" s="2619">
        <v>-2</v>
      </c>
      <c r="O684" s="2619">
        <v>20</v>
      </c>
      <c r="P684" s="2613"/>
      <c r="Q684" s="2613"/>
      <c r="R684" s="2613" t="s">
        <v>1455</v>
      </c>
      <c r="S684" s="2613" t="s">
        <v>1455</v>
      </c>
      <c r="T684" s="2613" t="s">
        <v>1455</v>
      </c>
      <c r="U684" s="2613"/>
      <c r="V684" s="2859" t="s">
        <v>7027</v>
      </c>
      <c r="W684" s="2859"/>
      <c r="X684" s="2860" t="str">
        <f t="shared" si="106"/>
        <v>Pequeña</v>
      </c>
      <c r="Y684" s="2603">
        <f t="shared" si="131"/>
        <v>0</v>
      </c>
      <c r="Z684" s="1259" t="str">
        <f t="shared" si="107"/>
        <v/>
      </c>
      <c r="AA684" s="1955" t="s">
        <v>2109</v>
      </c>
      <c r="AC684" s="1023" t="s">
        <v>2145</v>
      </c>
      <c r="AD684" s="2847">
        <f>IFERROR(IF(IF(AC684&lt;&gt;"",VLOOKUP(AC684,Tabla_ArmasyEscudos,9,0),"")="Conocida",MAX(AD$645:AD683)+1,0),0)</f>
        <v>0</v>
      </c>
      <c r="AE684" s="2847">
        <f ca="1">IF(AC684="",0,IF(AD684=0,MAX(AE$639:AE683,AG$637)+1,AD684+IFERROR(VLOOKUP(VLOOKUP(AC684,$D$638:$AA$840,24,0),AC$639:AE$644,3,0)-VLOOKUP(VLOOKUP(AC684,$D$638:$AA$840,24,0),AC$639:AE$644,2,0)+1,0)))</f>
        <v>40</v>
      </c>
      <c r="AF684" s="2847" t="str">
        <f t="shared" ca="1" si="98"/>
        <v>Kerambit</v>
      </c>
      <c r="AG684" s="2847" t="str">
        <f t="shared" ca="1" si="99"/>
        <v/>
      </c>
      <c r="AH684" s="3045" t="s">
        <v>6997</v>
      </c>
      <c r="AI684" s="2847">
        <f>IFERROR(IF(IF(AH684&lt;&gt;"",VLOOKUP(AH684,Tabla_ArmasyEscudos,9,0),"")="Conocida",MAX(AI$645:AI683)+1,0),0)</f>
        <v>0</v>
      </c>
      <c r="AJ684" s="2847">
        <f ca="1">IF(AH684="",0,IF(AI684=0,MAX(AJ$639:AJ683,AL$637)+1,AI684+IFERROR(VLOOKUP(VLOOKUP(AH684,$D$638:$AA$840,24,0),AH$639:AJ$644,3,0)-VLOOKUP(VLOOKUP(AH684,$D$638:$AA$840,24,0),AH$639:AJ$644,2,0)+1,0)))</f>
        <v>40</v>
      </c>
      <c r="AK684" s="2847" t="str">
        <f t="shared" ca="1" si="108"/>
        <v>Ram Dao</v>
      </c>
      <c r="AL684" s="2847" t="str">
        <f t="shared" ca="1" si="100"/>
        <v/>
      </c>
      <c r="AM684" s="3045"/>
      <c r="AN684" s="2847">
        <f>IFERROR(IF(IF(AM684&lt;&gt;"",VLOOKUP(AM684,Tabla_ArmasyEscudos,9,0),"")="Conocida",MAX(AN$645:AN683)+1,0),0)</f>
        <v>0</v>
      </c>
      <c r="AO684" s="2847">
        <f>IF(AM684="",0,IF(AN684=0,MAX(AO$639:AO683,AQ$637)+1,AN684+IFERROR(VLOOKUP(VLOOKUP(AM684,$D$638:$AA$840,24,0),AM$639:AO$644,3,0)-VLOOKUP(VLOOKUP(AM684,$D$638:$AA$840,24,0),AM$639:AO$644,2,0)+1,0)))</f>
        <v>0</v>
      </c>
      <c r="AP684" s="2847" t="str">
        <f t="shared" ca="1" si="109"/>
        <v/>
      </c>
      <c r="AQ684" s="2847" t="str">
        <f t="shared" ca="1" si="101"/>
        <v/>
      </c>
      <c r="AR684" s="3045"/>
      <c r="AS684" s="2847">
        <f>IFERROR(IF(IF(AR684&lt;&gt;"",VLOOKUP(AR684,Tabla_ArmasyEscudos,9,0),"")="Conocida",MAX(AS$645:AS683)+1,0),0)</f>
        <v>0</v>
      </c>
      <c r="AT684" s="2847">
        <f>IF(AR684="",0,IF(AS684=0,MAX(AT$639:AT683,AV$637)+1,AS684+IFERROR(VLOOKUP(VLOOKUP(AR684,$D$638:$AA$840,24,0),AR$639:AT$644,3,0)-VLOOKUP(VLOOKUP(AR684,$D$638:$AA$840,24,0),AR$639:AT$644,2,0)+1,0)))</f>
        <v>0</v>
      </c>
      <c r="AU684" s="2847" t="str">
        <f t="shared" ca="1" si="110"/>
        <v/>
      </c>
      <c r="AV684" s="2847" t="str">
        <f t="shared" ca="1" si="102"/>
        <v/>
      </c>
      <c r="AX684" s="1250" t="str">
        <f t="shared" si="111"/>
        <v>Hacha de guerra</v>
      </c>
      <c r="AY684" s="3025"/>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5"/>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5"/>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5"/>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5"/>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042"/>
      <c r="C685" s="1141"/>
      <c r="D685" s="2614" t="s">
        <v>2147</v>
      </c>
      <c r="E685" s="2618">
        <v>35</v>
      </c>
      <c r="F685" s="2613">
        <v>5</v>
      </c>
      <c r="G685" s="2613">
        <v>4</v>
      </c>
      <c r="H685" s="2613">
        <v>4</v>
      </c>
      <c r="I685" s="2613" t="s">
        <v>1551</v>
      </c>
      <c r="J685" s="2613" t="s">
        <v>1455</v>
      </c>
      <c r="K685" s="2859" t="s">
        <v>7257</v>
      </c>
      <c r="L685" s="2613" t="str">
        <f t="shared" si="130"/>
        <v>Distinta</v>
      </c>
      <c r="M685" s="2619">
        <v>10</v>
      </c>
      <c r="N685" s="2619">
        <v>-2</v>
      </c>
      <c r="O685" s="2619">
        <v>20</v>
      </c>
      <c r="P685" s="2613"/>
      <c r="Q685" s="2613"/>
      <c r="R685" s="2619">
        <v>80</v>
      </c>
      <c r="S685" s="2613" t="s">
        <v>1455</v>
      </c>
      <c r="T685" s="2619">
        <v>30</v>
      </c>
      <c r="U685" s="2613"/>
      <c r="V685" s="2859" t="s">
        <v>8567</v>
      </c>
      <c r="W685" s="2859"/>
      <c r="X685" s="2860" t="str">
        <f t="shared" si="106"/>
        <v>Grande</v>
      </c>
      <c r="Y685" s="2603">
        <f t="shared" si="131"/>
        <v>0</v>
      </c>
      <c r="Z685" s="1259" t="str">
        <f t="shared" si="107"/>
        <v/>
      </c>
      <c r="AA685" s="1955" t="s">
        <v>2109</v>
      </c>
      <c r="AC685" s="1023" t="s">
        <v>2146</v>
      </c>
      <c r="AD685" s="2847">
        <f>IFERROR(IF(IF(AC685&lt;&gt;"",VLOOKUP(AC685,Tabla_ArmasyEscudos,9,0),"")="Conocida",MAX(AD$645:AD684)+1,0),0)</f>
        <v>0</v>
      </c>
      <c r="AE685" s="2847">
        <f ca="1">IF(AC685="",0,IF(AD685=0,MAX(AE$639:AE684,AG$637)+1,AD685+IFERROR(VLOOKUP(VLOOKUP(AC685,$D$638:$AA$840,24,0),AC$639:AE$644,3,0)-VLOOKUP(VLOOKUP(AC685,$D$638:$AA$840,24,0),AC$639:AE$644,2,0)+1,0)))</f>
        <v>41</v>
      </c>
      <c r="AF685" s="2847" t="str">
        <f t="shared" ca="1" si="98"/>
        <v>Koncerz</v>
      </c>
      <c r="AG685" s="2847" t="str">
        <f t="shared" ca="1" si="99"/>
        <v/>
      </c>
      <c r="AH685" s="3045" t="s">
        <v>6998</v>
      </c>
      <c r="AI685" s="2847">
        <f>IFERROR(IF(IF(AH685&lt;&gt;"",VLOOKUP(AH685,Tabla_ArmasyEscudos,9,0),"")="Conocida",MAX(AI$645:AI684)+1,0),0)</f>
        <v>0</v>
      </c>
      <c r="AJ685" s="2847">
        <f ca="1">IF(AH685="",0,IF(AI685=0,MAX(AJ$639:AJ684,AL$637)+1,AI685+IFERROR(VLOOKUP(VLOOKUP(AH685,$D$638:$AA$840,24,0),AH$639:AJ$644,3,0)-VLOOKUP(VLOOKUP(AH685,$D$638:$AA$840,24,0),AH$639:AJ$644,2,0)+1,0)))</f>
        <v>41</v>
      </c>
      <c r="AK685" s="2847" t="str">
        <f t="shared" ca="1" si="108"/>
        <v>Sode Garami</v>
      </c>
      <c r="AL685" s="2847" t="str">
        <f t="shared" ca="1" si="100"/>
        <v/>
      </c>
      <c r="AM685" s="3045"/>
      <c r="AN685" s="2847">
        <f>IFERROR(IF(IF(AM685&lt;&gt;"",VLOOKUP(AM685,Tabla_ArmasyEscudos,9,0),"")="Conocida",MAX(AN$645:AN684)+1,0),0)</f>
        <v>0</v>
      </c>
      <c r="AO685" s="2847">
        <f>IF(AM685="",0,IF(AN685=0,MAX(AO$639:AO684,AQ$637)+1,AN685+IFERROR(VLOOKUP(VLOOKUP(AM685,$D$638:$AA$840,24,0),AM$639:AO$644,3,0)-VLOOKUP(VLOOKUP(AM685,$D$638:$AA$840,24,0),AM$639:AO$644,2,0)+1,0)))</f>
        <v>0</v>
      </c>
      <c r="AP685" s="2847" t="str">
        <f t="shared" ca="1" si="109"/>
        <v/>
      </c>
      <c r="AQ685" s="2847" t="str">
        <f t="shared" ca="1" si="101"/>
        <v/>
      </c>
      <c r="AR685" s="3045"/>
      <c r="AS685" s="2847">
        <f>IFERROR(IF(IF(AR685&lt;&gt;"",VLOOKUP(AR685,Tabla_ArmasyEscudos,9,0),"")="Conocida",MAX(AS$645:AS684)+1,0),0)</f>
        <v>0</v>
      </c>
      <c r="AT685" s="2847">
        <f>IF(AR685="",0,IF(AS685=0,MAX(AT$639:AT684,AV$637)+1,AS685+IFERROR(VLOOKUP(VLOOKUP(AR685,$D$638:$AA$840,24,0),AR$639:AT$644,3,0)-VLOOKUP(VLOOKUP(AR685,$D$638:$AA$840,24,0),AR$639:AT$644,2,0)+1,0)))</f>
        <v>0</v>
      </c>
      <c r="AU685" s="2847" t="str">
        <f t="shared" ca="1" si="110"/>
        <v/>
      </c>
      <c r="AV685" s="2847" t="str">
        <f t="shared" ca="1" si="102"/>
        <v/>
      </c>
      <c r="AX685" s="1250" t="str">
        <f t="shared" si="111"/>
        <v>Hacha de mano</v>
      </c>
      <c r="AY685" s="3025"/>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5"/>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5"/>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5"/>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5"/>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042"/>
      <c r="C686" s="1141"/>
      <c r="D686" s="2614" t="s">
        <v>7003</v>
      </c>
      <c r="E686" s="2618">
        <v>45</v>
      </c>
      <c r="F686" s="2613">
        <v>10</v>
      </c>
      <c r="G686" s="2613">
        <v>5</v>
      </c>
      <c r="H686" s="2613">
        <v>5</v>
      </c>
      <c r="I686" s="2613" t="s">
        <v>1550</v>
      </c>
      <c r="J686" s="2613" t="s">
        <v>1455</v>
      </c>
      <c r="K686" s="2859" t="s">
        <v>7262</v>
      </c>
      <c r="L686" s="2613" t="str">
        <f t="shared" si="130"/>
        <v>Distinta</v>
      </c>
      <c r="M686" s="2619">
        <v>13</v>
      </c>
      <c r="N686" s="2619">
        <v>2</v>
      </c>
      <c r="O686" s="2619">
        <v>20</v>
      </c>
      <c r="P686" s="2613"/>
      <c r="Q686" s="2613"/>
      <c r="R686" s="2613" t="s">
        <v>1455</v>
      </c>
      <c r="S686" s="2613" t="s">
        <v>1455</v>
      </c>
      <c r="T686" s="2613" t="s">
        <v>1455</v>
      </c>
      <c r="U686" s="2613"/>
      <c r="V686" s="2859" t="s">
        <v>2150</v>
      </c>
      <c r="W686" s="2859"/>
      <c r="X686" s="2860" t="str">
        <f t="shared" si="106"/>
        <v>Pequeña</v>
      </c>
      <c r="Y686" s="2603">
        <f t="shared" si="131"/>
        <v>0</v>
      </c>
      <c r="Z686" s="1259" t="str">
        <f t="shared" si="107"/>
        <v/>
      </c>
      <c r="AA686" s="1955" t="s">
        <v>2109</v>
      </c>
      <c r="AC686" s="1023" t="s">
        <v>7000</v>
      </c>
      <c r="AD686" s="2847">
        <f>IFERROR(IF(IF(AC686&lt;&gt;"",VLOOKUP(AC686,Tabla_ArmasyEscudos,9,0),"")="Conocida",MAX(AD$645:AD685)+1,0),0)</f>
        <v>0</v>
      </c>
      <c r="AE686" s="2847">
        <f ca="1">IF(AC686="",0,IF(AD686=0,MAX(AE$639:AE685,AG$637)+1,AD686+IFERROR(VLOOKUP(VLOOKUP(AC686,$D$638:$AA$840,24,0),AC$639:AE$644,3,0)-VLOOKUP(VLOOKUP(AC686,$D$638:$AA$840,24,0),AC$639:AE$644,2,0)+1,0)))</f>
        <v>42</v>
      </c>
      <c r="AF686" s="2847" t="str">
        <f t="shared" ca="1" si="98"/>
        <v>Kukri</v>
      </c>
      <c r="AG686" s="2847" t="str">
        <f t="shared" ca="1" si="99"/>
        <v/>
      </c>
      <c r="AH686" s="3045" t="s">
        <v>6999</v>
      </c>
      <c r="AI686" s="2847">
        <f>IFERROR(IF(IF(AH686&lt;&gt;"",VLOOKUP(AH686,Tabla_ArmasyEscudos,9,0),"")="Conocida",MAX(AI$645:AI685)+1,0),0)</f>
        <v>0</v>
      </c>
      <c r="AJ686" s="2847">
        <f ca="1">IF(AH686="",0,IF(AI686=0,MAX(AJ$639:AJ685,AL$637)+1,AI686+IFERROR(VLOOKUP(VLOOKUP(AH686,$D$638:$AA$840,24,0),AH$639:AJ$644,3,0)-VLOOKUP(VLOOKUP(AH686,$D$638:$AA$840,24,0),AH$639:AJ$644,2,0)+1,0)))</f>
        <v>42</v>
      </c>
      <c r="AK686" s="2847" t="str">
        <f t="shared" ca="1" si="108"/>
        <v>Tetsubo</v>
      </c>
      <c r="AL686" s="2847" t="str">
        <f t="shared" ca="1" si="100"/>
        <v/>
      </c>
      <c r="AM686" s="3045"/>
      <c r="AN686" s="2847">
        <f>IFERROR(IF(IF(AM686&lt;&gt;"",VLOOKUP(AM686,Tabla_ArmasyEscudos,9,0),"")="Conocida",MAX(AN$645:AN685)+1,0),0)</f>
        <v>0</v>
      </c>
      <c r="AO686" s="2847">
        <f>IF(AM686="",0,IF(AN686=0,MAX(AO$639:AO685,AQ$637)+1,AN686+IFERROR(VLOOKUP(VLOOKUP(AM686,$D$638:$AA$840,24,0),AM$639:AO$644,3,0)-VLOOKUP(VLOOKUP(AM686,$D$638:$AA$840,24,0),AM$639:AO$644,2,0)+1,0)))</f>
        <v>0</v>
      </c>
      <c r="AP686" s="2847" t="str">
        <f t="shared" ca="1" si="109"/>
        <v/>
      </c>
      <c r="AQ686" s="2847" t="str">
        <f t="shared" ca="1" si="101"/>
        <v/>
      </c>
      <c r="AR686" s="3045"/>
      <c r="AS686" s="2847">
        <f>IFERROR(IF(IF(AR686&lt;&gt;"",VLOOKUP(AR686,Tabla_ArmasyEscudos,9,0),"")="Conocida",MAX(AS$645:AS685)+1,0),0)</f>
        <v>0</v>
      </c>
      <c r="AT686" s="2847">
        <f>IF(AR686="",0,IF(AS686=0,MAX(AT$639:AT685,AV$637)+1,AS686+IFERROR(VLOOKUP(VLOOKUP(AR686,$D$638:$AA$840,24,0),AR$639:AT$644,3,0)-VLOOKUP(VLOOKUP(AR686,$D$638:$AA$840,24,0),AR$639:AT$644,2,0)+1,0)))</f>
        <v>0</v>
      </c>
      <c r="AU686" s="2847" t="str">
        <f t="shared" ca="1" si="110"/>
        <v/>
      </c>
      <c r="AV686" s="2847" t="str">
        <f t="shared" ca="1" si="102"/>
        <v/>
      </c>
      <c r="AX686" s="1250" t="str">
        <f t="shared" si="111"/>
        <v>Hu Die Dao</v>
      </c>
      <c r="AY686" s="3025"/>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5"/>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5"/>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5"/>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5"/>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042"/>
      <c r="C687" s="1141"/>
      <c r="D687" s="2614" t="s">
        <v>7005</v>
      </c>
      <c r="E687" s="2618">
        <v>25</v>
      </c>
      <c r="F687" s="2613">
        <v>20</v>
      </c>
      <c r="G687" s="2613">
        <v>4</v>
      </c>
      <c r="H687" s="2613">
        <v>4</v>
      </c>
      <c r="I687" s="2613" t="s">
        <v>1550</v>
      </c>
      <c r="J687" s="2613" t="s">
        <v>1497</v>
      </c>
      <c r="K687" s="2859" t="s">
        <v>7262</v>
      </c>
      <c r="L687" s="2613" t="str">
        <f t="shared" si="130"/>
        <v>Distinta</v>
      </c>
      <c r="M687" s="2619">
        <v>10</v>
      </c>
      <c r="N687" s="2619">
        <v>-2</v>
      </c>
      <c r="O687" s="2619">
        <v>15</v>
      </c>
      <c r="P687" s="2613"/>
      <c r="Q687" s="2613"/>
      <c r="R687" s="2613" t="s">
        <v>1455</v>
      </c>
      <c r="S687" s="2613" t="s">
        <v>1455</v>
      </c>
      <c r="T687" s="2613" t="s">
        <v>1455</v>
      </c>
      <c r="U687" s="2613"/>
      <c r="V687" s="2859" t="s">
        <v>7027</v>
      </c>
      <c r="W687" s="2859"/>
      <c r="X687" s="2860" t="str">
        <f t="shared" si="106"/>
        <v>Pequeña</v>
      </c>
      <c r="Y687" s="2603">
        <f t="shared" si="131"/>
        <v>0</v>
      </c>
      <c r="Z687" s="1259" t="str">
        <f t="shared" si="107"/>
        <v/>
      </c>
      <c r="AA687" s="1955" t="s">
        <v>2109</v>
      </c>
      <c r="AC687" s="1023" t="s">
        <v>2147</v>
      </c>
      <c r="AD687" s="2847">
        <f>IFERROR(IF(IF(AC687&lt;&gt;"",VLOOKUP(AC687,Tabla_ArmasyEscudos,9,0),"")="Conocida",MAX(AD$645:AD686)+1,0),0)</f>
        <v>0</v>
      </c>
      <c r="AE687" s="2847">
        <f ca="1">IF(AC687="",0,IF(AD687=0,MAX(AE$639:AE686,AG$637)+1,AD687+IFERROR(VLOOKUP(VLOOKUP(AC687,$D$638:$AA$840,24,0),AC$639:AE$644,3,0)-VLOOKUP(VLOOKUP(AC687,$D$638:$AA$840,24,0),AC$639:AE$644,2,0)+1,0)))</f>
        <v>43</v>
      </c>
      <c r="AF687" s="2847" t="str">
        <f t="shared" ca="1" si="98"/>
        <v>Lanza</v>
      </c>
      <c r="AG687" s="2847" t="str">
        <f t="shared" ca="1" si="99"/>
        <v/>
      </c>
      <c r="AH687" s="3045" t="s">
        <v>2185</v>
      </c>
      <c r="AI687" s="2847">
        <f>IFERROR(IF(IF(AH687&lt;&gt;"",VLOOKUP(AH687,Tabla_ArmasyEscudos,9,0),"")="Conocida",MAX(AI$645:AI686)+1,0),0)</f>
        <v>0</v>
      </c>
      <c r="AJ687" s="2847">
        <f ca="1">IF(AH687="",0,IF(AI687=0,MAX(AJ$639:AJ686,AL$637)+1,AI687+IFERROR(VLOOKUP(VLOOKUP(AH687,$D$638:$AA$840,24,0),AH$639:AJ$644,3,0)-VLOOKUP(VLOOKUP(AH687,$D$638:$AA$840,24,0),AH$639:AJ$644,2,0)+1,0)))</f>
        <v>43</v>
      </c>
      <c r="AK687" s="2847" t="str">
        <f t="shared" ca="1" si="108"/>
        <v>&gt; ARS MAGNUS</v>
      </c>
      <c r="AL687" s="2847" t="str">
        <f t="shared" ca="1" si="100"/>
        <v/>
      </c>
      <c r="AM687" s="3045"/>
      <c r="AN687" s="2847">
        <f>IFERROR(IF(IF(AM687&lt;&gt;"",VLOOKUP(AM687,Tabla_ArmasyEscudos,9,0),"")="Conocida",MAX(AN$645:AN686)+1,0),0)</f>
        <v>0</v>
      </c>
      <c r="AO687" s="2847">
        <f>IF(AM687="",0,IF(AN687=0,MAX(AO$639:AO686,AQ$637)+1,AN687+IFERROR(VLOOKUP(VLOOKUP(AM687,$D$638:$AA$840,24,0),AM$639:AO$644,3,0)-VLOOKUP(VLOOKUP(AM687,$D$638:$AA$840,24,0),AM$639:AO$644,2,0)+1,0)))</f>
        <v>0</v>
      </c>
      <c r="AP687" s="2847" t="str">
        <f t="shared" ca="1" si="109"/>
        <v/>
      </c>
      <c r="AQ687" s="2847" t="str">
        <f t="shared" ca="1" si="101"/>
        <v/>
      </c>
      <c r="AR687" s="3045"/>
      <c r="AS687" s="2847">
        <f>IFERROR(IF(IF(AR687&lt;&gt;"",VLOOKUP(AR687,Tabla_ArmasyEscudos,9,0),"")="Conocida",MAX(AS$645:AS686)+1,0),0)</f>
        <v>0</v>
      </c>
      <c r="AT687" s="2847">
        <f>IF(AR687="",0,IF(AS687=0,MAX(AT$639:AT686,AV$637)+1,AS687+IFERROR(VLOOKUP(VLOOKUP(AR687,$D$638:$AA$840,24,0),AR$639:AT$644,3,0)-VLOOKUP(VLOOKUP(AR687,$D$638:$AA$840,24,0),AR$639:AT$644,2,0)+1,0)))</f>
        <v>0</v>
      </c>
      <c r="AU687" s="2847" t="str">
        <f t="shared" ca="1" si="110"/>
        <v/>
      </c>
      <c r="AV687" s="2847" t="str">
        <f t="shared" ca="1" si="102"/>
        <v/>
      </c>
      <c r="AX687" s="1250" t="str">
        <f t="shared" si="111"/>
        <v>Jabalina</v>
      </c>
      <c r="AY687" s="3025"/>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5"/>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5"/>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5"/>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5"/>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042"/>
      <c r="C688" s="1141"/>
      <c r="D688" s="2614" t="s">
        <v>7006</v>
      </c>
      <c r="E688" s="2618">
        <v>60</v>
      </c>
      <c r="F688" s="2613">
        <v>-30</v>
      </c>
      <c r="G688" s="2613">
        <v>8</v>
      </c>
      <c r="H688" s="2613">
        <v>8</v>
      </c>
      <c r="I688" s="2613" t="s">
        <v>1551</v>
      </c>
      <c r="J688" s="2613" t="s">
        <v>1455</v>
      </c>
      <c r="K688" s="2859" t="s">
        <v>7260</v>
      </c>
      <c r="L688" s="2613" t="str">
        <f t="shared" si="130"/>
        <v>Distinta</v>
      </c>
      <c r="M688" s="2619">
        <v>9</v>
      </c>
      <c r="N688" s="2619">
        <v>2</v>
      </c>
      <c r="O688" s="2619">
        <v>20</v>
      </c>
      <c r="P688" s="2613"/>
      <c r="Q688" s="2613"/>
      <c r="R688" s="2613" t="s">
        <v>1455</v>
      </c>
      <c r="S688" s="2613" t="s">
        <v>1455</v>
      </c>
      <c r="T688" s="2613" t="s">
        <v>1455</v>
      </c>
      <c r="U688" s="2613"/>
      <c r="V688" s="2859" t="s">
        <v>2150</v>
      </c>
      <c r="W688" s="2859"/>
      <c r="X688" s="2860" t="str">
        <f t="shared" si="106"/>
        <v>Mediana</v>
      </c>
      <c r="Y688" s="2603">
        <f t="shared" si="131"/>
        <v>0</v>
      </c>
      <c r="Z688" s="1259" t="str">
        <f t="shared" si="107"/>
        <v/>
      </c>
      <c r="AA688" s="1955" t="s">
        <v>2109</v>
      </c>
      <c r="AC688" s="1023" t="s">
        <v>7003</v>
      </c>
      <c r="AD688" s="2847">
        <f>IFERROR(IF(IF(AC688&lt;&gt;"",VLOOKUP(AC688,Tabla_ArmasyEscudos,9,0),"")="Conocida",MAX(AD$645:AD687)+1,0),0)</f>
        <v>0</v>
      </c>
      <c r="AE688" s="2847">
        <f ca="1">IF(AC688="",0,IF(AD688=0,MAX(AE$639:AE687,AG$637)+1,AD688+IFERROR(VLOOKUP(VLOOKUP(AC688,$D$638:$AA$840,24,0),AC$639:AE$644,3,0)-VLOOKUP(VLOOKUP(AC688,$D$638:$AA$840,24,0),AC$639:AE$644,2,0)+1,0)))</f>
        <v>44</v>
      </c>
      <c r="AF688" s="2847" t="str">
        <f t="shared" ca="1" si="98"/>
        <v>Lanza de caballería</v>
      </c>
      <c r="AG688" s="2847" t="str">
        <f t="shared" ca="1" si="99"/>
        <v/>
      </c>
      <c r="AH688" s="3045" t="s">
        <v>2187</v>
      </c>
      <c r="AI688" s="2847">
        <f>IFERROR(IF(IF(AH688&lt;&gt;"",VLOOKUP(AH688,Tabla_ArmasyEscudos,9,0),"")="Conocida",MAX(AI$645:AI687)+1,0),0)</f>
        <v>0</v>
      </c>
      <c r="AJ688" s="2847">
        <f ca="1">IF(AH688="",0,IF(AI688=0,MAX(AJ$639:AJ687,AL$637)+1,AI688+IFERROR(VLOOKUP(VLOOKUP(AH688,$D$638:$AA$840,24,0),AH$639:AJ$644,3,0)-VLOOKUP(VLOOKUP(AH688,$D$638:$AA$840,24,0),AH$639:AJ$644,2,0)+1,0)))</f>
        <v>44</v>
      </c>
      <c r="AK688" s="2847" t="str">
        <f t="shared" ca="1" si="108"/>
        <v>Mundus</v>
      </c>
      <c r="AL688" s="2847" t="str">
        <f t="shared" ca="1" si="100"/>
        <v/>
      </c>
      <c r="AM688" s="3045"/>
      <c r="AN688" s="2847">
        <f>IFERROR(IF(IF(AM688&lt;&gt;"",VLOOKUP(AM688,Tabla_ArmasyEscudos,9,0),"")="Conocida",MAX(AN$645:AN687)+1,0),0)</f>
        <v>0</v>
      </c>
      <c r="AO688" s="2847">
        <f>IF(AM688="",0,IF(AN688=0,MAX(AO$639:AO687,AQ$637)+1,AN688+IFERROR(VLOOKUP(VLOOKUP(AM688,$D$638:$AA$840,24,0),AM$639:AO$644,3,0)-VLOOKUP(VLOOKUP(AM688,$D$638:$AA$840,24,0),AM$639:AO$644,2,0)+1,0)))</f>
        <v>0</v>
      </c>
      <c r="AP688" s="2847" t="str">
        <f t="shared" ca="1" si="109"/>
        <v/>
      </c>
      <c r="AQ688" s="2847" t="str">
        <f t="shared" ca="1" si="101"/>
        <v/>
      </c>
      <c r="AR688" s="3045"/>
      <c r="AS688" s="2847">
        <f>IFERROR(IF(IF(AR688&lt;&gt;"",VLOOKUP(AR688,Tabla_ArmasyEscudos,9,0),"")="Conocida",MAX(AS$645:AS687)+1,0),0)</f>
        <v>0</v>
      </c>
      <c r="AT688" s="2847">
        <f>IF(AR688="",0,IF(AS688=0,MAX(AT$639:AT687,AV$637)+1,AS688+IFERROR(VLOOKUP(VLOOKUP(AR688,$D$638:$AA$840,24,0),AR$639:AT$644,3,0)-VLOOKUP(VLOOKUP(AR688,$D$638:$AA$840,24,0),AR$639:AT$644,2,0)+1,0)))</f>
        <v>0</v>
      </c>
      <c r="AU688" s="2847" t="str">
        <f t="shared" ca="1" si="110"/>
        <v/>
      </c>
      <c r="AV688" s="2847" t="str">
        <f t="shared" ca="1" si="102"/>
        <v/>
      </c>
      <c r="AX688" s="1250" t="str">
        <f t="shared" si="111"/>
        <v>Katzbalger</v>
      </c>
      <c r="AY688" s="3025"/>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5"/>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5"/>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5"/>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5"/>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042"/>
      <c r="C689" s="1141"/>
      <c r="D689" s="2614" t="s">
        <v>7007</v>
      </c>
      <c r="E689" s="2618">
        <v>35</v>
      </c>
      <c r="F689" s="2613">
        <v>10</v>
      </c>
      <c r="G689" s="2613">
        <v>6</v>
      </c>
      <c r="H689" s="2613">
        <v>6</v>
      </c>
      <c r="I689" s="2613" t="s">
        <v>1550</v>
      </c>
      <c r="J689" s="2613" t="s">
        <v>1455</v>
      </c>
      <c r="K689" s="2859" t="s">
        <v>7262</v>
      </c>
      <c r="L689" s="2613" t="str">
        <f t="shared" si="130"/>
        <v>Distinta</v>
      </c>
      <c r="M689" s="2619">
        <v>12</v>
      </c>
      <c r="N689" s="2619">
        <v>3</v>
      </c>
      <c r="O689" s="2619">
        <v>20</v>
      </c>
      <c r="P689" s="2613"/>
      <c r="Q689" s="2613"/>
      <c r="R689" s="2613" t="s">
        <v>1455</v>
      </c>
      <c r="S689" s="2613" t="s">
        <v>1455</v>
      </c>
      <c r="T689" s="2613" t="s">
        <v>1455</v>
      </c>
      <c r="U689" s="2613"/>
      <c r="V689" s="2859" t="s">
        <v>1455</v>
      </c>
      <c r="W689" s="2859"/>
      <c r="X689" s="2860" t="str">
        <f t="shared" si="106"/>
        <v>Pequeña</v>
      </c>
      <c r="Y689" s="2603">
        <f t="shared" si="131"/>
        <v>0</v>
      </c>
      <c r="Z689" s="1259" t="str">
        <f t="shared" si="107"/>
        <v/>
      </c>
      <c r="AA689" s="1955" t="s">
        <v>2109</v>
      </c>
      <c r="AC689" s="1023" t="s">
        <v>7005</v>
      </c>
      <c r="AD689" s="2847">
        <f>IFERROR(IF(IF(AC689&lt;&gt;"",VLOOKUP(AC689,Tabla_ArmasyEscudos,9,0),"")="Conocida",MAX(AD$645:AD688)+1,0),0)</f>
        <v>0</v>
      </c>
      <c r="AE689" s="2847">
        <f ca="1">IF(AC689="",0,IF(AD689=0,MAX(AE$639:AE688,AG$637)+1,AD689+IFERROR(VLOOKUP(VLOOKUP(AC689,$D$638:$AA$840,24,0),AC$639:AE$644,3,0)-VLOOKUP(VLOOKUP(AC689,$D$638:$AA$840,24,0),AC$639:AE$644,2,0)+1,0)))</f>
        <v>45</v>
      </c>
      <c r="AF689" s="2847" t="str">
        <f t="shared" ca="1" si="98"/>
        <v>Látigo</v>
      </c>
      <c r="AG689" s="2847" t="str">
        <f t="shared" ca="1" si="99"/>
        <v/>
      </c>
      <c r="AH689" s="3045" t="s">
        <v>7001</v>
      </c>
      <c r="AI689" s="2847">
        <f>IFERROR(IF(IF(AH689&lt;&gt;"",VLOOKUP(AH689,Tabla_ArmasyEscudos,9,0),"")="Conocida",MAX(AI$645:AI688)+1,0),0)</f>
        <v>0</v>
      </c>
      <c r="AJ689" s="2847">
        <f ca="1">IF(AH689="",0,IF(AI689=0,MAX(AJ$639:AJ688,AL$637)+1,AI689+IFERROR(VLOOKUP(VLOOKUP(AH689,$D$638:$AA$840,24,0),AH$639:AJ$644,3,0)-VLOOKUP(VLOOKUP(AH689,$D$638:$AA$840,24,0),AH$639:AJ$644,2,0)+1,0)))</f>
        <v>45</v>
      </c>
      <c r="AK689" s="2847" t="str">
        <f t="shared" ca="1" si="108"/>
        <v>Aries</v>
      </c>
      <c r="AL689" s="2847" t="str">
        <f t="shared" ca="1" si="100"/>
        <v/>
      </c>
      <c r="AM689" s="3045"/>
      <c r="AN689" s="2847">
        <f>IFERROR(IF(IF(AM689&lt;&gt;"",VLOOKUP(AM689,Tabla_ArmasyEscudos,9,0),"")="Conocida",MAX(AN$645:AN688)+1,0),0)</f>
        <v>0</v>
      </c>
      <c r="AO689" s="2847">
        <f>IF(AM689="",0,IF(AN689=0,MAX(AO$639:AO688,AQ$637)+1,AN689+IFERROR(VLOOKUP(VLOOKUP(AM689,$D$638:$AA$840,24,0),AM$639:AO$644,3,0)-VLOOKUP(VLOOKUP(AM689,$D$638:$AA$840,24,0),AM$639:AO$644,2,0)+1,0)))</f>
        <v>0</v>
      </c>
      <c r="AP689" s="2847" t="str">
        <f t="shared" ca="1" si="109"/>
        <v/>
      </c>
      <c r="AQ689" s="2847" t="str">
        <f t="shared" ca="1" si="101"/>
        <v/>
      </c>
      <c r="AR689" s="3045"/>
      <c r="AS689" s="2847">
        <f>IFERROR(IF(IF(AR689&lt;&gt;"",VLOOKUP(AR689,Tabla_ArmasyEscudos,9,0),"")="Conocida",MAX(AS$645:AS688)+1,0),0)</f>
        <v>0</v>
      </c>
      <c r="AT689" s="2847">
        <f>IF(AR689="",0,IF(AS689=0,MAX(AT$639:AT688,AV$637)+1,AS689+IFERROR(VLOOKUP(VLOOKUP(AR689,$D$638:$AA$840,24,0),AR$639:AT$644,3,0)-VLOOKUP(VLOOKUP(AR689,$D$638:$AA$840,24,0),AR$639:AT$644,2,0)+1,0)))</f>
        <v>0</v>
      </c>
      <c r="AU689" s="2847" t="str">
        <f t="shared" ca="1" si="110"/>
        <v/>
      </c>
      <c r="AV689" s="2847" t="str">
        <f t="shared" ca="1" si="102"/>
        <v/>
      </c>
      <c r="AX689" s="1250" t="str">
        <f t="shared" si="111"/>
        <v>Kerambit</v>
      </c>
      <c r="AY689" s="3025"/>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5"/>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5"/>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5"/>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5"/>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042"/>
      <c r="C690" s="1141"/>
      <c r="D690" s="2614" t="s">
        <v>2148</v>
      </c>
      <c r="E690" s="2618">
        <v>40</v>
      </c>
      <c r="F690" s="2613">
        <v>5</v>
      </c>
      <c r="G690" s="2613">
        <v>6</v>
      </c>
      <c r="H690" s="2613">
        <v>4</v>
      </c>
      <c r="I690" s="2613" t="s">
        <v>1551</v>
      </c>
      <c r="J690" s="2613" t="s">
        <v>1455</v>
      </c>
      <c r="K690" s="2859" t="s">
        <v>7257</v>
      </c>
      <c r="L690" s="2613" t="str">
        <f t="shared" si="130"/>
        <v>Distinta</v>
      </c>
      <c r="M690" s="2619">
        <v>13</v>
      </c>
      <c r="N690" s="2619">
        <v>2</v>
      </c>
      <c r="O690" s="2619">
        <v>25</v>
      </c>
      <c r="P690" s="2613"/>
      <c r="Q690" s="2613"/>
      <c r="R690" s="2619">
        <v>80</v>
      </c>
      <c r="S690" s="2613" t="s">
        <v>1455</v>
      </c>
      <c r="T690" s="2619">
        <v>30</v>
      </c>
      <c r="U690" s="2613"/>
      <c r="V690" s="2859" t="s">
        <v>8569</v>
      </c>
      <c r="W690" s="2859"/>
      <c r="X690" s="2860" t="str">
        <f t="shared" si="106"/>
        <v>Grande</v>
      </c>
      <c r="Y690" s="2603">
        <f t="shared" si="131"/>
        <v>0</v>
      </c>
      <c r="Z690" s="1259" t="str">
        <f t="shared" si="107"/>
        <v/>
      </c>
      <c r="AA690" s="1955" t="s">
        <v>2109</v>
      </c>
      <c r="AC690" s="1023" t="s">
        <v>7006</v>
      </c>
      <c r="AD690" s="2847">
        <f>IFERROR(IF(IF(AC690&lt;&gt;"",VLOOKUP(AC690,Tabla_ArmasyEscudos,9,0),"")="Conocida",MAX(AD$645:AD689)+1,0),0)</f>
        <v>0</v>
      </c>
      <c r="AE690" s="2847">
        <f ca="1">IF(AC690="",0,IF(AD690=0,MAX(AE$639:AE689,AG$637)+1,AD690+IFERROR(VLOOKUP(VLOOKUP(AC690,$D$638:$AA$840,24,0),AC$639:AE$644,3,0)-VLOOKUP(VLOOKUP(AC690,$D$638:$AA$840,24,0),AC$639:AE$644,2,0)+1,0)))</f>
        <v>46</v>
      </c>
      <c r="AF690" s="2847" t="str">
        <f t="shared" ca="1" si="98"/>
        <v>Lujiaodao</v>
      </c>
      <c r="AG690" s="2847" t="str">
        <f t="shared" ca="1" si="99"/>
        <v/>
      </c>
      <c r="AH690" s="3045" t="s">
        <v>7002</v>
      </c>
      <c r="AI690" s="2847">
        <f>IFERROR(IF(IF(AH690&lt;&gt;"",VLOOKUP(AH690,Tabla_ArmasyEscudos,9,0),"")="Conocida",MAX(AI$645:AI689)+1,0),0)</f>
        <v>0</v>
      </c>
      <c r="AJ690" s="2847">
        <f ca="1">IF(AH690="",0,IF(AI690=0,MAX(AJ$639:AJ689,AL$637)+1,AI690+IFERROR(VLOOKUP(VLOOKUP(AH690,$D$638:$AA$840,24,0),AH$639:AJ$644,3,0)-VLOOKUP(VLOOKUP(AH690,$D$638:$AA$840,24,0),AH$639:AJ$644,2,0)+1,0)))</f>
        <v>46</v>
      </c>
      <c r="AK690" s="2847" t="str">
        <f t="shared" ca="1" si="108"/>
        <v>Cáncer</v>
      </c>
      <c r="AL690" s="2847" t="str">
        <f t="shared" ca="1" si="100"/>
        <v/>
      </c>
      <c r="AM690" s="3045"/>
      <c r="AN690" s="2847">
        <f>IFERROR(IF(IF(AM690&lt;&gt;"",VLOOKUP(AM690,Tabla_ArmasyEscudos,9,0),"")="Conocida",MAX(AN$645:AN689)+1,0),0)</f>
        <v>0</v>
      </c>
      <c r="AO690" s="2847">
        <f>IF(AM690="",0,IF(AN690=0,MAX(AO$639:AO689,AQ$637)+1,AN690+IFERROR(VLOOKUP(VLOOKUP(AM690,$D$638:$AA$840,24,0),AM$639:AO$644,3,0)-VLOOKUP(VLOOKUP(AM690,$D$638:$AA$840,24,0),AM$639:AO$644,2,0)+1,0)))</f>
        <v>0</v>
      </c>
      <c r="AP690" s="2847" t="str">
        <f t="shared" ca="1" si="109"/>
        <v/>
      </c>
      <c r="AQ690" s="2847" t="str">
        <f t="shared" ca="1" si="101"/>
        <v/>
      </c>
      <c r="AR690" s="3045"/>
      <c r="AS690" s="2847">
        <f>IFERROR(IF(IF(AR690&lt;&gt;"",VLOOKUP(AR690,Tabla_ArmasyEscudos,9,0),"")="Conocida",MAX(AS$645:AS689)+1,0),0)</f>
        <v>0</v>
      </c>
      <c r="AT690" s="2847">
        <f>IF(AR690="",0,IF(AS690=0,MAX(AT$639:AT689,AV$637)+1,AS690+IFERROR(VLOOKUP(VLOOKUP(AR690,$D$638:$AA$840,24,0),AR$639:AT$644,3,0)-VLOOKUP(VLOOKUP(AR690,$D$638:$AA$840,24,0),AR$639:AT$644,2,0)+1,0)))</f>
        <v>0</v>
      </c>
      <c r="AU690" s="2847" t="str">
        <f t="shared" ca="1" si="110"/>
        <v/>
      </c>
      <c r="AV690" s="2847" t="str">
        <f t="shared" ca="1" si="102"/>
        <v/>
      </c>
      <c r="AX690" s="1250" t="str">
        <f t="shared" si="111"/>
        <v>Koncerz</v>
      </c>
      <c r="AY690" s="3025"/>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5"/>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5"/>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5"/>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5"/>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042"/>
      <c r="C691" s="1141"/>
      <c r="D691" s="2614" t="s">
        <v>2149</v>
      </c>
      <c r="E691" s="2618">
        <v>80</v>
      </c>
      <c r="F691" s="2613">
        <v>-30</v>
      </c>
      <c r="G691" s="2613">
        <v>8</v>
      </c>
      <c r="H691" s="2613">
        <v>8</v>
      </c>
      <c r="I691" s="2613" t="s">
        <v>1551</v>
      </c>
      <c r="J691" s="2613" t="s">
        <v>1455</v>
      </c>
      <c r="K691" s="2859" t="s">
        <v>7257</v>
      </c>
      <c r="L691" s="2613" t="str">
        <f t="shared" si="130"/>
        <v>Distinta</v>
      </c>
      <c r="M691" s="2619">
        <v>12</v>
      </c>
      <c r="N691" s="2619">
        <v>7</v>
      </c>
      <c r="O691" s="2619">
        <v>25</v>
      </c>
      <c r="P691" s="2613"/>
      <c r="Q691" s="2613"/>
      <c r="R691" s="2613" t="s">
        <v>1455</v>
      </c>
      <c r="S691" s="2613" t="s">
        <v>1455</v>
      </c>
      <c r="T691" s="2613" t="s">
        <v>1455</v>
      </c>
      <c r="U691" s="2613"/>
      <c r="V691" s="2859" t="s">
        <v>2150</v>
      </c>
      <c r="W691" s="2859"/>
      <c r="X691" s="2860" t="str">
        <f t="shared" si="106"/>
        <v>Grande</v>
      </c>
      <c r="Y691" s="2603">
        <f t="shared" si="131"/>
        <v>0</v>
      </c>
      <c r="Z691" s="1259" t="str">
        <f t="shared" si="107"/>
        <v/>
      </c>
      <c r="AA691" s="1955" t="s">
        <v>2109</v>
      </c>
      <c r="AC691" s="1023" t="s">
        <v>7007</v>
      </c>
      <c r="AD691" s="2847">
        <f>IFERROR(IF(IF(AC691&lt;&gt;"",VLOOKUP(AC691,Tabla_ArmasyEscudos,9,0),"")="Conocida",MAX(AD$645:AD690)+1,0),0)</f>
        <v>0</v>
      </c>
      <c r="AE691" s="2847">
        <f ca="1">IF(AC691="",0,IF(AD691=0,MAX(AE$639:AE690,AG$637)+1,AD691+IFERROR(VLOOKUP(VLOOKUP(AC691,$D$638:$AA$840,24,0),AC$639:AE$644,3,0)-VLOOKUP(VLOOKUP(AC691,$D$638:$AA$840,24,0),AC$639:AE$644,2,0)+1,0)))</f>
        <v>47</v>
      </c>
      <c r="AF691" s="2847" t="str">
        <f t="shared" ca="1" si="98"/>
        <v>Mangual</v>
      </c>
      <c r="AG691" s="2847" t="str">
        <f t="shared" ca="1" si="99"/>
        <v/>
      </c>
      <c r="AH691" s="3045" t="s">
        <v>7004</v>
      </c>
      <c r="AI691" s="2847">
        <f>IFERROR(IF(IF(AH691&lt;&gt;"",VLOOKUP(AH691,Tabla_ArmasyEscudos,9,0),"")="Conocida",MAX(AI$645:AI690)+1,0),0)</f>
        <v>0</v>
      </c>
      <c r="AJ691" s="2847">
        <f ca="1">IF(AH691="",0,IF(AI691=0,MAX(AJ$639:AJ690,AL$637)+1,AI691+IFERROR(VLOOKUP(VLOOKUP(AH691,$D$638:$AA$840,24,0),AH$639:AJ$644,3,0)-VLOOKUP(VLOOKUP(AH691,$D$638:$AA$840,24,0),AH$639:AJ$644,2,0)+1,0)))</f>
        <v>47</v>
      </c>
      <c r="AK691" s="2847" t="str">
        <f t="shared" ca="1" si="108"/>
        <v>Leo (Espada-Pistola)</v>
      </c>
      <c r="AL691" s="2847" t="str">
        <f t="shared" ca="1" si="100"/>
        <v/>
      </c>
      <c r="AM691" s="3045"/>
      <c r="AN691" s="2847">
        <f>IFERROR(IF(IF(AM691&lt;&gt;"",VLOOKUP(AM691,Tabla_ArmasyEscudos,9,0),"")="Conocida",MAX(AN$645:AN690)+1,0),0)</f>
        <v>0</v>
      </c>
      <c r="AO691" s="2847">
        <f>IF(AM691="",0,IF(AN691=0,MAX(AO$639:AO690,AQ$637)+1,AN691+IFERROR(VLOOKUP(VLOOKUP(AM691,$D$638:$AA$840,24,0),AM$639:AO$644,3,0)-VLOOKUP(VLOOKUP(AM691,$D$638:$AA$840,24,0),AM$639:AO$644,2,0)+1,0)))</f>
        <v>0</v>
      </c>
      <c r="AP691" s="2847" t="str">
        <f t="shared" ca="1" si="109"/>
        <v/>
      </c>
      <c r="AQ691" s="2847" t="str">
        <f t="shared" ca="1" si="101"/>
        <v/>
      </c>
      <c r="AR691" s="3045"/>
      <c r="AS691" s="2847">
        <f>IFERROR(IF(IF(AR691&lt;&gt;"",VLOOKUP(AR691,Tabla_ArmasyEscudos,9,0),"")="Conocida",MAX(AS$645:AS690)+1,0),0)</f>
        <v>0</v>
      </c>
      <c r="AT691" s="2847">
        <f>IF(AR691="",0,IF(AS691=0,MAX(AT$639:AT690,AV$637)+1,AS691+IFERROR(VLOOKUP(VLOOKUP(AR691,$D$638:$AA$840,24,0),AR$639:AT$644,3,0)-VLOOKUP(VLOOKUP(AR691,$D$638:$AA$840,24,0),AR$639:AT$644,2,0)+1,0)))</f>
        <v>0</v>
      </c>
      <c r="AU691" s="2847" t="str">
        <f t="shared" ca="1" si="110"/>
        <v/>
      </c>
      <c r="AV691" s="2847" t="str">
        <f t="shared" ca="1" si="102"/>
        <v/>
      </c>
      <c r="AX691" s="1250" t="str">
        <f t="shared" si="111"/>
        <v>Kukri</v>
      </c>
      <c r="AY691" s="3025"/>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5"/>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5"/>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5"/>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5"/>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042"/>
      <c r="C692" s="1141"/>
      <c r="D692" s="2614" t="s">
        <v>2151</v>
      </c>
      <c r="E692" s="2618">
        <v>35</v>
      </c>
      <c r="F692" s="2613">
        <v>-20</v>
      </c>
      <c r="G692" s="2613">
        <v>4</v>
      </c>
      <c r="H692" s="2613">
        <v>4</v>
      </c>
      <c r="I692" s="2613" t="s">
        <v>1550</v>
      </c>
      <c r="J692" s="2613" t="s">
        <v>1497</v>
      </c>
      <c r="K692" s="2859" t="s">
        <v>7261</v>
      </c>
      <c r="L692" s="2613" t="str">
        <f t="shared" si="130"/>
        <v>Distinta</v>
      </c>
      <c r="M692" s="2619">
        <v>9</v>
      </c>
      <c r="N692" s="2619">
        <v>-3</v>
      </c>
      <c r="O692" s="2619">
        <v>20</v>
      </c>
      <c r="P692" s="2613"/>
      <c r="Q692" s="2613"/>
      <c r="R692" s="2613" t="s">
        <v>1455</v>
      </c>
      <c r="S692" s="2613" t="s">
        <v>1455</v>
      </c>
      <c r="T692" s="2613" t="s">
        <v>1455</v>
      </c>
      <c r="U692" s="2613"/>
      <c r="V692" s="2859" t="s">
        <v>2152</v>
      </c>
      <c r="W692" s="2859"/>
      <c r="X692" s="2860" t="str">
        <f t="shared" si="106"/>
        <v>Mediana</v>
      </c>
      <c r="Y692" s="2603">
        <f t="shared" si="131"/>
        <v>0</v>
      </c>
      <c r="Z692" s="1259" t="str">
        <f t="shared" si="107"/>
        <v/>
      </c>
      <c r="AA692" s="1955" t="s">
        <v>2109</v>
      </c>
      <c r="AC692" s="1023" t="s">
        <v>2148</v>
      </c>
      <c r="AD692" s="2847">
        <f>IFERROR(IF(IF(AC692&lt;&gt;"",VLOOKUP(AC692,Tabla_ArmasyEscudos,9,0),"")="Conocida",MAX(AD$645:AD691)+1,0),0)</f>
        <v>0</v>
      </c>
      <c r="AE692" s="2847">
        <f ca="1">IF(AC692="",0,IF(AD692=0,MAX(AE$639:AE691,AG$637)+1,AD692+IFERROR(VLOOKUP(VLOOKUP(AC692,$D$638:$AA$840,24,0),AC$639:AE$644,3,0)-VLOOKUP(VLOOKUP(AC692,$D$638:$AA$840,24,0),AC$639:AE$644,2,0)+1,0)))</f>
        <v>48</v>
      </c>
      <c r="AF692" s="2847" t="str">
        <f t="shared" ca="1" si="98"/>
        <v>Martillo de guerra</v>
      </c>
      <c r="AG692" s="2847" t="str">
        <f t="shared" ca="1" si="99"/>
        <v/>
      </c>
      <c r="AH692" s="3052" t="s">
        <v>2225</v>
      </c>
      <c r="AI692" s="2847">
        <f>IFERROR(IF(IF(AH692&lt;&gt;"",VLOOKUP(AH692,Tabla_ArmasyEscudos,9,0),"")="Conocida",MAX(AI$645:AI691)+1,0),0)</f>
        <v>0</v>
      </c>
      <c r="AJ692" s="2847">
        <f ca="1">IF(AH692="",0,IF(AI692=0,MAX(AJ$639:AJ691,AL$637)+1,AI692+IFERROR(VLOOKUP(VLOOKUP(AH692,$D$638:$AA$840,24,0),AH$639:AJ$644,3,0)-VLOOKUP(VLOOKUP(AH692,$D$638:$AA$840,24,0),AH$639:AJ$644,2,0)+1,0)))</f>
        <v>48</v>
      </c>
      <c r="AK692" s="2847" t="str">
        <f t="shared" ca="1" si="108"/>
        <v>Leo (Lanza-Rifle)</v>
      </c>
      <c r="AL692" s="2847" t="str">
        <f t="shared" ca="1" si="100"/>
        <v/>
      </c>
      <c r="AM692" s="3045"/>
      <c r="AN692" s="2847">
        <f>IFERROR(IF(IF(AM692&lt;&gt;"",VLOOKUP(AM692,Tabla_ArmasyEscudos,9,0),"")="Conocida",MAX(AN$645:AN691)+1,0),0)</f>
        <v>0</v>
      </c>
      <c r="AO692" s="2847">
        <f>IF(AM692="",0,IF(AN692=0,MAX(AO$639:AO691,AQ$637)+1,AN692+IFERROR(VLOOKUP(VLOOKUP(AM692,$D$638:$AA$840,24,0),AM$639:AO$644,3,0)-VLOOKUP(VLOOKUP(AM692,$D$638:$AA$840,24,0),AM$639:AO$644,2,0)+1,0)))</f>
        <v>0</v>
      </c>
      <c r="AP692" s="2847" t="str">
        <f t="shared" ca="1" si="109"/>
        <v/>
      </c>
      <c r="AQ692" s="2847" t="str">
        <f t="shared" ca="1" si="101"/>
        <v/>
      </c>
      <c r="AR692" s="3045"/>
      <c r="AS692" s="2847">
        <f>IFERROR(IF(IF(AR692&lt;&gt;"",VLOOKUP(AR692,Tabla_ArmasyEscudos,9,0),"")="Conocida",MAX(AS$645:AS691)+1,0),0)</f>
        <v>0</v>
      </c>
      <c r="AT692" s="2847">
        <f>IF(AR692="",0,IF(AS692=0,MAX(AT$639:AT691,AV$637)+1,AS692+IFERROR(VLOOKUP(VLOOKUP(AR692,$D$638:$AA$840,24,0),AR$639:AT$644,3,0)-VLOOKUP(VLOOKUP(AR692,$D$638:$AA$840,24,0),AR$639:AT$644,2,0)+1,0)))</f>
        <v>0</v>
      </c>
      <c r="AU692" s="2847" t="str">
        <f t="shared" ca="1" si="110"/>
        <v/>
      </c>
      <c r="AV692" s="2847" t="str">
        <f t="shared" ca="1" si="102"/>
        <v/>
      </c>
      <c r="AX692" s="1250" t="str">
        <f t="shared" si="111"/>
        <v>Lanza</v>
      </c>
      <c r="AY692" s="3025"/>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5"/>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5"/>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5"/>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5"/>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042"/>
      <c r="C693" s="1141"/>
      <c r="D693" s="2614" t="s">
        <v>2153</v>
      </c>
      <c r="E693" s="2618">
        <f>5-Bono_Fue*2</f>
        <v>5</v>
      </c>
      <c r="F693" s="2613">
        <v>10</v>
      </c>
      <c r="G693" s="2613" t="s">
        <v>1455</v>
      </c>
      <c r="H693" s="2613">
        <v>4</v>
      </c>
      <c r="I693" s="2613" t="s">
        <v>1497</v>
      </c>
      <c r="J693" s="2613" t="s">
        <v>1455</v>
      </c>
      <c r="K693" s="2859" t="s">
        <v>7261</v>
      </c>
      <c r="L693" s="2613" t="str">
        <f t="shared" si="130"/>
        <v>Distinta</v>
      </c>
      <c r="M693" s="2619">
        <v>9</v>
      </c>
      <c r="N693" s="2619">
        <v>-4</v>
      </c>
      <c r="O693" s="2619">
        <v>20</v>
      </c>
      <c r="P693" s="2613"/>
      <c r="Q693" s="2613"/>
      <c r="R693" s="2613" t="s">
        <v>1455</v>
      </c>
      <c r="S693" s="2613" t="s">
        <v>1455</v>
      </c>
      <c r="T693" s="2613" t="s">
        <v>1455</v>
      </c>
      <c r="U693" s="2613"/>
      <c r="V693" s="2859" t="s">
        <v>2154</v>
      </c>
      <c r="W693" s="2859"/>
      <c r="X693" s="2860" t="str">
        <f t="shared" si="106"/>
        <v>Mediana</v>
      </c>
      <c r="Y693" s="2603">
        <f t="shared" si="131"/>
        <v>0</v>
      </c>
      <c r="Z693" s="1259" t="str">
        <f t="shared" si="107"/>
        <v/>
      </c>
      <c r="AA693" s="1955" t="s">
        <v>2109</v>
      </c>
      <c r="AC693" s="1023" t="s">
        <v>2149</v>
      </c>
      <c r="AD693" s="2847">
        <f>IFERROR(IF(IF(AC693&lt;&gt;"",VLOOKUP(AC693,Tabla_ArmasyEscudos,9,0),"")="Conocida",MAX(AD$645:AD692)+1,0),0)</f>
        <v>0</v>
      </c>
      <c r="AE693" s="2847">
        <f ca="1">IF(AC693="",0,IF(AD693=0,MAX(AE$639:AE692,AG$637)+1,AD693+IFERROR(VLOOKUP(VLOOKUP(AC693,$D$638:$AA$840,24,0),AC$639:AE$644,3,0)-VLOOKUP(VLOOKUP(AC693,$D$638:$AA$840,24,0),AC$639:AE$644,2,0)+1,0)))</f>
        <v>49</v>
      </c>
      <c r="AF693" s="2847" t="str">
        <f t="shared" ca="1" si="98"/>
        <v>Mayal</v>
      </c>
      <c r="AG693" s="2847" t="str">
        <f t="shared" ca="1" si="99"/>
        <v/>
      </c>
      <c r="AH693" s="3045" t="s">
        <v>10079</v>
      </c>
      <c r="AI693" s="2847">
        <f>IFERROR(IF(IF(AH693&lt;&gt;"",VLOOKUP(AH693,Tabla_ArmasyEscudos,9,0),"")="Conocida",MAX(AI$645:AI692)+1,0),0)</f>
        <v>0</v>
      </c>
      <c r="AJ693" s="2847">
        <f ca="1">IF(AH693="",0,IF(AI693=0,MAX(AJ$639:AJ692,AL$637)+1,AI693+IFERROR(VLOOKUP(VLOOKUP(AH693,$D$638:$AA$840,24,0),AH$639:AJ$644,3,0)-VLOOKUP(VLOOKUP(AH693,$D$638:$AA$840,24,0),AH$639:AJ$644,2,0)+1,0)))</f>
        <v>49</v>
      </c>
      <c r="AK693" s="2847" t="str">
        <f t="shared" ca="1" si="108"/>
        <v>Leo (Maza-Cañón)</v>
      </c>
      <c r="AL693" s="2847" t="str">
        <f t="shared" ca="1" si="100"/>
        <v/>
      </c>
      <c r="AM693" s="3045"/>
      <c r="AN693" s="2847">
        <f>IFERROR(IF(IF(AM693&lt;&gt;"",VLOOKUP(AM693,Tabla_ArmasyEscudos,9,0),"")="Conocida",MAX(AN$645:AN692)+1,0),0)</f>
        <v>0</v>
      </c>
      <c r="AO693" s="2847">
        <f>IF(AM693="",0,IF(AN693=0,MAX(AO$639:AO692,AQ$637)+1,AN693+IFERROR(VLOOKUP(VLOOKUP(AM693,$D$638:$AA$840,24,0),AM$639:AO$644,3,0)-VLOOKUP(VLOOKUP(AM693,$D$638:$AA$840,24,0),AM$639:AO$644,2,0)+1,0)))</f>
        <v>0</v>
      </c>
      <c r="AP693" s="2847" t="str">
        <f t="shared" ca="1" si="109"/>
        <v/>
      </c>
      <c r="AQ693" s="2847" t="str">
        <f t="shared" ca="1" si="101"/>
        <v/>
      </c>
      <c r="AR693" s="3045"/>
      <c r="AS693" s="2847">
        <f>IFERROR(IF(IF(AR693&lt;&gt;"",VLOOKUP(AR693,Tabla_ArmasyEscudos,9,0),"")="Conocida",MAX(AS$645:AS692)+1,0),0)</f>
        <v>0</v>
      </c>
      <c r="AT693" s="2847">
        <f>IF(AR693="",0,IF(AS693=0,MAX(AT$639:AT692,AV$637)+1,AS693+IFERROR(VLOOKUP(VLOOKUP(AR693,$D$638:$AA$840,24,0),AR$639:AT$644,3,0)-VLOOKUP(VLOOKUP(AR693,$D$638:$AA$840,24,0),AR$639:AT$644,2,0)+1,0)))</f>
        <v>0</v>
      </c>
      <c r="AU693" s="2847" t="str">
        <f t="shared" ca="1" si="110"/>
        <v/>
      </c>
      <c r="AV693" s="2847" t="str">
        <f t="shared" ca="1" si="102"/>
        <v/>
      </c>
      <c r="AX693" s="1250" t="str">
        <f t="shared" si="111"/>
        <v>Lanza de caballería</v>
      </c>
      <c r="AY693" s="3025"/>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5"/>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5"/>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5"/>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5"/>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042"/>
      <c r="C694" s="1141"/>
      <c r="D694" s="2614" t="s">
        <v>6989</v>
      </c>
      <c r="E694" s="2618">
        <v>30</v>
      </c>
      <c r="F694" s="2613">
        <v>15</v>
      </c>
      <c r="G694" s="2613">
        <v>5</v>
      </c>
      <c r="H694" s="2613">
        <v>5</v>
      </c>
      <c r="I694" s="2613" t="s">
        <v>1497</v>
      </c>
      <c r="J694" s="2613" t="s">
        <v>1455</v>
      </c>
      <c r="K694" s="2859" t="s">
        <v>7261</v>
      </c>
      <c r="L694" s="2613" t="str">
        <f t="shared" si="130"/>
        <v>Distinta</v>
      </c>
      <c r="M694" s="2619">
        <v>8</v>
      </c>
      <c r="N694" s="2619">
        <v>1</v>
      </c>
      <c r="O694" s="2619">
        <v>15</v>
      </c>
      <c r="P694" s="2613"/>
      <c r="Q694" s="2613"/>
      <c r="R694" s="2613" t="s">
        <v>1455</v>
      </c>
      <c r="S694" s="2613" t="s">
        <v>1455</v>
      </c>
      <c r="T694" s="2613" t="s">
        <v>1455</v>
      </c>
      <c r="U694" s="2613"/>
      <c r="V694" s="2859" t="s">
        <v>7028</v>
      </c>
      <c r="W694" s="2859"/>
      <c r="X694" s="2860" t="str">
        <f t="shared" si="106"/>
        <v>Mediana</v>
      </c>
      <c r="Y694" s="2603">
        <f t="shared" si="131"/>
        <v>0</v>
      </c>
      <c r="Z694" s="1259" t="str">
        <f t="shared" si="107"/>
        <v/>
      </c>
      <c r="AA694" s="1955" t="s">
        <v>2109</v>
      </c>
      <c r="AC694" s="1023" t="s">
        <v>2151</v>
      </c>
      <c r="AD694" s="2847">
        <f>IFERROR(IF(IF(AC694&lt;&gt;"",VLOOKUP(AC694,Tabla_ArmasyEscudos,9,0),"")="Conocida",MAX(AD$645:AD693)+1,0),0)</f>
        <v>0</v>
      </c>
      <c r="AE694" s="2847">
        <f ca="1">IF(AC694="",0,IF(AD694=0,MAX(AE$639:AE693,AG$637)+1,AD694+IFERROR(VLOOKUP(VLOOKUP(AC694,$D$638:$AA$840,24,0),AC$639:AE$644,3,0)-VLOOKUP(VLOOKUP(AC694,$D$638:$AA$840,24,0),AC$639:AE$644,2,0)+1,0)))</f>
        <v>50</v>
      </c>
      <c r="AF694" s="2847" t="str">
        <f t="shared" ca="1" si="98"/>
        <v>Maza Barra</v>
      </c>
      <c r="AG694" s="2847" t="str">
        <f t="shared" ca="1" si="99"/>
        <v/>
      </c>
      <c r="AH694" s="3045" t="s">
        <v>2230</v>
      </c>
      <c r="AI694" s="2847">
        <f>IFERROR(IF(IF(AH694&lt;&gt;"",VLOOKUP(AH694,Tabla_ArmasyEscudos,9,0),"")="Conocida",MAX(AI$645:AI693)+1,0),0)</f>
        <v>0</v>
      </c>
      <c r="AJ694" s="2847">
        <f ca="1">IF(AH694="",0,IF(AI694=0,MAX(AJ$639:AJ693,AL$637)+1,AI694+IFERROR(VLOOKUP(VLOOKUP(AH694,$D$638:$AA$840,24,0),AH$639:AJ$644,3,0)-VLOOKUP(VLOOKUP(AH694,$D$638:$AA$840,24,0),AH$639:AJ$644,2,0)+1,0)))</f>
        <v>50</v>
      </c>
      <c r="AK694" s="2847" t="str">
        <f t="shared" ca="1" si="108"/>
        <v>Ophiucos</v>
      </c>
      <c r="AL694" s="2847" t="str">
        <f t="shared" ca="1" si="100"/>
        <v/>
      </c>
      <c r="AM694" s="3045"/>
      <c r="AN694" s="2847">
        <f>IFERROR(IF(IF(AM694&lt;&gt;"",VLOOKUP(AM694,Tabla_ArmasyEscudos,9,0),"")="Conocida",MAX(AN$645:AN693)+1,0),0)</f>
        <v>0</v>
      </c>
      <c r="AO694" s="2847">
        <f>IF(AM694="",0,IF(AN694=0,MAX(AO$639:AO693,AQ$637)+1,AN694+IFERROR(VLOOKUP(VLOOKUP(AM694,$D$638:$AA$840,24,0),AM$639:AO$644,3,0)-VLOOKUP(VLOOKUP(AM694,$D$638:$AA$840,24,0),AM$639:AO$644,2,0)+1,0)))</f>
        <v>0</v>
      </c>
      <c r="AP694" s="2847" t="str">
        <f t="shared" ca="1" si="109"/>
        <v/>
      </c>
      <c r="AQ694" s="2847" t="str">
        <f t="shared" ca="1" si="101"/>
        <v/>
      </c>
      <c r="AR694" s="3045"/>
      <c r="AS694" s="2847">
        <f>IFERROR(IF(IF(AR694&lt;&gt;"",VLOOKUP(AR694,Tabla_ArmasyEscudos,9,0),"")="Conocida",MAX(AS$645:AS693)+1,0),0)</f>
        <v>0</v>
      </c>
      <c r="AT694" s="2847">
        <f>IF(AR694="",0,IF(AS694=0,MAX(AT$639:AT693,AV$637)+1,AS694+IFERROR(VLOOKUP(VLOOKUP(AR694,$D$638:$AA$840,24,0),AR$639:AT$644,3,0)-VLOOKUP(VLOOKUP(AR694,$D$638:$AA$840,24,0),AR$639:AT$644,2,0)+1,0)))</f>
        <v>0</v>
      </c>
      <c r="AU694" s="2847" t="str">
        <f t="shared" ca="1" si="110"/>
        <v/>
      </c>
      <c r="AV694" s="2847" t="str">
        <f t="shared" ca="1" si="102"/>
        <v/>
      </c>
      <c r="AX694" s="1250" t="str">
        <f t="shared" si="111"/>
        <v>Látigo</v>
      </c>
      <c r="AY694" s="3025"/>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5"/>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5"/>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5"/>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5"/>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042"/>
      <c r="C695" s="1141"/>
      <c r="D695" s="2614" t="s">
        <v>7008</v>
      </c>
      <c r="E695" s="2618">
        <v>25</v>
      </c>
      <c r="F695" s="2613">
        <v>20</v>
      </c>
      <c r="G695" s="2613">
        <v>5</v>
      </c>
      <c r="H695" s="2613">
        <v>5</v>
      </c>
      <c r="I695" s="2613" t="s">
        <v>1550</v>
      </c>
      <c r="J695" s="2613" t="s">
        <v>1455</v>
      </c>
      <c r="K695" s="2859" t="s">
        <v>7262</v>
      </c>
      <c r="L695" s="2613" t="str">
        <f t="shared" si="130"/>
        <v>Distinta</v>
      </c>
      <c r="M695" s="2619">
        <v>12</v>
      </c>
      <c r="N695" s="2619">
        <v>5</v>
      </c>
      <c r="O695" s="2619">
        <v>15</v>
      </c>
      <c r="P695" s="2613"/>
      <c r="Q695" s="2613"/>
      <c r="R695" s="2613" t="s">
        <v>1455</v>
      </c>
      <c r="S695" s="2613" t="s">
        <v>1455</v>
      </c>
      <c r="T695" s="2613" t="s">
        <v>1455</v>
      </c>
      <c r="U695" s="2613"/>
      <c r="V695" s="2859" t="s">
        <v>7029</v>
      </c>
      <c r="W695" s="2859"/>
      <c r="X695" s="2860" t="str">
        <f t="shared" si="106"/>
        <v>Pequeña</v>
      </c>
      <c r="Y695" s="2603">
        <f t="shared" si="131"/>
        <v>0</v>
      </c>
      <c r="Z695" s="1259" t="str">
        <f t="shared" si="107"/>
        <v/>
      </c>
      <c r="AA695" s="1955" t="s">
        <v>2109</v>
      </c>
      <c r="AC695" s="1023" t="s">
        <v>7008</v>
      </c>
      <c r="AD695" s="2847">
        <f>IFERROR(IF(IF(AC695&lt;&gt;"",VLOOKUP(AC695,Tabla_ArmasyEscudos,9,0),"")="Conocida",MAX(AD$645:AD694)+1,0),0)</f>
        <v>0</v>
      </c>
      <c r="AE695" s="2847">
        <f ca="1">IF(AC695="",0,IF(AD695=0,MAX(AE$639:AE694,AG$637)+1,AD695+IFERROR(VLOOKUP(VLOOKUP(AC695,$D$638:$AA$840,24,0),AC$639:AE$644,3,0)-VLOOKUP(VLOOKUP(AC695,$D$638:$AA$840,24,0),AC$639:AE$644,2,0)+1,0)))</f>
        <v>51</v>
      </c>
      <c r="AF695" s="2847" t="str">
        <f t="shared" ca="1" si="98"/>
        <v>Maza ligera</v>
      </c>
      <c r="AG695" s="2847" t="str">
        <f t="shared" ca="1" si="99"/>
        <v/>
      </c>
      <c r="AH695" s="3045" t="s">
        <v>2234</v>
      </c>
      <c r="AI695" s="2847">
        <f>IFERROR(IF(IF(AH695&lt;&gt;"",VLOOKUP(AH695,Tabla_ArmasyEscudos,9,0),"")="Conocida",MAX(AI$645:AI694)+1,0),0)</f>
        <v>0</v>
      </c>
      <c r="AJ695" s="2847">
        <f ca="1">IF(AH695="",0,IF(AI695=0,MAX(AJ$639:AJ694,AL$637)+1,AI695+IFERROR(VLOOKUP(VLOOKUP(AH695,$D$638:$AA$840,24,0),AH$639:AJ$644,3,0)-VLOOKUP(VLOOKUP(AH695,$D$638:$AA$840,24,0),AH$639:AJ$644,2,0)+1,0)))</f>
        <v>51</v>
      </c>
      <c r="AK695" s="2847" t="str">
        <f t="shared" ca="1" si="108"/>
        <v>Taurus</v>
      </c>
      <c r="AL695" s="2847" t="str">
        <f t="shared" ca="1" si="100"/>
        <v/>
      </c>
      <c r="AM695" s="3045"/>
      <c r="AN695" s="2847">
        <f>IFERROR(IF(IF(AM695&lt;&gt;"",VLOOKUP(AM695,Tabla_ArmasyEscudos,9,0),"")="Conocida",MAX(AN$645:AN694)+1,0),0)</f>
        <v>0</v>
      </c>
      <c r="AO695" s="2847">
        <f>IF(AM695="",0,IF(AN695=0,MAX(AO$639:AO694,AQ$637)+1,AN695+IFERROR(VLOOKUP(VLOOKUP(AM695,$D$638:$AA$840,24,0),AM$639:AO$644,3,0)-VLOOKUP(VLOOKUP(AM695,$D$638:$AA$840,24,0),AM$639:AO$644,2,0)+1,0)))</f>
        <v>0</v>
      </c>
      <c r="AP695" s="2847" t="str">
        <f t="shared" ca="1" si="109"/>
        <v/>
      </c>
      <c r="AQ695" s="2847" t="str">
        <f t="shared" ca="1" si="101"/>
        <v/>
      </c>
      <c r="AR695" s="3045"/>
      <c r="AS695" s="2847">
        <f>IFERROR(IF(IF(AR695&lt;&gt;"",VLOOKUP(AR695,Tabla_ArmasyEscudos,9,0),"")="Conocida",MAX(AS$645:AS694)+1,0),0)</f>
        <v>0</v>
      </c>
      <c r="AT695" s="2847">
        <f>IF(AR695="",0,IF(AS695=0,MAX(AT$639:AT694,AV$637)+1,AS695+IFERROR(VLOOKUP(VLOOKUP(AR695,$D$638:$AA$840,24,0),AR$639:AT$644,3,0)-VLOOKUP(VLOOKUP(AR695,$D$638:$AA$840,24,0),AR$639:AT$644,2,0)+1,0)))</f>
        <v>0</v>
      </c>
      <c r="AU695" s="2847" t="str">
        <f t="shared" ca="1" si="110"/>
        <v/>
      </c>
      <c r="AV695" s="2847" t="str">
        <f t="shared" ca="1" si="102"/>
        <v/>
      </c>
      <c r="AX695" s="1250" t="str">
        <f t="shared" si="111"/>
        <v>Lazo</v>
      </c>
      <c r="AY695" s="3025"/>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5"/>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5"/>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5"/>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5"/>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042"/>
      <c r="C696" s="1141"/>
      <c r="D696" s="2614" t="s">
        <v>2155</v>
      </c>
      <c r="E696" s="2618">
        <v>80</v>
      </c>
      <c r="F696" s="2613">
        <v>-50</v>
      </c>
      <c r="G696" s="2613">
        <v>10</v>
      </c>
      <c r="H696" s="2613">
        <v>8</v>
      </c>
      <c r="I696" s="2613" t="s">
        <v>1497</v>
      </c>
      <c r="J696" s="2613" t="s">
        <v>1455</v>
      </c>
      <c r="K696" s="2859" t="s">
        <v>7270</v>
      </c>
      <c r="L696" s="2613" t="str">
        <f t="shared" si="130"/>
        <v>Distinta</v>
      </c>
      <c r="M696" s="2619">
        <v>14</v>
      </c>
      <c r="N696" s="2619">
        <v>6</v>
      </c>
      <c r="O696" s="2619">
        <v>20</v>
      </c>
      <c r="P696" s="2613"/>
      <c r="Q696" s="2613"/>
      <c r="R696" s="2613" t="s">
        <v>1455</v>
      </c>
      <c r="S696" s="2613" t="s">
        <v>1455</v>
      </c>
      <c r="T696" s="2613" t="s">
        <v>1455</v>
      </c>
      <c r="U696" s="2613"/>
      <c r="V696" s="2859" t="s">
        <v>2156</v>
      </c>
      <c r="W696" s="2859"/>
      <c r="X696" s="2860" t="str">
        <f t="shared" si="106"/>
        <v>Grande</v>
      </c>
      <c r="Y696" s="2603">
        <f t="shared" si="131"/>
        <v>0</v>
      </c>
      <c r="Z696" s="1259" t="str">
        <f t="shared" si="107"/>
        <v/>
      </c>
      <c r="AA696" s="1955" t="s">
        <v>2109</v>
      </c>
      <c r="AC696" s="1023" t="s">
        <v>2155</v>
      </c>
      <c r="AD696" s="2847">
        <f>IFERROR(IF(IF(AC696&lt;&gt;"",VLOOKUP(AC696,Tabla_ArmasyEscudos,9,0),"")="Conocida",MAX(AD$645:AD695)+1,0),0)</f>
        <v>0</v>
      </c>
      <c r="AE696" s="2847">
        <f ca="1">IF(AC696="",0,IF(AD696=0,MAX(AE$639:AE695,AG$637)+1,AD696+IFERROR(VLOOKUP(VLOOKUP(AC696,$D$638:$AA$840,24,0),AC$639:AE$644,3,0)-VLOOKUP(VLOOKUP(AC696,$D$638:$AA$840,24,0),AC$639:AE$644,2,0)+1,0)))</f>
        <v>52</v>
      </c>
      <c r="AF696" s="2847" t="str">
        <f t="shared" ca="1" si="98"/>
        <v>Maza pesada</v>
      </c>
      <c r="AG696" s="2847" t="str">
        <f t="shared" ca="1" si="99"/>
        <v/>
      </c>
      <c r="AH696" s="3045" t="s">
        <v>2235</v>
      </c>
      <c r="AI696" s="2847">
        <f>IFERROR(IF(IF(AH696&lt;&gt;"",VLOOKUP(AH696,Tabla_ArmasyEscudos,9,0),"")="Conocida",MAX(AI$645:AI695)+1,0),0)</f>
        <v>0</v>
      </c>
      <c r="AJ696" s="2847">
        <f ca="1">IF(AH696="",0,IF(AI696=0,MAX(AJ$639:AJ695,AL$637)+1,AI696+IFERROR(VLOOKUP(VLOOKUP(AH696,$D$638:$AA$840,24,0),AH$639:AJ$644,3,0)-VLOOKUP(VLOOKUP(AH696,$D$638:$AA$840,24,0),AH$639:AJ$644,2,0)+1,0)))</f>
        <v>52</v>
      </c>
      <c r="AK696" s="2847" t="str">
        <f t="shared" ca="1" si="108"/>
        <v/>
      </c>
      <c r="AL696" s="2847" t="str">
        <f t="shared" ca="1" si="100"/>
        <v/>
      </c>
      <c r="AM696" s="3045"/>
      <c r="AN696" s="2847">
        <f>IFERROR(IF(IF(AM696&lt;&gt;"",VLOOKUP(AM696,Tabla_ArmasyEscudos,9,0),"")="Conocida",MAX(AN$645:AN695)+1,0),0)</f>
        <v>0</v>
      </c>
      <c r="AO696" s="2847">
        <f>IF(AM696="",0,IF(AN696=0,MAX(AO$639:AO695,AQ$637)+1,AN696+IFERROR(VLOOKUP(VLOOKUP(AM696,$D$638:$AA$840,24,0),AM$639:AO$644,3,0)-VLOOKUP(VLOOKUP(AM696,$D$638:$AA$840,24,0),AM$639:AO$644,2,0)+1,0)))</f>
        <v>0</v>
      </c>
      <c r="AP696" s="2847" t="str">
        <f t="shared" ca="1" si="109"/>
        <v/>
      </c>
      <c r="AQ696" s="2847" t="str">
        <f t="shared" ca="1" si="101"/>
        <v/>
      </c>
      <c r="AR696" s="3045"/>
      <c r="AS696" s="2847">
        <f>IFERROR(IF(IF(AR696&lt;&gt;"",VLOOKUP(AR696,Tabla_ArmasyEscudos,9,0),"")="Conocida",MAX(AS$645:AS695)+1,0),0)</f>
        <v>0</v>
      </c>
      <c r="AT696" s="2847">
        <f>IF(AR696="",0,IF(AS696=0,MAX(AT$639:AT695,AV$637)+1,AS696+IFERROR(VLOOKUP(VLOOKUP(AR696,$D$638:$AA$840,24,0),AR$639:AT$644,3,0)-VLOOKUP(VLOOKUP(AR696,$D$638:$AA$840,24,0),AR$639:AT$644,2,0)+1,0)))</f>
        <v>0</v>
      </c>
      <c r="AU696" s="2847" t="str">
        <f t="shared" ca="1" si="110"/>
        <v/>
      </c>
      <c r="AV696" s="2847" t="str">
        <f t="shared" ca="1" si="102"/>
        <v/>
      </c>
      <c r="AX696" s="1250" t="str">
        <f t="shared" si="111"/>
        <v>Liu Xing Chui</v>
      </c>
      <c r="AY696" s="3025"/>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5"/>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5"/>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5"/>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5"/>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042"/>
      <c r="C697" s="1141"/>
      <c r="D697" s="2614" t="s">
        <v>2157</v>
      </c>
      <c r="E697" s="2618">
        <v>50</v>
      </c>
      <c r="F697" s="2613">
        <v>-5</v>
      </c>
      <c r="G697" s="2613">
        <v>6</v>
      </c>
      <c r="H697" s="2613">
        <v>6</v>
      </c>
      <c r="I697" s="2613" t="s">
        <v>1497</v>
      </c>
      <c r="J697" s="2613" t="s">
        <v>1455</v>
      </c>
      <c r="K697" s="2859" t="s">
        <v>7263</v>
      </c>
      <c r="L697" s="2613" t="str">
        <f t="shared" si="130"/>
        <v>Distinta</v>
      </c>
      <c r="M697" s="2619">
        <v>15</v>
      </c>
      <c r="N697" s="2619">
        <v>4</v>
      </c>
      <c r="O697" s="2619">
        <v>15</v>
      </c>
      <c r="P697" s="2613"/>
      <c r="Q697" s="2613"/>
      <c r="R697" s="2613" t="s">
        <v>1455</v>
      </c>
      <c r="S697" s="2613" t="s">
        <v>1455</v>
      </c>
      <c r="T697" s="2613" t="s">
        <v>1455</v>
      </c>
      <c r="U697" s="2613"/>
      <c r="V697" s="2859" t="s">
        <v>1455</v>
      </c>
      <c r="W697" s="2859"/>
      <c r="X697" s="2860" t="str">
        <f t="shared" si="106"/>
        <v>Mediana</v>
      </c>
      <c r="Y697" s="2603">
        <f t="shared" si="131"/>
        <v>0</v>
      </c>
      <c r="Z697" s="1259" t="str">
        <f t="shared" si="107"/>
        <v/>
      </c>
      <c r="AA697" s="1955" t="s">
        <v>2109</v>
      </c>
      <c r="AC697" s="1023" t="s">
        <v>2157</v>
      </c>
      <c r="AD697" s="2847">
        <f>IFERROR(IF(IF(AC697&lt;&gt;"",VLOOKUP(AC697,Tabla_ArmasyEscudos,9,0),"")="Conocida",MAX(AD$645:AD696)+1,0),0)</f>
        <v>0</v>
      </c>
      <c r="AE697" s="2847">
        <f ca="1">IF(AC697="",0,IF(AD697=0,MAX(AE$639:AE696,AG$637)+1,AD697+IFERROR(VLOOKUP(VLOOKUP(AC697,$D$638:$AA$840,24,0),AC$639:AE$644,3,0)-VLOOKUP(VLOOKUP(AC697,$D$638:$AA$840,24,0),AC$639:AE$644,2,0)+1,0)))</f>
        <v>53</v>
      </c>
      <c r="AF697" s="2847" t="str">
        <f t="shared" ca="1" si="98"/>
        <v>Pata</v>
      </c>
      <c r="AG697" s="2847" t="str">
        <f t="shared" ca="1" si="99"/>
        <v/>
      </c>
      <c r="AH697" s="3045" t="s">
        <v>2237</v>
      </c>
      <c r="AI697" s="2847">
        <f>IFERROR(IF(IF(AH697&lt;&gt;"",VLOOKUP(AH697,Tabla_ArmasyEscudos,9,0),"")="Conocida",MAX(AI$645:AI696)+1,0),0)</f>
        <v>0</v>
      </c>
      <c r="AJ697" s="2847">
        <f ca="1">IF(AH697="",0,IF(AI697=0,MAX(AJ$639:AJ696,AL$637)+1,AI697+IFERROR(VLOOKUP(VLOOKUP(AH697,$D$638:$AA$840,24,0),AH$639:AJ$644,3,0)-VLOOKUP(VLOOKUP(AH697,$D$638:$AA$840,24,0),AH$639:AJ$644,2,0)+1,0)))</f>
        <v>53</v>
      </c>
      <c r="AK697" s="2847" t="str">
        <f t="shared" ca="1" si="108"/>
        <v/>
      </c>
      <c r="AL697" s="2847" t="str">
        <f t="shared" ca="1" si="100"/>
        <v/>
      </c>
      <c r="AM697" s="3045"/>
      <c r="AN697" s="2847">
        <f>IFERROR(IF(IF(AM697&lt;&gt;"",VLOOKUP(AM697,Tabla_ArmasyEscudos,9,0),"")="Conocida",MAX(AN$645:AN696)+1,0),0)</f>
        <v>0</v>
      </c>
      <c r="AO697" s="2847">
        <f>IF(AM697="",0,IF(AN697=0,MAX(AO$639:AO696,AQ$637)+1,AN697+IFERROR(VLOOKUP(VLOOKUP(AM697,$D$638:$AA$840,24,0),AM$639:AO$644,3,0)-VLOOKUP(VLOOKUP(AM697,$D$638:$AA$840,24,0),AM$639:AO$644,2,0)+1,0)))</f>
        <v>0</v>
      </c>
      <c r="AP697" s="2847" t="str">
        <f t="shared" ca="1" si="109"/>
        <v/>
      </c>
      <c r="AQ697" s="2847" t="str">
        <f t="shared" ca="1" si="101"/>
        <v/>
      </c>
      <c r="AR697" s="3045"/>
      <c r="AS697" s="2847">
        <f>IFERROR(IF(IF(AR697&lt;&gt;"",VLOOKUP(AR697,Tabla_ArmasyEscudos,9,0),"")="Conocida",MAX(AS$645:AS696)+1,0),0)</f>
        <v>0</v>
      </c>
      <c r="AT697" s="2847">
        <f>IF(AR697="",0,IF(AS697=0,MAX(AT$639:AT696,AV$637)+1,AS697+IFERROR(VLOOKUP(VLOOKUP(AR697,$D$638:$AA$840,24,0),AR$639:AT$644,3,0)-VLOOKUP(VLOOKUP(AR697,$D$638:$AA$840,24,0),AR$639:AT$644,2,0)+1,0)))</f>
        <v>0</v>
      </c>
      <c r="AU697" s="2847" t="str">
        <f t="shared" ca="1" si="110"/>
        <v/>
      </c>
      <c r="AV697" s="2847" t="str">
        <f t="shared" ca="1" si="102"/>
        <v/>
      </c>
      <c r="AX697" s="1250" t="str">
        <f t="shared" si="111"/>
        <v>Lujiaodao</v>
      </c>
      <c r="AY697" s="3025"/>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5"/>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5"/>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5"/>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5"/>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042"/>
      <c r="C698" s="1141"/>
      <c r="D698" s="2614" t="s">
        <v>2158</v>
      </c>
      <c r="E698" s="2618">
        <v>40</v>
      </c>
      <c r="F698" s="2613">
        <v>0</v>
      </c>
      <c r="G698" s="2613">
        <v>6</v>
      </c>
      <c r="H698" s="2613">
        <v>6</v>
      </c>
      <c r="I698" s="2613" t="s">
        <v>1497</v>
      </c>
      <c r="J698" s="2613" t="s">
        <v>1455</v>
      </c>
      <c r="K698" s="2859" t="s">
        <v>7271</v>
      </c>
      <c r="L698" s="2613" t="str">
        <f t="shared" si="130"/>
        <v>Distinta</v>
      </c>
      <c r="M698" s="2619">
        <v>13</v>
      </c>
      <c r="N698" s="2619">
        <v>4</v>
      </c>
      <c r="O698" s="2619">
        <v>15</v>
      </c>
      <c r="P698" s="2613"/>
      <c r="Q698" s="2613"/>
      <c r="R698" s="2613" t="s">
        <v>1455</v>
      </c>
      <c r="S698" s="2613" t="s">
        <v>1455</v>
      </c>
      <c r="T698" s="2613" t="s">
        <v>1455</v>
      </c>
      <c r="U698" s="2613"/>
      <c r="V698" s="2859" t="s">
        <v>2156</v>
      </c>
      <c r="W698" s="2859"/>
      <c r="X698" s="2860" t="str">
        <f t="shared" si="106"/>
        <v>Mediana</v>
      </c>
      <c r="Y698" s="2603">
        <f t="shared" si="131"/>
        <v>0</v>
      </c>
      <c r="Z698" s="1259" t="str">
        <f t="shared" si="107"/>
        <v/>
      </c>
      <c r="AA698" s="1955" t="s">
        <v>2109</v>
      </c>
      <c r="AC698" s="1023" t="s">
        <v>2158</v>
      </c>
      <c r="AD698" s="2847">
        <f>IFERROR(IF(IF(AC698&lt;&gt;"",VLOOKUP(AC698,Tabla_ArmasyEscudos,9,0),"")="Conocida",MAX(AD$645:AD697)+1,0),0)</f>
        <v>0</v>
      </c>
      <c r="AE698" s="2847">
        <f ca="1">IF(AC698="",0,IF(AD698=0,MAX(AE$639:AE697,AG$637)+1,AD698+IFERROR(VLOOKUP(VLOOKUP(AC698,$D$638:$AA$840,24,0),AC$639:AE$644,3,0)-VLOOKUP(VLOOKUP(AC698,$D$638:$AA$840,24,0),AC$639:AE$644,2,0)+1,0)))</f>
        <v>54</v>
      </c>
      <c r="AF698" s="2847" t="str">
        <f t="shared" ca="1" si="98"/>
        <v>Pudao</v>
      </c>
      <c r="AG698" s="2847" t="str">
        <f t="shared" ca="1" si="99"/>
        <v/>
      </c>
      <c r="AH698" s="3045" t="s">
        <v>2238</v>
      </c>
      <c r="AI698" s="2847">
        <f>IFERROR(IF(IF(AH698&lt;&gt;"",VLOOKUP(AH698,Tabla_ArmasyEscudos,9,0),"")="Conocida",MAX(AI$645:AI697)+1,0),0)</f>
        <v>0</v>
      </c>
      <c r="AJ698" s="2847">
        <f ca="1">IF(AH698="",0,IF(AI698=0,MAX(AJ$639:AJ697,AL$637)+1,AI698+IFERROR(VLOOKUP(VLOOKUP(AH698,$D$638:$AA$840,24,0),AH$639:AJ$644,3,0)-VLOOKUP(VLOOKUP(AH698,$D$638:$AA$840,24,0),AH$639:AJ$644,2,0)+1,0)))</f>
        <v>54</v>
      </c>
      <c r="AK698" s="2847" t="str">
        <f t="shared" ca="1" si="108"/>
        <v/>
      </c>
      <c r="AL698" s="2847" t="str">
        <f t="shared" ca="1" si="100"/>
        <v/>
      </c>
      <c r="AM698" s="3045"/>
      <c r="AN698" s="2847">
        <f>IFERROR(IF(IF(AM698&lt;&gt;"",VLOOKUP(AM698,Tabla_ArmasyEscudos,9,0),"")="Conocida",MAX(AN$645:AN697)+1,0),0)</f>
        <v>0</v>
      </c>
      <c r="AO698" s="2847">
        <f>IF(AM698="",0,IF(AN698=0,MAX(AO$639:AO697,AQ$637)+1,AN698+IFERROR(VLOOKUP(VLOOKUP(AM698,$D$638:$AA$840,24,0),AM$639:AO$644,3,0)-VLOOKUP(VLOOKUP(AM698,$D$638:$AA$840,24,0),AM$639:AO$644,2,0)+1,0)))</f>
        <v>0</v>
      </c>
      <c r="AP698" s="2847" t="str">
        <f t="shared" ca="1" si="109"/>
        <v/>
      </c>
      <c r="AQ698" s="2847" t="str">
        <f t="shared" ca="1" si="101"/>
        <v/>
      </c>
      <c r="AR698" s="3045"/>
      <c r="AS698" s="2847">
        <f>IFERROR(IF(IF(AR698&lt;&gt;"",VLOOKUP(AR698,Tabla_ArmasyEscudos,9,0),"")="Conocida",MAX(AS$645:AS697)+1,0),0)</f>
        <v>0</v>
      </c>
      <c r="AT698" s="2847">
        <f>IF(AR698="",0,IF(AS698=0,MAX(AT$639:AT697,AV$637)+1,AS698+IFERROR(VLOOKUP(VLOOKUP(AR698,$D$638:$AA$840,24,0),AR$639:AT$644,3,0)-VLOOKUP(VLOOKUP(AR698,$D$638:$AA$840,24,0),AR$639:AT$644,2,0)+1,0)))</f>
        <v>0</v>
      </c>
      <c r="AU698" s="2847" t="str">
        <f t="shared" ca="1" si="110"/>
        <v/>
      </c>
      <c r="AV698" s="2847" t="str">
        <f t="shared" ca="1" si="102"/>
        <v/>
      </c>
      <c r="AX698" s="1250" t="str">
        <f t="shared" si="111"/>
        <v>Mangual</v>
      </c>
      <c r="AY698" s="3025"/>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5"/>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5"/>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5"/>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5"/>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042"/>
      <c r="C699" s="1141"/>
      <c r="D699" s="2614" t="s">
        <v>6990</v>
      </c>
      <c r="E699" s="2618">
        <v>50</v>
      </c>
      <c r="F699" s="2613">
        <v>0</v>
      </c>
      <c r="G699" s="2613">
        <v>7</v>
      </c>
      <c r="H699" s="2613">
        <v>6</v>
      </c>
      <c r="I699" s="2613" t="s">
        <v>1497</v>
      </c>
      <c r="J699" s="2613" t="s">
        <v>1455</v>
      </c>
      <c r="K699" s="2859" t="s">
        <v>7263</v>
      </c>
      <c r="L699" s="2613" t="str">
        <f t="shared" si="130"/>
        <v>Distinta</v>
      </c>
      <c r="M699" s="2619">
        <v>14</v>
      </c>
      <c r="N699" s="2619">
        <v>4</v>
      </c>
      <c r="O699" s="2619">
        <v>20</v>
      </c>
      <c r="P699" s="2613"/>
      <c r="Q699" s="2613"/>
      <c r="R699" s="2613" t="s">
        <v>1455</v>
      </c>
      <c r="S699" s="2613" t="s">
        <v>1455</v>
      </c>
      <c r="T699" s="2613" t="s">
        <v>1455</v>
      </c>
      <c r="U699" s="2613"/>
      <c r="V699" s="2859" t="s">
        <v>2129</v>
      </c>
      <c r="W699" s="2859"/>
      <c r="X699" s="2860" t="str">
        <f t="shared" si="106"/>
        <v>Mediana</v>
      </c>
      <c r="Y699" s="2603">
        <f t="shared" si="131"/>
        <v>0</v>
      </c>
      <c r="Z699" s="1259" t="str">
        <f t="shared" si="107"/>
        <v/>
      </c>
      <c r="AA699" s="1955" t="s">
        <v>2109</v>
      </c>
      <c r="AC699" s="1023" t="s">
        <v>6990</v>
      </c>
      <c r="AD699" s="2847">
        <f>IFERROR(IF(IF(AC699&lt;&gt;"",VLOOKUP(AC699,Tabla_ArmasyEscudos,9,0),"")="Conocida",MAX(AD$645:AD698)+1,0),0)</f>
        <v>0</v>
      </c>
      <c r="AE699" s="2847">
        <f ca="1">IF(AC699="",0,IF(AD699=0,MAX(AE$639:AE698,AG$637)+1,AD699+IFERROR(VLOOKUP(VLOOKUP(AC699,$D$638:$AA$840,24,0),AC$639:AE$644,3,0)-VLOOKUP(VLOOKUP(AC699,$D$638:$AA$840,24,0),AC$639:AE$644,2,0)+1,0)))</f>
        <v>55</v>
      </c>
      <c r="AF699" s="2847" t="str">
        <f t="shared" ca="1" si="98"/>
        <v>Red</v>
      </c>
      <c r="AG699" s="2847" t="str">
        <f t="shared" ca="1" si="99"/>
        <v/>
      </c>
      <c r="AH699" s="3045" t="s">
        <v>2248</v>
      </c>
      <c r="AI699" s="2847">
        <f>IFERROR(IF(IF(AH699&lt;&gt;"",VLOOKUP(AH699,Tabla_ArmasyEscudos,9,0),"")="Conocida",MAX(AI$645:AI698)+1,0),0)</f>
        <v>0</v>
      </c>
      <c r="AJ699" s="2847">
        <f ca="1">IF(AH699="",0,IF(AI699=0,MAX(AJ$639:AJ698,AL$637)+1,AI699+IFERROR(VLOOKUP(VLOOKUP(AH699,$D$638:$AA$840,24,0),AH$639:AJ$644,3,0)-VLOOKUP(VLOOKUP(AH699,$D$638:$AA$840,24,0),AH$639:AJ$644,2,0)+1,0)))</f>
        <v>55</v>
      </c>
      <c r="AK699" s="2847" t="str">
        <f t="shared" ca="1" si="108"/>
        <v/>
      </c>
      <c r="AL699" s="2847" t="str">
        <f t="shared" ca="1" si="100"/>
        <v/>
      </c>
      <c r="AM699" s="3045"/>
      <c r="AN699" s="2847">
        <f>IFERROR(IF(IF(AM699&lt;&gt;"",VLOOKUP(AM699,Tabla_ArmasyEscudos,9,0),"")="Conocida",MAX(AN$645:AN698)+1,0),0)</f>
        <v>0</v>
      </c>
      <c r="AO699" s="2847">
        <f>IF(AM699="",0,IF(AN699=0,MAX(AO$639:AO698,AQ$637)+1,AN699+IFERROR(VLOOKUP(VLOOKUP(AM699,$D$638:$AA$840,24,0),AM$639:AO$644,3,0)-VLOOKUP(VLOOKUP(AM699,$D$638:$AA$840,24,0),AM$639:AO$644,2,0)+1,0)))</f>
        <v>0</v>
      </c>
      <c r="AP699" s="2847" t="str">
        <f t="shared" ca="1" si="109"/>
        <v/>
      </c>
      <c r="AQ699" s="2847" t="str">
        <f t="shared" ca="1" si="101"/>
        <v/>
      </c>
      <c r="AR699" s="3045"/>
      <c r="AS699" s="2847">
        <f>IFERROR(IF(IF(AR699&lt;&gt;"",VLOOKUP(AR699,Tabla_ArmasyEscudos,9,0),"")="Conocida",MAX(AS$645:AS698)+1,0),0)</f>
        <v>0</v>
      </c>
      <c r="AT699" s="2847">
        <f>IF(AR699="",0,IF(AS699=0,MAX(AT$639:AT698,AV$637)+1,AS699+IFERROR(VLOOKUP(VLOOKUP(AR699,$D$638:$AA$840,24,0),AR$639:AT$644,3,0)-VLOOKUP(VLOOKUP(AR699,$D$638:$AA$840,24,0),AR$639:AT$644,2,0)+1,0)))</f>
        <v>0</v>
      </c>
      <c r="AU699" s="2847" t="str">
        <f t="shared" ca="1" si="110"/>
        <v/>
      </c>
      <c r="AV699" s="2847" t="str">
        <f t="shared" ca="1" si="102"/>
        <v/>
      </c>
      <c r="AX699" s="1250" t="str">
        <f t="shared" si="111"/>
        <v>Martillo de guerra</v>
      </c>
      <c r="AY699" s="3025"/>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5"/>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5"/>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5"/>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5"/>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042"/>
      <c r="C700" s="1141"/>
      <c r="D700" s="2614" t="s">
        <v>2159</v>
      </c>
      <c r="E700" s="2618">
        <v>40</v>
      </c>
      <c r="F700" s="2613">
        <v>0</v>
      </c>
      <c r="G700" s="2613">
        <v>6</v>
      </c>
      <c r="H700" s="2613">
        <v>6</v>
      </c>
      <c r="I700" s="2613" t="s">
        <v>1497</v>
      </c>
      <c r="J700" s="2613" t="s">
        <v>1455</v>
      </c>
      <c r="K700" s="2859" t="s">
        <v>7263</v>
      </c>
      <c r="L700" s="2613" t="str">
        <f t="shared" si="130"/>
        <v>Distinta</v>
      </c>
      <c r="M700" s="2619">
        <v>14</v>
      </c>
      <c r="N700" s="2619">
        <v>4</v>
      </c>
      <c r="O700" s="2619">
        <v>15</v>
      </c>
      <c r="P700" s="2613"/>
      <c r="Q700" s="2613"/>
      <c r="R700" s="2613" t="s">
        <v>1455</v>
      </c>
      <c r="S700" s="2613" t="s">
        <v>1455</v>
      </c>
      <c r="T700" s="2613" t="s">
        <v>1455</v>
      </c>
      <c r="U700" s="2613"/>
      <c r="V700" s="2859" t="s">
        <v>1455</v>
      </c>
      <c r="W700" s="2859"/>
      <c r="X700" s="2860" t="str">
        <f t="shared" si="106"/>
        <v>Mediana</v>
      </c>
      <c r="Y700" s="2603">
        <f t="shared" si="131"/>
        <v>0</v>
      </c>
      <c r="Z700" s="1259" t="str">
        <f t="shared" si="107"/>
        <v/>
      </c>
      <c r="AA700" s="1955" t="s">
        <v>2109</v>
      </c>
      <c r="AC700" s="1023" t="s">
        <v>2159</v>
      </c>
      <c r="AD700" s="2847">
        <f>IFERROR(IF(IF(AC700&lt;&gt;"",VLOOKUP(AC700,Tabla_ArmasyEscudos,9,0),"")="Conocida",MAX(AD$645:AD699)+1,0),0)</f>
        <v>0</v>
      </c>
      <c r="AE700" s="2847">
        <f ca="1">IF(AC700="",0,IF(AD700=0,MAX(AE$639:AE699,AG$637)+1,AD700+IFERROR(VLOOKUP(VLOOKUP(AC700,$D$638:$AA$840,24,0),AC$639:AE$644,3,0)-VLOOKUP(VLOOKUP(AC700,$D$638:$AA$840,24,0),AC$639:AE$644,2,0)+1,0)))</f>
        <v>56</v>
      </c>
      <c r="AF700" s="2847" t="str">
        <f t="shared" ca="1" si="98"/>
        <v>Sable</v>
      </c>
      <c r="AG700" s="2847" t="str">
        <f t="shared" ca="1" si="99"/>
        <v/>
      </c>
      <c r="AH700" s="3045" t="s">
        <v>2232</v>
      </c>
      <c r="AI700" s="2847">
        <f>IFERROR(IF(IF(AH700&lt;&gt;"",VLOOKUP(AH700,Tabla_ArmasyEscudos,9,0),"")="Conocida",MAX(AI$645:AI699)+1,0),0)</f>
        <v>0</v>
      </c>
      <c r="AJ700" s="2847">
        <f ca="1">IF(AH700="",0,IF(AI700=0,MAX(AJ$639:AJ699,AL$637)+1,AI700+IFERROR(VLOOKUP(VLOOKUP(AH700,$D$638:$AA$840,24,0),AH$639:AJ$644,3,0)-VLOOKUP(VLOOKUP(AH700,$D$638:$AA$840,24,0),AH$639:AJ$644,2,0)+1,0)))</f>
        <v>56</v>
      </c>
      <c r="AK700" s="2847" t="str">
        <f t="shared" ca="1" si="108"/>
        <v/>
      </c>
      <c r="AL700" s="2847" t="str">
        <f t="shared" ca="1" si="100"/>
        <v/>
      </c>
      <c r="AM700" s="3045"/>
      <c r="AN700" s="2847">
        <f>IFERROR(IF(IF(AM700&lt;&gt;"",VLOOKUP(AM700,Tabla_ArmasyEscudos,9,0),"")="Conocida",MAX(AN$645:AN699)+1,0),0)</f>
        <v>0</v>
      </c>
      <c r="AO700" s="2847">
        <f>IF(AM700="",0,IF(AN700=0,MAX(AO$639:AO699,AQ$637)+1,AN700+IFERROR(VLOOKUP(VLOOKUP(AM700,$D$638:$AA$840,24,0),AM$639:AO$644,3,0)-VLOOKUP(VLOOKUP(AM700,$D$638:$AA$840,24,0),AM$639:AO$644,2,0)+1,0)))</f>
        <v>0</v>
      </c>
      <c r="AP700" s="2847" t="str">
        <f t="shared" ca="1" si="109"/>
        <v/>
      </c>
      <c r="AQ700" s="2847" t="str">
        <f t="shared" ca="1" si="101"/>
        <v/>
      </c>
      <c r="AR700" s="3045"/>
      <c r="AS700" s="2847">
        <f>IFERROR(IF(IF(AR700&lt;&gt;"",VLOOKUP(AR700,Tabla_ArmasyEscudos,9,0),"")="Conocida",MAX(AS$645:AS699)+1,0),0)</f>
        <v>0</v>
      </c>
      <c r="AT700" s="2847">
        <f>IF(AR700="",0,IF(AS700=0,MAX(AT$639:AT699,AV$637)+1,AS700+IFERROR(VLOOKUP(VLOOKUP(AR700,$D$638:$AA$840,24,0),AR$639:AT$644,3,0)-VLOOKUP(VLOOKUP(AR700,$D$638:$AA$840,24,0),AR$639:AT$644,2,0)+1,0)))</f>
        <v>0</v>
      </c>
      <c r="AU700" s="2847" t="str">
        <f t="shared" ca="1" si="110"/>
        <v/>
      </c>
      <c r="AV700" s="2847" t="str">
        <f t="shared" ca="1" si="102"/>
        <v/>
      </c>
      <c r="AX700" s="1250" t="str">
        <f t="shared" si="111"/>
        <v>Mayal</v>
      </c>
      <c r="AY700" s="3025"/>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5"/>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5"/>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5"/>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5"/>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042"/>
      <c r="C701" s="1141"/>
      <c r="D701" s="2614" t="s">
        <v>2160</v>
      </c>
      <c r="E701" s="2618">
        <v>60</v>
      </c>
      <c r="F701" s="2613">
        <v>-15</v>
      </c>
      <c r="G701" s="2613">
        <v>10</v>
      </c>
      <c r="H701" s="2613">
        <v>6</v>
      </c>
      <c r="I701" s="2613" t="s">
        <v>1497</v>
      </c>
      <c r="J701" s="2613" t="s">
        <v>1455</v>
      </c>
      <c r="K701" s="2859" t="s">
        <v>7270</v>
      </c>
      <c r="L701" s="2613" t="str">
        <f t="shared" si="130"/>
        <v>Distinta</v>
      </c>
      <c r="M701" s="2619">
        <v>16</v>
      </c>
      <c r="N701" s="2619">
        <v>5</v>
      </c>
      <c r="O701" s="2619">
        <v>15</v>
      </c>
      <c r="P701" s="2613"/>
      <c r="Q701" s="2613"/>
      <c r="R701" s="2613" t="s">
        <v>1455</v>
      </c>
      <c r="S701" s="2613" t="s">
        <v>1455</v>
      </c>
      <c r="T701" s="2613" t="s">
        <v>1455</v>
      </c>
      <c r="U701" s="2613"/>
      <c r="V701" s="2859" t="s">
        <v>2129</v>
      </c>
      <c r="W701" s="2859"/>
      <c r="X701" s="2860" t="str">
        <f t="shared" si="106"/>
        <v>Grande</v>
      </c>
      <c r="Y701" s="2603">
        <f t="shared" si="131"/>
        <v>0</v>
      </c>
      <c r="Z701" s="1259" t="str">
        <f t="shared" si="107"/>
        <v/>
      </c>
      <c r="AA701" s="1955" t="s">
        <v>2109</v>
      </c>
      <c r="AC701" s="1023" t="s">
        <v>2160</v>
      </c>
      <c r="AD701" s="2847">
        <f>IFERROR(IF(IF(AC701&lt;&gt;"",VLOOKUP(AC701,Tabla_ArmasyEscudos,9,0),"")="Conocida",MAX(AD$645:AD700)+1,0),0)</f>
        <v>0</v>
      </c>
      <c r="AE701" s="2847">
        <f ca="1">IF(AC701="",0,IF(AD701=0,MAX(AE$639:AE700,AG$637)+1,AD701+IFERROR(VLOOKUP(VLOOKUP(AC701,$D$638:$AA$840,24,0),AC$639:AE$644,3,0)-VLOOKUP(VLOOKUP(AC701,$D$638:$AA$840,24,0),AC$639:AE$644,2,0)+1,0)))</f>
        <v>57</v>
      </c>
      <c r="AF701" s="2847" t="str">
        <f t="shared" ca="1" si="98"/>
        <v>Shang Gou</v>
      </c>
      <c r="AG701" s="2847" t="str">
        <f t="shared" ca="1" si="99"/>
        <v/>
      </c>
      <c r="AH701" s="3045"/>
      <c r="AI701" s="2847">
        <f>IFERROR(IF(IF(AH701&lt;&gt;"",VLOOKUP(AH701,Tabla_ArmasyEscudos,9,0),"")="Conocida",MAX(AI$645:AI700)+1,0),0)</f>
        <v>0</v>
      </c>
      <c r="AJ701" s="2847">
        <f>IF(AH701="",0,IF(AI701=0,MAX(AJ$639:AJ700,AL$637)+1,AI701+IFERROR(VLOOKUP(VLOOKUP(AH701,$D$638:$AA$840,24,0),AH$639:AJ$644,3,0)-VLOOKUP(VLOOKUP(AH701,$D$638:$AA$840,24,0),AH$639:AJ$644,2,0)+1,0)))</f>
        <v>0</v>
      </c>
      <c r="AK701" s="2847" t="str">
        <f t="shared" ca="1" si="108"/>
        <v/>
      </c>
      <c r="AL701" s="2847" t="str">
        <f t="shared" ca="1" si="100"/>
        <v/>
      </c>
      <c r="AM701" s="3045"/>
      <c r="AN701" s="2847">
        <f>IFERROR(IF(IF(AM701&lt;&gt;"",VLOOKUP(AM701,Tabla_ArmasyEscudos,9,0),"")="Conocida",MAX(AN$645:AN700)+1,0),0)</f>
        <v>0</v>
      </c>
      <c r="AO701" s="2847">
        <f>IF(AM701="",0,IF(AN701=0,MAX(AO$639:AO700,AQ$637)+1,AN701+IFERROR(VLOOKUP(VLOOKUP(AM701,$D$638:$AA$840,24,0),AM$639:AO$644,3,0)-VLOOKUP(VLOOKUP(AM701,$D$638:$AA$840,24,0),AM$639:AO$644,2,0)+1,0)))</f>
        <v>0</v>
      </c>
      <c r="AP701" s="2847" t="str">
        <f t="shared" ca="1" si="109"/>
        <v/>
      </c>
      <c r="AQ701" s="2847" t="str">
        <f t="shared" ca="1" si="101"/>
        <v/>
      </c>
      <c r="AR701" s="3045"/>
      <c r="AS701" s="2847">
        <f>IFERROR(IF(IF(AR701&lt;&gt;"",VLOOKUP(AR701,Tabla_ArmasyEscudos,9,0),"")="Conocida",MAX(AS$645:AS700)+1,0),0)</f>
        <v>0</v>
      </c>
      <c r="AT701" s="2847">
        <f>IF(AR701="",0,IF(AS701=0,MAX(AT$639:AT700,AV$637)+1,AS701+IFERROR(VLOOKUP(VLOOKUP(AR701,$D$638:$AA$840,24,0),AR$639:AT$644,3,0)-VLOOKUP(VLOOKUP(AR701,$D$638:$AA$840,24,0),AR$639:AT$644,2,0)+1,0)))</f>
        <v>0</v>
      </c>
      <c r="AU701" s="2847" t="str">
        <f t="shared" ca="1" si="110"/>
        <v/>
      </c>
      <c r="AV701" s="2847" t="str">
        <f t="shared" ca="1" si="102"/>
        <v/>
      </c>
      <c r="AX701" s="1250" t="str">
        <f t="shared" si="111"/>
        <v>Maza Barra</v>
      </c>
      <c r="AY701" s="3025"/>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5"/>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5"/>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5"/>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5"/>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042"/>
      <c r="C702" s="1141"/>
      <c r="D702" s="2614" t="s">
        <v>6991</v>
      </c>
      <c r="E702" s="2618">
        <v>80</v>
      </c>
      <c r="F702" s="2613">
        <v>-50</v>
      </c>
      <c r="G702" s="2613">
        <v>11</v>
      </c>
      <c r="H702" s="2613">
        <v>8</v>
      </c>
      <c r="I702" s="2613" t="s">
        <v>1551</v>
      </c>
      <c r="J702" s="2613" t="s">
        <v>1550</v>
      </c>
      <c r="K702" s="2859" t="s">
        <v>7264</v>
      </c>
      <c r="L702" s="2613" t="str">
        <f t="shared" si="130"/>
        <v>Distinta</v>
      </c>
      <c r="M702" s="2619">
        <v>18</v>
      </c>
      <c r="N702" s="2619">
        <v>5</v>
      </c>
      <c r="O702" s="2619">
        <v>25</v>
      </c>
      <c r="P702" s="2613"/>
      <c r="Q702" s="2613"/>
      <c r="R702" s="2613" t="s">
        <v>1455</v>
      </c>
      <c r="S702" s="2613" t="s">
        <v>1455</v>
      </c>
      <c r="T702" s="2613" t="s">
        <v>1455</v>
      </c>
      <c r="U702" s="2613"/>
      <c r="V702" s="2859" t="s">
        <v>1578</v>
      </c>
      <c r="W702" s="2859"/>
      <c r="X702" s="2860" t="str">
        <f t="shared" si="106"/>
        <v>Grande</v>
      </c>
      <c r="Y702" s="2603">
        <f t="shared" si="131"/>
        <v>0</v>
      </c>
      <c r="Z702" s="1259" t="str">
        <f t="shared" ref="Z702:Z733" si="132">IF(AND(K702&lt;&gt;"Natural/-",ISNUMBER(SEARCH(D702&amp;",",Armas_Conocidas))),", "&amp;K702,"")</f>
        <v/>
      </c>
      <c r="AA702" s="1955" t="s">
        <v>2109</v>
      </c>
      <c r="AC702" s="1023" t="s">
        <v>7009</v>
      </c>
      <c r="AD702" s="2847">
        <f>IFERROR(IF(IF(AC702&lt;&gt;"",VLOOKUP(AC702,Tabla_ArmasyEscudos,9,0),"")="Conocida",MAX(AD$645:AD701)+1,0),0)</f>
        <v>0</v>
      </c>
      <c r="AE702" s="2847">
        <f ca="1">IF(AC702="",0,IF(AD702=0,MAX(AE$639:AE701,AG$637)+1,AD702+IFERROR(VLOOKUP(VLOOKUP(AC702,$D$638:$AA$840,24,0),AC$639:AE$644,3,0)-VLOOKUP(VLOOKUP(AC702,$D$638:$AA$840,24,0),AC$639:AE$644,2,0)+1,0)))</f>
        <v>58</v>
      </c>
      <c r="AF702" s="2847" t="str">
        <f t="shared" ca="1" si="98"/>
        <v>Spatha</v>
      </c>
      <c r="AG702" s="2847" t="str">
        <f t="shared" ca="1" si="99"/>
        <v/>
      </c>
      <c r="AH702" s="3045"/>
      <c r="AI702" s="2847">
        <f>IFERROR(IF(IF(AH702&lt;&gt;"",VLOOKUP(AH702,Tabla_ArmasyEscudos,9,0),"")="Conocida",MAX(AI$645:AI701)+1,0),0)</f>
        <v>0</v>
      </c>
      <c r="AJ702" s="2847">
        <f>IF(AH702="",0,IF(AI702=0,MAX(AJ$639:AJ701,AL$637)+1,AI702+IFERROR(VLOOKUP(VLOOKUP(AH702,$D$638:$AA$840,24,0),AH$639:AJ$644,3,0)-VLOOKUP(VLOOKUP(AH702,$D$638:$AA$840,24,0),AH$639:AJ$644,2,0)+1,0)))</f>
        <v>0</v>
      </c>
      <c r="AK702" s="2847" t="str">
        <f t="shared" ca="1" si="108"/>
        <v/>
      </c>
      <c r="AL702" s="2847" t="str">
        <f t="shared" ca="1" si="100"/>
        <v/>
      </c>
      <c r="AM702" s="3045"/>
      <c r="AN702" s="2847">
        <f>IFERROR(IF(IF(AM702&lt;&gt;"",VLOOKUP(AM702,Tabla_ArmasyEscudos,9,0),"")="Conocida",MAX(AN$645:AN701)+1,0),0)</f>
        <v>0</v>
      </c>
      <c r="AO702" s="2847">
        <f>IF(AM702="",0,IF(AN702=0,MAX(AO$639:AO701,AQ$637)+1,AN702+IFERROR(VLOOKUP(VLOOKUP(AM702,$D$638:$AA$840,24,0),AM$639:AO$644,3,0)-VLOOKUP(VLOOKUP(AM702,$D$638:$AA$840,24,0),AM$639:AO$644,2,0)+1,0)))</f>
        <v>0</v>
      </c>
      <c r="AP702" s="2847" t="str">
        <f t="shared" ca="1" si="109"/>
        <v/>
      </c>
      <c r="AQ702" s="2847" t="str">
        <f t="shared" ca="1" si="101"/>
        <v/>
      </c>
      <c r="AR702" s="3045"/>
      <c r="AS702" s="2847">
        <f>IFERROR(IF(IF(AR702&lt;&gt;"",VLOOKUP(AR702,Tabla_ArmasyEscudos,9,0),"")="Conocida",MAX(AS$645:AS701)+1,0),0)</f>
        <v>0</v>
      </c>
      <c r="AT702" s="2847">
        <f>IF(AR702="",0,IF(AS702=0,MAX(AT$639:AT701,AV$637)+1,AS702+IFERROR(VLOOKUP(VLOOKUP(AR702,$D$638:$AA$840,24,0),AR$639:AT$644,3,0)-VLOOKUP(VLOOKUP(AR702,$D$638:$AA$840,24,0),AR$639:AT$644,2,0)+1,0)))</f>
        <v>0</v>
      </c>
      <c r="AU702" s="2847" t="str">
        <f t="shared" ca="1" si="110"/>
        <v/>
      </c>
      <c r="AV702" s="2847" t="str">
        <f t="shared" ca="1" si="102"/>
        <v/>
      </c>
      <c r="AX702" s="1250" t="str">
        <f t="shared" si="111"/>
        <v>Maza ligera</v>
      </c>
      <c r="AY702" s="3025"/>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5"/>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5"/>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5"/>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5"/>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042"/>
      <c r="C703" s="1141"/>
      <c r="D703" s="2614" t="s">
        <v>7009</v>
      </c>
      <c r="E703" s="2618">
        <v>40</v>
      </c>
      <c r="F703" s="2613">
        <v>15</v>
      </c>
      <c r="G703" s="2613">
        <v>6</v>
      </c>
      <c r="H703" s="2613" t="s">
        <v>1455</v>
      </c>
      <c r="I703" s="2613" t="s">
        <v>1550</v>
      </c>
      <c r="J703" s="2613" t="s">
        <v>1551</v>
      </c>
      <c r="K703" s="2859" t="s">
        <v>7262</v>
      </c>
      <c r="L703" s="2613" t="str">
        <f t="shared" si="130"/>
        <v>Distinta</v>
      </c>
      <c r="M703" s="2619">
        <v>13</v>
      </c>
      <c r="N703" s="2619">
        <v>2</v>
      </c>
      <c r="O703" s="2619">
        <v>20</v>
      </c>
      <c r="P703" s="2613"/>
      <c r="Q703" s="2613"/>
      <c r="R703" s="2613" t="s">
        <v>1455</v>
      </c>
      <c r="S703" s="2613" t="s">
        <v>1455</v>
      </c>
      <c r="T703" s="2613" t="s">
        <v>1455</v>
      </c>
      <c r="U703" s="2613"/>
      <c r="V703" s="2859" t="s">
        <v>2133</v>
      </c>
      <c r="W703" s="2859"/>
      <c r="X703" s="2860" t="str">
        <f t="shared" si="106"/>
        <v>Pequeña</v>
      </c>
      <c r="Y703" s="2603">
        <f t="shared" si="131"/>
        <v>0</v>
      </c>
      <c r="Z703" s="1259" t="str">
        <f t="shared" si="132"/>
        <v/>
      </c>
      <c r="AA703" s="1955" t="s">
        <v>2109</v>
      </c>
      <c r="AC703" s="1023" t="s">
        <v>6993</v>
      </c>
      <c r="AD703" s="2847">
        <f>IFERROR(IF(IF(AC703&lt;&gt;"",VLOOKUP(AC703,Tabla_ArmasyEscudos,9,0),"")="Conocida",MAX(AD$645:AD702)+1,0),0)</f>
        <v>0</v>
      </c>
      <c r="AE703" s="2847">
        <f ca="1">IF(AC703="",0,IF(AD703=0,MAX(AE$639:AE702,AG$637)+1,AD703+IFERROR(VLOOKUP(VLOOKUP(AC703,$D$638:$AA$840,24,0),AC$639:AE$644,3,0)-VLOOKUP(VLOOKUP(AC703,$D$638:$AA$840,24,0),AC$639:AE$644,2,0)+1,0)))</f>
        <v>59</v>
      </c>
      <c r="AF703" s="2847" t="str">
        <f t="shared" ca="1" si="98"/>
        <v>Tridente</v>
      </c>
      <c r="AG703" s="2847" t="str">
        <f t="shared" ca="1" si="99"/>
        <v/>
      </c>
      <c r="AH703" s="3045"/>
      <c r="AI703" s="2847">
        <f>IFERROR(IF(IF(AH703&lt;&gt;"",VLOOKUP(AH703,Tabla_ArmasyEscudos,9,0),"")="Conocida",MAX(AI$645:AI702)+1,0),0)</f>
        <v>0</v>
      </c>
      <c r="AJ703" s="2847">
        <f>IF(AH703="",0,IF(AI703=0,MAX(AJ$639:AJ702,AL$637)+1,AI703+IFERROR(VLOOKUP(VLOOKUP(AH703,$D$638:$AA$840,24,0),AH$639:AJ$644,3,0)-VLOOKUP(VLOOKUP(AH703,$D$638:$AA$840,24,0),AH$639:AJ$644,2,0)+1,0)))</f>
        <v>0</v>
      </c>
      <c r="AK703" s="2847" t="str">
        <f t="shared" ca="1" si="108"/>
        <v/>
      </c>
      <c r="AL703" s="2847" t="str">
        <f t="shared" ca="1" si="100"/>
        <v/>
      </c>
      <c r="AM703" s="3045"/>
      <c r="AN703" s="2847">
        <f>IFERROR(IF(IF(AM703&lt;&gt;"",VLOOKUP(AM703,Tabla_ArmasyEscudos,9,0),"")="Conocida",MAX(AN$645:AN702)+1,0),0)</f>
        <v>0</v>
      </c>
      <c r="AO703" s="2847">
        <f>IF(AM703="",0,IF(AN703=0,MAX(AO$639:AO702,AQ$637)+1,AN703+IFERROR(VLOOKUP(VLOOKUP(AM703,$D$638:$AA$840,24,0),AM$639:AO$644,3,0)-VLOOKUP(VLOOKUP(AM703,$D$638:$AA$840,24,0),AM$639:AO$644,2,0)+1,0)))</f>
        <v>0</v>
      </c>
      <c r="AP703" s="2847" t="str">
        <f t="shared" ca="1" si="109"/>
        <v/>
      </c>
      <c r="AQ703" s="2847" t="str">
        <f t="shared" ca="1" si="101"/>
        <v/>
      </c>
      <c r="AR703" s="3045"/>
      <c r="AS703" s="2847">
        <f>IFERROR(IF(IF(AR703&lt;&gt;"",VLOOKUP(AR703,Tabla_ArmasyEscudos,9,0),"")="Conocida",MAX(AS$645:AS702)+1,0),0)</f>
        <v>0</v>
      </c>
      <c r="AT703" s="2847">
        <f>IF(AR703="",0,IF(AS703=0,MAX(AT$639:AT702,AV$637)+1,AS703+IFERROR(VLOOKUP(VLOOKUP(AR703,$D$638:$AA$840,24,0),AR$639:AT$644,3,0)-VLOOKUP(VLOOKUP(AR703,$D$638:$AA$840,24,0),AR$639:AT$644,2,0)+1,0)))</f>
        <v>0</v>
      </c>
      <c r="AU703" s="2847" t="str">
        <f t="shared" ca="1" si="110"/>
        <v/>
      </c>
      <c r="AV703" s="2847" t="str">
        <f t="shared" ca="1" si="102"/>
        <v/>
      </c>
      <c r="AX703" s="1250" t="str">
        <f t="shared" si="111"/>
        <v>Maza pesada</v>
      </c>
      <c r="AY703" s="3025"/>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5"/>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5"/>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5"/>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5"/>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042"/>
      <c r="C704" s="1141"/>
      <c r="D704" s="2614" t="s">
        <v>6992</v>
      </c>
      <c r="E704" s="2618">
        <v>60</v>
      </c>
      <c r="F704" s="2613">
        <v>-30</v>
      </c>
      <c r="G704" s="2613" t="s">
        <v>1455</v>
      </c>
      <c r="H704" s="2613">
        <v>6</v>
      </c>
      <c r="I704" s="2613" t="s">
        <v>1551</v>
      </c>
      <c r="J704" s="2613" t="s">
        <v>1455</v>
      </c>
      <c r="K704" s="2859" t="s">
        <v>7257</v>
      </c>
      <c r="L704" s="2613" t="str">
        <f t="shared" si="130"/>
        <v>Distinta</v>
      </c>
      <c r="M704" s="2619">
        <v>12</v>
      </c>
      <c r="N704" s="2619">
        <v>4</v>
      </c>
      <c r="O704" s="2619">
        <v>15</v>
      </c>
      <c r="P704" s="2613"/>
      <c r="Q704" s="2613"/>
      <c r="R704" s="2613" t="s">
        <v>1455</v>
      </c>
      <c r="S704" s="2613" t="s">
        <v>1455</v>
      </c>
      <c r="T704" s="2613" t="s">
        <v>1455</v>
      </c>
      <c r="U704" s="2613"/>
      <c r="V704" s="2859" t="s">
        <v>7030</v>
      </c>
      <c r="W704" s="2859"/>
      <c r="X704" s="2860" t="str">
        <f t="shared" si="106"/>
        <v>Grande</v>
      </c>
      <c r="Y704" s="2603">
        <f t="shared" si="131"/>
        <v>0</v>
      </c>
      <c r="Z704" s="1259" t="str">
        <f t="shared" si="132"/>
        <v/>
      </c>
      <c r="AA704" s="1955" t="s">
        <v>2109</v>
      </c>
      <c r="AC704" s="1023" t="s">
        <v>2161</v>
      </c>
      <c r="AD704" s="2847">
        <f>IFERROR(IF(IF(AC704&lt;&gt;"",VLOOKUP(AC704,Tabla_ArmasyEscudos,9,0),"")="Conocida",MAX(AD$645:AD703)+1,0),0)</f>
        <v>0</v>
      </c>
      <c r="AE704" s="2847">
        <f ca="1">IF(AC704="",0,IF(AD704=0,MAX(AE$639:AE703,AG$637)+1,AD704+IFERROR(VLOOKUP(VLOOKUP(AC704,$D$638:$AA$840,24,0),AC$639:AE$644,3,0)-VLOOKUP(VLOOKUP(AC704,$D$638:$AA$840,24,0),AC$639:AE$644,2,0)+1,0)))</f>
        <v>60</v>
      </c>
      <c r="AF704" s="2847" t="str">
        <f t="shared" ca="1" si="98"/>
        <v>Turcus</v>
      </c>
      <c r="AG704" s="2847" t="str">
        <f t="shared" ca="1" si="99"/>
        <v/>
      </c>
      <c r="AH704" s="3045"/>
      <c r="AI704" s="2847">
        <f>IFERROR(IF(IF(AH704&lt;&gt;"",VLOOKUP(AH704,Tabla_ArmasyEscudos,9,0),"")="Conocida",MAX(AI$645:AI703)+1,0),0)</f>
        <v>0</v>
      </c>
      <c r="AJ704" s="2847">
        <f>IF(AH704="",0,IF(AI704=0,MAX(AJ$639:AJ703,AL$637)+1,AI704+IFERROR(VLOOKUP(VLOOKUP(AH704,$D$638:$AA$840,24,0),AH$639:AJ$644,3,0)-VLOOKUP(VLOOKUP(AH704,$D$638:$AA$840,24,0),AH$639:AJ$644,2,0)+1,0)))</f>
        <v>0</v>
      </c>
      <c r="AK704" s="2847" t="str">
        <f t="shared" ref="AK704:AK735" ca="1" si="133">IFERROR(INDEX(AH$639:AH$774,MATCH($A65,AJ$639:AJ$774,0)),"")</f>
        <v/>
      </c>
      <c r="AL704" s="2847" t="str">
        <f t="shared" ca="1" si="100"/>
        <v/>
      </c>
      <c r="AM704" s="3045"/>
      <c r="AN704" s="2847">
        <f>IFERROR(IF(IF(AM704&lt;&gt;"",VLOOKUP(AM704,Tabla_ArmasyEscudos,9,0),"")="Conocida",MAX(AN$645:AN703)+1,0),0)</f>
        <v>0</v>
      </c>
      <c r="AO704" s="2847">
        <f>IF(AM704="",0,IF(AN704=0,MAX(AO$639:AO703,AQ$637)+1,AN704+IFERROR(VLOOKUP(VLOOKUP(AM704,$D$638:$AA$840,24,0),AM$639:AO$644,3,0)-VLOOKUP(VLOOKUP(AM704,$D$638:$AA$840,24,0),AM$639:AO$644,2,0)+1,0)))</f>
        <v>0</v>
      </c>
      <c r="AP704" s="2847" t="str">
        <f t="shared" ref="AP704:AP735" ca="1" si="134">IFERROR(INDEX(AM$639:AM$774,MATCH($A65,AO$639:AO$774,0)),"")</f>
        <v/>
      </c>
      <c r="AQ704" s="2847" t="str">
        <f t="shared" ca="1" si="101"/>
        <v/>
      </c>
      <c r="AR704" s="3045"/>
      <c r="AS704" s="2847">
        <f>IFERROR(IF(IF(AR704&lt;&gt;"",VLOOKUP(AR704,Tabla_ArmasyEscudos,9,0),"")="Conocida",MAX(AS$645:AS703)+1,0),0)</f>
        <v>0</v>
      </c>
      <c r="AT704" s="2847">
        <f>IF(AR704="",0,IF(AS704=0,MAX(AT$639:AT703,AV$637)+1,AS704+IFERROR(VLOOKUP(VLOOKUP(AR704,$D$638:$AA$840,24,0),AR$639:AT$644,3,0)-VLOOKUP(VLOOKUP(AR704,$D$638:$AA$840,24,0),AR$639:AT$644,2,0)+1,0)))</f>
        <v>0</v>
      </c>
      <c r="AU704" s="2847" t="str">
        <f t="shared" ref="AU704:AU735" ca="1" si="135">IFERROR(INDEX(AR$639:AR$774,MATCH($A65,AT$639:AT$774,0)),"")</f>
        <v/>
      </c>
      <c r="AV704" s="2847" t="str">
        <f t="shared" ca="1" si="102"/>
        <v/>
      </c>
      <c r="AX704" s="1250" t="str">
        <f t="shared" ref="AX704:AX735" si="136">D702</f>
        <v>Montante</v>
      </c>
      <c r="AY704" s="3025"/>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5"/>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5"/>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5"/>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5"/>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042"/>
      <c r="C705" s="1141"/>
      <c r="D705" s="2614" t="s">
        <v>6993</v>
      </c>
      <c r="E705" s="2618">
        <v>40</v>
      </c>
      <c r="F705" s="2613">
        <v>-5</v>
      </c>
      <c r="G705" s="2613">
        <v>7</v>
      </c>
      <c r="H705" s="2613">
        <v>6</v>
      </c>
      <c r="I705" s="2613" t="s">
        <v>1550</v>
      </c>
      <c r="J705" s="2613" t="s">
        <v>1497</v>
      </c>
      <c r="K705" s="2859" t="s">
        <v>7257</v>
      </c>
      <c r="L705" s="2613" t="str">
        <f t="shared" si="130"/>
        <v>Distinta</v>
      </c>
      <c r="M705" s="2619">
        <v>12</v>
      </c>
      <c r="N705" s="2619">
        <v>2</v>
      </c>
      <c r="O705" s="2619">
        <v>20</v>
      </c>
      <c r="P705" s="2613"/>
      <c r="Q705" s="2613"/>
      <c r="R705" s="2613" t="s">
        <v>1455</v>
      </c>
      <c r="S705" s="2613" t="s">
        <v>1455</v>
      </c>
      <c r="T705" s="2613" t="s">
        <v>1455</v>
      </c>
      <c r="U705" s="2613"/>
      <c r="V705" s="2859" t="s">
        <v>2129</v>
      </c>
      <c r="W705" s="2859"/>
      <c r="X705" s="2860" t="str">
        <f t="shared" si="106"/>
        <v>Grande</v>
      </c>
      <c r="Y705" s="2603">
        <f t="shared" si="131"/>
        <v>0</v>
      </c>
      <c r="Z705" s="1259" t="str">
        <f t="shared" si="132"/>
        <v/>
      </c>
      <c r="AA705" s="1955" t="s">
        <v>2109</v>
      </c>
      <c r="AC705" s="1023" t="s">
        <v>2162</v>
      </c>
      <c r="AD705" s="2847">
        <f>IFERROR(IF(IF(AC705&lt;&gt;"",VLOOKUP(AC705,Tabla_ArmasyEscudos,9,0),"")="Conocida",MAX(AD$645:AD704)+1,0),0)</f>
        <v>0</v>
      </c>
      <c r="AE705" s="2847">
        <f ca="1">IF(AC705="",0,IF(AD705=0,MAX(AE$639:AE704,AG$637)+1,AD705+IFERROR(VLOOKUP(VLOOKUP(AC705,$D$638:$AA$840,24,0),AC$639:AE$644,3,0)-VLOOKUP(VLOOKUP(AC705,$D$638:$AA$840,24,0),AC$639:AE$644,2,0)+1,0)))</f>
        <v>61</v>
      </c>
      <c r="AF705" s="2847" t="str">
        <f t="shared" ref="AF705:AF768" ca="1" si="155">IFERROR(INDEX(AC$639:AC$774,MATCH($A66,AE$639:AE$774,0)),"")</f>
        <v>Urumi</v>
      </c>
      <c r="AG705" s="2847" t="str">
        <f t="shared" ref="AG705:AG768" ca="1" si="156">IF($A66&lt;MIN(AE$645,IF($AE$643&gt;0,$AE$643,9999),IF($AE$644&gt;0,$AE$644,9999)),IFERROR(INDEX(AC$639:AC$774,MATCH($A66,AE$639:AE$774,0)),""),"")</f>
        <v/>
      </c>
      <c r="AH705" s="3045"/>
      <c r="AI705" s="2847">
        <f>IFERROR(IF(IF(AH705&lt;&gt;"",VLOOKUP(AH705,Tabla_ArmasyEscudos,9,0),"")="Conocida",MAX(AI$645:AI704)+1,0),0)</f>
        <v>0</v>
      </c>
      <c r="AJ705" s="2847">
        <f>IF(AH705="",0,IF(AI705=0,MAX(AJ$639:AJ704,AL$637)+1,AI705+IFERROR(VLOOKUP(VLOOKUP(AH705,$D$638:$AA$840,24,0),AH$639:AJ$644,3,0)-VLOOKUP(VLOOKUP(AH705,$D$638:$AA$840,24,0),AH$639:AJ$644,2,0)+1,0)))</f>
        <v>0</v>
      </c>
      <c r="AK705" s="2847" t="str">
        <f t="shared" ca="1" si="133"/>
        <v/>
      </c>
      <c r="AL705" s="2847" t="str">
        <f t="shared" ref="AL705:AL768" ca="1" si="157">IF($A66&lt;MIN(AJ$645,IF($AJ$642&gt;0,$AJ$642,9999)),IFERROR(INDEX(AH$639:AH$774,MATCH($A66,AJ$639:AJ$774,0)),""),"")</f>
        <v/>
      </c>
      <c r="AM705" s="3045"/>
      <c r="AN705" s="2847">
        <f>IFERROR(IF(IF(AM705&lt;&gt;"",VLOOKUP(AM705,Tabla_ArmasyEscudos,9,0),"")="Conocida",MAX(AN$645:AN704)+1,0),0)</f>
        <v>0</v>
      </c>
      <c r="AO705" s="2847">
        <f>IF(AM705="",0,IF(AN705=0,MAX(AO$639:AO704,AQ$637)+1,AN705+IFERROR(VLOOKUP(VLOOKUP(AM705,$D$638:$AA$840,24,0),AM$639:AO$644,3,0)-VLOOKUP(VLOOKUP(AM705,$D$638:$AA$840,24,0),AM$639:AO$644,2,0)+1,0)))</f>
        <v>0</v>
      </c>
      <c r="AP705" s="2847" t="str">
        <f t="shared" ca="1" si="134"/>
        <v/>
      </c>
      <c r="AQ705" s="2847" t="str">
        <f t="shared" ref="AQ705:AQ768" ca="1" si="158">IF($A66&lt;MIN(AO$645,IF($AO$641&gt;0,$AO$641,9999)),IFERROR(INDEX(AM$639:AM$774,MATCH($A66,AO$639:AO$774,0)),""),"")</f>
        <v/>
      </c>
      <c r="AR705" s="3045"/>
      <c r="AS705" s="2847">
        <f>IFERROR(IF(IF(AR705&lt;&gt;"",VLOOKUP(AR705,Tabla_ArmasyEscudos,9,0),"")="Conocida",MAX(AS$645:AS704)+1,0),0)</f>
        <v>0</v>
      </c>
      <c r="AT705" s="2847">
        <f>IF(AR705="",0,IF(AS705=0,MAX(AT$639:AT704,AV$637)+1,AS705+IFERROR(VLOOKUP(VLOOKUP(AR705,$D$638:$AA$840,24,0),AR$639:AT$644,3,0)-VLOOKUP(VLOOKUP(AR705,$D$638:$AA$840,24,0),AR$639:AT$644,2,0)+1,0)))</f>
        <v>0</v>
      </c>
      <c r="AU705" s="2847" t="str">
        <f t="shared" ca="1" si="135"/>
        <v/>
      </c>
      <c r="AV705" s="2847" t="str">
        <f t="shared" ref="AV705:AV768" ca="1" si="159">IF($A66&lt;MIN(AT$645,IF($AT$642&gt;0,$AT$642,9999)),IFERROR(INDEX(AR$639:AR$774,MATCH($A66,AT$639:AT$774,0)),""),"")</f>
        <v/>
      </c>
      <c r="AX705" s="1250" t="str">
        <f t="shared" si="136"/>
        <v>Pata</v>
      </c>
      <c r="AY705" s="3025"/>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5"/>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5"/>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5"/>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5"/>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042"/>
      <c r="C706" s="1141"/>
      <c r="D706" s="2614" t="s">
        <v>2161</v>
      </c>
      <c r="E706" s="2618">
        <v>5</v>
      </c>
      <c r="F706" s="2613">
        <v>0</v>
      </c>
      <c r="G706" s="2613">
        <v>4</v>
      </c>
      <c r="H706" s="2613">
        <v>4</v>
      </c>
      <c r="I706" s="2613" t="s">
        <v>1497</v>
      </c>
      <c r="J706" s="2613" t="s">
        <v>1550</v>
      </c>
      <c r="K706" s="2859" t="s">
        <v>7261</v>
      </c>
      <c r="L706" s="2613" t="str">
        <f t="shared" si="130"/>
        <v>Distinta</v>
      </c>
      <c r="M706" s="2619">
        <v>13</v>
      </c>
      <c r="N706" s="2619">
        <v>-4</v>
      </c>
      <c r="O706" s="2619">
        <v>15</v>
      </c>
      <c r="P706" s="2613"/>
      <c r="Q706" s="2613"/>
      <c r="R706" s="2619">
        <v>100</v>
      </c>
      <c r="S706" s="2613" t="s">
        <v>1455</v>
      </c>
      <c r="T706" s="2613">
        <v>5</v>
      </c>
      <c r="U706" s="2613"/>
      <c r="V706" s="2859" t="s">
        <v>8570</v>
      </c>
      <c r="W706" s="2859"/>
      <c r="X706" s="2860" t="str">
        <f t="shared" si="106"/>
        <v>Mediana</v>
      </c>
      <c r="Y706" s="2603">
        <f t="shared" si="131"/>
        <v>0</v>
      </c>
      <c r="Z706" s="1259" t="str">
        <f t="shared" si="132"/>
        <v/>
      </c>
      <c r="AA706" s="1955" t="s">
        <v>2109</v>
      </c>
      <c r="AC706" s="1023" t="s">
        <v>7010</v>
      </c>
      <c r="AD706" s="2847">
        <f>IFERROR(IF(IF(AC706&lt;&gt;"",VLOOKUP(AC706,Tabla_ArmasyEscudos,9,0),"")="Conocida",MAX(AD$645:AD705)+1,0),0)</f>
        <v>0</v>
      </c>
      <c r="AE706" s="2847">
        <f ca="1">IF(AC706="",0,IF(AD706=0,MAX(AE$639:AE705,AG$637)+1,AD706+IFERROR(VLOOKUP(VLOOKUP(AC706,$D$638:$AA$840,24,0),AC$639:AE$644,3,0)-VLOOKUP(VLOOKUP(AC706,$D$638:$AA$840,24,0),AC$639:AE$644,2,0)+1,0)))</f>
        <v>62</v>
      </c>
      <c r="AF706" s="2847" t="str">
        <f t="shared" ca="1" si="155"/>
        <v>Valaska</v>
      </c>
      <c r="AG706" s="2847" t="str">
        <f t="shared" ca="1" si="156"/>
        <v/>
      </c>
      <c r="AH706" s="3045"/>
      <c r="AI706" s="2847">
        <f>IFERROR(IF(IF(AH706&lt;&gt;"",VLOOKUP(AH706,Tabla_ArmasyEscudos,9,0),"")="Conocida",MAX(AI$645:AI705)+1,0),0)</f>
        <v>0</v>
      </c>
      <c r="AJ706" s="2847">
        <f>IF(AH706="",0,IF(AI706=0,MAX(AJ$639:AJ705,AL$637)+1,AI706+IFERROR(VLOOKUP(VLOOKUP(AH706,$D$638:$AA$840,24,0),AH$639:AJ$644,3,0)-VLOOKUP(VLOOKUP(AH706,$D$638:$AA$840,24,0),AH$639:AJ$644,2,0)+1,0)))</f>
        <v>0</v>
      </c>
      <c r="AK706" s="2847" t="str">
        <f t="shared" ca="1" si="133"/>
        <v/>
      </c>
      <c r="AL706" s="2847" t="str">
        <f t="shared" ca="1" si="157"/>
        <v/>
      </c>
      <c r="AM706" s="3045"/>
      <c r="AN706" s="2847">
        <f>IFERROR(IF(IF(AM706&lt;&gt;"",VLOOKUP(AM706,Tabla_ArmasyEscudos,9,0),"")="Conocida",MAX(AN$645:AN705)+1,0),0)</f>
        <v>0</v>
      </c>
      <c r="AO706" s="2847">
        <f>IF(AM706="",0,IF(AN706=0,MAX(AO$639:AO705,AQ$637)+1,AN706+IFERROR(VLOOKUP(VLOOKUP(AM706,$D$638:$AA$840,24,0),AM$639:AO$644,3,0)-VLOOKUP(VLOOKUP(AM706,$D$638:$AA$840,24,0),AM$639:AO$644,2,0)+1,0)))</f>
        <v>0</v>
      </c>
      <c r="AP706" s="2847" t="str">
        <f t="shared" ca="1" si="134"/>
        <v/>
      </c>
      <c r="AQ706" s="2847" t="str">
        <f t="shared" ca="1" si="158"/>
        <v/>
      </c>
      <c r="AR706" s="3045"/>
      <c r="AS706" s="2847">
        <f>IFERROR(IF(IF(AR706&lt;&gt;"",VLOOKUP(AR706,Tabla_ArmasyEscudos,9,0),"")="Conocida",MAX(AS$645:AS705)+1,0),0)</f>
        <v>0</v>
      </c>
      <c r="AT706" s="2847">
        <f>IF(AR706="",0,IF(AS706=0,MAX(AT$639:AT705,AV$637)+1,AS706+IFERROR(VLOOKUP(VLOOKUP(AR706,$D$638:$AA$840,24,0),AR$639:AT$644,3,0)-VLOOKUP(VLOOKUP(AR706,$D$638:$AA$840,24,0),AR$639:AT$644,2,0)+1,0)))</f>
        <v>0</v>
      </c>
      <c r="AU706" s="2847" t="str">
        <f t="shared" ca="1" si="135"/>
        <v/>
      </c>
      <c r="AV706" s="2847" t="str">
        <f t="shared" ca="1" si="159"/>
        <v/>
      </c>
      <c r="AX706" s="1250" t="str">
        <f t="shared" si="136"/>
        <v>Pica</v>
      </c>
      <c r="AY706" s="3025"/>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5"/>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5"/>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5"/>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5"/>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042"/>
      <c r="C707" s="1141"/>
      <c r="D707" s="2614" t="s">
        <v>2162</v>
      </c>
      <c r="E707" s="2618">
        <v>45</v>
      </c>
      <c r="F707" s="2613">
        <v>10</v>
      </c>
      <c r="G707" s="2613">
        <v>6</v>
      </c>
      <c r="H707" s="2613">
        <v>6</v>
      </c>
      <c r="I707" s="2613" t="s">
        <v>1550</v>
      </c>
      <c r="J707" s="2613" t="s">
        <v>1551</v>
      </c>
      <c r="K707" s="2859" t="s">
        <v>7260</v>
      </c>
      <c r="L707" s="2613" t="str">
        <f t="shared" si="130"/>
        <v>Distinta</v>
      </c>
      <c r="M707" s="2619">
        <v>12</v>
      </c>
      <c r="N707" s="2619">
        <v>3</v>
      </c>
      <c r="O707" s="2619">
        <v>20</v>
      </c>
      <c r="P707" s="2613"/>
      <c r="Q707" s="2613"/>
      <c r="R707" s="2613" t="s">
        <v>1455</v>
      </c>
      <c r="S707" s="2613" t="s">
        <v>1455</v>
      </c>
      <c r="T707" s="2613" t="s">
        <v>1455</v>
      </c>
      <c r="U707" s="2613"/>
      <c r="V707" s="2859" t="s">
        <v>1455</v>
      </c>
      <c r="W707" s="2859"/>
      <c r="X707" s="2860" t="str">
        <f t="shared" si="106"/>
        <v>Mediana</v>
      </c>
      <c r="Y707" s="2603">
        <f t="shared" si="131"/>
        <v>0</v>
      </c>
      <c r="Z707" s="1259" t="str">
        <f t="shared" si="132"/>
        <v/>
      </c>
      <c r="AA707" s="1955" t="s">
        <v>2109</v>
      </c>
      <c r="AC707" s="1023" t="s">
        <v>7011</v>
      </c>
      <c r="AD707" s="2847">
        <f>IFERROR(IF(IF(AC707&lt;&gt;"",VLOOKUP(AC707,Tabla_ArmasyEscudos,9,0),"")="Conocida",MAX(AD$645:AD706)+1,0),0)</f>
        <v>0</v>
      </c>
      <c r="AE707" s="2847">
        <f ca="1">IF(AC707="",0,IF(AD707=0,MAX(AE$639:AE706,AG$637)+1,AD707+IFERROR(VLOOKUP(VLOOKUP(AC707,$D$638:$AA$840,24,0),AC$639:AE$644,3,0)-VLOOKUP(VLOOKUP(AC707,$D$638:$AA$840,24,0),AC$639:AE$644,2,0)+1,0)))</f>
        <v>63</v>
      </c>
      <c r="AF707" s="2847" t="str">
        <f t="shared" ca="1" si="155"/>
        <v>&gt; ESCUDOS</v>
      </c>
      <c r="AG707" s="2847" t="str">
        <f t="shared" ca="1" si="156"/>
        <v/>
      </c>
      <c r="AH707" s="3045"/>
      <c r="AI707" s="2847">
        <f>IFERROR(IF(IF(AH707&lt;&gt;"",VLOOKUP(AH707,Tabla_ArmasyEscudos,9,0),"")="Conocida",MAX(AI$645:AI706)+1,0),0)</f>
        <v>0</v>
      </c>
      <c r="AJ707" s="2847">
        <f>IF(AH707="",0,IF(AI707=0,MAX(AJ$639:AJ706,AL$637)+1,AI707+IFERROR(VLOOKUP(VLOOKUP(AH707,$D$638:$AA$840,24,0),AH$639:AJ$644,3,0)-VLOOKUP(VLOOKUP(AH707,$D$638:$AA$840,24,0),AH$639:AJ$644,2,0)+1,0)))</f>
        <v>0</v>
      </c>
      <c r="AK707" s="2847" t="str">
        <f t="shared" ca="1" si="133"/>
        <v/>
      </c>
      <c r="AL707" s="2847" t="str">
        <f t="shared" ca="1" si="157"/>
        <v/>
      </c>
      <c r="AM707" s="3045"/>
      <c r="AN707" s="2847">
        <f>IFERROR(IF(IF(AM707&lt;&gt;"",VLOOKUP(AM707,Tabla_ArmasyEscudos,9,0),"")="Conocida",MAX(AN$645:AN706)+1,0),0)</f>
        <v>0</v>
      </c>
      <c r="AO707" s="2847">
        <f>IF(AM707="",0,IF(AN707=0,MAX(AO$639:AO706,AQ$637)+1,AN707+IFERROR(VLOOKUP(VLOOKUP(AM707,$D$638:$AA$840,24,0),AM$639:AO$644,3,0)-VLOOKUP(VLOOKUP(AM707,$D$638:$AA$840,24,0),AM$639:AO$644,2,0)+1,0)))</f>
        <v>0</v>
      </c>
      <c r="AP707" s="2847" t="str">
        <f t="shared" ca="1" si="134"/>
        <v/>
      </c>
      <c r="AQ707" s="2847" t="str">
        <f t="shared" ca="1" si="158"/>
        <v/>
      </c>
      <c r="AR707" s="3045"/>
      <c r="AS707" s="2847">
        <f>IFERROR(IF(IF(AR707&lt;&gt;"",VLOOKUP(AR707,Tabla_ArmasyEscudos,9,0),"")="Conocida",MAX(AS$645:AS706)+1,0),0)</f>
        <v>0</v>
      </c>
      <c r="AT707" s="2847">
        <f>IF(AR707="",0,IF(AS707=0,MAX(AT$639:AT706,AV$637)+1,AS707+IFERROR(VLOOKUP(VLOOKUP(AR707,$D$638:$AA$840,24,0),AR$639:AT$644,3,0)-VLOOKUP(VLOOKUP(AR707,$D$638:$AA$840,24,0),AR$639:AT$644,2,0)+1,0)))</f>
        <v>0</v>
      </c>
      <c r="AU707" s="2847" t="str">
        <f t="shared" ca="1" si="135"/>
        <v/>
      </c>
      <c r="AV707" s="2847" t="str">
        <f t="shared" ca="1" si="159"/>
        <v/>
      </c>
      <c r="AX707" s="1250" t="str">
        <f t="shared" si="136"/>
        <v>Pudao</v>
      </c>
      <c r="AY707" s="3025"/>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5"/>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5"/>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5"/>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5"/>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042"/>
      <c r="C708" s="1141"/>
      <c r="D708" s="2614" t="s">
        <v>7010</v>
      </c>
      <c r="E708" s="2618">
        <v>40</v>
      </c>
      <c r="F708" s="2613">
        <v>5</v>
      </c>
      <c r="G708" s="2613">
        <v>5</v>
      </c>
      <c r="H708" s="2613">
        <v>5</v>
      </c>
      <c r="I708" s="2613" t="s">
        <v>1550</v>
      </c>
      <c r="J708" s="2613" t="s">
        <v>1455</v>
      </c>
      <c r="K708" s="2859" t="s">
        <v>7260</v>
      </c>
      <c r="L708" s="2613"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19">
        <v>12</v>
      </c>
      <c r="N708" s="2619">
        <v>1</v>
      </c>
      <c r="O708" s="2619">
        <v>20</v>
      </c>
      <c r="P708" s="2613"/>
      <c r="Q708" s="2613"/>
      <c r="R708" s="2613" t="s">
        <v>1455</v>
      </c>
      <c r="S708" s="2613" t="s">
        <v>1455</v>
      </c>
      <c r="T708" s="2613" t="s">
        <v>1455</v>
      </c>
      <c r="U708" s="2613"/>
      <c r="V708" s="2859" t="s">
        <v>7031</v>
      </c>
      <c r="W708" s="2859"/>
      <c r="X708" s="2860" t="str">
        <f t="shared" si="106"/>
        <v>Mediana</v>
      </c>
      <c r="Y708" s="2603">
        <f t="shared" ref="Y708:Y714" si="161">Bono_Fue</f>
        <v>0</v>
      </c>
      <c r="Z708" s="1259" t="str">
        <f t="shared" si="132"/>
        <v/>
      </c>
      <c r="AA708" s="1955" t="s">
        <v>2109</v>
      </c>
      <c r="AC708" s="1023" t="s">
        <v>2163</v>
      </c>
      <c r="AD708" s="2847">
        <f>IFERROR(IF(IF(AC708&lt;&gt;"",VLOOKUP(AC708,Tabla_ArmasyEscudos,9,0),"")="Conocida",MAX(AD$645:AD707)+1,0),0)</f>
        <v>0</v>
      </c>
      <c r="AE708" s="2847">
        <f ca="1">IF(AC708="",0,IF(AD708=0,MAX(AE$639:AE707,AG$637)+1,AD708+IFERROR(VLOOKUP(VLOOKUP(AC708,$D$638:$AA$840,24,0),AC$639:AE$644,3,0)-VLOOKUP(VLOOKUP(AC708,$D$638:$AA$840,24,0),AC$639:AE$644,2,0)+1,0)))</f>
        <v>64</v>
      </c>
      <c r="AF708" s="2847" t="str">
        <f t="shared" ca="1" si="155"/>
        <v>Escudo corporal</v>
      </c>
      <c r="AG708" s="2847" t="str">
        <f t="shared" ca="1" si="156"/>
        <v/>
      </c>
      <c r="AH708" s="3045"/>
      <c r="AI708" s="2847">
        <f>IFERROR(IF(IF(AH708&lt;&gt;"",VLOOKUP(AH708,Tabla_ArmasyEscudos,9,0),"")="Conocida",MAX(AI$645:AI707)+1,0),0)</f>
        <v>0</v>
      </c>
      <c r="AJ708" s="2847">
        <f>IF(AH708="",0,IF(AI708=0,MAX(AJ$639:AJ707,AL$637)+1,AI708+IFERROR(VLOOKUP(VLOOKUP(AH708,$D$638:$AA$840,24,0),AH$639:AJ$644,3,0)-VLOOKUP(VLOOKUP(AH708,$D$638:$AA$840,24,0),AH$639:AJ$644,2,0)+1,0)))</f>
        <v>0</v>
      </c>
      <c r="AK708" s="2847" t="str">
        <f t="shared" ca="1" si="133"/>
        <v/>
      </c>
      <c r="AL708" s="2847" t="str">
        <f t="shared" ca="1" si="157"/>
        <v/>
      </c>
      <c r="AM708" s="3045"/>
      <c r="AN708" s="2847">
        <f>IFERROR(IF(IF(AM708&lt;&gt;"",VLOOKUP(AM708,Tabla_ArmasyEscudos,9,0),"")="Conocida",MAX(AN$645:AN707)+1,0),0)</f>
        <v>0</v>
      </c>
      <c r="AO708" s="2847">
        <f>IF(AM708="",0,IF(AN708=0,MAX(AO$639:AO707,AQ$637)+1,AN708+IFERROR(VLOOKUP(VLOOKUP(AM708,$D$638:$AA$840,24,0),AM$639:AO$644,3,0)-VLOOKUP(VLOOKUP(AM708,$D$638:$AA$840,24,0),AM$639:AO$644,2,0)+1,0)))</f>
        <v>0</v>
      </c>
      <c r="AP708" s="2847" t="str">
        <f t="shared" ca="1" si="134"/>
        <v/>
      </c>
      <c r="AQ708" s="2847" t="str">
        <f t="shared" ca="1" si="158"/>
        <v/>
      </c>
      <c r="AR708" s="3045"/>
      <c r="AS708" s="2847">
        <f>IFERROR(IF(IF(AR708&lt;&gt;"",VLOOKUP(AR708,Tabla_ArmasyEscudos,9,0),"")="Conocida",MAX(AS$645:AS707)+1,0),0)</f>
        <v>0</v>
      </c>
      <c r="AT708" s="2847">
        <f>IF(AR708="",0,IF(AS708=0,MAX(AT$639:AT707,AV$637)+1,AS708+IFERROR(VLOOKUP(VLOOKUP(AR708,$D$638:$AA$840,24,0),AR$639:AT$644,3,0)-VLOOKUP(VLOOKUP(AR708,$D$638:$AA$840,24,0),AR$639:AT$644,2,0)+1,0)))</f>
        <v>0</v>
      </c>
      <c r="AU708" s="2847" t="str">
        <f t="shared" ca="1" si="135"/>
        <v/>
      </c>
      <c r="AV708" s="2847" t="str">
        <f t="shared" ca="1" si="159"/>
        <v/>
      </c>
      <c r="AX708" s="1250" t="str">
        <f t="shared" si="136"/>
        <v>Red</v>
      </c>
      <c r="AY708" s="3025"/>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5"/>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5"/>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5"/>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5"/>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042"/>
      <c r="C709" s="1141"/>
      <c r="D709" s="2614" t="s">
        <v>7011</v>
      </c>
      <c r="E709" s="2618">
        <v>45</v>
      </c>
      <c r="F709" s="2613">
        <v>5</v>
      </c>
      <c r="G709" s="2613">
        <v>6</v>
      </c>
      <c r="H709" s="2613">
        <v>6</v>
      </c>
      <c r="I709" s="2613" t="s">
        <v>1551</v>
      </c>
      <c r="J709" s="2613" t="s">
        <v>1550</v>
      </c>
      <c r="K709" s="2859" t="s">
        <v>7260</v>
      </c>
      <c r="L709" s="2613" t="str">
        <f t="shared" si="160"/>
        <v>Distinta</v>
      </c>
      <c r="M709" s="2619">
        <v>14</v>
      </c>
      <c r="N709" s="2619">
        <v>3</v>
      </c>
      <c r="O709" s="2619">
        <v>20</v>
      </c>
      <c r="P709" s="2613"/>
      <c r="Q709" s="2613"/>
      <c r="R709" s="2613" t="s">
        <v>1455</v>
      </c>
      <c r="S709" s="2613" t="s">
        <v>1455</v>
      </c>
      <c r="T709" s="2613" t="s">
        <v>1455</v>
      </c>
      <c r="U709" s="2613"/>
      <c r="V709" s="2859" t="s">
        <v>1455</v>
      </c>
      <c r="W709" s="2859"/>
      <c r="X709" s="2860" t="str">
        <f t="shared" ref="X709:X714" si="162">IF(K709="/","",IF(OR(ISNUMBER(FIND("Mandoble",K709)),ISNUMBER(FIND("Asta",K709))),"Grande",IF(ISNUMBER(FIND("Corta",K709)),"Pequeña","Mediana")))</f>
        <v>Mediana</v>
      </c>
      <c r="Y709" s="2603">
        <f t="shared" si="161"/>
        <v>0</v>
      </c>
      <c r="Z709" s="1259" t="str">
        <f t="shared" si="132"/>
        <v/>
      </c>
      <c r="AA709" s="1955" t="s">
        <v>2109</v>
      </c>
      <c r="AC709" s="1023" t="s">
        <v>2164</v>
      </c>
      <c r="AD709" s="2847">
        <f>IFERROR(IF(IF(AC709&lt;&gt;"",VLOOKUP(AC709,Tabla_ArmasyEscudos,9,0),"")="Conocida",MAX(AD$645:AD708)+1,0),0)</f>
        <v>0</v>
      </c>
      <c r="AE709" s="2847">
        <f ca="1">IF(AC709="",0,IF(AD709=0,MAX(AE$639:AE708,AG$637)+1,AD709+IFERROR(VLOOKUP(VLOOKUP(AC709,$D$638:$AA$840,24,0),AC$639:AE$644,3,0)-VLOOKUP(VLOOKUP(AC709,$D$638:$AA$840,24,0),AC$639:AE$644,2,0)+1,0)))</f>
        <v>65</v>
      </c>
      <c r="AF709" s="2847" t="str">
        <f t="shared" ca="1" si="155"/>
        <v>Escudo medio</v>
      </c>
      <c r="AG709" s="2847" t="str">
        <f t="shared" ca="1" si="156"/>
        <v/>
      </c>
      <c r="AH709" s="3045"/>
      <c r="AI709" s="2847">
        <f>IFERROR(IF(IF(AH709&lt;&gt;"",VLOOKUP(AH709,Tabla_ArmasyEscudos,9,0),"")="Conocida",MAX(AI$645:AI708)+1,0),0)</f>
        <v>0</v>
      </c>
      <c r="AJ709" s="2847">
        <f>IF(AH709="",0,IF(AI709=0,MAX(AJ$639:AJ708,AL$637)+1,AI709+IFERROR(VLOOKUP(VLOOKUP(AH709,$D$638:$AA$840,24,0),AH$639:AJ$644,3,0)-VLOOKUP(VLOOKUP(AH709,$D$638:$AA$840,24,0),AH$639:AJ$644,2,0)+1,0)))</f>
        <v>0</v>
      </c>
      <c r="AK709" s="2847" t="str">
        <f t="shared" ca="1" si="133"/>
        <v/>
      </c>
      <c r="AL709" s="2847" t="str">
        <f t="shared" ca="1" si="157"/>
        <v/>
      </c>
      <c r="AM709" s="3045"/>
      <c r="AN709" s="2847">
        <f>IFERROR(IF(IF(AM709&lt;&gt;"",VLOOKUP(AM709,Tabla_ArmasyEscudos,9,0),"")="Conocida",MAX(AN$645:AN708)+1,0),0)</f>
        <v>0</v>
      </c>
      <c r="AO709" s="2847">
        <f>IF(AM709="",0,IF(AN709=0,MAX(AO$639:AO708,AQ$637)+1,AN709+IFERROR(VLOOKUP(VLOOKUP(AM709,$D$638:$AA$840,24,0),AM$639:AO$644,3,0)-VLOOKUP(VLOOKUP(AM709,$D$638:$AA$840,24,0),AM$639:AO$644,2,0)+1,0)))</f>
        <v>0</v>
      </c>
      <c r="AP709" s="2847" t="str">
        <f t="shared" ca="1" si="134"/>
        <v/>
      </c>
      <c r="AQ709" s="2847" t="str">
        <f t="shared" ca="1" si="158"/>
        <v/>
      </c>
      <c r="AR709" s="3045"/>
      <c r="AS709" s="2847">
        <f>IFERROR(IF(IF(AR709&lt;&gt;"",VLOOKUP(AR709,Tabla_ArmasyEscudos,9,0),"")="Conocida",MAX(AS$645:AS708)+1,0),0)</f>
        <v>0</v>
      </c>
      <c r="AT709" s="2847">
        <f>IF(AR709="",0,IF(AS709=0,MAX(AT$639:AT708,AV$637)+1,AS709+IFERROR(VLOOKUP(VLOOKUP(AR709,$D$638:$AA$840,24,0),AR$639:AT$644,3,0)-VLOOKUP(VLOOKUP(AR709,$D$638:$AA$840,24,0),AR$639:AT$644,2,0)+1,0)))</f>
        <v>0</v>
      </c>
      <c r="AU709" s="2847" t="str">
        <f t="shared" ca="1" si="135"/>
        <v/>
      </c>
      <c r="AV709" s="2847" t="str">
        <f t="shared" ca="1" si="159"/>
        <v/>
      </c>
      <c r="AX709" s="1250" t="str">
        <f t="shared" si="136"/>
        <v>Sable</v>
      </c>
      <c r="AY709" s="3025"/>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5"/>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5"/>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5"/>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5"/>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042"/>
      <c r="C710" s="1141"/>
      <c r="D710" s="2614" t="s">
        <v>2163</v>
      </c>
      <c r="E710" s="2618">
        <v>40</v>
      </c>
      <c r="F710" s="2613">
        <v>-10</v>
      </c>
      <c r="G710" s="2613">
        <v>7</v>
      </c>
      <c r="H710" s="2613">
        <v>6</v>
      </c>
      <c r="I710" s="2613" t="s">
        <v>1551</v>
      </c>
      <c r="J710" s="2613" t="s">
        <v>1455</v>
      </c>
      <c r="K710" s="2859" t="s">
        <v>7257</v>
      </c>
      <c r="L710" s="2613" t="str">
        <f t="shared" si="160"/>
        <v>Distinta</v>
      </c>
      <c r="M710" s="2619">
        <v>12</v>
      </c>
      <c r="N710" s="2619">
        <v>3</v>
      </c>
      <c r="O710" s="2619">
        <v>15</v>
      </c>
      <c r="P710" s="2613"/>
      <c r="Q710" s="2613"/>
      <c r="R710" s="2619">
        <v>100</v>
      </c>
      <c r="S710" s="2613" t="s">
        <v>1455</v>
      </c>
      <c r="T710" s="2613">
        <v>15</v>
      </c>
      <c r="U710" s="2613"/>
      <c r="V710" s="2859" t="s">
        <v>8571</v>
      </c>
      <c r="W710" s="2859"/>
      <c r="X710" s="2860" t="str">
        <f t="shared" si="162"/>
        <v>Grande</v>
      </c>
      <c r="Y710" s="2603">
        <f t="shared" si="161"/>
        <v>0</v>
      </c>
      <c r="Z710" s="1259" t="str">
        <f t="shared" si="132"/>
        <v/>
      </c>
      <c r="AA710" s="1955" t="s">
        <v>2109</v>
      </c>
      <c r="AC710" s="3045" t="s">
        <v>7012</v>
      </c>
      <c r="AD710" s="2847">
        <f>IFERROR(IF(IF(AC710&lt;&gt;"",VLOOKUP(AC710,Tabla_ArmasyEscudos,9,0),"")="Conocida",MAX(AD$645:AD709)+1,0),0)</f>
        <v>0</v>
      </c>
      <c r="AE710" s="2847">
        <f ca="1">IF(AC710="",0,IF(AD710=0,MAX(AE$639:AE709,AG$637)+1,AD710+IFERROR(VLOOKUP(VLOOKUP(AC710,$D$638:$AA$840,24,0),AC$639:AE$644,3,0)-VLOOKUP(VLOOKUP(AC710,$D$638:$AA$840,24,0),AC$639:AE$644,2,0)+1,0)))</f>
        <v>66</v>
      </c>
      <c r="AF710" s="2847" t="str">
        <f t="shared" ca="1" si="155"/>
        <v>Rodela</v>
      </c>
      <c r="AG710" s="2847" t="str">
        <f t="shared" ca="1" si="156"/>
        <v/>
      </c>
      <c r="AH710" s="3045"/>
      <c r="AI710" s="2847">
        <f>IFERROR(IF(IF(AH710&lt;&gt;"",VLOOKUP(AH710,Tabla_ArmasyEscudos,9,0),"")="Conocida",MAX(AI$645:AI709)+1,0),0)</f>
        <v>0</v>
      </c>
      <c r="AJ710" s="2847">
        <f>IF(AH710="",0,IF(AI710=0,MAX(AJ$639:AJ709,AL$637)+1,AI710+IFERROR(VLOOKUP(VLOOKUP(AH710,$D$638:$AA$840,24,0),AH$639:AJ$644,3,0)-VLOOKUP(VLOOKUP(AH710,$D$638:$AA$840,24,0),AH$639:AJ$644,2,0)+1,0)))</f>
        <v>0</v>
      </c>
      <c r="AK710" s="2847" t="str">
        <f t="shared" ca="1" si="133"/>
        <v/>
      </c>
      <c r="AL710" s="2847" t="str">
        <f t="shared" ca="1" si="157"/>
        <v/>
      </c>
      <c r="AM710" s="3045"/>
      <c r="AN710" s="2847">
        <f>IFERROR(IF(IF(AM710&lt;&gt;"",VLOOKUP(AM710,Tabla_ArmasyEscudos,9,0),"")="Conocida",MAX(AN$645:AN709)+1,0),0)</f>
        <v>0</v>
      </c>
      <c r="AO710" s="2847">
        <f>IF(AM710="",0,IF(AN710=0,MAX(AO$639:AO709,AQ$637)+1,AN710+IFERROR(VLOOKUP(VLOOKUP(AM710,$D$638:$AA$840,24,0),AM$639:AO$644,3,0)-VLOOKUP(VLOOKUP(AM710,$D$638:$AA$840,24,0),AM$639:AO$644,2,0)+1,0)))</f>
        <v>0</v>
      </c>
      <c r="AP710" s="2847" t="str">
        <f t="shared" ca="1" si="134"/>
        <v/>
      </c>
      <c r="AQ710" s="2847" t="str">
        <f t="shared" ca="1" si="158"/>
        <v/>
      </c>
      <c r="AR710" s="3045"/>
      <c r="AS710" s="2847">
        <f>IFERROR(IF(IF(AR710&lt;&gt;"",VLOOKUP(AR710,Tabla_ArmasyEscudos,9,0),"")="Conocida",MAX(AS$645:AS709)+1,0),0)</f>
        <v>0</v>
      </c>
      <c r="AT710" s="2847">
        <f>IF(AR710="",0,IF(AS710=0,MAX(AT$639:AT709,AV$637)+1,AS710+IFERROR(VLOOKUP(VLOOKUP(AR710,$D$638:$AA$840,24,0),AR$639:AT$644,3,0)-VLOOKUP(VLOOKUP(AR710,$D$638:$AA$840,24,0),AR$639:AT$644,2,0)+1,0)))</f>
        <v>0</v>
      </c>
      <c r="AU710" s="2847" t="str">
        <f t="shared" ca="1" si="135"/>
        <v/>
      </c>
      <c r="AV710" s="2847" t="str">
        <f t="shared" ca="1" si="159"/>
        <v/>
      </c>
      <c r="AX710" s="1250" t="str">
        <f t="shared" si="136"/>
        <v>Shang Gou</v>
      </c>
      <c r="AY710" s="3025"/>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5"/>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5"/>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5"/>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5"/>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042"/>
      <c r="C711" s="1141"/>
      <c r="D711" s="2614" t="s">
        <v>2164</v>
      </c>
      <c r="E711" s="2613">
        <v>40</v>
      </c>
      <c r="F711" s="2613">
        <v>0</v>
      </c>
      <c r="G711" s="2613">
        <v>6</v>
      </c>
      <c r="H711" s="2613">
        <v>6</v>
      </c>
      <c r="I711" s="2613" t="s">
        <v>1550</v>
      </c>
      <c r="J711" s="2613" t="s">
        <v>1455</v>
      </c>
      <c r="K711" s="2859" t="s">
        <v>7259</v>
      </c>
      <c r="L711" s="2613" t="str">
        <f t="shared" si="160"/>
        <v>Distinta</v>
      </c>
      <c r="M711" s="2619">
        <v>9</v>
      </c>
      <c r="N711" s="2619">
        <v>2</v>
      </c>
      <c r="O711" s="2619">
        <v>20</v>
      </c>
      <c r="P711" s="2613"/>
      <c r="Q711" s="2613"/>
      <c r="R711" s="2619">
        <v>80</v>
      </c>
      <c r="S711" s="2613" t="s">
        <v>1455</v>
      </c>
      <c r="T711" s="2613">
        <v>30</v>
      </c>
      <c r="U711" s="2613"/>
      <c r="V711" s="2859" t="s">
        <v>8572</v>
      </c>
      <c r="W711" s="2859"/>
      <c r="X711" s="2860" t="str">
        <f t="shared" si="162"/>
        <v>Mediana</v>
      </c>
      <c r="Y711" s="2603">
        <f t="shared" si="161"/>
        <v>0</v>
      </c>
      <c r="Z711" s="1259" t="str">
        <f t="shared" si="132"/>
        <v/>
      </c>
      <c r="AA711" s="1955" t="s">
        <v>2109</v>
      </c>
      <c r="AC711" s="3045" t="s">
        <v>6994</v>
      </c>
      <c r="AD711" s="2847">
        <f>IFERROR(IF(IF(AC711&lt;&gt;"",VLOOKUP(AC711,Tabla_ArmasyEscudos,9,0),"")="Conocida",MAX(AD$645:AD710)+1,0),0)</f>
        <v>0</v>
      </c>
      <c r="AE711" s="2847">
        <f ca="1">IF(AC711="",0,IF(AD711=0,MAX(AE$639:AE710,AG$637)+1,AD711+IFERROR(VLOOKUP(VLOOKUP(AC711,$D$638:$AA$840,24,0),AC$639:AE$644,3,0)-VLOOKUP(VLOOKUP(AC711,$D$638:$AA$840,24,0),AC$639:AE$644,2,0)+1,0)))</f>
        <v>67</v>
      </c>
      <c r="AF711" s="2847" t="str">
        <f t="shared" ca="1" si="155"/>
        <v>&gt; ARMAS EXÓTICAS</v>
      </c>
      <c r="AG711" s="2847" t="str">
        <f t="shared" ca="1" si="156"/>
        <v/>
      </c>
      <c r="AH711" s="3045"/>
      <c r="AI711" s="2847">
        <f>IFERROR(IF(IF(AH711&lt;&gt;"",VLOOKUP(AH711,Tabla_ArmasyEscudos,9,0),"")="Conocida",MAX(AI$645:AI710)+1,0),0)</f>
        <v>0</v>
      </c>
      <c r="AJ711" s="2847">
        <f>IF(AH711="",0,IF(AI711=0,MAX(AJ$639:AJ710,AL$637)+1,AI711+IFERROR(VLOOKUP(VLOOKUP(AH711,$D$638:$AA$840,24,0),AH$639:AJ$644,3,0)-VLOOKUP(VLOOKUP(AH711,$D$638:$AA$840,24,0),AH$639:AJ$644,2,0)+1,0)))</f>
        <v>0</v>
      </c>
      <c r="AK711" s="2847" t="str">
        <f t="shared" ca="1" si="133"/>
        <v/>
      </c>
      <c r="AL711" s="2847" t="str">
        <f t="shared" ca="1" si="157"/>
        <v/>
      </c>
      <c r="AM711" s="3045"/>
      <c r="AN711" s="2847">
        <f>IFERROR(IF(IF(AM711&lt;&gt;"",VLOOKUP(AM711,Tabla_ArmasyEscudos,9,0),"")="Conocida",MAX(AN$645:AN710)+1,0),0)</f>
        <v>0</v>
      </c>
      <c r="AO711" s="2847">
        <f>IF(AM711="",0,IF(AN711=0,MAX(AO$639:AO710,AQ$637)+1,AN711+IFERROR(VLOOKUP(VLOOKUP(AM711,$D$638:$AA$840,24,0),AM$639:AO$644,3,0)-VLOOKUP(VLOOKUP(AM711,$D$638:$AA$840,24,0),AM$639:AO$644,2,0)+1,0)))</f>
        <v>0</v>
      </c>
      <c r="AP711" s="2847" t="str">
        <f t="shared" ca="1" si="134"/>
        <v/>
      </c>
      <c r="AQ711" s="2847" t="str">
        <f t="shared" ca="1" si="158"/>
        <v/>
      </c>
      <c r="AR711" s="3045"/>
      <c r="AS711" s="2847">
        <f>IFERROR(IF(IF(AR711&lt;&gt;"",VLOOKUP(AR711,Tabla_ArmasyEscudos,9,0),"")="Conocida",MAX(AS$645:AS710)+1,0),0)</f>
        <v>0</v>
      </c>
      <c r="AT711" s="2847">
        <f>IF(AR711="",0,IF(AS711=0,MAX(AT$639:AT710,AV$637)+1,AS711+IFERROR(VLOOKUP(VLOOKUP(AR711,$D$638:$AA$840,24,0),AR$639:AT$644,3,0)-VLOOKUP(VLOOKUP(AR711,$D$638:$AA$840,24,0),AR$639:AT$644,2,0)+1,0)))</f>
        <v>0</v>
      </c>
      <c r="AU711" s="2847" t="str">
        <f t="shared" ca="1" si="135"/>
        <v/>
      </c>
      <c r="AV711" s="2847" t="str">
        <f t="shared" ca="1" si="159"/>
        <v/>
      </c>
      <c r="AX711" s="1250" t="str">
        <f t="shared" si="136"/>
        <v>Spatha</v>
      </c>
      <c r="AY711" s="3025"/>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5"/>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5"/>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5"/>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5"/>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042"/>
      <c r="C712" s="1141"/>
      <c r="D712" s="2614" t="s">
        <v>7012</v>
      </c>
      <c r="E712" s="2618">
        <v>25</v>
      </c>
      <c r="F712" s="2613">
        <v>15</v>
      </c>
      <c r="G712" s="2613">
        <v>4</v>
      </c>
      <c r="H712" s="2613">
        <v>4</v>
      </c>
      <c r="I712" s="2613" t="s">
        <v>1550</v>
      </c>
      <c r="J712" s="2613" t="s">
        <v>1455</v>
      </c>
      <c r="K712" s="2859" t="s">
        <v>7261</v>
      </c>
      <c r="L712" s="2613" t="str">
        <f t="shared" si="160"/>
        <v>Distinta</v>
      </c>
      <c r="M712" s="2619">
        <v>7</v>
      </c>
      <c r="N712" s="2619">
        <v>-3</v>
      </c>
      <c r="O712" s="2619">
        <v>15</v>
      </c>
      <c r="P712" s="2613"/>
      <c r="Q712" s="2613"/>
      <c r="R712" s="2613" t="s">
        <v>1455</v>
      </c>
      <c r="S712" s="2613" t="s">
        <v>1455</v>
      </c>
      <c r="T712" s="2613" t="s">
        <v>1455</v>
      </c>
      <c r="U712" s="2613"/>
      <c r="V712" s="2859" t="s">
        <v>2182</v>
      </c>
      <c r="W712" s="2859"/>
      <c r="X712" s="2860" t="str">
        <f t="shared" si="162"/>
        <v>Mediana</v>
      </c>
      <c r="Y712" s="2603">
        <f t="shared" si="161"/>
        <v>0</v>
      </c>
      <c r="Z712" s="1259" t="str">
        <f t="shared" si="132"/>
        <v/>
      </c>
      <c r="AA712" s="1955" t="s">
        <v>2109</v>
      </c>
      <c r="AC712" s="3052" t="s">
        <v>2166</v>
      </c>
      <c r="AD712" s="2847">
        <f>IFERROR(IF(IF(AC712&lt;&gt;"",VLOOKUP(AC712,Tabla_ArmasyEscudos,9,0),"")="Conocida",MAX(AD$645:AD711)+1,0),0)</f>
        <v>0</v>
      </c>
      <c r="AE712" s="2847">
        <f ca="1">IF(AC712="",0,IF(AD712=0,MAX(AE$639:AE711,AG$637)+1,AD712+IFERROR(VLOOKUP(VLOOKUP(AC712,$D$638:$AA$840,24,0),AC$639:AE$644,3,0)-VLOOKUP(VLOOKUP(AC712,$D$638:$AA$840,24,0),AC$639:AE$644,2,0)+1,0)))</f>
        <v>68</v>
      </c>
      <c r="AF712" s="2847" t="str">
        <f t="shared" ca="1" si="155"/>
        <v>Abanico de combate</v>
      </c>
      <c r="AG712" s="2847" t="str">
        <f t="shared" ca="1" si="156"/>
        <v/>
      </c>
      <c r="AH712" s="3045"/>
      <c r="AI712" s="2847">
        <f>IFERROR(IF(IF(AH712&lt;&gt;"",VLOOKUP(AH712,Tabla_ArmasyEscudos,9,0),"")="Conocida",MAX(AI$645:AI711)+1,0),0)</f>
        <v>0</v>
      </c>
      <c r="AJ712" s="2847">
        <f>IF(AH712="",0,IF(AI712=0,MAX(AJ$639:AJ711,AL$637)+1,AI712+IFERROR(VLOOKUP(VLOOKUP(AH712,$D$638:$AA$840,24,0),AH$639:AJ$644,3,0)-VLOOKUP(VLOOKUP(AH712,$D$638:$AA$840,24,0),AH$639:AJ$644,2,0)+1,0)))</f>
        <v>0</v>
      </c>
      <c r="AK712" s="2847" t="str">
        <f t="shared" ca="1" si="133"/>
        <v/>
      </c>
      <c r="AL712" s="2847" t="str">
        <f t="shared" ca="1" si="157"/>
        <v/>
      </c>
      <c r="AM712" s="3045"/>
      <c r="AN712" s="2847">
        <f>IFERROR(IF(IF(AM712&lt;&gt;"",VLOOKUP(AM712,Tabla_ArmasyEscudos,9,0),"")="Conocida",MAX(AN$645:AN711)+1,0),0)</f>
        <v>0</v>
      </c>
      <c r="AO712" s="2847">
        <f>IF(AM712="",0,IF(AN712=0,MAX(AO$639:AO711,AQ$637)+1,AN712+IFERROR(VLOOKUP(VLOOKUP(AM712,$D$638:$AA$840,24,0),AM$639:AO$644,3,0)-VLOOKUP(VLOOKUP(AM712,$D$638:$AA$840,24,0),AM$639:AO$644,2,0)+1,0)))</f>
        <v>0</v>
      </c>
      <c r="AP712" s="2847" t="str">
        <f t="shared" ca="1" si="134"/>
        <v/>
      </c>
      <c r="AQ712" s="2847" t="str">
        <f t="shared" ca="1" si="158"/>
        <v/>
      </c>
      <c r="AR712" s="3045"/>
      <c r="AS712" s="2847">
        <f>IFERROR(IF(IF(AR712&lt;&gt;"",VLOOKUP(AR712,Tabla_ArmasyEscudos,9,0),"")="Conocida",MAX(AS$645:AS711)+1,0),0)</f>
        <v>0</v>
      </c>
      <c r="AT712" s="2847">
        <f>IF(AR712="",0,IF(AS712=0,MAX(AT$639:AT711,AV$637)+1,AS712+IFERROR(VLOOKUP(VLOOKUP(AR712,$D$638:$AA$840,24,0),AR$639:AT$644,3,0)-VLOOKUP(VLOOKUP(AR712,$D$638:$AA$840,24,0),AR$639:AT$644,2,0)+1,0)))</f>
        <v>0</v>
      </c>
      <c r="AU712" s="2847" t="str">
        <f t="shared" ca="1" si="135"/>
        <v/>
      </c>
      <c r="AV712" s="2847" t="str">
        <f t="shared" ca="1" si="159"/>
        <v/>
      </c>
      <c r="AX712" s="1250" t="str">
        <f t="shared" si="136"/>
        <v>Tridente</v>
      </c>
      <c r="AY712" s="3025"/>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5"/>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5"/>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5"/>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5"/>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042"/>
      <c r="C713" s="1141"/>
      <c r="D713" s="2614" t="s">
        <v>6994</v>
      </c>
      <c r="E713" s="2618">
        <v>40</v>
      </c>
      <c r="F713" s="2613">
        <v>0</v>
      </c>
      <c r="G713" s="2613">
        <v>8</v>
      </c>
      <c r="H713" s="2613">
        <v>5</v>
      </c>
      <c r="I713" s="2613" t="s">
        <v>1550</v>
      </c>
      <c r="J713" s="2613" t="s">
        <v>1497</v>
      </c>
      <c r="K713" s="2859" t="s">
        <v>7272</v>
      </c>
      <c r="L713" s="2613" t="str">
        <f t="shared" si="160"/>
        <v>Distinta</v>
      </c>
      <c r="M713" s="2619">
        <v>11</v>
      </c>
      <c r="N713" s="2619">
        <v>2</v>
      </c>
      <c r="O713" s="2619">
        <v>20</v>
      </c>
      <c r="P713" s="2613"/>
      <c r="Q713" s="2613"/>
      <c r="R713" s="2613" t="s">
        <v>1455</v>
      </c>
      <c r="S713" s="2613" t="s">
        <v>1455</v>
      </c>
      <c r="T713" s="2613" t="s">
        <v>1455</v>
      </c>
      <c r="U713" s="2613"/>
      <c r="V713" s="2859" t="s">
        <v>2129</v>
      </c>
      <c r="W713" s="2859"/>
      <c r="X713" s="2860" t="str">
        <f t="shared" si="162"/>
        <v>Grande</v>
      </c>
      <c r="Y713" s="2603">
        <f t="shared" si="161"/>
        <v>0</v>
      </c>
      <c r="Z713" s="1259" t="str">
        <f t="shared" si="132"/>
        <v/>
      </c>
      <c r="AA713" s="1955" t="s">
        <v>2109</v>
      </c>
      <c r="AC713" s="3045" t="s">
        <v>2167</v>
      </c>
      <c r="AD713" s="2847">
        <f>IFERROR(IF(IF(AC713&lt;&gt;"",VLOOKUP(AC713,Tabla_ArmasyEscudos,9,0),"")="Conocida",MAX(AD$645:AD712)+1,0),0)</f>
        <v>0</v>
      </c>
      <c r="AE713" s="2847">
        <f ca="1">IF(AC713="",0,IF(AD713=0,MAX(AE$639:AE712,AG$637)+1,AD713+IFERROR(VLOOKUP(VLOOKUP(AC713,$D$638:$AA$840,24,0),AC$639:AE$644,3,0)-VLOOKUP(VLOOKUP(AC713,$D$638:$AA$840,24,0),AC$639:AE$644,2,0)+1,0)))</f>
        <v>69</v>
      </c>
      <c r="AF713" s="2847" t="str">
        <f t="shared" ca="1" si="155"/>
        <v>Boku-to</v>
      </c>
      <c r="AG713" s="2847" t="str">
        <f t="shared" ca="1" si="156"/>
        <v/>
      </c>
      <c r="AH713" s="3045"/>
      <c r="AI713" s="2847">
        <f>IFERROR(IF(IF(AH713&lt;&gt;"",VLOOKUP(AH713,Tabla_ArmasyEscudos,9,0),"")="Conocida",MAX(AI$645:AI712)+1,0),0)</f>
        <v>0</v>
      </c>
      <c r="AJ713" s="2847">
        <f>IF(AH713="",0,IF(AI713=0,MAX(AJ$639:AJ712,AL$637)+1,AI713+IFERROR(VLOOKUP(VLOOKUP(AH713,$D$638:$AA$840,24,0),AH$639:AJ$644,3,0)-VLOOKUP(VLOOKUP(AH713,$D$638:$AA$840,24,0),AH$639:AJ$644,2,0)+1,0)))</f>
        <v>0</v>
      </c>
      <c r="AK713" s="2847" t="str">
        <f t="shared" ca="1" si="133"/>
        <v/>
      </c>
      <c r="AL713" s="2847" t="str">
        <f t="shared" ca="1" si="157"/>
        <v/>
      </c>
      <c r="AM713" s="3045"/>
      <c r="AN713" s="2847">
        <f>IFERROR(IF(IF(AM713&lt;&gt;"",VLOOKUP(AM713,Tabla_ArmasyEscudos,9,0),"")="Conocida",MAX(AN$645:AN712)+1,0),0)</f>
        <v>0</v>
      </c>
      <c r="AO713" s="2847">
        <f>IF(AM713="",0,IF(AN713=0,MAX(AO$639:AO712,AQ$637)+1,AN713+IFERROR(VLOOKUP(VLOOKUP(AM713,$D$638:$AA$840,24,0),AM$639:AO$644,3,0)-VLOOKUP(VLOOKUP(AM713,$D$638:$AA$840,24,0),AM$639:AO$644,2,0)+1,0)))</f>
        <v>0</v>
      </c>
      <c r="AP713" s="2847" t="str">
        <f t="shared" ca="1" si="134"/>
        <v/>
      </c>
      <c r="AQ713" s="2847" t="str">
        <f t="shared" ca="1" si="158"/>
        <v/>
      </c>
      <c r="AR713" s="3045"/>
      <c r="AS713" s="2847">
        <f>IFERROR(IF(IF(AR713&lt;&gt;"",VLOOKUP(AR713,Tabla_ArmasyEscudos,9,0),"")="Conocida",MAX(AS$645:AS712)+1,0),0)</f>
        <v>0</v>
      </c>
      <c r="AT713" s="2847">
        <f>IF(AR713="",0,IF(AS713=0,MAX(AT$639:AT712,AV$637)+1,AS713+IFERROR(VLOOKUP(VLOOKUP(AR713,$D$638:$AA$840,24,0),AR$639:AT$644,3,0)-VLOOKUP(VLOOKUP(AR713,$D$638:$AA$840,24,0),AR$639:AT$644,2,0)+1,0)))</f>
        <v>0</v>
      </c>
      <c r="AU713" s="2847" t="str">
        <f t="shared" ca="1" si="135"/>
        <v/>
      </c>
      <c r="AV713" s="2847" t="str">
        <f t="shared" ca="1" si="159"/>
        <v/>
      </c>
      <c r="AX713" s="1250" t="str">
        <f t="shared" si="136"/>
        <v>Turcus</v>
      </c>
      <c r="AY713" s="3025"/>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5"/>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5"/>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5"/>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5"/>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042"/>
      <c r="C714" s="1141"/>
      <c r="D714" s="2614" t="s">
        <v>2165</v>
      </c>
      <c r="E714" s="2618">
        <v>30</v>
      </c>
      <c r="F714" s="2613">
        <v>10</v>
      </c>
      <c r="G714" s="2613">
        <v>4</v>
      </c>
      <c r="H714" s="2613">
        <v>4</v>
      </c>
      <c r="I714" s="2613" t="s">
        <v>1497</v>
      </c>
      <c r="J714" s="2613" t="s">
        <v>1455</v>
      </c>
      <c r="K714" s="2859" t="s">
        <v>7257</v>
      </c>
      <c r="L714" s="2613" t="str">
        <f t="shared" si="160"/>
        <v>Distinta</v>
      </c>
      <c r="M714" s="2619">
        <v>11</v>
      </c>
      <c r="N714" s="2619">
        <v>0</v>
      </c>
      <c r="O714" s="2619">
        <v>30</v>
      </c>
      <c r="P714" s="2613"/>
      <c r="Q714" s="2613"/>
      <c r="R714" s="2613" t="s">
        <v>1455</v>
      </c>
      <c r="S714" s="2613" t="s">
        <v>1455</v>
      </c>
      <c r="T714" s="2613" t="s">
        <v>1455</v>
      </c>
      <c r="U714" s="2613"/>
      <c r="V714" s="2859" t="s">
        <v>1578</v>
      </c>
      <c r="W714" s="2859"/>
      <c r="X714" s="2860" t="str">
        <f t="shared" si="162"/>
        <v>Grande</v>
      </c>
      <c r="Y714" s="2603">
        <f t="shared" si="161"/>
        <v>0</v>
      </c>
      <c r="Z714" s="1259" t="str">
        <f t="shared" si="132"/>
        <v/>
      </c>
      <c r="AA714" s="1955" t="s">
        <v>2109</v>
      </c>
      <c r="AC714" s="3045" t="s">
        <v>2169</v>
      </c>
      <c r="AD714" s="2847">
        <f>IFERROR(IF(IF(AC714&lt;&gt;"",VLOOKUP(AC714,Tabla_ArmasyEscudos,9,0),"")="Conocida",MAX(AD$645:AD713)+1,0),0)</f>
        <v>0</v>
      </c>
      <c r="AE714" s="2847">
        <f ca="1">IF(AC714="",0,IF(AD714=0,MAX(AE$639:AE713,AG$637)+1,AD714+IFERROR(VLOOKUP(VLOOKUP(AC714,$D$638:$AA$840,24,0),AC$639:AE$644,3,0)-VLOOKUP(VLOOKUP(AC714,$D$638:$AA$840,24,0),AC$639:AE$644,2,0)+1,0)))</f>
        <v>70</v>
      </c>
      <c r="AF714" s="2847" t="str">
        <f t="shared" ca="1" si="155"/>
        <v>Bumerán</v>
      </c>
      <c r="AG714" s="2847" t="str">
        <f t="shared" ca="1" si="156"/>
        <v/>
      </c>
      <c r="AH714" s="3045"/>
      <c r="AI714" s="2847">
        <f>IFERROR(IF(IF(AH714&lt;&gt;"",VLOOKUP(AH714,Tabla_ArmasyEscudos,9,0),"")="Conocida",MAX(AI$645:AI713)+1,0),0)</f>
        <v>0</v>
      </c>
      <c r="AJ714" s="2847">
        <f>IF(AH714="",0,IF(AI714=0,MAX(AJ$639:AJ713,AL$637)+1,AI714+IFERROR(VLOOKUP(VLOOKUP(AH714,$D$638:$AA$840,24,0),AH$639:AJ$644,3,0)-VLOOKUP(VLOOKUP(AH714,$D$638:$AA$840,24,0),AH$639:AJ$644,2,0)+1,0)))</f>
        <v>0</v>
      </c>
      <c r="AK714" s="2847" t="str">
        <f t="shared" ca="1" si="133"/>
        <v/>
      </c>
      <c r="AL714" s="2847" t="str">
        <f t="shared" ca="1" si="157"/>
        <v/>
      </c>
      <c r="AM714" s="3045"/>
      <c r="AN714" s="2847">
        <f>IFERROR(IF(IF(AM714&lt;&gt;"",VLOOKUP(AM714,Tabla_ArmasyEscudos,9,0),"")="Conocida",MAX(AN$645:AN713)+1,0),0)</f>
        <v>0</v>
      </c>
      <c r="AO714" s="2847">
        <f>IF(AM714="",0,IF(AN714=0,MAX(AO$639:AO713,AQ$637)+1,AN714+IFERROR(VLOOKUP(VLOOKUP(AM714,$D$638:$AA$840,24,0),AM$639:AO$644,3,0)-VLOOKUP(VLOOKUP(AM714,$D$638:$AA$840,24,0),AM$639:AO$644,2,0)+1,0)))</f>
        <v>0</v>
      </c>
      <c r="AP714" s="2847" t="str">
        <f t="shared" ca="1" si="134"/>
        <v/>
      </c>
      <c r="AQ714" s="2847" t="str">
        <f t="shared" ca="1" si="158"/>
        <v/>
      </c>
      <c r="AR714" s="3045"/>
      <c r="AS714" s="2847">
        <f>IFERROR(IF(IF(AR714&lt;&gt;"",VLOOKUP(AR714,Tabla_ArmasyEscudos,9,0),"")="Conocida",MAX(AS$645:AS713)+1,0),0)</f>
        <v>0</v>
      </c>
      <c r="AT714" s="2847">
        <f>IF(AR714="",0,IF(AS714=0,MAX(AT$639:AT713,AV$637)+1,AS714+IFERROR(VLOOKUP(VLOOKUP(AR714,$D$638:$AA$840,24,0),AR$639:AT$644,3,0)-VLOOKUP(VLOOKUP(AR714,$D$638:$AA$840,24,0),AR$639:AT$644,2,0)+1,0)))</f>
        <v>0</v>
      </c>
      <c r="AU714" s="2847" t="str">
        <f t="shared" ca="1" si="135"/>
        <v/>
      </c>
      <c r="AV714" s="2847" t="str">
        <f t="shared" ca="1" si="159"/>
        <v/>
      </c>
      <c r="AX714" s="1250" t="str">
        <f t="shared" si="136"/>
        <v>Urumi</v>
      </c>
      <c r="AY714" s="3025"/>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5"/>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5"/>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5"/>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5"/>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042"/>
      <c r="C715" s="1141"/>
      <c r="D715" s="2614" t="s">
        <v>2166</v>
      </c>
      <c r="E715" s="2611"/>
      <c r="F715" s="2611"/>
      <c r="G715" s="2611"/>
      <c r="H715" s="2611"/>
      <c r="I715" s="2611"/>
      <c r="J715" s="2611"/>
      <c r="K715" s="2607" t="s">
        <v>7255</v>
      </c>
      <c r="L715" s="2613"/>
      <c r="M715" s="2611"/>
      <c r="N715" s="2611"/>
      <c r="O715" s="2611"/>
      <c r="P715" s="2611"/>
      <c r="Q715" s="2611"/>
      <c r="R715" s="2611"/>
      <c r="S715" s="2611"/>
      <c r="T715" s="2611"/>
      <c r="U715" s="2611"/>
      <c r="V715" s="2607"/>
      <c r="W715" s="2607"/>
      <c r="X715" s="2608"/>
      <c r="Y715" s="1144"/>
      <c r="Z715" s="1259" t="str">
        <f t="shared" si="132"/>
        <v/>
      </c>
      <c r="AA715" s="1955"/>
      <c r="AC715" s="3045" t="s">
        <v>2170</v>
      </c>
      <c r="AD715" s="2847">
        <f>IFERROR(IF(IF(AC715&lt;&gt;"",VLOOKUP(AC715,Tabla_ArmasyEscudos,9,0),"")="Conocida",MAX(AD$645:AD714)+1,0),0)</f>
        <v>0</v>
      </c>
      <c r="AE715" s="2847">
        <f ca="1">IF(AC715="",0,IF(AD715=0,MAX(AE$639:AE714,AG$637)+1,AD715+IFERROR(VLOOKUP(VLOOKUP(AC715,$D$638:$AA$840,24,0),AC$639:AE$644,3,0)-VLOOKUP(VLOOKUP(AC715,$D$638:$AA$840,24,0),AC$639:AE$644,2,0)+1,0)))</f>
        <v>71</v>
      </c>
      <c r="AF715" s="2847" t="str">
        <f t="shared" ca="1" si="155"/>
        <v>Cuervo</v>
      </c>
      <c r="AG715" s="2847" t="str">
        <f t="shared" ca="1" si="156"/>
        <v/>
      </c>
      <c r="AH715" s="3045"/>
      <c r="AI715" s="2847">
        <f>IFERROR(IF(IF(AH715&lt;&gt;"",VLOOKUP(AH715,Tabla_ArmasyEscudos,9,0),"")="Conocida",MAX(AI$645:AI714)+1,0),0)</f>
        <v>0</v>
      </c>
      <c r="AJ715" s="2847">
        <f>IF(AH715="",0,IF(AI715=0,MAX(AJ$639:AJ714,AL$637)+1,AI715+IFERROR(VLOOKUP(VLOOKUP(AH715,$D$638:$AA$840,24,0),AH$639:AJ$644,3,0)-VLOOKUP(VLOOKUP(AH715,$D$638:$AA$840,24,0),AH$639:AJ$644,2,0)+1,0)))</f>
        <v>0</v>
      </c>
      <c r="AK715" s="2847" t="str">
        <f t="shared" ca="1" si="133"/>
        <v/>
      </c>
      <c r="AL715" s="2847" t="str">
        <f t="shared" ca="1" si="157"/>
        <v/>
      </c>
      <c r="AM715" s="3045"/>
      <c r="AN715" s="2847">
        <f>IFERROR(IF(IF(AM715&lt;&gt;"",VLOOKUP(AM715,Tabla_ArmasyEscudos,9,0),"")="Conocida",MAX(AN$645:AN714)+1,0),0)</f>
        <v>0</v>
      </c>
      <c r="AO715" s="2847">
        <f>IF(AM715="",0,IF(AN715=0,MAX(AO$639:AO714,AQ$637)+1,AN715+IFERROR(VLOOKUP(VLOOKUP(AM715,$D$638:$AA$840,24,0),AM$639:AO$644,3,0)-VLOOKUP(VLOOKUP(AM715,$D$638:$AA$840,24,0),AM$639:AO$644,2,0)+1,0)))</f>
        <v>0</v>
      </c>
      <c r="AP715" s="2847" t="str">
        <f t="shared" ca="1" si="134"/>
        <v/>
      </c>
      <c r="AQ715" s="2847" t="str">
        <f t="shared" ca="1" si="158"/>
        <v/>
      </c>
      <c r="AR715" s="3045"/>
      <c r="AS715" s="2847">
        <f>IFERROR(IF(IF(AR715&lt;&gt;"",VLOOKUP(AR715,Tabla_ArmasyEscudos,9,0),"")="Conocida",MAX(AS$645:AS714)+1,0),0)</f>
        <v>0</v>
      </c>
      <c r="AT715" s="2847">
        <f>IF(AR715="",0,IF(AS715=0,MAX(AT$639:AT714,AV$637)+1,AS715+IFERROR(VLOOKUP(VLOOKUP(AR715,$D$638:$AA$840,24,0),AR$639:AT$644,3,0)-VLOOKUP(VLOOKUP(AR715,$D$638:$AA$840,24,0),AR$639:AT$644,2,0)+1,0)))</f>
        <v>0</v>
      </c>
      <c r="AU715" s="2847" t="str">
        <f t="shared" ca="1" si="135"/>
        <v/>
      </c>
      <c r="AV715" s="2847" t="str">
        <f t="shared" ca="1" si="159"/>
        <v/>
      </c>
      <c r="AX715" s="1250" t="str">
        <f t="shared" si="136"/>
        <v>Valaska</v>
      </c>
      <c r="AY715" s="3025"/>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5"/>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5"/>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5"/>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5"/>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042"/>
      <c r="C716" s="1141"/>
      <c r="D716" s="2614" t="s">
        <v>2167</v>
      </c>
      <c r="E716" s="2618">
        <v>25</v>
      </c>
      <c r="F716" s="2613">
        <v>-40</v>
      </c>
      <c r="G716" s="2613">
        <v>10</v>
      </c>
      <c r="H716" s="2613">
        <v>10</v>
      </c>
      <c r="I716" s="2613" t="s">
        <v>1497</v>
      </c>
      <c r="J716" s="2613" t="s">
        <v>1455</v>
      </c>
      <c r="K716" s="2859" t="s">
        <v>7273</v>
      </c>
      <c r="L716" s="2613"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19">
        <v>18</v>
      </c>
      <c r="N716" s="2619">
        <v>1</v>
      </c>
      <c r="O716" s="2619">
        <v>25</v>
      </c>
      <c r="P716" s="2619">
        <v>30</v>
      </c>
      <c r="Q716" s="2619">
        <f>IF(COUNTIF(Compra_TablasEstilo,"Tabla de Esquiva con Escudo")&gt;0,P716,15)</f>
        <v>15</v>
      </c>
      <c r="R716" s="2613" t="s">
        <v>1455</v>
      </c>
      <c r="S716" s="2613" t="s">
        <v>1455</v>
      </c>
      <c r="T716" s="2613" t="s">
        <v>1455</v>
      </c>
      <c r="U716" s="2613"/>
      <c r="V716" s="2609" t="str">
        <f>"Escudo. -"&amp;P716&amp;" HP/-"&amp;Q716&amp;" HE si se usa para atacar."</f>
        <v>Escudo. -30 HP/-15 HE si se usa para atacar.</v>
      </c>
      <c r="W716" s="2609"/>
      <c r="X716" s="2610"/>
      <c r="Y716" s="2603">
        <f>Bono_Fue</f>
        <v>0</v>
      </c>
      <c r="Z716" s="1259" t="str">
        <f t="shared" si="132"/>
        <v/>
      </c>
      <c r="AA716" s="1955" t="s">
        <v>2166</v>
      </c>
      <c r="AC716" s="3050" t="s">
        <v>2171</v>
      </c>
      <c r="AD716" s="2847">
        <f>IFERROR(IF(IF(AC716&lt;&gt;"",VLOOKUP(AC716,Tabla_ArmasyEscudos,9,0),"")="Conocida",MAX(AD$645:AD715)+1,0),0)</f>
        <v>0</v>
      </c>
      <c r="AE716" s="2847">
        <f ca="1">IF(AC716="",0,IF(AD716=0,MAX(AE$639:AE715,AG$637)+1,AD716+IFERROR(VLOOKUP(VLOOKUP(AC716,$D$638:$AA$840,24,0),AC$639:AE$644,3,0)-VLOOKUP(VLOOKUP(AC716,$D$638:$AA$840,24,0),AC$639:AE$644,2,0)+1,0)))</f>
        <v>72</v>
      </c>
      <c r="AF716" s="2847" t="str">
        <f t="shared" ca="1" si="155"/>
        <v>Garras</v>
      </c>
      <c r="AG716" s="2847" t="str">
        <f t="shared" ca="1" si="156"/>
        <v/>
      </c>
      <c r="AH716" s="3045"/>
      <c r="AI716" s="2847">
        <f>IFERROR(IF(IF(AH716&lt;&gt;"",VLOOKUP(AH716,Tabla_ArmasyEscudos,9,0),"")="Conocida",MAX(AI$645:AI715)+1,0),0)</f>
        <v>0</v>
      </c>
      <c r="AJ716" s="2847">
        <f>IF(AH716="",0,IF(AI716=0,MAX(AJ$639:AJ715,AL$637)+1,AI716+IFERROR(VLOOKUP(VLOOKUP(AH716,$D$638:$AA$840,24,0),AH$639:AJ$644,3,0)-VLOOKUP(VLOOKUP(AH716,$D$638:$AA$840,24,0),AH$639:AJ$644,2,0)+1,0)))</f>
        <v>0</v>
      </c>
      <c r="AK716" s="2847" t="str">
        <f t="shared" ca="1" si="133"/>
        <v/>
      </c>
      <c r="AL716" s="2847" t="str">
        <f t="shared" ca="1" si="157"/>
        <v/>
      </c>
      <c r="AM716" s="3045"/>
      <c r="AN716" s="2847">
        <f>IFERROR(IF(IF(AM716&lt;&gt;"",VLOOKUP(AM716,Tabla_ArmasyEscudos,9,0),"")="Conocida",MAX(AN$645:AN715)+1,0),0)</f>
        <v>0</v>
      </c>
      <c r="AO716" s="2847">
        <f>IF(AM716="",0,IF(AN716=0,MAX(AO$639:AO715,AQ$637)+1,AN716+IFERROR(VLOOKUP(VLOOKUP(AM716,$D$638:$AA$840,24,0),AM$639:AO$644,3,0)-VLOOKUP(VLOOKUP(AM716,$D$638:$AA$840,24,0),AM$639:AO$644,2,0)+1,0)))</f>
        <v>0</v>
      </c>
      <c r="AP716" s="2847" t="str">
        <f t="shared" ca="1" si="134"/>
        <v/>
      </c>
      <c r="AQ716" s="2847" t="str">
        <f t="shared" ca="1" si="158"/>
        <v/>
      </c>
      <c r="AR716" s="3045"/>
      <c r="AS716" s="2847">
        <f>IFERROR(IF(IF(AR716&lt;&gt;"",VLOOKUP(AR716,Tabla_ArmasyEscudos,9,0),"")="Conocida",MAX(AS$645:AS715)+1,0),0)</f>
        <v>0</v>
      </c>
      <c r="AT716" s="2847">
        <f>IF(AR716="",0,IF(AS716=0,MAX(AT$639:AT715,AV$637)+1,AS716+IFERROR(VLOOKUP(VLOOKUP(AR716,$D$638:$AA$840,24,0),AR$639:AT$644,3,0)-VLOOKUP(VLOOKUP(AR716,$D$638:$AA$840,24,0),AR$639:AT$644,2,0)+1,0)))</f>
        <v>0</v>
      </c>
      <c r="AU716" s="2847" t="str">
        <f t="shared" ca="1" si="135"/>
        <v/>
      </c>
      <c r="AV716" s="2847" t="str">
        <f t="shared" ca="1" si="159"/>
        <v/>
      </c>
      <c r="AX716" s="1250" t="str">
        <f t="shared" si="136"/>
        <v>Vara</v>
      </c>
      <c r="AY716" s="3025"/>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5"/>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5"/>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5"/>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5"/>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042"/>
      <c r="C717" s="1141"/>
      <c r="D717" s="2614" t="s">
        <v>2169</v>
      </c>
      <c r="E717" s="2618">
        <v>20</v>
      </c>
      <c r="F717" s="2613">
        <v>-25</v>
      </c>
      <c r="G717" s="2613">
        <v>7</v>
      </c>
      <c r="H717" s="2613">
        <v>7</v>
      </c>
      <c r="I717" s="2613" t="s">
        <v>1497</v>
      </c>
      <c r="J717" s="2613" t="s">
        <v>1455</v>
      </c>
      <c r="K717" s="2859" t="s">
        <v>7273</v>
      </c>
      <c r="L717" s="2613"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19">
        <v>16</v>
      </c>
      <c r="N717" s="2619">
        <v>0</v>
      </c>
      <c r="O717" s="2619">
        <v>25</v>
      </c>
      <c r="P717" s="2619">
        <v>20</v>
      </c>
      <c r="Q717" s="2619">
        <f>IF(COUNTIF(Compra_TablasEstilo,"Tabla de Esquiva con Escudo")&gt;0,P717,10)</f>
        <v>10</v>
      </c>
      <c r="R717" s="2613" t="s">
        <v>1455</v>
      </c>
      <c r="S717" s="2613" t="s">
        <v>1455</v>
      </c>
      <c r="T717" s="2613" t="s">
        <v>1455</v>
      </c>
      <c r="U717" s="2613"/>
      <c r="V717" s="2609" t="str">
        <f>"Escudo. -"&amp;P717&amp;" HP/-"&amp;Q717&amp;" HE si se usa para atacar."</f>
        <v>Escudo. -20 HP/-10 HE si se usa para atacar.</v>
      </c>
      <c r="W717" s="2609"/>
      <c r="X717" s="2610"/>
      <c r="Y717" s="2603">
        <f>Bono_Fue</f>
        <v>0</v>
      </c>
      <c r="Z717" s="1259" t="str">
        <f t="shared" si="132"/>
        <v/>
      </c>
      <c r="AA717" s="1955" t="s">
        <v>2166</v>
      </c>
      <c r="AC717" s="1023" t="s">
        <v>2172</v>
      </c>
      <c r="AD717" s="2847">
        <f>IFERROR(IF(IF(AC717&lt;&gt;"",VLOOKUP(AC717,Tabla_ArmasyEscudos,9,0),"")="Conocida",MAX(AD$645:AD716)+1,0),0)</f>
        <v>0</v>
      </c>
      <c r="AE717" s="2847">
        <f ca="1">IF(AC717="",0,IF(AD717=0,MAX(AE$639:AE716,AG$637)+1,AD717+IFERROR(VLOOKUP(VLOOKUP(AC717,$D$638:$AA$840,24,0),AC$639:AE$644,3,0)-VLOOKUP(VLOOKUP(AC717,$D$638:$AA$840,24,0),AC$639:AE$644,2,0)+1,0)))</f>
        <v>73</v>
      </c>
      <c r="AF717" s="2847" t="str">
        <f t="shared" ca="1" si="155"/>
        <v>Jutte</v>
      </c>
      <c r="AG717" s="2847" t="str">
        <f t="shared" ca="1" si="156"/>
        <v/>
      </c>
      <c r="AH717" s="3045"/>
      <c r="AI717" s="2847">
        <f>IFERROR(IF(IF(AH717&lt;&gt;"",VLOOKUP(AH717,Tabla_ArmasyEscudos,9,0),"")="Conocida",MAX(AI$645:AI716)+1,0),0)</f>
        <v>0</v>
      </c>
      <c r="AJ717" s="2847">
        <f>IF(AH717="",0,IF(AI717=0,MAX(AJ$639:AJ716,AL$637)+1,AI717+IFERROR(VLOOKUP(VLOOKUP(AH717,$D$638:$AA$840,24,0),AH$639:AJ$644,3,0)-VLOOKUP(VLOOKUP(AH717,$D$638:$AA$840,24,0),AH$639:AJ$644,2,0)+1,0)))</f>
        <v>0</v>
      </c>
      <c r="AK717" s="2847" t="str">
        <f t="shared" ca="1" si="133"/>
        <v/>
      </c>
      <c r="AL717" s="2847" t="str">
        <f t="shared" ca="1" si="157"/>
        <v/>
      </c>
      <c r="AM717" s="3045"/>
      <c r="AN717" s="2847">
        <f>IFERROR(IF(IF(AM717&lt;&gt;"",VLOOKUP(AM717,Tabla_ArmasyEscudos,9,0),"")="Conocida",MAX(AN$645:AN716)+1,0),0)</f>
        <v>0</v>
      </c>
      <c r="AO717" s="2847">
        <f>IF(AM717="",0,IF(AN717=0,MAX(AO$639:AO716,AQ$637)+1,AN717+IFERROR(VLOOKUP(VLOOKUP(AM717,$D$638:$AA$840,24,0),AM$639:AO$644,3,0)-VLOOKUP(VLOOKUP(AM717,$D$638:$AA$840,24,0),AM$639:AO$644,2,0)+1,0)))</f>
        <v>0</v>
      </c>
      <c r="AP717" s="2847" t="str">
        <f t="shared" ca="1" si="134"/>
        <v/>
      </c>
      <c r="AQ717" s="2847" t="str">
        <f t="shared" ca="1" si="158"/>
        <v/>
      </c>
      <c r="AR717" s="3045"/>
      <c r="AS717" s="2847">
        <f>IFERROR(IF(IF(AR717&lt;&gt;"",VLOOKUP(AR717,Tabla_ArmasyEscudos,9,0),"")="Conocida",MAX(AS$645:AS716)+1,0),0)</f>
        <v>0</v>
      </c>
      <c r="AT717" s="2847">
        <f>IF(AR717="",0,IF(AS717=0,MAX(AT$639:AT716,AV$637)+1,AS717+IFERROR(VLOOKUP(VLOOKUP(AR717,$D$638:$AA$840,24,0),AR$639:AT$644,3,0)-VLOOKUP(VLOOKUP(AR717,$D$638:$AA$840,24,0),AR$639:AT$644,2,0)+1,0)))</f>
        <v>0</v>
      </c>
      <c r="AU717" s="2847" t="str">
        <f t="shared" ca="1" si="135"/>
        <v/>
      </c>
      <c r="AV717" s="2847" t="str">
        <f t="shared" ca="1" si="159"/>
        <v/>
      </c>
      <c r="AX717" s="1250" t="str">
        <f t="shared" si="136"/>
        <v>&gt; ESCUDOS</v>
      </c>
      <c r="AY717" s="3025"/>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5"/>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5"/>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5"/>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5"/>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042"/>
      <c r="C718" s="1141"/>
      <c r="D718" s="2614" t="s">
        <v>2170</v>
      </c>
      <c r="E718" s="2618">
        <v>15</v>
      </c>
      <c r="F718" s="2613">
        <v>-15</v>
      </c>
      <c r="G718" s="2613">
        <v>5</v>
      </c>
      <c r="H718" s="2613">
        <v>5</v>
      </c>
      <c r="I718" s="2613" t="s">
        <v>1497</v>
      </c>
      <c r="J718" s="2613" t="s">
        <v>1455</v>
      </c>
      <c r="K718" s="2859" t="s">
        <v>7273</v>
      </c>
      <c r="L718" s="2613"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19">
        <v>14</v>
      </c>
      <c r="N718" s="2619">
        <v>0</v>
      </c>
      <c r="O718" s="2619">
        <v>20</v>
      </c>
      <c r="P718" s="2619">
        <v>10</v>
      </c>
      <c r="Q718" s="2619">
        <f>IF(COUNTIF(Compra_TablasEstilo,"Tabla de Esquiva con Escudo")&gt;0,P718,5)</f>
        <v>5</v>
      </c>
      <c r="R718" s="2613" t="s">
        <v>1455</v>
      </c>
      <c r="S718" s="2613" t="s">
        <v>1455</v>
      </c>
      <c r="T718" s="2613" t="s">
        <v>1455</v>
      </c>
      <c r="U718" s="2613"/>
      <c r="V718" s="2609" t="str">
        <f>"Escudo. -"&amp;P718&amp;" HP/-"&amp;Q718&amp;" HE si se usa para atacar."</f>
        <v>Escudo. -10 HP/-5 HE si se usa para atacar.</v>
      </c>
      <c r="W718" s="2609"/>
      <c r="X718" s="2610"/>
      <c r="Y718" s="2603">
        <f>Bono_Fue</f>
        <v>0</v>
      </c>
      <c r="Z718" s="1259" t="str">
        <f t="shared" si="132"/>
        <v/>
      </c>
      <c r="AA718" s="1955" t="s">
        <v>2166</v>
      </c>
      <c r="AC718" s="3045" t="s">
        <v>6996</v>
      </c>
      <c r="AD718" s="2847">
        <f>IFERROR(IF(IF(AC718&lt;&gt;"",VLOOKUP(AC718,Tabla_ArmasyEscudos,9,0),"")="Conocida",MAX(AD$645:AD717)+1,0),0)</f>
        <v>0</v>
      </c>
      <c r="AE718" s="2847">
        <f ca="1">IF(AC718="",0,IF(AD718=0,MAX(AE$639:AE717,AG$637)+1,AD718+IFERROR(VLOOKUP(VLOOKUP(AC718,$D$638:$AA$840,24,0),AC$639:AE$644,3,0)-VLOOKUP(VLOOKUP(AC718,$D$638:$AA$840,24,0),AC$639:AE$644,2,0)+1,0)))</f>
        <v>74</v>
      </c>
      <c r="AF718" s="2847" t="str">
        <f t="shared" ca="1" si="155"/>
        <v>Kama</v>
      </c>
      <c r="AG718" s="2847" t="str">
        <f t="shared" ca="1" si="156"/>
        <v/>
      </c>
      <c r="AH718" s="3045"/>
      <c r="AI718" s="2847">
        <f>IFERROR(IF(IF(AH718&lt;&gt;"",VLOOKUP(AH718,Tabla_ArmasyEscudos,9,0),"")="Conocida",MAX(AI$645:AI717)+1,0),0)</f>
        <v>0</v>
      </c>
      <c r="AJ718" s="2847">
        <f>IF(AH718="",0,IF(AI718=0,MAX(AJ$639:AJ717,AL$637)+1,AI718+IFERROR(VLOOKUP(VLOOKUP(AH718,$D$638:$AA$840,24,0),AH$639:AJ$644,3,0)-VLOOKUP(VLOOKUP(AH718,$D$638:$AA$840,24,0),AH$639:AJ$644,2,0)+1,0)))</f>
        <v>0</v>
      </c>
      <c r="AK718" s="2847" t="str">
        <f t="shared" ca="1" si="133"/>
        <v/>
      </c>
      <c r="AL718" s="2847" t="str">
        <f t="shared" ca="1" si="157"/>
        <v/>
      </c>
      <c r="AM718" s="3045"/>
      <c r="AN718" s="2847">
        <f>IFERROR(IF(IF(AM718&lt;&gt;"",VLOOKUP(AM718,Tabla_ArmasyEscudos,9,0),"")="Conocida",MAX(AN$645:AN717)+1,0),0)</f>
        <v>0</v>
      </c>
      <c r="AO718" s="2847">
        <f>IF(AM718="",0,IF(AN718=0,MAX(AO$639:AO717,AQ$637)+1,AN718+IFERROR(VLOOKUP(VLOOKUP(AM718,$D$638:$AA$840,24,0),AM$639:AO$644,3,0)-VLOOKUP(VLOOKUP(AM718,$D$638:$AA$840,24,0),AM$639:AO$644,2,0)+1,0)))</f>
        <v>0</v>
      </c>
      <c r="AP718" s="2847" t="str">
        <f t="shared" ca="1" si="134"/>
        <v/>
      </c>
      <c r="AQ718" s="2847" t="str">
        <f t="shared" ca="1" si="158"/>
        <v/>
      </c>
      <c r="AR718" s="3045"/>
      <c r="AS718" s="2847">
        <f>IFERROR(IF(IF(AR718&lt;&gt;"",VLOOKUP(AR718,Tabla_ArmasyEscudos,9,0),"")="Conocida",MAX(AS$645:AS717)+1,0),0)</f>
        <v>0</v>
      </c>
      <c r="AT718" s="2847">
        <f>IF(AR718="",0,IF(AS718=0,MAX(AT$639:AT717,AV$637)+1,AS718+IFERROR(VLOOKUP(VLOOKUP(AR718,$D$638:$AA$840,24,0),AR$639:AT$644,3,0)-VLOOKUP(VLOOKUP(AR718,$D$638:$AA$840,24,0),AR$639:AT$644,2,0)+1,0)))</f>
        <v>0</v>
      </c>
      <c r="AU718" s="2847" t="str">
        <f t="shared" ca="1" si="135"/>
        <v/>
      </c>
      <c r="AV718" s="2847" t="str">
        <f t="shared" ca="1" si="159"/>
        <v/>
      </c>
      <c r="AX718" s="1250" t="str">
        <f t="shared" si="136"/>
        <v>Escudo corporal</v>
      </c>
      <c r="AY718" s="3025"/>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5"/>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5"/>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5"/>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5"/>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042"/>
      <c r="C719" s="1141"/>
      <c r="D719" s="2614" t="s">
        <v>2171</v>
      </c>
      <c r="E719" s="2611"/>
      <c r="F719" s="2611"/>
      <c r="G719" s="2611"/>
      <c r="H719" s="2611"/>
      <c r="I719" s="2611"/>
      <c r="J719" s="2611"/>
      <c r="K719" s="2607" t="s">
        <v>7255</v>
      </c>
      <c r="L719" s="2613"/>
      <c r="M719" s="2611"/>
      <c r="N719" s="2611"/>
      <c r="O719" s="2611"/>
      <c r="P719" s="2611"/>
      <c r="Q719" s="2611"/>
      <c r="R719" s="2611"/>
      <c r="S719" s="2611"/>
      <c r="T719" s="2611"/>
      <c r="U719" s="2611"/>
      <c r="V719" s="2607"/>
      <c r="W719" s="2607"/>
      <c r="X719" s="2608"/>
      <c r="Y719" s="1144"/>
      <c r="Z719" s="1259" t="str">
        <f t="shared" si="132"/>
        <v/>
      </c>
      <c r="AA719" s="1955"/>
      <c r="AC719" s="3045" t="s">
        <v>10155</v>
      </c>
      <c r="AD719" s="2847">
        <f>IFERROR(IF(IF(AC719&lt;&gt;"",VLOOKUP(AC719,Tabla_ArmasyEscudos,9,0),"")="Conocida",MAX(AD$645:AD718)+1,0),0)</f>
        <v>0</v>
      </c>
      <c r="AE719" s="2847">
        <f ca="1">IF(AC719="",0,IF(AD719=0,MAX(AE$639:AE718,AG$637)+1,AD719+IFERROR(VLOOKUP(VLOOKUP(AC719,$D$638:$AA$840,24,0),AC$639:AE$644,3,0)-VLOOKUP(VLOOKUP(AC719,$D$638:$AA$840,24,0),AC$639:AE$644,2,0)+1,0)))</f>
        <v>75</v>
      </c>
      <c r="AF719" s="2847" t="str">
        <f t="shared" ca="1" si="155"/>
        <v>Katana</v>
      </c>
      <c r="AG719" s="2847" t="str">
        <f t="shared" ca="1" si="156"/>
        <v/>
      </c>
      <c r="AH719" s="3045"/>
      <c r="AI719" s="2847">
        <f>IFERROR(IF(IF(AH719&lt;&gt;"",VLOOKUP(AH719,Tabla_ArmasyEscudos,9,0),"")="Conocida",MAX(AI$645:AI718)+1,0),0)</f>
        <v>0</v>
      </c>
      <c r="AJ719" s="2847">
        <f>IF(AH719="",0,IF(AI719=0,MAX(AJ$639:AJ718,AL$637)+1,AI719+IFERROR(VLOOKUP(VLOOKUP(AH719,$D$638:$AA$840,24,0),AH$639:AJ$644,3,0)-VLOOKUP(VLOOKUP(AH719,$D$638:$AA$840,24,0),AH$639:AJ$644,2,0)+1,0)))</f>
        <v>0</v>
      </c>
      <c r="AK719" s="2847" t="str">
        <f t="shared" ca="1" si="133"/>
        <v/>
      </c>
      <c r="AL719" s="2847" t="str">
        <f t="shared" ca="1" si="157"/>
        <v/>
      </c>
      <c r="AM719" s="3045"/>
      <c r="AN719" s="2847">
        <f>IFERROR(IF(IF(AM719&lt;&gt;"",VLOOKUP(AM719,Tabla_ArmasyEscudos,9,0),"")="Conocida",MAX(AN$645:AN718)+1,0),0)</f>
        <v>0</v>
      </c>
      <c r="AO719" s="2847">
        <f>IF(AM719="",0,IF(AN719=0,MAX(AO$639:AO718,AQ$637)+1,AN719+IFERROR(VLOOKUP(VLOOKUP(AM719,$D$638:$AA$840,24,0),AM$639:AO$644,3,0)-VLOOKUP(VLOOKUP(AM719,$D$638:$AA$840,24,0),AM$639:AO$644,2,0)+1,0)))</f>
        <v>0</v>
      </c>
      <c r="AP719" s="2847" t="str">
        <f t="shared" ca="1" si="134"/>
        <v/>
      </c>
      <c r="AQ719" s="2847" t="str">
        <f t="shared" ca="1" si="158"/>
        <v/>
      </c>
      <c r="AR719" s="3045"/>
      <c r="AS719" s="2847">
        <f>IFERROR(IF(IF(AR719&lt;&gt;"",VLOOKUP(AR719,Tabla_ArmasyEscudos,9,0),"")="Conocida",MAX(AS$645:AS718)+1,0),0)</f>
        <v>0</v>
      </c>
      <c r="AT719" s="2847">
        <f>IF(AR719="",0,IF(AS719=0,MAX(AT$639:AT718,AV$637)+1,AS719+IFERROR(VLOOKUP(VLOOKUP(AR719,$D$638:$AA$840,24,0),AR$639:AT$644,3,0)-VLOOKUP(VLOOKUP(AR719,$D$638:$AA$840,24,0),AR$639:AT$644,2,0)+1,0)))</f>
        <v>0</v>
      </c>
      <c r="AU719" s="2847" t="str">
        <f t="shared" ca="1" si="135"/>
        <v/>
      </c>
      <c r="AV719" s="2847" t="str">
        <f t="shared" ca="1" si="159"/>
        <v/>
      </c>
      <c r="AX719" s="1250" t="str">
        <f t="shared" si="136"/>
        <v>Escudo medio</v>
      </c>
      <c r="AY719" s="3025"/>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5"/>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5"/>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5"/>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5"/>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042"/>
      <c r="C720" s="1141"/>
      <c r="D720" s="2614" t="s">
        <v>2172</v>
      </c>
      <c r="E720" s="2618">
        <v>30</v>
      </c>
      <c r="F720" s="2613">
        <v>20</v>
      </c>
      <c r="G720" s="2613">
        <v>4</v>
      </c>
      <c r="H720" s="2613">
        <v>4</v>
      </c>
      <c r="I720" s="2613" t="s">
        <v>1550</v>
      </c>
      <c r="J720" s="2613" t="s">
        <v>1497</v>
      </c>
      <c r="K720" s="2859" t="s">
        <v>7262</v>
      </c>
      <c r="L720" s="2613"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19">
        <v>8</v>
      </c>
      <c r="N720" s="2619">
        <v>0</v>
      </c>
      <c r="O720" s="2619">
        <v>25</v>
      </c>
      <c r="P720" s="2613"/>
      <c r="Q720" s="2613"/>
      <c r="R720" s="2619">
        <v>40</v>
      </c>
      <c r="S720" s="2613" t="s">
        <v>1455</v>
      </c>
      <c r="T720" s="2613">
        <v>20</v>
      </c>
      <c r="U720" s="2613"/>
      <c r="V720" s="2609" t="s">
        <v>8573</v>
      </c>
      <c r="W720" s="2609"/>
      <c r="X720" s="2610" t="str">
        <f t="shared" ref="X720:X775" si="164">IF(K720="/","",IF(OR(ISNUMBER(FIND("Mandoble",K720)),ISNUMBER(FIND("Asta",K720))),"Grande",IF(ISNUMBER(FIND("Corta",K720)),"Pequeña","Mediana")))</f>
        <v>Pequeña</v>
      </c>
      <c r="Y720" s="2603">
        <f t="shared" ref="Y720:Y755" si="165">Bono_Fue</f>
        <v>0</v>
      </c>
      <c r="Z720" s="1259" t="str">
        <f t="shared" si="132"/>
        <v/>
      </c>
      <c r="AA720" s="1955" t="s">
        <v>2171</v>
      </c>
      <c r="AC720" s="3045" t="s">
        <v>2175</v>
      </c>
      <c r="AD720" s="2847">
        <f>IFERROR(IF(IF(AC720&lt;&gt;"",VLOOKUP(AC720,Tabla_ArmasyEscudos,9,0),"")="Conocida",MAX(AD$645:AD719)+1,0),0)</f>
        <v>0</v>
      </c>
      <c r="AE720" s="2847">
        <f ca="1">IF(AC720="",0,IF(AD720=0,MAX(AE$639:AE719,AG$637)+1,AD720+IFERROR(VLOOKUP(VLOOKUP(AC720,$D$638:$AA$840,24,0),AC$639:AE$644,3,0)-VLOOKUP(VLOOKUP(AC720,$D$638:$AA$840,24,0),AC$639:AE$644,2,0)+1,0)))</f>
        <v>76</v>
      </c>
      <c r="AF720" s="2847" t="str">
        <f t="shared" ca="1" si="155"/>
        <v>Katar</v>
      </c>
      <c r="AG720" s="2847" t="str">
        <f t="shared" ca="1" si="156"/>
        <v/>
      </c>
      <c r="AH720" s="3045"/>
      <c r="AI720" s="2847">
        <f>IFERROR(IF(IF(AH720&lt;&gt;"",VLOOKUP(AH720,Tabla_ArmasyEscudos,9,0),"")="Conocida",MAX(AI$645:AI719)+1,0),0)</f>
        <v>0</v>
      </c>
      <c r="AJ720" s="2847">
        <f>IF(AH720="",0,IF(AI720=0,MAX(AJ$639:AJ719,AL$637)+1,AI720+IFERROR(VLOOKUP(VLOOKUP(AH720,$D$638:$AA$840,24,0),AH$639:AJ$644,3,0)-VLOOKUP(VLOOKUP(AH720,$D$638:$AA$840,24,0),AH$639:AJ$644,2,0)+1,0)))</f>
        <v>0</v>
      </c>
      <c r="AK720" s="2847" t="str">
        <f t="shared" ca="1" si="133"/>
        <v/>
      </c>
      <c r="AL720" s="2847" t="str">
        <f t="shared" ca="1" si="157"/>
        <v/>
      </c>
      <c r="AM720" s="3045"/>
      <c r="AN720" s="2847">
        <f>IFERROR(IF(IF(AM720&lt;&gt;"",VLOOKUP(AM720,Tabla_ArmasyEscudos,9,0),"")="Conocida",MAX(AN$645:AN719)+1,0),0)</f>
        <v>0</v>
      </c>
      <c r="AO720" s="2847">
        <f>IF(AM720="",0,IF(AN720=0,MAX(AO$639:AO719,AQ$637)+1,AN720+IFERROR(VLOOKUP(VLOOKUP(AM720,$D$638:$AA$840,24,0),AM$639:AO$644,3,0)-VLOOKUP(VLOOKUP(AM720,$D$638:$AA$840,24,0),AM$639:AO$644,2,0)+1,0)))</f>
        <v>0</v>
      </c>
      <c r="AP720" s="2847" t="str">
        <f t="shared" ca="1" si="134"/>
        <v/>
      </c>
      <c r="AQ720" s="2847" t="str">
        <f t="shared" ca="1" si="158"/>
        <v/>
      </c>
      <c r="AR720" s="3045"/>
      <c r="AS720" s="2847">
        <f>IFERROR(IF(IF(AR720&lt;&gt;"",VLOOKUP(AR720,Tabla_ArmasyEscudos,9,0),"")="Conocida",MAX(AS$645:AS719)+1,0),0)</f>
        <v>0</v>
      </c>
      <c r="AT720" s="2847">
        <f>IF(AR720="",0,IF(AS720=0,MAX(AT$639:AT719,AV$637)+1,AS720+IFERROR(VLOOKUP(VLOOKUP(AR720,$D$638:$AA$840,24,0),AR$639:AT$644,3,0)-VLOOKUP(VLOOKUP(AR720,$D$638:$AA$840,24,0),AR$639:AT$644,2,0)+1,0)))</f>
        <v>0</v>
      </c>
      <c r="AU720" s="2847" t="str">
        <f t="shared" ca="1" si="135"/>
        <v/>
      </c>
      <c r="AV720" s="2847" t="str">
        <f t="shared" ca="1" si="159"/>
        <v/>
      </c>
      <c r="AX720" s="1250" t="str">
        <f t="shared" si="136"/>
        <v>Rodela</v>
      </c>
      <c r="AY720" s="3025"/>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5"/>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5"/>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5"/>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5"/>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042"/>
      <c r="C721" s="1141"/>
      <c r="D721" s="2614" t="s">
        <v>2173</v>
      </c>
      <c r="E721" s="2618">
        <v>35</v>
      </c>
      <c r="F721" s="2613">
        <v>15</v>
      </c>
      <c r="G721" s="2613">
        <v>4</v>
      </c>
      <c r="H721" s="2613">
        <v>4</v>
      </c>
      <c r="I721" s="2613" t="s">
        <v>1550</v>
      </c>
      <c r="J721" s="2613" t="s">
        <v>1551</v>
      </c>
      <c r="K721" s="2859" t="s">
        <v>7257</v>
      </c>
      <c r="L721" s="2613" t="str">
        <f t="shared" si="163"/>
        <v>Distinta</v>
      </c>
      <c r="M721" s="2619">
        <v>12</v>
      </c>
      <c r="N721" s="2619">
        <v>2</v>
      </c>
      <c r="O721" s="2619">
        <v>25</v>
      </c>
      <c r="P721" s="2613"/>
      <c r="Q721" s="2613"/>
      <c r="R721" s="2613" t="s">
        <v>1455</v>
      </c>
      <c r="S721" s="2613" t="s">
        <v>1455</v>
      </c>
      <c r="T721" s="2613" t="s">
        <v>1455</v>
      </c>
      <c r="U721" s="2613"/>
      <c r="V721" s="2609" t="s">
        <v>2174</v>
      </c>
      <c r="W721" s="2609"/>
      <c r="X721" s="2610" t="str">
        <f t="shared" si="164"/>
        <v>Grande</v>
      </c>
      <c r="Y721" s="2603">
        <f t="shared" si="165"/>
        <v>0</v>
      </c>
      <c r="Z721" s="1259" t="str">
        <f t="shared" si="132"/>
        <v/>
      </c>
      <c r="AA721" s="1955" t="s">
        <v>2171</v>
      </c>
      <c r="AC721" s="3045" t="s">
        <v>2177</v>
      </c>
      <c r="AD721" s="2847">
        <f>IFERROR(IF(IF(AC721&lt;&gt;"",VLOOKUP(AC721,Tabla_ArmasyEscudos,9,0),"")="Conocida",MAX(AD$645:AD720)+1,0),0)</f>
        <v>0</v>
      </c>
      <c r="AE721" s="2847">
        <f ca="1">IF(AC721="",0,IF(AD721=0,MAX(AE$639:AE720,AG$637)+1,AD721+IFERROR(VLOOKUP(VLOOKUP(AC721,$D$638:$AA$840,24,0),AC$639:AE$644,3,0)-VLOOKUP(VLOOKUP(AC721,$D$638:$AA$840,24,0),AC$639:AE$644,2,0)+1,0)))</f>
        <v>77</v>
      </c>
      <c r="AF721" s="2847" t="str">
        <f t="shared" ca="1" si="155"/>
        <v>Kau Sin Ke</v>
      </c>
      <c r="AG721" s="2847" t="str">
        <f t="shared" ca="1" si="156"/>
        <v/>
      </c>
      <c r="AH721" s="3045"/>
      <c r="AI721" s="2847">
        <f>IFERROR(IF(IF(AH721&lt;&gt;"",VLOOKUP(AH721,Tabla_ArmasyEscudos,9,0),"")="Conocida",MAX(AI$645:AI720)+1,0),0)</f>
        <v>0</v>
      </c>
      <c r="AJ721" s="2847">
        <f>IF(AH721="",0,IF(AI721=0,MAX(AJ$639:AJ720,AL$637)+1,AI721+IFERROR(VLOOKUP(VLOOKUP(AH721,$D$638:$AA$840,24,0),AH$639:AJ$644,3,0)-VLOOKUP(VLOOKUP(AH721,$D$638:$AA$840,24,0),AH$639:AJ$644,2,0)+1,0)))</f>
        <v>0</v>
      </c>
      <c r="AK721" s="2847" t="str">
        <f t="shared" ca="1" si="133"/>
        <v/>
      </c>
      <c r="AL721" s="2847" t="str">
        <f t="shared" ca="1" si="157"/>
        <v/>
      </c>
      <c r="AM721" s="3045"/>
      <c r="AN721" s="2847">
        <f>IFERROR(IF(IF(AM721&lt;&gt;"",VLOOKUP(AM721,Tabla_ArmasyEscudos,9,0),"")="Conocida",MAX(AN$645:AN720)+1,0),0)</f>
        <v>0</v>
      </c>
      <c r="AO721" s="2847">
        <f>IF(AM721="",0,IF(AN721=0,MAX(AO$639:AO720,AQ$637)+1,AN721+IFERROR(VLOOKUP(VLOOKUP(AM721,$D$638:$AA$840,24,0),AM$639:AO$644,3,0)-VLOOKUP(VLOOKUP(AM721,$D$638:$AA$840,24,0),AM$639:AO$644,2,0)+1,0)))</f>
        <v>0</v>
      </c>
      <c r="AP721" s="2847" t="str">
        <f t="shared" ca="1" si="134"/>
        <v/>
      </c>
      <c r="AQ721" s="2847" t="str">
        <f t="shared" ca="1" si="158"/>
        <v/>
      </c>
      <c r="AR721" s="3045"/>
      <c r="AS721" s="2847">
        <f>IFERROR(IF(IF(AR721&lt;&gt;"",VLOOKUP(AR721,Tabla_ArmasyEscudos,9,0),"")="Conocida",MAX(AS$645:AS720)+1,0),0)</f>
        <v>0</v>
      </c>
      <c r="AT721" s="2847">
        <f>IF(AR721="",0,IF(AS721=0,MAX(AT$639:AT720,AV$637)+1,AS721+IFERROR(VLOOKUP(VLOOKUP(AR721,$D$638:$AA$840,24,0),AR$639:AT$644,3,0)-VLOOKUP(VLOOKUP(AR721,$D$638:$AA$840,24,0),AR$639:AT$644,2,0)+1,0)))</f>
        <v>0</v>
      </c>
      <c r="AU721" s="2847" t="str">
        <f t="shared" ca="1" si="135"/>
        <v/>
      </c>
      <c r="AV721" s="2847" t="str">
        <f t="shared" ca="1" si="159"/>
        <v/>
      </c>
      <c r="AX721" s="1250" t="str">
        <f t="shared" si="136"/>
        <v>&gt; ARMAS EXÓTICAS</v>
      </c>
      <c r="AY721" s="3025"/>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5"/>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5"/>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5"/>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5"/>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042"/>
      <c r="C722" s="1141"/>
      <c r="D722" s="2614" t="s">
        <v>10155</v>
      </c>
      <c r="E722" s="2618">
        <v>30</v>
      </c>
      <c r="F722" s="2613">
        <v>10</v>
      </c>
      <c r="G722" s="2613">
        <v>4</v>
      </c>
      <c r="H722" s="2613">
        <v>4</v>
      </c>
      <c r="I722" s="2613" t="s">
        <v>1497</v>
      </c>
      <c r="J722" s="2613" t="s">
        <v>1550</v>
      </c>
      <c r="K722" s="2859" t="s">
        <v>7262</v>
      </c>
      <c r="L722" s="2613" t="str">
        <f t="shared" si="163"/>
        <v>Distinta</v>
      </c>
      <c r="M722" s="2619">
        <v>10</v>
      </c>
      <c r="N722" s="2619">
        <v>0</v>
      </c>
      <c r="O722" s="2619">
        <v>15</v>
      </c>
      <c r="P722" s="2613"/>
      <c r="Q722" s="2613"/>
      <c r="R722" s="2619">
        <v>60</v>
      </c>
      <c r="S722" s="2613" t="s">
        <v>1455</v>
      </c>
      <c r="T722" s="2613">
        <v>20</v>
      </c>
      <c r="U722" s="2613"/>
      <c r="V722" s="2609" t="s">
        <v>8574</v>
      </c>
      <c r="W722" s="2609"/>
      <c r="X722" s="2610" t="str">
        <f t="shared" si="164"/>
        <v>Pequeña</v>
      </c>
      <c r="Y722" s="2603">
        <f t="shared" si="165"/>
        <v>0</v>
      </c>
      <c r="Z722" s="1259" t="str">
        <f t="shared" si="132"/>
        <v/>
      </c>
      <c r="AA722" s="1955" t="s">
        <v>2171</v>
      </c>
      <c r="AC722" s="3045" t="s">
        <v>7013</v>
      </c>
      <c r="AD722" s="2847">
        <f>IFERROR(IF(IF(AC722&lt;&gt;"",VLOOKUP(AC722,Tabla_ArmasyEscudos,9,0),"")="Conocida",MAX(AD$645:AD721)+1,0),0)</f>
        <v>0</v>
      </c>
      <c r="AE722" s="2847">
        <f ca="1">IF(AC722="",0,IF(AD722=0,MAX(AE$639:AE721,AG$637)+1,AD722+IFERROR(VLOOKUP(VLOOKUP(AC722,$D$638:$AA$840,24,0),AC$639:AE$644,3,0)-VLOOKUP(VLOOKUP(AC722,$D$638:$AA$840,24,0),AC$639:AE$644,2,0)+1,0)))</f>
        <v>78</v>
      </c>
      <c r="AF722" s="2847" t="str">
        <f t="shared" ca="1" si="155"/>
        <v>Kiseru</v>
      </c>
      <c r="AG722" s="2847" t="str">
        <f t="shared" ca="1" si="156"/>
        <v/>
      </c>
      <c r="AH722" s="3045"/>
      <c r="AI722" s="2847">
        <f>IFERROR(IF(IF(AH722&lt;&gt;"",VLOOKUP(AH722,Tabla_ArmasyEscudos,9,0),"")="Conocida",MAX(AI$645:AI721)+1,0),0)</f>
        <v>0</v>
      </c>
      <c r="AJ722" s="2847">
        <f>IF(AH722="",0,IF(AI722=0,MAX(AJ$639:AJ721,AL$637)+1,AI722+IFERROR(VLOOKUP(VLOOKUP(AH722,$D$638:$AA$840,24,0),AH$639:AJ$644,3,0)-VLOOKUP(VLOOKUP(AH722,$D$638:$AA$840,24,0),AH$639:AJ$644,2,0)+1,0)))</f>
        <v>0</v>
      </c>
      <c r="AK722" s="2847" t="str">
        <f t="shared" ca="1" si="133"/>
        <v/>
      </c>
      <c r="AL722" s="2847" t="str">
        <f t="shared" ca="1" si="157"/>
        <v/>
      </c>
      <c r="AM722" s="3045"/>
      <c r="AN722" s="2847">
        <f>IFERROR(IF(IF(AM722&lt;&gt;"",VLOOKUP(AM722,Tabla_ArmasyEscudos,9,0),"")="Conocida",MAX(AN$645:AN721)+1,0),0)</f>
        <v>0</v>
      </c>
      <c r="AO722" s="2847">
        <f>IF(AM722="",0,IF(AN722=0,MAX(AO$639:AO721,AQ$637)+1,AN722+IFERROR(VLOOKUP(VLOOKUP(AM722,$D$638:$AA$840,24,0),AM$639:AO$644,3,0)-VLOOKUP(VLOOKUP(AM722,$D$638:$AA$840,24,0),AM$639:AO$644,2,0)+1,0)))</f>
        <v>0</v>
      </c>
      <c r="AP722" s="2847" t="str">
        <f t="shared" ca="1" si="134"/>
        <v/>
      </c>
      <c r="AQ722" s="2847" t="str">
        <f t="shared" ca="1" si="158"/>
        <v/>
      </c>
      <c r="AR722" s="3045"/>
      <c r="AS722" s="2847">
        <f>IFERROR(IF(IF(AR722&lt;&gt;"",VLOOKUP(AR722,Tabla_ArmasyEscudos,9,0),"")="Conocida",MAX(AS$645:AS721)+1,0),0)</f>
        <v>0</v>
      </c>
      <c r="AT722" s="2847">
        <f>IF(AR722="",0,IF(AS722=0,MAX(AT$639:AT721,AV$637)+1,AS722+IFERROR(VLOOKUP(VLOOKUP(AR722,$D$638:$AA$840,24,0),AR$639:AT$644,3,0)-VLOOKUP(VLOOKUP(AR722,$D$638:$AA$840,24,0),AR$639:AT$644,2,0)+1,0)))</f>
        <v>0</v>
      </c>
      <c r="AU722" s="2847" t="str">
        <f t="shared" ca="1" si="135"/>
        <v/>
      </c>
      <c r="AV722" s="2847" t="str">
        <f t="shared" ca="1" si="159"/>
        <v/>
      </c>
      <c r="AX722" s="1250" t="str">
        <f t="shared" si="136"/>
        <v>Abanico de combate</v>
      </c>
      <c r="AY722" s="3025"/>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5"/>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5"/>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5"/>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5"/>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042"/>
      <c r="C723" s="1141"/>
      <c r="D723" s="2614" t="s">
        <v>2175</v>
      </c>
      <c r="E723" s="2618">
        <v>35</v>
      </c>
      <c r="F723" s="2613">
        <v>10</v>
      </c>
      <c r="G723" s="2613">
        <v>4</v>
      </c>
      <c r="H723" s="2613">
        <v>4</v>
      </c>
      <c r="I723" s="2613" t="s">
        <v>1497</v>
      </c>
      <c r="J723" s="2613" t="s">
        <v>1550</v>
      </c>
      <c r="K723" s="2859" t="s">
        <v>7262</v>
      </c>
      <c r="L723" s="2613" t="str">
        <f t="shared" si="163"/>
        <v>Distinta</v>
      </c>
      <c r="M723" s="2619">
        <v>11</v>
      </c>
      <c r="N723" s="2619">
        <v>2</v>
      </c>
      <c r="O723" s="2619">
        <v>25</v>
      </c>
      <c r="P723" s="2613"/>
      <c r="Q723" s="2613"/>
      <c r="R723" s="2613" t="s">
        <v>1455</v>
      </c>
      <c r="S723" s="2613" t="s">
        <v>1455</v>
      </c>
      <c r="T723" s="2613" t="s">
        <v>1455</v>
      </c>
      <c r="U723" s="2613"/>
      <c r="V723" s="2609" t="s">
        <v>2176</v>
      </c>
      <c r="W723" s="2609"/>
      <c r="X723" s="2610" t="str">
        <f t="shared" si="164"/>
        <v>Pequeña</v>
      </c>
      <c r="Y723" s="2603">
        <f t="shared" si="165"/>
        <v>0</v>
      </c>
      <c r="Z723" s="1259" t="str">
        <f t="shared" si="132"/>
        <v/>
      </c>
      <c r="AA723" s="1955" t="s">
        <v>2171</v>
      </c>
      <c r="AC723" s="1023" t="s">
        <v>7014</v>
      </c>
      <c r="AD723" s="2847">
        <f>IFERROR(IF(IF(AC723&lt;&gt;"",VLOOKUP(AC723,Tabla_ArmasyEscudos,9,0),"")="Conocida",MAX(AD$645:AD722)+1,0),0)</f>
        <v>0</v>
      </c>
      <c r="AE723" s="2847">
        <f ca="1">IF(AC723="",0,IF(AD723=0,MAX(AE$639:AE722,AG$637)+1,AD723+IFERROR(VLOOKUP(VLOOKUP(AC723,$D$638:$AA$840,24,0),AC$639:AE$644,3,0)-VLOOKUP(VLOOKUP(AC723,$D$638:$AA$840,24,0),AC$639:AE$644,2,0)+1,0)))</f>
        <v>79</v>
      </c>
      <c r="AF723" s="2847" t="str">
        <f t="shared" ca="1" si="155"/>
        <v>Kris</v>
      </c>
      <c r="AG723" s="2847" t="str">
        <f t="shared" ca="1" si="156"/>
        <v/>
      </c>
      <c r="AH723" s="3045"/>
      <c r="AI723" s="2847">
        <f>IFERROR(IF(IF(AH723&lt;&gt;"",VLOOKUP(AH723,Tabla_ArmasyEscudos,9,0),"")="Conocida",MAX(AI$645:AI722)+1,0),0)</f>
        <v>0</v>
      </c>
      <c r="AJ723" s="2847">
        <f>IF(AH723="",0,IF(AI723=0,MAX(AJ$639:AJ722,AL$637)+1,AI723+IFERROR(VLOOKUP(VLOOKUP(AH723,$D$638:$AA$840,24,0),AH$639:AJ$644,3,0)-VLOOKUP(VLOOKUP(AH723,$D$638:$AA$840,24,0),AH$639:AJ$644,2,0)+1,0)))</f>
        <v>0</v>
      </c>
      <c r="AK723" s="2847" t="str">
        <f t="shared" ca="1" si="133"/>
        <v/>
      </c>
      <c r="AL723" s="2847" t="str">
        <f t="shared" ca="1" si="157"/>
        <v/>
      </c>
      <c r="AM723" s="3045"/>
      <c r="AN723" s="2847">
        <f>IFERROR(IF(IF(AM723&lt;&gt;"",VLOOKUP(AM723,Tabla_ArmasyEscudos,9,0),"")="Conocida",MAX(AN$645:AN722)+1,0),0)</f>
        <v>0</v>
      </c>
      <c r="AO723" s="2847">
        <f>IF(AM723="",0,IF(AN723=0,MAX(AO$639:AO722,AQ$637)+1,AN723+IFERROR(VLOOKUP(VLOOKUP(AM723,$D$638:$AA$840,24,0),AM$639:AO$644,3,0)-VLOOKUP(VLOOKUP(AM723,$D$638:$AA$840,24,0),AM$639:AO$644,2,0)+1,0)))</f>
        <v>0</v>
      </c>
      <c r="AP723" s="2847" t="str">
        <f t="shared" ca="1" si="134"/>
        <v/>
      </c>
      <c r="AQ723" s="2847" t="str">
        <f t="shared" ca="1" si="158"/>
        <v/>
      </c>
      <c r="AR723" s="3045"/>
      <c r="AS723" s="2847">
        <f>IFERROR(IF(IF(AR723&lt;&gt;"",VLOOKUP(AR723,Tabla_ArmasyEscudos,9,0),"")="Conocida",MAX(AS$645:AS722)+1,0),0)</f>
        <v>0</v>
      </c>
      <c r="AT723" s="2847">
        <f>IF(AR723="",0,IF(AS723=0,MAX(AT$639:AT722,AV$637)+1,AS723+IFERROR(VLOOKUP(VLOOKUP(AR723,$D$638:$AA$840,24,0),AR$639:AT$644,3,0)-VLOOKUP(VLOOKUP(AR723,$D$638:$AA$840,24,0),AR$639:AT$644,2,0)+1,0)))</f>
        <v>0</v>
      </c>
      <c r="AU723" s="2847" t="str">
        <f t="shared" ca="1" si="135"/>
        <v/>
      </c>
      <c r="AV723" s="2847" t="str">
        <f t="shared" ca="1" si="159"/>
        <v/>
      </c>
      <c r="AX723" s="1250" t="str">
        <f t="shared" si="136"/>
        <v>Anciano de primavera</v>
      </c>
      <c r="AY723" s="3025"/>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5"/>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5"/>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5"/>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5"/>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042"/>
      <c r="C724" s="1141"/>
      <c r="D724" s="2614" t="s">
        <v>2177</v>
      </c>
      <c r="E724" s="2618">
        <v>30</v>
      </c>
      <c r="F724" s="2613">
        <v>15</v>
      </c>
      <c r="G724" s="2613">
        <v>4</v>
      </c>
      <c r="H724" s="2613">
        <v>4</v>
      </c>
      <c r="I724" s="2613" t="s">
        <v>1550</v>
      </c>
      <c r="J724" s="2613" t="s">
        <v>1551</v>
      </c>
      <c r="K724" s="2859" t="s">
        <v>7262</v>
      </c>
      <c r="L724" s="2613" t="str">
        <f t="shared" si="163"/>
        <v>Distinta</v>
      </c>
      <c r="M724" s="2619">
        <v>12</v>
      </c>
      <c r="N724" s="2619">
        <v>2</v>
      </c>
      <c r="O724" s="2619">
        <v>15</v>
      </c>
      <c r="P724" s="2613"/>
      <c r="Q724" s="2613"/>
      <c r="R724" s="2613" t="s">
        <v>1455</v>
      </c>
      <c r="S724" s="2613" t="s">
        <v>1455</v>
      </c>
      <c r="T724" s="2613" t="s">
        <v>1455</v>
      </c>
      <c r="U724" s="2613"/>
      <c r="V724" s="2609" t="s">
        <v>1455</v>
      </c>
      <c r="W724" s="2609"/>
      <c r="X724" s="2610" t="str">
        <f t="shared" si="164"/>
        <v>Pequeña</v>
      </c>
      <c r="Y724" s="2603">
        <f t="shared" si="165"/>
        <v>0</v>
      </c>
      <c r="Z724" s="1259" t="str">
        <f t="shared" si="132"/>
        <v/>
      </c>
      <c r="AA724" s="1955" t="s">
        <v>2171</v>
      </c>
      <c r="AC724" s="3045" t="s">
        <v>2178</v>
      </c>
      <c r="AD724" s="2847">
        <f>IFERROR(IF(IF(AC724&lt;&gt;"",VLOOKUP(AC724,Tabla_ArmasyEscudos,9,0),"")="Conocida",MAX(AD$645:AD723)+1,0),0)</f>
        <v>0</v>
      </c>
      <c r="AE724" s="2847">
        <f ca="1">IF(AC724="",0,IF(AD724=0,MAX(AE$639:AE723,AG$637)+1,AD724+IFERROR(VLOOKUP(VLOOKUP(AC724,$D$638:$AA$840,24,0),AC$639:AE$644,3,0)-VLOOKUP(VLOOKUP(AC724,$D$638:$AA$840,24,0),AC$639:AE$644,2,0)+1,0)))</f>
        <v>80</v>
      </c>
      <c r="AF724" s="2847" t="str">
        <f t="shared" ca="1" si="155"/>
        <v>Kumade</v>
      </c>
      <c r="AG724" s="2847" t="str">
        <f t="shared" ca="1" si="156"/>
        <v/>
      </c>
      <c r="AH724" s="3045"/>
      <c r="AI724" s="2847">
        <f>IFERROR(IF(IF(AH724&lt;&gt;"",VLOOKUP(AH724,Tabla_ArmasyEscudos,9,0),"")="Conocida",MAX(AI$645:AI723)+1,0),0)</f>
        <v>0</v>
      </c>
      <c r="AJ724" s="2847">
        <f>IF(AH724="",0,IF(AI724=0,MAX(AJ$639:AJ723,AL$637)+1,AI724+IFERROR(VLOOKUP(VLOOKUP(AH724,$D$638:$AA$840,24,0),AH$639:AJ$644,3,0)-VLOOKUP(VLOOKUP(AH724,$D$638:$AA$840,24,0),AH$639:AJ$644,2,0)+1,0)))</f>
        <v>0</v>
      </c>
      <c r="AK724" s="2847" t="str">
        <f t="shared" ca="1" si="133"/>
        <v/>
      </c>
      <c r="AL724" s="2847" t="str">
        <f t="shared" ca="1" si="157"/>
        <v/>
      </c>
      <c r="AM724" s="3045"/>
      <c r="AN724" s="2847">
        <f>IFERROR(IF(IF(AM724&lt;&gt;"",VLOOKUP(AM724,Tabla_ArmasyEscudos,9,0),"")="Conocida",MAX(AN$645:AN723)+1,0),0)</f>
        <v>0</v>
      </c>
      <c r="AO724" s="2847">
        <f>IF(AM724="",0,IF(AN724=0,MAX(AO$639:AO723,AQ$637)+1,AN724+IFERROR(VLOOKUP(VLOOKUP(AM724,$D$638:$AA$840,24,0),AM$639:AO$644,3,0)-VLOOKUP(VLOOKUP(AM724,$D$638:$AA$840,24,0),AM$639:AO$644,2,0)+1,0)))</f>
        <v>0</v>
      </c>
      <c r="AP724" s="2847" t="str">
        <f t="shared" ca="1" si="134"/>
        <v/>
      </c>
      <c r="AQ724" s="2847" t="str">
        <f t="shared" ca="1" si="158"/>
        <v/>
      </c>
      <c r="AR724" s="3045"/>
      <c r="AS724" s="2847">
        <f>IFERROR(IF(IF(AR724&lt;&gt;"",VLOOKUP(AR724,Tabla_ArmasyEscudos,9,0),"")="Conocida",MAX(AS$645:AS723)+1,0),0)</f>
        <v>0</v>
      </c>
      <c r="AT724" s="2847">
        <f>IF(AR724="",0,IF(AS724=0,MAX(AT$639:AT723,AV$637)+1,AS724+IFERROR(VLOOKUP(VLOOKUP(AR724,$D$638:$AA$840,24,0),AR$639:AT$644,3,0)-VLOOKUP(VLOOKUP(AR724,$D$638:$AA$840,24,0),AR$639:AT$644,2,0)+1,0)))</f>
        <v>0</v>
      </c>
      <c r="AU724" s="2847" t="str">
        <f t="shared" ca="1" si="135"/>
        <v/>
      </c>
      <c r="AV724" s="2847" t="str">
        <f t="shared" ca="1" si="159"/>
        <v/>
      </c>
      <c r="AX724" s="1250" t="str">
        <f t="shared" si="136"/>
        <v>Bumerán</v>
      </c>
      <c r="AY724" s="3025"/>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5"/>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5"/>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5"/>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5"/>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042"/>
      <c r="C725" s="1141"/>
      <c r="D725" s="2614" t="s">
        <v>2178</v>
      </c>
      <c r="E725" s="2618">
        <v>50</v>
      </c>
      <c r="F725" s="2613">
        <v>0</v>
      </c>
      <c r="G725" s="2613">
        <v>6</v>
      </c>
      <c r="H725" s="2613">
        <v>5</v>
      </c>
      <c r="I725" s="2613" t="s">
        <v>1550</v>
      </c>
      <c r="J725" s="2613" t="s">
        <v>1455</v>
      </c>
      <c r="K725" s="2859" t="s">
        <v>7260</v>
      </c>
      <c r="L725" s="2613" t="str">
        <f t="shared" si="163"/>
        <v>Distinta</v>
      </c>
      <c r="M725" s="2619">
        <v>11</v>
      </c>
      <c r="N725" s="2619">
        <v>3</v>
      </c>
      <c r="O725" s="2619">
        <v>40</v>
      </c>
      <c r="P725" s="2613"/>
      <c r="Q725" s="2613"/>
      <c r="R725" s="2613" t="s">
        <v>1455</v>
      </c>
      <c r="S725" s="2613" t="s">
        <v>1455</v>
      </c>
      <c r="T725" s="2613" t="s">
        <v>1455</v>
      </c>
      <c r="U725" s="2613"/>
      <c r="V725" s="2609" t="s">
        <v>2129</v>
      </c>
      <c r="W725" s="2609"/>
      <c r="X725" s="2610" t="str">
        <f t="shared" si="164"/>
        <v>Mediana</v>
      </c>
      <c r="Y725" s="2603">
        <f t="shared" si="165"/>
        <v>0</v>
      </c>
      <c r="Z725" s="1259" t="str">
        <f t="shared" si="132"/>
        <v/>
      </c>
      <c r="AA725" s="1955" t="s">
        <v>2171</v>
      </c>
      <c r="AC725" s="3045" t="s">
        <v>2181</v>
      </c>
      <c r="AD725" s="2847">
        <f>IFERROR(IF(IF(AC725&lt;&gt;"",VLOOKUP(AC725,Tabla_ArmasyEscudos,9,0),"")="Conocida",MAX(AD$645:AD724)+1,0),0)</f>
        <v>0</v>
      </c>
      <c r="AE725" s="2847">
        <f ca="1">IF(AC725="",0,IF(AD725=0,MAX(AE$639:AE724,AG$637)+1,AD725+IFERROR(VLOOKUP(VLOOKUP(AC725,$D$638:$AA$840,24,0),AC$639:AE$644,3,0)-VLOOKUP(VLOOKUP(AC725,$D$638:$AA$840,24,0),AC$639:AE$644,2,0)+1,0)))</f>
        <v>81</v>
      </c>
      <c r="AF725" s="2847" t="str">
        <f t="shared" ca="1" si="155"/>
        <v>Kunai</v>
      </c>
      <c r="AG725" s="2847" t="str">
        <f t="shared" ca="1" si="156"/>
        <v/>
      </c>
      <c r="AH725" s="3045"/>
      <c r="AI725" s="2847">
        <f>IFERROR(IF(IF(AH725&lt;&gt;"",VLOOKUP(AH725,Tabla_ArmasyEscudos,9,0),"")="Conocida",MAX(AI$645:AI724)+1,0),0)</f>
        <v>0</v>
      </c>
      <c r="AJ725" s="2847">
        <f>IF(AH725="",0,IF(AI725=0,MAX(AJ$639:AJ724,AL$637)+1,AI725+IFERROR(VLOOKUP(VLOOKUP(AH725,$D$638:$AA$840,24,0),AH$639:AJ$644,3,0)-VLOOKUP(VLOOKUP(AH725,$D$638:$AA$840,24,0),AH$639:AJ$644,2,0)+1,0)))</f>
        <v>0</v>
      </c>
      <c r="AK725" s="2847" t="str">
        <f t="shared" ca="1" si="133"/>
        <v/>
      </c>
      <c r="AL725" s="2847" t="str">
        <f t="shared" ca="1" si="157"/>
        <v/>
      </c>
      <c r="AM725" s="3045"/>
      <c r="AN725" s="2847">
        <f>IFERROR(IF(IF(AM725&lt;&gt;"",VLOOKUP(AM725,Tabla_ArmasyEscudos,9,0),"")="Conocida",MAX(AN$645:AN724)+1,0),0)</f>
        <v>0</v>
      </c>
      <c r="AO725" s="2847">
        <f>IF(AM725="",0,IF(AN725=0,MAX(AO$639:AO724,AQ$637)+1,AN725+IFERROR(VLOOKUP(VLOOKUP(AM725,$D$638:$AA$840,24,0),AM$639:AO$644,3,0)-VLOOKUP(VLOOKUP(AM725,$D$638:$AA$840,24,0),AM$639:AO$644,2,0)+1,0)))</f>
        <v>0</v>
      </c>
      <c r="AP725" s="2847" t="str">
        <f t="shared" ca="1" si="134"/>
        <v/>
      </c>
      <c r="AQ725" s="2847" t="str">
        <f t="shared" ca="1" si="158"/>
        <v/>
      </c>
      <c r="AR725" s="3045"/>
      <c r="AS725" s="2847">
        <f>IFERROR(IF(IF(AR725&lt;&gt;"",VLOOKUP(AR725,Tabla_ArmasyEscudos,9,0),"")="Conocida",MAX(AS$645:AS724)+1,0),0)</f>
        <v>0</v>
      </c>
      <c r="AT725" s="2847">
        <f>IF(AR725="",0,IF(AS725=0,MAX(AT$639:AT724,AV$637)+1,AS725+IFERROR(VLOOKUP(VLOOKUP(AR725,$D$638:$AA$840,24,0),AR$639:AT$644,3,0)-VLOOKUP(VLOOKUP(AR725,$D$638:$AA$840,24,0),AR$639:AT$644,2,0)+1,0)))</f>
        <v>0</v>
      </c>
      <c r="AU725" s="2847" t="str">
        <f t="shared" ca="1" si="135"/>
        <v/>
      </c>
      <c r="AV725" s="2847" t="str">
        <f t="shared" ca="1" si="159"/>
        <v/>
      </c>
      <c r="AX725" s="1250" t="str">
        <f t="shared" si="136"/>
        <v>Cuervo</v>
      </c>
      <c r="AY725" s="3025"/>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5"/>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5"/>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5"/>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5"/>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042"/>
      <c r="C726" s="1141"/>
      <c r="D726" s="2614" t="s">
        <v>2179</v>
      </c>
      <c r="E726" s="2618">
        <f>55-Bono_Fue</f>
        <v>55</v>
      </c>
      <c r="F726" s="2613">
        <v>-5</v>
      </c>
      <c r="G726" s="2613">
        <v>8</v>
      </c>
      <c r="H726" s="2613">
        <v>8</v>
      </c>
      <c r="I726" s="2613" t="s">
        <v>1550</v>
      </c>
      <c r="J726" s="2613" t="s">
        <v>1455</v>
      </c>
      <c r="K726" s="2859" t="s">
        <v>7260</v>
      </c>
      <c r="L726" s="2613" t="str">
        <f t="shared" si="163"/>
        <v>Distinta</v>
      </c>
      <c r="M726" s="2619">
        <v>11</v>
      </c>
      <c r="N726" s="2619">
        <v>3</v>
      </c>
      <c r="O726" s="2619">
        <v>40</v>
      </c>
      <c r="P726" s="2613"/>
      <c r="Q726" s="2613"/>
      <c r="R726" s="2613" t="s">
        <v>1455</v>
      </c>
      <c r="S726" s="2613" t="s">
        <v>1455</v>
      </c>
      <c r="T726" s="2613" t="s">
        <v>1455</v>
      </c>
      <c r="U726" s="2613"/>
      <c r="V726" s="2609" t="s">
        <v>2180</v>
      </c>
      <c r="W726" s="2609"/>
      <c r="X726" s="2610" t="str">
        <f t="shared" si="164"/>
        <v>Mediana</v>
      </c>
      <c r="Y726" s="2603">
        <f t="shared" si="165"/>
        <v>0</v>
      </c>
      <c r="Z726" s="1259" t="str">
        <f t="shared" si="132"/>
        <v/>
      </c>
      <c r="AA726" s="1955" t="s">
        <v>2171</v>
      </c>
      <c r="AC726" s="1023" t="s">
        <v>7015</v>
      </c>
      <c r="AD726" s="2847">
        <f>IFERROR(IF(IF(AC726&lt;&gt;"",VLOOKUP(AC726,Tabla_ArmasyEscudos,9,0),"")="Conocida",MAX(AD$645:AD725)+1,0),0)</f>
        <v>0</v>
      </c>
      <c r="AE726" s="2847">
        <f ca="1">IF(AC726="",0,IF(AD726=0,MAX(AE$639:AE725,AG$637)+1,AD726+IFERROR(VLOOKUP(VLOOKUP(AC726,$D$638:$AA$840,24,0),AC$639:AE$644,3,0)-VLOOKUP(VLOOKUP(AC726,$D$638:$AA$840,24,0),AC$639:AE$644,2,0)+1,0)))</f>
        <v>82</v>
      </c>
      <c r="AF726" s="2847" t="str">
        <f t="shared" ca="1" si="155"/>
        <v>Kyoketsu-shogui</v>
      </c>
      <c r="AG726" s="2847" t="str">
        <f t="shared" ca="1" si="156"/>
        <v/>
      </c>
      <c r="AH726" s="3045"/>
      <c r="AI726" s="2847">
        <f>IFERROR(IF(IF(AH726&lt;&gt;"",VLOOKUP(AH726,Tabla_ArmasyEscudos,9,0),"")="Conocida",MAX(AI$645:AI725)+1,0),0)</f>
        <v>0</v>
      </c>
      <c r="AJ726" s="2847">
        <f>IF(AH726="",0,IF(AI726=0,MAX(AJ$639:AJ725,AL$637)+1,AI726+IFERROR(VLOOKUP(VLOOKUP(AH726,$D$638:$AA$840,24,0),AH$639:AJ$644,3,0)-VLOOKUP(VLOOKUP(AH726,$D$638:$AA$840,24,0),AH$639:AJ$644,2,0)+1,0)))</f>
        <v>0</v>
      </c>
      <c r="AK726" s="2847" t="str">
        <f t="shared" ca="1" si="133"/>
        <v/>
      </c>
      <c r="AL726" s="2847" t="str">
        <f t="shared" ca="1" si="157"/>
        <v/>
      </c>
      <c r="AM726" s="3045"/>
      <c r="AN726" s="2847">
        <f>IFERROR(IF(IF(AM726&lt;&gt;"",VLOOKUP(AM726,Tabla_ArmasyEscudos,9,0),"")="Conocida",MAX(AN$645:AN725)+1,0),0)</f>
        <v>0</v>
      </c>
      <c r="AO726" s="2847">
        <f>IF(AM726="",0,IF(AN726=0,MAX(AO$639:AO725,AQ$637)+1,AN726+IFERROR(VLOOKUP(VLOOKUP(AM726,$D$638:$AA$840,24,0),AM$639:AO$644,3,0)-VLOOKUP(VLOOKUP(AM726,$D$638:$AA$840,24,0),AM$639:AO$644,2,0)+1,0)))</f>
        <v>0</v>
      </c>
      <c r="AP726" s="2847" t="str">
        <f t="shared" ca="1" si="134"/>
        <v/>
      </c>
      <c r="AQ726" s="2847" t="str">
        <f t="shared" ca="1" si="158"/>
        <v/>
      </c>
      <c r="AR726" s="3045"/>
      <c r="AS726" s="2847">
        <f>IFERROR(IF(IF(AR726&lt;&gt;"",VLOOKUP(AR726,Tabla_ArmasyEscudos,9,0),"")="Conocida",MAX(AS$645:AS725)+1,0),0)</f>
        <v>0</v>
      </c>
      <c r="AT726" s="2847">
        <f>IF(AR726="",0,IF(AS726=0,MAX(AT$639:AT725,AV$637)+1,AS726+IFERROR(VLOOKUP(VLOOKUP(AR726,$D$638:$AA$840,24,0),AR$639:AT$644,3,0)-VLOOKUP(VLOOKUP(AR726,$D$638:$AA$840,24,0),AR$639:AT$644,2,0)+1,0)))</f>
        <v>0</v>
      </c>
      <c r="AU726" s="2847" t="str">
        <f t="shared" ca="1" si="135"/>
        <v/>
      </c>
      <c r="AV726" s="2847" t="str">
        <f t="shared" ca="1" si="159"/>
        <v/>
      </c>
      <c r="AX726" s="1250" t="str">
        <f t="shared" si="136"/>
        <v>Garras</v>
      </c>
      <c r="AY726" s="3025"/>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5"/>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5"/>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5"/>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5"/>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042"/>
      <c r="C727" s="1141"/>
      <c r="D727" s="2614" t="s">
        <v>2181</v>
      </c>
      <c r="E727" s="2618">
        <v>40</v>
      </c>
      <c r="F727" s="2613">
        <v>10</v>
      </c>
      <c r="G727" s="2613">
        <v>8</v>
      </c>
      <c r="H727" s="2613">
        <v>8</v>
      </c>
      <c r="I727" s="2613" t="s">
        <v>1551</v>
      </c>
      <c r="J727" s="2613" t="s">
        <v>1550</v>
      </c>
      <c r="K727" s="2859" t="s">
        <v>7262</v>
      </c>
      <c r="L727" s="2613" t="str">
        <f t="shared" si="163"/>
        <v>Distinta</v>
      </c>
      <c r="M727" s="2619">
        <v>13</v>
      </c>
      <c r="N727" s="2619">
        <v>3</v>
      </c>
      <c r="O727" s="2619">
        <v>25</v>
      </c>
      <c r="P727" s="2613"/>
      <c r="Q727" s="2613"/>
      <c r="R727" s="2613" t="s">
        <v>1455</v>
      </c>
      <c r="S727" s="2613" t="s">
        <v>1455</v>
      </c>
      <c r="T727" s="2613" t="s">
        <v>1455</v>
      </c>
      <c r="U727" s="2613"/>
      <c r="V727" s="2609" t="s">
        <v>2182</v>
      </c>
      <c r="W727" s="2609"/>
      <c r="X727" s="2610" t="str">
        <f t="shared" si="164"/>
        <v>Pequeña</v>
      </c>
      <c r="Y727" s="2603">
        <f t="shared" si="165"/>
        <v>0</v>
      </c>
      <c r="Z727" s="1259" t="str">
        <f t="shared" si="132"/>
        <v/>
      </c>
      <c r="AA727" s="1955" t="s">
        <v>2171</v>
      </c>
      <c r="AC727" s="3045" t="s">
        <v>7016</v>
      </c>
      <c r="AD727" s="2847">
        <f>IFERROR(IF(IF(AC727&lt;&gt;"",VLOOKUP(AC727,Tabla_ArmasyEscudos,9,0),"")="Conocida",MAX(AD$645:AD726)+1,0),0)</f>
        <v>0</v>
      </c>
      <c r="AE727" s="2847">
        <f ca="1">IF(AC727="",0,IF(AD727=0,MAX(AE$639:AE726,AG$637)+1,AD727+IFERROR(VLOOKUP(VLOOKUP(AC727,$D$638:$AA$840,24,0),AC$639:AE$644,3,0)-VLOOKUP(VLOOKUP(AC727,$D$638:$AA$840,24,0),AC$639:AE$644,2,0)+1,0)))</f>
        <v>83</v>
      </c>
      <c r="AF727" s="2847" t="str">
        <f t="shared" ca="1" si="155"/>
        <v>Naginata</v>
      </c>
      <c r="AG727" s="2847" t="str">
        <f t="shared" ca="1" si="156"/>
        <v/>
      </c>
      <c r="AH727" s="3045"/>
      <c r="AI727" s="2847">
        <f>IFERROR(IF(IF(AH727&lt;&gt;"",VLOOKUP(AH727,Tabla_ArmasyEscudos,9,0),"")="Conocida",MAX(AI$645:AI726)+1,0),0)</f>
        <v>0</v>
      </c>
      <c r="AJ727" s="2847">
        <f>IF(AH727="",0,IF(AI727=0,MAX(AJ$639:AJ726,AL$637)+1,AI727+IFERROR(VLOOKUP(VLOOKUP(AH727,$D$638:$AA$840,24,0),AH$639:AJ$644,3,0)-VLOOKUP(VLOOKUP(AH727,$D$638:$AA$840,24,0),AH$639:AJ$644,2,0)+1,0)))</f>
        <v>0</v>
      </c>
      <c r="AK727" s="2847" t="str">
        <f t="shared" ca="1" si="133"/>
        <v/>
      </c>
      <c r="AL727" s="2847" t="str">
        <f t="shared" ca="1" si="157"/>
        <v/>
      </c>
      <c r="AM727" s="3045"/>
      <c r="AN727" s="2847">
        <f>IFERROR(IF(IF(AM727&lt;&gt;"",VLOOKUP(AM727,Tabla_ArmasyEscudos,9,0),"")="Conocida",MAX(AN$645:AN726)+1,0),0)</f>
        <v>0</v>
      </c>
      <c r="AO727" s="2847">
        <f>IF(AM727="",0,IF(AN727=0,MAX(AO$639:AO726,AQ$637)+1,AN727+IFERROR(VLOOKUP(VLOOKUP(AM727,$D$638:$AA$840,24,0),AM$639:AO$644,3,0)-VLOOKUP(VLOOKUP(AM727,$D$638:$AA$840,24,0),AM$639:AO$644,2,0)+1,0)))</f>
        <v>0</v>
      </c>
      <c r="AP727" s="2847" t="str">
        <f t="shared" ca="1" si="134"/>
        <v/>
      </c>
      <c r="AQ727" s="2847" t="str">
        <f t="shared" ca="1" si="158"/>
        <v/>
      </c>
      <c r="AR727" s="3045"/>
      <c r="AS727" s="2847">
        <f>IFERROR(IF(IF(AR727&lt;&gt;"",VLOOKUP(AR727,Tabla_ArmasyEscudos,9,0),"")="Conocida",MAX(AS$645:AS726)+1,0),0)</f>
        <v>0</v>
      </c>
      <c r="AT727" s="2847">
        <f>IF(AR727="",0,IF(AS727=0,MAX(AT$639:AT726,AV$637)+1,AS727+IFERROR(VLOOKUP(VLOOKUP(AR727,$D$638:$AA$840,24,0),AR$639:AT$644,3,0)-VLOOKUP(VLOOKUP(AR727,$D$638:$AA$840,24,0),AR$639:AT$644,2,0)+1,0)))</f>
        <v>0</v>
      </c>
      <c r="AU727" s="2847" t="str">
        <f t="shared" ca="1" si="135"/>
        <v/>
      </c>
      <c r="AV727" s="2847" t="str">
        <f t="shared" ca="1" si="159"/>
        <v/>
      </c>
      <c r="AX727" s="1250" t="str">
        <f t="shared" si="136"/>
        <v>Katana</v>
      </c>
      <c r="AY727" s="3025"/>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5"/>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5"/>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5"/>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5"/>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042"/>
      <c r="C728" s="1141"/>
      <c r="D728" s="2614" t="s">
        <v>2183</v>
      </c>
      <c r="E728" s="2618">
        <f>40-Bono_Fue</f>
        <v>40</v>
      </c>
      <c r="F728" s="2613">
        <v>5</v>
      </c>
      <c r="G728" s="2613">
        <v>5</v>
      </c>
      <c r="H728" s="2613">
        <v>5</v>
      </c>
      <c r="I728" s="2613" t="s">
        <v>1550</v>
      </c>
      <c r="J728" s="2613" t="s">
        <v>1497</v>
      </c>
      <c r="K728" s="2859" t="s">
        <v>7274</v>
      </c>
      <c r="L728" s="2613" t="str">
        <f t="shared" si="163"/>
        <v>Distinta</v>
      </c>
      <c r="M728" s="2619">
        <v>12</v>
      </c>
      <c r="N728" s="2619">
        <v>4</v>
      </c>
      <c r="O728" s="2619">
        <v>25</v>
      </c>
      <c r="P728" s="2613"/>
      <c r="Q728" s="2613"/>
      <c r="R728" s="2613" t="s">
        <v>1455</v>
      </c>
      <c r="S728" s="2613" t="s">
        <v>1455</v>
      </c>
      <c r="T728" s="2613" t="s">
        <v>1455</v>
      </c>
      <c r="U728" s="2613"/>
      <c r="V728" s="2609" t="s">
        <v>2184</v>
      </c>
      <c r="W728" s="2609"/>
      <c r="X728" s="2610" t="str">
        <f t="shared" si="164"/>
        <v>Pequeña</v>
      </c>
      <c r="Y728" s="2603">
        <f t="shared" si="165"/>
        <v>0</v>
      </c>
      <c r="Z728" s="1259" t="str">
        <f t="shared" si="132"/>
        <v/>
      </c>
      <c r="AA728" s="1955" t="s">
        <v>2171</v>
      </c>
      <c r="AC728" s="3045" t="s">
        <v>7017</v>
      </c>
      <c r="AD728" s="2847">
        <f>IFERROR(IF(IF(AC728&lt;&gt;"",VLOOKUP(AC728,Tabla_ArmasyEscudos,9,0),"")="Conocida",MAX(AD$645:AD727)+1,0),0)</f>
        <v>0</v>
      </c>
      <c r="AE728" s="2847">
        <f ca="1">IF(AC728="",0,IF(AD728=0,MAX(AE$639:AE727,AG$637)+1,AD728+IFERROR(VLOOKUP(VLOOKUP(AC728,$D$638:$AA$840,24,0),AC$639:AE$644,3,0)-VLOOKUP(VLOOKUP(AC728,$D$638:$AA$840,24,0),AC$639:AE$644,2,0)+1,0)))</f>
        <v>84</v>
      </c>
      <c r="AF728" s="2847" t="str">
        <f t="shared" ca="1" si="155"/>
        <v>Ninja-to</v>
      </c>
      <c r="AG728" s="2847" t="str">
        <f t="shared" ca="1" si="156"/>
        <v/>
      </c>
      <c r="AH728" s="3045"/>
      <c r="AI728" s="2847">
        <f>IFERROR(IF(IF(AH728&lt;&gt;"",VLOOKUP(AH728,Tabla_ArmasyEscudos,9,0),"")="Conocida",MAX(AI$645:AI727)+1,0),0)</f>
        <v>0</v>
      </c>
      <c r="AJ728" s="2847">
        <f>IF(AH728="",0,IF(AI728=0,MAX(AJ$639:AJ727,AL$637)+1,AI728+IFERROR(VLOOKUP(VLOOKUP(AH728,$D$638:$AA$840,24,0),AH$639:AJ$644,3,0)-VLOOKUP(VLOOKUP(AH728,$D$638:$AA$840,24,0),AH$639:AJ$644,2,0)+1,0)))</f>
        <v>0</v>
      </c>
      <c r="AK728" s="2847" t="str">
        <f t="shared" ca="1" si="133"/>
        <v/>
      </c>
      <c r="AL728" s="2847" t="str">
        <f t="shared" ca="1" si="157"/>
        <v/>
      </c>
      <c r="AM728" s="3045"/>
      <c r="AN728" s="2847">
        <f>IFERROR(IF(IF(AM728&lt;&gt;"",VLOOKUP(AM728,Tabla_ArmasyEscudos,9,0),"")="Conocida",MAX(AN$645:AN727)+1,0),0)</f>
        <v>0</v>
      </c>
      <c r="AO728" s="2847">
        <f>IF(AM728="",0,IF(AN728=0,MAX(AO$639:AO727,AQ$637)+1,AN728+IFERROR(VLOOKUP(VLOOKUP(AM728,$D$638:$AA$840,24,0),AM$639:AO$644,3,0)-VLOOKUP(VLOOKUP(AM728,$D$638:$AA$840,24,0),AM$639:AO$644,2,0)+1,0)))</f>
        <v>0</v>
      </c>
      <c r="AP728" s="2847" t="str">
        <f t="shared" ca="1" si="134"/>
        <v/>
      </c>
      <c r="AQ728" s="2847" t="str">
        <f t="shared" ca="1" si="158"/>
        <v/>
      </c>
      <c r="AR728" s="3045"/>
      <c r="AS728" s="2847">
        <f>IFERROR(IF(IF(AR728&lt;&gt;"",VLOOKUP(AR728,Tabla_ArmasyEscudos,9,0),"")="Conocida",MAX(AS$645:AS727)+1,0),0)</f>
        <v>0</v>
      </c>
      <c r="AT728" s="2847">
        <f>IF(AR728="",0,IF(AS728=0,MAX(AT$639:AT727,AV$637)+1,AS728+IFERROR(VLOOKUP(VLOOKUP(AR728,$D$638:$AA$840,24,0),AR$639:AT$644,3,0)-VLOOKUP(VLOOKUP(AR728,$D$638:$AA$840,24,0),AR$639:AT$644,2,0)+1,0)))</f>
        <v>0</v>
      </c>
      <c r="AU728" s="2847" t="str">
        <f t="shared" ca="1" si="135"/>
        <v/>
      </c>
      <c r="AV728" s="2847" t="str">
        <f t="shared" ca="1" si="159"/>
        <v/>
      </c>
      <c r="AX728" s="1250" t="str">
        <f t="shared" si="136"/>
        <v>Katana de doble hoja</v>
      </c>
      <c r="AY728" s="3025"/>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5"/>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5"/>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5"/>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5"/>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042"/>
      <c r="C729" s="1141"/>
      <c r="D729" s="2614" t="s">
        <v>2185</v>
      </c>
      <c r="E729" s="2618">
        <v>80</v>
      </c>
      <c r="F729" s="2613">
        <v>-35</v>
      </c>
      <c r="G729" s="2613">
        <v>10</v>
      </c>
      <c r="H729" s="2613">
        <v>8</v>
      </c>
      <c r="I729" s="2613" t="s">
        <v>1550</v>
      </c>
      <c r="J729" s="2613" t="s">
        <v>1455</v>
      </c>
      <c r="K729" s="2859" t="s">
        <v>7264</v>
      </c>
      <c r="L729" s="2613" t="str">
        <f t="shared" si="163"/>
        <v>Distinta</v>
      </c>
      <c r="M729" s="2619">
        <v>14</v>
      </c>
      <c r="N729" s="2619">
        <v>4</v>
      </c>
      <c r="O729" s="2619">
        <v>40</v>
      </c>
      <c r="P729" s="2613"/>
      <c r="Q729" s="2613"/>
      <c r="R729" s="2613" t="s">
        <v>1455</v>
      </c>
      <c r="S729" s="2613" t="s">
        <v>1455</v>
      </c>
      <c r="T729" s="2613" t="s">
        <v>1455</v>
      </c>
      <c r="U729" s="2613"/>
      <c r="V729" s="2609" t="s">
        <v>2129</v>
      </c>
      <c r="W729" s="2609"/>
      <c r="X729" s="2610" t="str">
        <f t="shared" si="164"/>
        <v>Grande</v>
      </c>
      <c r="Y729" s="2603">
        <f t="shared" si="165"/>
        <v>0</v>
      </c>
      <c r="Z729" s="1259" t="str">
        <f t="shared" si="132"/>
        <v/>
      </c>
      <c r="AA729" s="1955" t="s">
        <v>2171</v>
      </c>
      <c r="AC729" s="3045" t="s">
        <v>7018</v>
      </c>
      <c r="AD729" s="2847">
        <f>IFERROR(IF(IF(AC729&lt;&gt;"",VLOOKUP(AC729,Tabla_ArmasyEscudos,9,0),"")="Conocida",MAX(AD$645:AD728)+1,0),0)</f>
        <v>0</v>
      </c>
      <c r="AE729" s="2847">
        <f ca="1">IF(AC729="",0,IF(AD729=0,MAX(AE$639:AE728,AG$637)+1,AD729+IFERROR(VLOOKUP(VLOOKUP(AC729,$D$638:$AA$840,24,0),AC$639:AE$644,3,0)-VLOOKUP(VLOOKUP(AC729,$D$638:$AA$840,24,0),AC$639:AE$644,2,0)+1,0)))</f>
        <v>85</v>
      </c>
      <c r="AF729" s="2847" t="str">
        <f t="shared" ca="1" si="155"/>
        <v>Nodachi</v>
      </c>
      <c r="AG729" s="2847" t="str">
        <f t="shared" ca="1" si="156"/>
        <v/>
      </c>
      <c r="AH729" s="3045"/>
      <c r="AI729" s="2847">
        <f>IFERROR(IF(IF(AH729&lt;&gt;"",VLOOKUP(AH729,Tabla_ArmasyEscudos,9,0),"")="Conocida",MAX(AI$645:AI728)+1,0),0)</f>
        <v>0</v>
      </c>
      <c r="AJ729" s="2847">
        <f>IF(AH729="",0,IF(AI729=0,MAX(AJ$639:AJ728,AL$637)+1,AI729+IFERROR(VLOOKUP(VLOOKUP(AH729,$D$638:$AA$840,24,0),AH$639:AJ$644,3,0)-VLOOKUP(VLOOKUP(AH729,$D$638:$AA$840,24,0),AH$639:AJ$644,2,0)+1,0)))</f>
        <v>0</v>
      </c>
      <c r="AK729" s="2847" t="str">
        <f t="shared" ca="1" si="133"/>
        <v/>
      </c>
      <c r="AL729" s="2847" t="str">
        <f t="shared" ca="1" si="157"/>
        <v/>
      </c>
      <c r="AM729" s="3045"/>
      <c r="AN729" s="2847">
        <f>IFERROR(IF(IF(AM729&lt;&gt;"",VLOOKUP(AM729,Tabla_ArmasyEscudos,9,0),"")="Conocida",MAX(AN$645:AN728)+1,0),0)</f>
        <v>0</v>
      </c>
      <c r="AO729" s="2847">
        <f>IF(AM729="",0,IF(AN729=0,MAX(AO$639:AO728,AQ$637)+1,AN729+IFERROR(VLOOKUP(VLOOKUP(AM729,$D$638:$AA$840,24,0),AM$639:AO$644,3,0)-VLOOKUP(VLOOKUP(AM729,$D$638:$AA$840,24,0),AM$639:AO$644,2,0)+1,0)))</f>
        <v>0</v>
      </c>
      <c r="AP729" s="2847" t="str">
        <f t="shared" ca="1" si="134"/>
        <v/>
      </c>
      <c r="AQ729" s="2847" t="str">
        <f t="shared" ca="1" si="158"/>
        <v/>
      </c>
      <c r="AR729" s="3045"/>
      <c r="AS729" s="2847">
        <f>IFERROR(IF(IF(AR729&lt;&gt;"",VLOOKUP(AR729,Tabla_ArmasyEscudos,9,0),"")="Conocida",MAX(AS$645:AS728)+1,0),0)</f>
        <v>0</v>
      </c>
      <c r="AT729" s="2847">
        <f>IF(AR729="",0,IF(AS729=0,MAX(AT$639:AT728,AV$637)+1,AS729+IFERROR(VLOOKUP(VLOOKUP(AR729,$D$638:$AA$840,24,0),AR$639:AT$644,3,0)-VLOOKUP(VLOOKUP(AR729,$D$638:$AA$840,24,0),AR$639:AT$644,2,0)+1,0)))</f>
        <v>0</v>
      </c>
      <c r="AU729" s="2847" t="str">
        <f t="shared" ca="1" si="135"/>
        <v/>
      </c>
      <c r="AV729" s="2847" t="str">
        <f t="shared" ca="1" si="159"/>
        <v/>
      </c>
      <c r="AX729" s="1250" t="str">
        <f t="shared" si="136"/>
        <v>Katar</v>
      </c>
      <c r="AY729" s="3025"/>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5"/>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5"/>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5"/>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5"/>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042"/>
      <c r="C730" s="1141"/>
      <c r="D730" s="2614" t="s">
        <v>2186</v>
      </c>
      <c r="E730" s="2618">
        <v>30</v>
      </c>
      <c r="F730" s="2613">
        <v>15</v>
      </c>
      <c r="G730" s="2613">
        <v>5</v>
      </c>
      <c r="H730" s="2613">
        <v>5</v>
      </c>
      <c r="I730" s="2613" t="s">
        <v>1497</v>
      </c>
      <c r="J730" s="2613" t="s">
        <v>1455</v>
      </c>
      <c r="K730" s="2859" t="s">
        <v>7261</v>
      </c>
      <c r="L730" s="2613" t="str">
        <f t="shared" si="163"/>
        <v>Distinta</v>
      </c>
      <c r="M730" s="2619">
        <v>11</v>
      </c>
      <c r="N730" s="2619">
        <v>0</v>
      </c>
      <c r="O730" s="2619">
        <v>15</v>
      </c>
      <c r="P730" s="2613"/>
      <c r="Q730" s="2613"/>
      <c r="R730" s="2613" t="s">
        <v>1455</v>
      </c>
      <c r="S730" s="2613" t="s">
        <v>1455</v>
      </c>
      <c r="T730" s="2613" t="s">
        <v>1455</v>
      </c>
      <c r="U730" s="2613"/>
      <c r="V730" s="2609" t="s">
        <v>1455</v>
      </c>
      <c r="W730" s="2609"/>
      <c r="X730" s="2610" t="str">
        <f t="shared" si="164"/>
        <v>Mediana</v>
      </c>
      <c r="Y730" s="2603">
        <f t="shared" si="165"/>
        <v>0</v>
      </c>
      <c r="Z730" s="1259" t="str">
        <f t="shared" si="132"/>
        <v/>
      </c>
      <c r="AA730" s="1955" t="s">
        <v>2171</v>
      </c>
      <c r="AC730" s="3045" t="s">
        <v>7019</v>
      </c>
      <c r="AD730" s="2847">
        <f>IFERROR(IF(IF(AC730&lt;&gt;"",VLOOKUP(AC730,Tabla_ArmasyEscudos,9,0),"")="Conocida",MAX(AD$645:AD729)+1,0),0)</f>
        <v>0</v>
      </c>
      <c r="AE730" s="2847">
        <f ca="1">IF(AC730="",0,IF(AD730=0,MAX(AE$639:AE729,AG$637)+1,AD730+IFERROR(VLOOKUP(VLOOKUP(AC730,$D$638:$AA$840,24,0),AC$639:AE$644,3,0)-VLOOKUP(VLOOKUP(AC730,$D$638:$AA$840,24,0),AC$639:AE$644,2,0)+1,0)))</f>
        <v>86</v>
      </c>
      <c r="AF730" s="2847" t="str">
        <f t="shared" ca="1" si="155"/>
        <v>Nunchaku</v>
      </c>
      <c r="AG730" s="2847" t="str">
        <f t="shared" ca="1" si="156"/>
        <v/>
      </c>
      <c r="AH730" s="3045"/>
      <c r="AI730" s="2847">
        <f>IFERROR(IF(IF(AH730&lt;&gt;"",VLOOKUP(AH730,Tabla_ArmasyEscudos,9,0),"")="Conocida",MAX(AI$645:AI729)+1,0),0)</f>
        <v>0</v>
      </c>
      <c r="AJ730" s="2847">
        <f>IF(AH730="",0,IF(AI730=0,MAX(AJ$639:AJ729,AL$637)+1,AI730+IFERROR(VLOOKUP(VLOOKUP(AH730,$D$638:$AA$840,24,0),AH$639:AJ$644,3,0)-VLOOKUP(VLOOKUP(AH730,$D$638:$AA$840,24,0),AH$639:AJ$644,2,0)+1,0)))</f>
        <v>0</v>
      </c>
      <c r="AK730" s="2847" t="str">
        <f t="shared" ca="1" si="133"/>
        <v/>
      </c>
      <c r="AL730" s="2847" t="str">
        <f t="shared" ca="1" si="157"/>
        <v/>
      </c>
      <c r="AM730" s="3045"/>
      <c r="AN730" s="2847">
        <f>IFERROR(IF(IF(AM730&lt;&gt;"",VLOOKUP(AM730,Tabla_ArmasyEscudos,9,0),"")="Conocida",MAX(AN$645:AN729)+1,0),0)</f>
        <v>0</v>
      </c>
      <c r="AO730" s="2847">
        <f>IF(AM730="",0,IF(AN730=0,MAX(AO$639:AO729,AQ$637)+1,AN730+IFERROR(VLOOKUP(VLOOKUP(AM730,$D$638:$AA$840,24,0),AM$639:AO$644,3,0)-VLOOKUP(VLOOKUP(AM730,$D$638:$AA$840,24,0),AM$639:AO$644,2,0)+1,0)))</f>
        <v>0</v>
      </c>
      <c r="AP730" s="2847" t="str">
        <f t="shared" ca="1" si="134"/>
        <v/>
      </c>
      <c r="AQ730" s="2847" t="str">
        <f t="shared" ca="1" si="158"/>
        <v/>
      </c>
      <c r="AR730" s="3045"/>
      <c r="AS730" s="2847">
        <f>IFERROR(IF(IF(AR730&lt;&gt;"",VLOOKUP(AR730,Tabla_ArmasyEscudos,9,0),"")="Conocida",MAX(AS$645:AS729)+1,0),0)</f>
        <v>0</v>
      </c>
      <c r="AT730" s="2847">
        <f>IF(AR730="",0,IF(AS730=0,MAX(AT$639:AT729,AV$637)+1,AS730+IFERROR(VLOOKUP(VLOOKUP(AR730,$D$638:$AA$840,24,0),AR$639:AT$644,3,0)-VLOOKUP(VLOOKUP(AR730,$D$638:$AA$840,24,0),AR$639:AT$644,2,0)+1,0)))</f>
        <v>0</v>
      </c>
      <c r="AU730" s="2847" t="str">
        <f t="shared" ca="1" si="135"/>
        <v/>
      </c>
      <c r="AV730" s="2847" t="str">
        <f t="shared" ca="1" si="159"/>
        <v/>
      </c>
      <c r="AX730" s="1250" t="str">
        <f t="shared" si="136"/>
        <v>Kusari-Gama</v>
      </c>
      <c r="AY730" s="3025"/>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5"/>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5"/>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5"/>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5"/>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042"/>
      <c r="C731" s="1141"/>
      <c r="D731" s="2614" t="s">
        <v>2187</v>
      </c>
      <c r="E731" s="2618">
        <v>50</v>
      </c>
      <c r="F731" s="2613">
        <v>-20</v>
      </c>
      <c r="G731" s="2613">
        <v>10</v>
      </c>
      <c r="H731" s="2613">
        <v>8</v>
      </c>
      <c r="I731" s="2613" t="s">
        <v>1497</v>
      </c>
      <c r="J731" s="2613" t="s">
        <v>1550</v>
      </c>
      <c r="K731" s="2859" t="s">
        <v>7264</v>
      </c>
      <c r="L731" s="2613" t="str">
        <f t="shared" si="163"/>
        <v>Distinta</v>
      </c>
      <c r="M731" s="2619">
        <v>16</v>
      </c>
      <c r="N731" s="2619">
        <v>8</v>
      </c>
      <c r="O731" s="2619">
        <v>25</v>
      </c>
      <c r="P731" s="2613"/>
      <c r="Q731" s="2613"/>
      <c r="R731" s="2613" t="s">
        <v>1455</v>
      </c>
      <c r="S731" s="2613" t="s">
        <v>1455</v>
      </c>
      <c r="T731" s="2613" t="s">
        <v>1455</v>
      </c>
      <c r="U731" s="2613"/>
      <c r="V731" s="2609" t="s">
        <v>2129</v>
      </c>
      <c r="W731" s="2609"/>
      <c r="X731" s="2610" t="str">
        <f t="shared" si="164"/>
        <v>Grande</v>
      </c>
      <c r="Y731" s="2603">
        <f t="shared" si="165"/>
        <v>0</v>
      </c>
      <c r="Z731" s="1259" t="str">
        <f t="shared" si="132"/>
        <v/>
      </c>
      <c r="AA731" s="1955" t="s">
        <v>2171</v>
      </c>
      <c r="AC731" s="3045" t="s">
        <v>7020</v>
      </c>
      <c r="AD731" s="2847">
        <f>IFERROR(IF(IF(AC731&lt;&gt;"",VLOOKUP(AC731,Tabla_ArmasyEscudos,9,0),"")="Conocida",MAX(AD$645:AD730)+1,0),0)</f>
        <v>0</v>
      </c>
      <c r="AE731" s="2847">
        <f ca="1">IF(AC731="",0,IF(AD731=0,MAX(AE$639:AE730,AG$637)+1,AD731+IFERROR(VLOOKUP(VLOOKUP(AC731,$D$638:$AA$840,24,0),AC$639:AE$644,3,0)-VLOOKUP(VLOOKUP(AC731,$D$638:$AA$840,24,0),AC$639:AE$644,2,0)+1,0)))</f>
        <v>87</v>
      </c>
      <c r="AF731" s="2847" t="str">
        <f t="shared" ca="1" si="155"/>
        <v>Quebradora</v>
      </c>
      <c r="AG731" s="2847" t="str">
        <f t="shared" ca="1" si="156"/>
        <v/>
      </c>
      <c r="AH731" s="3045"/>
      <c r="AI731" s="2847">
        <f>IFERROR(IF(IF(AH731&lt;&gt;"",VLOOKUP(AH731,Tabla_ArmasyEscudos,9,0),"")="Conocida",MAX(AI$645:AI730)+1,0),0)</f>
        <v>0</v>
      </c>
      <c r="AJ731" s="2847">
        <f>IF(AH731="",0,IF(AI731=0,MAX(AJ$639:AJ730,AL$637)+1,AI731+IFERROR(VLOOKUP(VLOOKUP(AH731,$D$638:$AA$840,24,0),AH$639:AJ$644,3,0)-VLOOKUP(VLOOKUP(AH731,$D$638:$AA$840,24,0),AH$639:AJ$644,2,0)+1,0)))</f>
        <v>0</v>
      </c>
      <c r="AK731" s="2847" t="str">
        <f t="shared" ca="1" si="133"/>
        <v/>
      </c>
      <c r="AL731" s="2847" t="str">
        <f t="shared" ca="1" si="157"/>
        <v/>
      </c>
      <c r="AM731" s="3045"/>
      <c r="AN731" s="2847">
        <f>IFERROR(IF(IF(AM731&lt;&gt;"",VLOOKUP(AM731,Tabla_ArmasyEscudos,9,0),"")="Conocida",MAX(AN$645:AN730)+1,0),0)</f>
        <v>0</v>
      </c>
      <c r="AO731" s="2847">
        <f>IF(AM731="",0,IF(AN731=0,MAX(AO$639:AO730,AQ$637)+1,AN731+IFERROR(VLOOKUP(VLOOKUP(AM731,$D$638:$AA$840,24,0),AM$639:AO$644,3,0)-VLOOKUP(VLOOKUP(AM731,$D$638:$AA$840,24,0),AM$639:AO$644,2,0)+1,0)))</f>
        <v>0</v>
      </c>
      <c r="AP731" s="2847" t="str">
        <f t="shared" ca="1" si="134"/>
        <v/>
      </c>
      <c r="AQ731" s="2847" t="str">
        <f t="shared" ca="1" si="158"/>
        <v/>
      </c>
      <c r="AR731" s="3045"/>
      <c r="AS731" s="2847">
        <f>IFERROR(IF(IF(AR731&lt;&gt;"",VLOOKUP(AR731,Tabla_ArmasyEscudos,9,0),"")="Conocida",MAX(AS$645:AS730)+1,0),0)</f>
        <v>0</v>
      </c>
      <c r="AT731" s="2847">
        <f>IF(AR731="",0,IF(AS731=0,MAX(AT$639:AT730,AV$637)+1,AS731+IFERROR(VLOOKUP(VLOOKUP(AR731,$D$638:$AA$840,24,0),AR$639:AT$644,3,0)-VLOOKUP(VLOOKUP(AR731,$D$638:$AA$840,24,0),AR$639:AT$644,2,0)+1,0)))</f>
        <v>0</v>
      </c>
      <c r="AU731" s="2847" t="str">
        <f t="shared" ca="1" si="135"/>
        <v/>
      </c>
      <c r="AV731" s="2847" t="str">
        <f t="shared" ca="1" si="159"/>
        <v/>
      </c>
      <c r="AX731" s="1250" t="str">
        <f t="shared" si="136"/>
        <v>Nodachi</v>
      </c>
      <c r="AY731" s="3025"/>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5"/>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5"/>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5"/>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5"/>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042"/>
      <c r="C732" s="1141"/>
      <c r="D732" s="2614" t="s">
        <v>2188</v>
      </c>
      <c r="E732" s="2618">
        <v>35</v>
      </c>
      <c r="F732" s="2613">
        <v>15</v>
      </c>
      <c r="G732" s="2613">
        <v>4</v>
      </c>
      <c r="H732" s="2613">
        <v>4</v>
      </c>
      <c r="I732" s="2613" t="s">
        <v>1551</v>
      </c>
      <c r="J732" s="2613" t="s">
        <v>1550</v>
      </c>
      <c r="K732" s="2859" t="s">
        <v>7262</v>
      </c>
      <c r="L732" s="2613" t="str">
        <f t="shared" si="163"/>
        <v>Distinta</v>
      </c>
      <c r="M732" s="2619">
        <v>12</v>
      </c>
      <c r="N732" s="2619">
        <v>0</v>
      </c>
      <c r="O732" s="2619">
        <v>25</v>
      </c>
      <c r="P732" s="2613"/>
      <c r="Q732" s="2613"/>
      <c r="R732" s="2613" t="s">
        <v>1455</v>
      </c>
      <c r="S732" s="2613" t="s">
        <v>1455</v>
      </c>
      <c r="T732" s="2613" t="s">
        <v>1455</v>
      </c>
      <c r="U732" s="2613"/>
      <c r="V732" s="2609" t="s">
        <v>2189</v>
      </c>
      <c r="W732" s="2609"/>
      <c r="X732" s="2610" t="str">
        <f t="shared" si="164"/>
        <v>Pequeña</v>
      </c>
      <c r="Y732" s="2603">
        <f t="shared" si="165"/>
        <v>0</v>
      </c>
      <c r="Z732" s="1259" t="str">
        <f t="shared" si="132"/>
        <v/>
      </c>
      <c r="AA732" s="1955" t="s">
        <v>2171</v>
      </c>
      <c r="AC732" s="1023" t="s">
        <v>6999</v>
      </c>
      <c r="AD732" s="2847">
        <f>IFERROR(IF(IF(AC732&lt;&gt;"",VLOOKUP(AC732,Tabla_ArmasyEscudos,9,0),"")="Conocida",MAX(AD$645:AD731)+1,0),0)</f>
        <v>0</v>
      </c>
      <c r="AE732" s="2847">
        <f ca="1">IF(AC732="",0,IF(AD732=0,MAX(AE$639:AE731,AG$637)+1,AD732+IFERROR(VLOOKUP(VLOOKUP(AC732,$D$638:$AA$840,24,0),AC$639:AE$644,3,0)-VLOOKUP(VLOOKUP(AC732,$D$638:$AA$840,24,0),AC$639:AE$644,2,0)+1,0)))</f>
        <v>88</v>
      </c>
      <c r="AF732" s="2847" t="str">
        <f t="shared" ca="1" si="155"/>
        <v>Ram Dao</v>
      </c>
      <c r="AG732" s="2847" t="str">
        <f t="shared" ca="1" si="156"/>
        <v/>
      </c>
      <c r="AH732" s="3045"/>
      <c r="AI732" s="2847">
        <f>IFERROR(IF(IF(AH732&lt;&gt;"",VLOOKUP(AH732,Tabla_ArmasyEscudos,9,0),"")="Conocida",MAX(AI$645:AI731)+1,0),0)</f>
        <v>0</v>
      </c>
      <c r="AJ732" s="2847">
        <f>IF(AH732="",0,IF(AI732=0,MAX(AJ$639:AJ731,AL$637)+1,AI732+IFERROR(VLOOKUP(VLOOKUP(AH732,$D$638:$AA$840,24,0),AH$639:AJ$644,3,0)-VLOOKUP(VLOOKUP(AH732,$D$638:$AA$840,24,0),AH$639:AJ$644,2,0)+1,0)))</f>
        <v>0</v>
      </c>
      <c r="AK732" s="2847" t="str">
        <f t="shared" ca="1" si="133"/>
        <v/>
      </c>
      <c r="AL732" s="2847" t="str">
        <f t="shared" ca="1" si="157"/>
        <v/>
      </c>
      <c r="AM732" s="3045"/>
      <c r="AN732" s="2847">
        <f>IFERROR(IF(IF(AM732&lt;&gt;"",VLOOKUP(AM732,Tabla_ArmasyEscudos,9,0),"")="Conocida",MAX(AN$645:AN731)+1,0),0)</f>
        <v>0</v>
      </c>
      <c r="AO732" s="2847">
        <f>IF(AM732="",0,IF(AN732=0,MAX(AO$639:AO731,AQ$637)+1,AN732+IFERROR(VLOOKUP(VLOOKUP(AM732,$D$638:$AA$840,24,0),AM$639:AO$644,3,0)-VLOOKUP(VLOOKUP(AM732,$D$638:$AA$840,24,0),AM$639:AO$644,2,0)+1,0)))</f>
        <v>0</v>
      </c>
      <c r="AP732" s="2847" t="str">
        <f t="shared" ca="1" si="134"/>
        <v/>
      </c>
      <c r="AQ732" s="2847" t="str">
        <f t="shared" ca="1" si="158"/>
        <v/>
      </c>
      <c r="AR732" s="3045"/>
      <c r="AS732" s="2847">
        <f>IFERROR(IF(IF(AR732&lt;&gt;"",VLOOKUP(AR732,Tabla_ArmasyEscudos,9,0),"")="Conocida",MAX(AS$645:AS731)+1,0),0)</f>
        <v>0</v>
      </c>
      <c r="AT732" s="2847">
        <f>IF(AR732="",0,IF(AS732=0,MAX(AT$639:AT731,AV$637)+1,AS732+IFERROR(VLOOKUP(VLOOKUP(AR732,$D$638:$AA$840,24,0),AR$639:AT$644,3,0)-VLOOKUP(VLOOKUP(AR732,$D$638:$AA$840,24,0),AR$639:AT$644,2,0)+1,0)))</f>
        <v>0</v>
      </c>
      <c r="AU732" s="2847" t="str">
        <f t="shared" ca="1" si="135"/>
        <v/>
      </c>
      <c r="AV732" s="2847" t="str">
        <f t="shared" ca="1" si="159"/>
        <v/>
      </c>
      <c r="AX732" s="1250" t="str">
        <f t="shared" si="136"/>
        <v>Nunchaku</v>
      </c>
      <c r="AY732" s="3025"/>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5"/>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5"/>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5"/>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5"/>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042"/>
      <c r="C733" s="1141"/>
      <c r="D733" s="2614" t="s">
        <v>2190</v>
      </c>
      <c r="E733" s="2618">
        <v>20</v>
      </c>
      <c r="F733" s="2613">
        <v>10</v>
      </c>
      <c r="G733" s="2613">
        <v>4</v>
      </c>
      <c r="H733" s="2613">
        <v>4</v>
      </c>
      <c r="I733" s="2613" t="s">
        <v>1551</v>
      </c>
      <c r="J733" s="2613" t="s">
        <v>1455</v>
      </c>
      <c r="K733" s="2859" t="s">
        <v>7262</v>
      </c>
      <c r="L733" s="2613" t="str">
        <f t="shared" si="163"/>
        <v>Distinta</v>
      </c>
      <c r="M733" s="2619">
        <v>9</v>
      </c>
      <c r="N733" s="2619">
        <v>-2</v>
      </c>
      <c r="O733" s="2619">
        <v>25</v>
      </c>
      <c r="P733" s="2613"/>
      <c r="Q733" s="2613"/>
      <c r="R733" s="2613" t="s">
        <v>1455</v>
      </c>
      <c r="S733" s="2613" t="s">
        <v>1455</v>
      </c>
      <c r="T733" s="2613" t="s">
        <v>1455</v>
      </c>
      <c r="U733" s="2613"/>
      <c r="V733" s="2609" t="s">
        <v>2150</v>
      </c>
      <c r="W733" s="2609"/>
      <c r="X733" s="2610" t="str">
        <f t="shared" si="164"/>
        <v>Pequeña</v>
      </c>
      <c r="Y733" s="2603">
        <f t="shared" si="165"/>
        <v>0</v>
      </c>
      <c r="Z733" s="1259" t="str">
        <f t="shared" si="132"/>
        <v/>
      </c>
      <c r="AA733" s="1955" t="s">
        <v>2171</v>
      </c>
      <c r="AC733" s="3045" t="s">
        <v>7021</v>
      </c>
      <c r="AD733" s="2847">
        <f>IFERROR(IF(IF(AC733&lt;&gt;"",VLOOKUP(AC733,Tabla_ArmasyEscudos,9,0),"")="Conocida",MAX(AD$645:AD732)+1,0),0)</f>
        <v>0</v>
      </c>
      <c r="AE733" s="2847">
        <f ca="1">IF(AC733="",0,IF(AD733=0,MAX(AE$639:AE732,AG$637)+1,AD733+IFERROR(VLOOKUP(VLOOKUP(AC733,$D$638:$AA$840,24,0),AC$639:AE$644,3,0)-VLOOKUP(VLOOKUP(AC733,$D$638:$AA$840,24,0),AC$639:AE$644,2,0)+1,0)))</f>
        <v>89</v>
      </c>
      <c r="AF733" s="2847" t="str">
        <f t="shared" ca="1" si="155"/>
        <v>Sai</v>
      </c>
      <c r="AG733" s="2847" t="str">
        <f t="shared" ca="1" si="156"/>
        <v/>
      </c>
      <c r="AH733" s="3045"/>
      <c r="AI733" s="2847">
        <f>IFERROR(IF(IF(AH733&lt;&gt;"",VLOOKUP(AH733,Tabla_ArmasyEscudos,9,0),"")="Conocida",MAX(AI$645:AI732)+1,0),0)</f>
        <v>0</v>
      </c>
      <c r="AJ733" s="2847">
        <f>IF(AH733="",0,IF(AI733=0,MAX(AJ$639:AJ732,AL$637)+1,AI733+IFERROR(VLOOKUP(VLOOKUP(AH733,$D$638:$AA$840,24,0),AH$639:AJ$644,3,0)-VLOOKUP(VLOOKUP(AH733,$D$638:$AA$840,24,0),AH$639:AJ$644,2,0)+1,0)))</f>
        <v>0</v>
      </c>
      <c r="AK733" s="2847" t="str">
        <f t="shared" ca="1" si="133"/>
        <v/>
      </c>
      <c r="AL733" s="2847" t="str">
        <f t="shared" ca="1" si="157"/>
        <v/>
      </c>
      <c r="AM733" s="3045"/>
      <c r="AN733" s="2847">
        <f>IFERROR(IF(IF(AM733&lt;&gt;"",VLOOKUP(AM733,Tabla_ArmasyEscudos,9,0),"")="Conocida",MAX(AN$645:AN732)+1,0),0)</f>
        <v>0</v>
      </c>
      <c r="AO733" s="2847">
        <f>IF(AM733="",0,IF(AN733=0,MAX(AO$639:AO732,AQ$637)+1,AN733+IFERROR(VLOOKUP(VLOOKUP(AM733,$D$638:$AA$840,24,0),AM$639:AO$644,3,0)-VLOOKUP(VLOOKUP(AM733,$D$638:$AA$840,24,0),AM$639:AO$644,2,0)+1,0)))</f>
        <v>0</v>
      </c>
      <c r="AP733" s="2847" t="str">
        <f t="shared" ca="1" si="134"/>
        <v/>
      </c>
      <c r="AQ733" s="2847" t="str">
        <f t="shared" ca="1" si="158"/>
        <v/>
      </c>
      <c r="AR733" s="3045"/>
      <c r="AS733" s="2847">
        <f>IFERROR(IF(IF(AR733&lt;&gt;"",VLOOKUP(AR733,Tabla_ArmasyEscudos,9,0),"")="Conocida",MAX(AS$645:AS732)+1,0),0)</f>
        <v>0</v>
      </c>
      <c r="AT733" s="2847">
        <f>IF(AR733="",0,IF(AS733=0,MAX(AT$639:AT732,AV$637)+1,AS733+IFERROR(VLOOKUP(VLOOKUP(AR733,$D$638:$AA$840,24,0),AR$639:AT$644,3,0)-VLOOKUP(VLOOKUP(AR733,$D$638:$AA$840,24,0),AR$639:AT$644,2,0)+1,0)))</f>
        <v>0</v>
      </c>
      <c r="AU733" s="2847" t="str">
        <f t="shared" ca="1" si="135"/>
        <v/>
      </c>
      <c r="AV733" s="2847" t="str">
        <f t="shared" ca="1" si="159"/>
        <v/>
      </c>
      <c r="AX733" s="1250" t="str">
        <f t="shared" si="136"/>
        <v>Quebradora</v>
      </c>
      <c r="AY733" s="3025"/>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5"/>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5"/>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5"/>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5"/>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042"/>
      <c r="C734" s="1141"/>
      <c r="D734" s="2614" t="s">
        <v>2191</v>
      </c>
      <c r="E734" s="2618">
        <v>25</v>
      </c>
      <c r="F734" s="2613">
        <v>20</v>
      </c>
      <c r="G734" s="2613">
        <v>4</v>
      </c>
      <c r="H734" s="2613">
        <v>4</v>
      </c>
      <c r="I734" s="2613" t="s">
        <v>1550</v>
      </c>
      <c r="J734" s="2613" t="s">
        <v>1551</v>
      </c>
      <c r="K734" s="2859" t="s">
        <v>7262</v>
      </c>
      <c r="L734" s="2613" t="str">
        <f t="shared" si="163"/>
        <v>Distinta</v>
      </c>
      <c r="M734" s="2619">
        <v>10</v>
      </c>
      <c r="N734" s="2619">
        <v>1</v>
      </c>
      <c r="O734" s="2619">
        <v>20</v>
      </c>
      <c r="P734" s="2613"/>
      <c r="Q734" s="2613"/>
      <c r="R734" s="2619">
        <v>30</v>
      </c>
      <c r="S734" s="2613" t="s">
        <v>1455</v>
      </c>
      <c r="T734" s="2613">
        <v>20</v>
      </c>
      <c r="U734" s="2613"/>
      <c r="V734" s="2609" t="s">
        <v>8575</v>
      </c>
      <c r="W734" s="2609"/>
      <c r="X734" s="2610" t="str">
        <f t="shared" si="164"/>
        <v>Pequeña</v>
      </c>
      <c r="Y734" s="2603">
        <f t="shared" si="165"/>
        <v>0</v>
      </c>
      <c r="Z734" s="1259" t="str">
        <f t="shared" ref="Z734:Z763" si="166">IF(AND(K734&lt;&gt;"Natural/-",ISNUMBER(SEARCH(D734&amp;",",Armas_Conocidas))),", "&amp;K734,"")</f>
        <v/>
      </c>
      <c r="AA734" s="1955" t="s">
        <v>2171</v>
      </c>
      <c r="AC734" s="3045" t="s">
        <v>2185</v>
      </c>
      <c r="AD734" s="2847">
        <f>IFERROR(IF(IF(AC734&lt;&gt;"",VLOOKUP(AC734,Tabla_ArmasyEscudos,9,0),"")="Conocida",MAX(AD$645:AD733)+1,0),0)</f>
        <v>0</v>
      </c>
      <c r="AE734" s="2847">
        <f ca="1">IF(AC734="",0,IF(AD734=0,MAX(AE$639:AE733,AG$637)+1,AD734+IFERROR(VLOOKUP(VLOOKUP(AC734,$D$638:$AA$840,24,0),AC$639:AE$644,3,0)-VLOOKUP(VLOOKUP(AC734,$D$638:$AA$840,24,0),AC$639:AE$644,2,0)+1,0)))</f>
        <v>90</v>
      </c>
      <c r="AF734" s="2847" t="str">
        <f t="shared" ca="1" si="155"/>
        <v>Sang Kauw</v>
      </c>
      <c r="AG734" s="2847" t="str">
        <f t="shared" ca="1" si="156"/>
        <v/>
      </c>
      <c r="AH734" s="3045"/>
      <c r="AI734" s="2847">
        <f>IFERROR(IF(IF(AH734&lt;&gt;"",VLOOKUP(AH734,Tabla_ArmasyEscudos,9,0),"")="Conocida",MAX(AI$645:AI733)+1,0),0)</f>
        <v>0</v>
      </c>
      <c r="AJ734" s="2847">
        <f>IF(AH734="",0,IF(AI734=0,MAX(AJ$639:AJ733,AL$637)+1,AI734+IFERROR(VLOOKUP(VLOOKUP(AH734,$D$638:$AA$840,24,0),AH$639:AJ$644,3,0)-VLOOKUP(VLOOKUP(AH734,$D$638:$AA$840,24,0),AH$639:AJ$644,2,0)+1,0)))</f>
        <v>0</v>
      </c>
      <c r="AK734" s="2847" t="str">
        <f t="shared" ca="1" si="133"/>
        <v/>
      </c>
      <c r="AL734" s="2847" t="str">
        <f t="shared" ca="1" si="157"/>
        <v/>
      </c>
      <c r="AM734" s="3045"/>
      <c r="AN734" s="2847">
        <f>IFERROR(IF(IF(AM734&lt;&gt;"",VLOOKUP(AM734,Tabla_ArmasyEscudos,9,0),"")="Conocida",MAX(AN$645:AN733)+1,0),0)</f>
        <v>0</v>
      </c>
      <c r="AO734" s="2847">
        <f>IF(AM734="",0,IF(AN734=0,MAX(AO$639:AO733,AQ$637)+1,AN734+IFERROR(VLOOKUP(VLOOKUP(AM734,$D$638:$AA$840,24,0),AM$639:AO$644,3,0)-VLOOKUP(VLOOKUP(AM734,$D$638:$AA$840,24,0),AM$639:AO$644,2,0)+1,0)))</f>
        <v>0</v>
      </c>
      <c r="AP734" s="2847" t="str">
        <f t="shared" ca="1" si="134"/>
        <v/>
      </c>
      <c r="AQ734" s="2847" t="str">
        <f t="shared" ca="1" si="158"/>
        <v/>
      </c>
      <c r="AR734" s="3045"/>
      <c r="AS734" s="2847">
        <f>IFERROR(IF(IF(AR734&lt;&gt;"",VLOOKUP(AR734,Tabla_ArmasyEscudos,9,0),"")="Conocida",MAX(AS$645:AS733)+1,0),0)</f>
        <v>0</v>
      </c>
      <c r="AT734" s="2847">
        <f>IF(AR734="",0,IF(AS734=0,MAX(AT$639:AT733,AV$637)+1,AS734+IFERROR(VLOOKUP(VLOOKUP(AR734,$D$638:$AA$840,24,0),AR$639:AT$644,3,0)-VLOOKUP(VLOOKUP(AR734,$D$638:$AA$840,24,0),AR$639:AT$644,2,0)+1,0)))</f>
        <v>0</v>
      </c>
      <c r="AU734" s="2847" t="str">
        <f t="shared" ca="1" si="135"/>
        <v/>
      </c>
      <c r="AV734" s="2847" t="str">
        <f t="shared" ca="1" si="159"/>
        <v/>
      </c>
      <c r="AX734" s="1250" t="str">
        <f t="shared" si="136"/>
        <v>Sai</v>
      </c>
      <c r="AY734" s="3025"/>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5"/>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5"/>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5"/>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5"/>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042"/>
      <c r="C735" s="1141"/>
      <c r="D735" s="2614" t="s">
        <v>2192</v>
      </c>
      <c r="E735" s="2618">
        <v>40</v>
      </c>
      <c r="F735" s="2613">
        <v>20</v>
      </c>
      <c r="G735" s="2613">
        <v>3</v>
      </c>
      <c r="H735" s="2613">
        <v>3</v>
      </c>
      <c r="I735" s="2613" t="s">
        <v>1550</v>
      </c>
      <c r="J735" s="2613" t="s">
        <v>1455</v>
      </c>
      <c r="K735" s="2859" t="s">
        <v>7262</v>
      </c>
      <c r="L735" s="2613" t="str">
        <f t="shared" si="163"/>
        <v>Distinta</v>
      </c>
      <c r="M735" s="2619">
        <v>9</v>
      </c>
      <c r="N735" s="2619">
        <v>1</v>
      </c>
      <c r="O735" s="2619">
        <v>40</v>
      </c>
      <c r="P735" s="2613"/>
      <c r="Q735" s="2613"/>
      <c r="R735" s="2613" t="s">
        <v>1455</v>
      </c>
      <c r="S735" s="2613" t="s">
        <v>1455</v>
      </c>
      <c r="T735" s="2613" t="s">
        <v>1455</v>
      </c>
      <c r="U735" s="2613"/>
      <c r="V735" s="2609" t="s">
        <v>2133</v>
      </c>
      <c r="W735" s="2609"/>
      <c r="X735" s="2610" t="str">
        <f t="shared" si="164"/>
        <v>Pequeña</v>
      </c>
      <c r="Y735" s="2603">
        <f t="shared" si="165"/>
        <v>0</v>
      </c>
      <c r="Z735" s="1259" t="str">
        <f t="shared" si="166"/>
        <v/>
      </c>
      <c r="AA735" s="1955" t="s">
        <v>2171</v>
      </c>
      <c r="AC735" s="1023" t="s">
        <v>2186</v>
      </c>
      <c r="AD735" s="2847">
        <f>IFERROR(IF(IF(AC735&lt;&gt;"",VLOOKUP(AC735,Tabla_ArmasyEscudos,9,0),"")="Conocida",MAX(AD$645:AD734)+1,0),0)</f>
        <v>0</v>
      </c>
      <c r="AE735" s="2847">
        <f ca="1">IF(AC735="",0,IF(AD735=0,MAX(AE$639:AE734,AG$637)+1,AD735+IFERROR(VLOOKUP(VLOOKUP(AC735,$D$638:$AA$840,24,0),AC$639:AE$644,3,0)-VLOOKUP(VLOOKUP(AC735,$D$638:$AA$840,24,0),AC$639:AE$644,2,0)+1,0)))</f>
        <v>91</v>
      </c>
      <c r="AF735" s="2847" t="str">
        <f t="shared" ca="1" si="155"/>
        <v>Shuko</v>
      </c>
      <c r="AG735" s="2847" t="str">
        <f t="shared" ca="1" si="156"/>
        <v/>
      </c>
      <c r="AH735" s="3045"/>
      <c r="AI735" s="2847">
        <f>IFERROR(IF(IF(AH735&lt;&gt;"",VLOOKUP(AH735,Tabla_ArmasyEscudos,9,0),"")="Conocida",MAX(AI$645:AI734)+1,0),0)</f>
        <v>0</v>
      </c>
      <c r="AJ735" s="2847">
        <f>IF(AH735="",0,IF(AI735=0,MAX(AJ$639:AJ734,AL$637)+1,AI735+IFERROR(VLOOKUP(VLOOKUP(AH735,$D$638:$AA$840,24,0),AH$639:AJ$644,3,0)-VLOOKUP(VLOOKUP(AH735,$D$638:$AA$840,24,0),AH$639:AJ$644,2,0)+1,0)))</f>
        <v>0</v>
      </c>
      <c r="AK735" s="2847" t="str">
        <f t="shared" ca="1" si="133"/>
        <v/>
      </c>
      <c r="AL735" s="2847" t="str">
        <f t="shared" ca="1" si="157"/>
        <v/>
      </c>
      <c r="AM735" s="3045"/>
      <c r="AN735" s="2847">
        <f>IFERROR(IF(IF(AM735&lt;&gt;"",VLOOKUP(AM735,Tabla_ArmasyEscudos,9,0),"")="Conocida",MAX(AN$645:AN734)+1,0),0)</f>
        <v>0</v>
      </c>
      <c r="AO735" s="2847">
        <f>IF(AM735="",0,IF(AN735=0,MAX(AO$639:AO734,AQ$637)+1,AN735+IFERROR(VLOOKUP(VLOOKUP(AM735,$D$638:$AA$840,24,0),AM$639:AO$644,3,0)-VLOOKUP(VLOOKUP(AM735,$D$638:$AA$840,24,0),AM$639:AO$644,2,0)+1,0)))</f>
        <v>0</v>
      </c>
      <c r="AP735" s="2847" t="str">
        <f t="shared" ca="1" si="134"/>
        <v/>
      </c>
      <c r="AQ735" s="2847" t="str">
        <f t="shared" ca="1" si="158"/>
        <v/>
      </c>
      <c r="AR735" s="3045"/>
      <c r="AS735" s="2847">
        <f>IFERROR(IF(IF(AR735&lt;&gt;"",VLOOKUP(AR735,Tabla_ArmasyEscudos,9,0),"")="Conocida",MAX(AS$645:AS734)+1,0),0)</f>
        <v>0</v>
      </c>
      <c r="AT735" s="2847">
        <f>IF(AR735="",0,IF(AS735=0,MAX(AT$639:AT734,AV$637)+1,AS735+IFERROR(VLOOKUP(VLOOKUP(AR735,$D$638:$AA$840,24,0),AR$639:AT$644,3,0)-VLOOKUP(VLOOKUP(AR735,$D$638:$AA$840,24,0),AR$639:AT$644,2,0)+1,0)))</f>
        <v>0</v>
      </c>
      <c r="AU735" s="2847" t="str">
        <f t="shared" ca="1" si="135"/>
        <v/>
      </c>
      <c r="AV735" s="2847" t="str">
        <f t="shared" ca="1" si="159"/>
        <v/>
      </c>
      <c r="AX735" s="1250" t="str">
        <f t="shared" si="136"/>
        <v>Shuko</v>
      </c>
      <c r="AY735" s="3025"/>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5"/>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5"/>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5"/>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5"/>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042"/>
      <c r="C736" s="1141"/>
      <c r="D736" s="2614" t="s">
        <v>2193</v>
      </c>
      <c r="E736" s="2618">
        <v>30</v>
      </c>
      <c r="F736" s="2613">
        <v>20</v>
      </c>
      <c r="G736" s="2613">
        <v>4</v>
      </c>
      <c r="H736" s="2613">
        <v>4</v>
      </c>
      <c r="I736" s="2613" t="s">
        <v>1497</v>
      </c>
      <c r="J736" s="2613" t="s">
        <v>1455</v>
      </c>
      <c r="K736" s="2859" t="s">
        <v>7262</v>
      </c>
      <c r="L736" s="2613" t="str">
        <f t="shared" si="163"/>
        <v>Distinta</v>
      </c>
      <c r="M736" s="2619">
        <v>13</v>
      </c>
      <c r="N736" s="2619">
        <v>0</v>
      </c>
      <c r="O736" s="2619">
        <v>25</v>
      </c>
      <c r="P736" s="2613"/>
      <c r="Q736" s="2613"/>
      <c r="R736" s="2613" t="s">
        <v>1455</v>
      </c>
      <c r="S736" s="2613" t="s">
        <v>1455</v>
      </c>
      <c r="T736" s="2613" t="s">
        <v>1455</v>
      </c>
      <c r="U736" s="2613"/>
      <c r="V736" s="2609" t="s">
        <v>2133</v>
      </c>
      <c r="W736" s="2609"/>
      <c r="X736" s="2610" t="str">
        <f t="shared" si="164"/>
        <v>Pequeña</v>
      </c>
      <c r="Y736" s="2603">
        <f t="shared" si="165"/>
        <v>0</v>
      </c>
      <c r="Z736" s="1259" t="str">
        <f t="shared" si="166"/>
        <v/>
      </c>
      <c r="AA736" s="1955" t="s">
        <v>2171</v>
      </c>
      <c r="AC736" s="3045" t="s">
        <v>2187</v>
      </c>
      <c r="AD736" s="2847">
        <f>IFERROR(IF(IF(AC736&lt;&gt;"",VLOOKUP(AC736,Tabla_ArmasyEscudos,9,0),"")="Conocida",MAX(AD$645:AD735)+1,0),0)</f>
        <v>0</v>
      </c>
      <c r="AE736" s="2847">
        <f ca="1">IF(AC736="",0,IF(AD736=0,MAX(AE$639:AE735,AG$637)+1,AD736+IFERROR(VLOOKUP(VLOOKUP(AC736,$D$638:$AA$840,24,0),AC$639:AE$644,3,0)-VLOOKUP(VLOOKUP(AC736,$D$638:$AA$840,24,0),AC$639:AE$644,2,0)+1,0)))</f>
        <v>92</v>
      </c>
      <c r="AF736" s="2847" t="str">
        <f t="shared" ca="1" si="155"/>
        <v>Shuriken</v>
      </c>
      <c r="AG736" s="2847" t="str">
        <f t="shared" ca="1" si="156"/>
        <v/>
      </c>
      <c r="AH736" s="3045"/>
      <c r="AI736" s="2847">
        <f>IFERROR(IF(IF(AH736&lt;&gt;"",VLOOKUP(AH736,Tabla_ArmasyEscudos,9,0),"")="Conocida",MAX(AI$645:AI735)+1,0),0)</f>
        <v>0</v>
      </c>
      <c r="AJ736" s="2847">
        <f>IF(AH736="",0,IF(AI736=0,MAX(AJ$639:AJ735,AL$637)+1,AI736+IFERROR(VLOOKUP(VLOOKUP(AH736,$D$638:$AA$840,24,0),AH$639:AJ$644,3,0)-VLOOKUP(VLOOKUP(AH736,$D$638:$AA$840,24,0),AH$639:AJ$644,2,0)+1,0)))</f>
        <v>0</v>
      </c>
      <c r="AK736" s="2847" t="str">
        <f t="shared" ref="AK736:AK767" ca="1" si="167">IFERROR(INDEX(AH$639:AH$774,MATCH($A97,AJ$639:AJ$774,0)),"")</f>
        <v/>
      </c>
      <c r="AL736" s="2847" t="str">
        <f t="shared" ca="1" si="157"/>
        <v/>
      </c>
      <c r="AM736" s="3045"/>
      <c r="AN736" s="2847">
        <f>IFERROR(IF(IF(AM736&lt;&gt;"",VLOOKUP(AM736,Tabla_ArmasyEscudos,9,0),"")="Conocida",MAX(AN$645:AN735)+1,0),0)</f>
        <v>0</v>
      </c>
      <c r="AO736" s="2847">
        <f>IF(AM736="",0,IF(AN736=0,MAX(AO$639:AO735,AQ$637)+1,AN736+IFERROR(VLOOKUP(VLOOKUP(AM736,$D$638:$AA$840,24,0),AM$639:AO$644,3,0)-VLOOKUP(VLOOKUP(AM736,$D$638:$AA$840,24,0),AM$639:AO$644,2,0)+1,0)))</f>
        <v>0</v>
      </c>
      <c r="AP736" s="2847" t="str">
        <f t="shared" ref="AP736:AP767" ca="1" si="168">IFERROR(INDEX(AM$639:AM$774,MATCH($A97,AO$639:AO$774,0)),"")</f>
        <v/>
      </c>
      <c r="AQ736" s="2847" t="str">
        <f t="shared" ca="1" si="158"/>
        <v/>
      </c>
      <c r="AR736" s="3045"/>
      <c r="AS736" s="2847">
        <f>IFERROR(IF(IF(AR736&lt;&gt;"",VLOOKUP(AR736,Tabla_ArmasyEscudos,9,0),"")="Conocida",MAX(AS$645:AS735)+1,0),0)</f>
        <v>0</v>
      </c>
      <c r="AT736" s="2847">
        <f>IF(AR736="",0,IF(AS736=0,MAX(AT$639:AT735,AV$637)+1,AS736+IFERROR(VLOOKUP(VLOOKUP(AR736,$D$638:$AA$840,24,0),AR$639:AT$644,3,0)-VLOOKUP(VLOOKUP(AR736,$D$638:$AA$840,24,0),AR$639:AT$644,2,0)+1,0)))</f>
        <v>0</v>
      </c>
      <c r="AU736" s="2847" t="str">
        <f t="shared" ref="AU736:AU767" ca="1" si="169">IFERROR(INDEX(AR$639:AR$774,MATCH($A97,AT$639:AT$774,0)),"")</f>
        <v/>
      </c>
      <c r="AV736" s="2847" t="str">
        <f t="shared" ca="1" si="159"/>
        <v/>
      </c>
      <c r="AX736" s="1250" t="str">
        <f t="shared" ref="AX736:AX767" si="170">D734</f>
        <v>Shuriken</v>
      </c>
      <c r="AY736" s="3025"/>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5"/>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5"/>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5"/>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5"/>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042"/>
      <c r="C737" s="1141"/>
      <c r="D737" s="2614" t="s">
        <v>6996</v>
      </c>
      <c r="E737" s="2618">
        <v>25</v>
      </c>
      <c r="F737" s="2613">
        <v>0</v>
      </c>
      <c r="G737" s="2613">
        <v>6</v>
      </c>
      <c r="H737" s="2613">
        <v>5</v>
      </c>
      <c r="I737" s="2613" t="s">
        <v>1497</v>
      </c>
      <c r="J737" s="2613" t="s">
        <v>1455</v>
      </c>
      <c r="K737" s="2859" t="s">
        <v>7260</v>
      </c>
      <c r="L737" s="2620"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19">
        <v>8</v>
      </c>
      <c r="N737" s="2619">
        <v>-1</v>
      </c>
      <c r="O737" s="2619">
        <v>15</v>
      </c>
      <c r="P737" s="2613"/>
      <c r="Q737" s="2613"/>
      <c r="R737" s="2613" t="s">
        <v>1455</v>
      </c>
      <c r="S737" s="2613" t="s">
        <v>1455</v>
      </c>
      <c r="T737" s="2613" t="s">
        <v>1455</v>
      </c>
      <c r="U737" s="2613"/>
      <c r="V737" s="2859" t="s">
        <v>2200</v>
      </c>
      <c r="W737" s="2859"/>
      <c r="X737" s="2860" t="str">
        <f t="shared" si="164"/>
        <v>Mediana</v>
      </c>
      <c r="Y737" s="2603">
        <f t="shared" si="165"/>
        <v>0</v>
      </c>
      <c r="Z737" s="1259" t="str">
        <f t="shared" si="166"/>
        <v/>
      </c>
      <c r="AA737" s="1955" t="s">
        <v>2171</v>
      </c>
      <c r="AC737" s="3045" t="s">
        <v>7001</v>
      </c>
      <c r="AD737" s="2847">
        <f>IFERROR(IF(IF(AC737&lt;&gt;"",VLOOKUP(AC737,Tabla_ArmasyEscudos,9,0),"")="Conocida",MAX(AD$645:AD736)+1,0),0)</f>
        <v>0</v>
      </c>
      <c r="AE737" s="2847">
        <f ca="1">IF(AC737="",0,IF(AD737=0,MAX(AE$639:AE736,AG$637)+1,AD737+IFERROR(VLOOKUP(VLOOKUP(AC737,$D$638:$AA$840,24,0),AC$639:AE$644,3,0)-VLOOKUP(VLOOKUP(AC737,$D$638:$AA$840,24,0),AC$639:AE$644,2,0)+1,0)))</f>
        <v>93</v>
      </c>
      <c r="AF737" s="2847" t="str">
        <f t="shared" ca="1" si="155"/>
        <v>Tanto</v>
      </c>
      <c r="AG737" s="2847" t="str">
        <f t="shared" ca="1" si="156"/>
        <v/>
      </c>
      <c r="AH737" s="3045"/>
      <c r="AI737" s="2847">
        <f>IFERROR(IF(IF(AH737&lt;&gt;"",VLOOKUP(AH737,Tabla_ArmasyEscudos,9,0),"")="Conocida",MAX(AI$645:AI736)+1,0),0)</f>
        <v>0</v>
      </c>
      <c r="AJ737" s="2847">
        <f>IF(AH737="",0,IF(AI737=0,MAX(AJ$639:AJ736,AL$637)+1,AI737+IFERROR(VLOOKUP(VLOOKUP(AH737,$D$638:$AA$840,24,0),AH$639:AJ$644,3,0)-VLOOKUP(VLOOKUP(AH737,$D$638:$AA$840,24,0),AH$639:AJ$644,2,0)+1,0)))</f>
        <v>0</v>
      </c>
      <c r="AK737" s="2847" t="str">
        <f t="shared" ca="1" si="167"/>
        <v/>
      </c>
      <c r="AL737" s="2847" t="str">
        <f t="shared" ca="1" si="157"/>
        <v/>
      </c>
      <c r="AM737" s="3045"/>
      <c r="AN737" s="2847">
        <f>IFERROR(IF(IF(AM737&lt;&gt;"",VLOOKUP(AM737,Tabla_ArmasyEscudos,9,0),"")="Conocida",MAX(AN$645:AN736)+1,0),0)</f>
        <v>0</v>
      </c>
      <c r="AO737" s="2847">
        <f>IF(AM737="",0,IF(AN737=0,MAX(AO$639:AO736,AQ$637)+1,AN737+IFERROR(VLOOKUP(VLOOKUP(AM737,$D$638:$AA$840,24,0),AM$639:AO$644,3,0)-VLOOKUP(VLOOKUP(AM737,$D$638:$AA$840,24,0),AM$639:AO$644,2,0)+1,0)))</f>
        <v>0</v>
      </c>
      <c r="AP737" s="2847" t="str">
        <f t="shared" ca="1" si="168"/>
        <v/>
      </c>
      <c r="AQ737" s="2847" t="str">
        <f t="shared" ca="1" si="158"/>
        <v/>
      </c>
      <c r="AR737" s="3045"/>
      <c r="AS737" s="2847">
        <f>IFERROR(IF(IF(AR737&lt;&gt;"",VLOOKUP(AR737,Tabla_ArmasyEscudos,9,0),"")="Conocida",MAX(AS$645:AS736)+1,0),0)</f>
        <v>0</v>
      </c>
      <c r="AT737" s="2847">
        <f>IF(AR737="",0,IF(AS737=0,MAX(AT$639:AT736,AV$637)+1,AS737+IFERROR(VLOOKUP(VLOOKUP(AR737,$D$638:$AA$840,24,0),AR$639:AT$644,3,0)-VLOOKUP(VLOOKUP(AR737,$D$638:$AA$840,24,0),AR$639:AT$644,2,0)+1,0)))</f>
        <v>0</v>
      </c>
      <c r="AU737" s="2847" t="str">
        <f t="shared" ca="1" si="169"/>
        <v/>
      </c>
      <c r="AV737" s="2847" t="str">
        <f t="shared" ca="1" si="159"/>
        <v/>
      </c>
      <c r="AX737" s="1250" t="str">
        <f t="shared" si="170"/>
        <v>Tanto</v>
      </c>
      <c r="AY737" s="3025"/>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5"/>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5"/>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5"/>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5"/>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042"/>
      <c r="C738" s="1141"/>
      <c r="D738" s="2614" t="s">
        <v>7013</v>
      </c>
      <c r="E738" s="2618">
        <v>20</v>
      </c>
      <c r="F738" s="2613">
        <v>15</v>
      </c>
      <c r="G738" s="2613">
        <v>4</v>
      </c>
      <c r="H738" s="2613">
        <v>4</v>
      </c>
      <c r="I738" s="2613" t="s">
        <v>1497</v>
      </c>
      <c r="J738" s="2613" t="s">
        <v>1455</v>
      </c>
      <c r="K738" s="2859" t="s">
        <v>7262</v>
      </c>
      <c r="L738" s="2613" t="str">
        <f t="shared" si="163"/>
        <v>Distinta</v>
      </c>
      <c r="M738" s="2619">
        <v>13</v>
      </c>
      <c r="N738" s="2619">
        <v>2</v>
      </c>
      <c r="O738" s="2619">
        <v>20</v>
      </c>
      <c r="P738" s="2613"/>
      <c r="Q738" s="2613"/>
      <c r="R738" s="2613" t="s">
        <v>1455</v>
      </c>
      <c r="S738" s="2613" t="s">
        <v>1455</v>
      </c>
      <c r="T738" s="2613" t="s">
        <v>1455</v>
      </c>
      <c r="U738" s="2613"/>
      <c r="V738" s="2859" t="s">
        <v>7032</v>
      </c>
      <c r="W738" s="2859"/>
      <c r="X738" s="2860" t="str">
        <f t="shared" si="164"/>
        <v>Pequeña</v>
      </c>
      <c r="Y738" s="2603">
        <f t="shared" si="165"/>
        <v>0</v>
      </c>
      <c r="Z738" s="1259" t="str">
        <f t="shared" si="166"/>
        <v/>
      </c>
      <c r="AA738" s="1955" t="s">
        <v>2171</v>
      </c>
      <c r="AC738" s="1023" t="s">
        <v>2188</v>
      </c>
      <c r="AD738" s="2847">
        <f>IFERROR(IF(IF(AC738&lt;&gt;"",VLOOKUP(AC738,Tabla_ArmasyEscudos,9,0),"")="Conocida",MAX(AD$645:AD737)+1,0),0)</f>
        <v>0</v>
      </c>
      <c r="AE738" s="2847">
        <f ca="1">IF(AC738="",0,IF(AD738=0,MAX(AE$639:AE737,AG$637)+1,AD738+IFERROR(VLOOKUP(VLOOKUP(AC738,$D$638:$AA$840,24,0),AC$639:AE$644,3,0)-VLOOKUP(VLOOKUP(AC738,$D$638:$AA$840,24,0),AC$639:AE$644,2,0)+1,0)))</f>
        <v>94</v>
      </c>
      <c r="AF738" s="2847" t="str">
        <f t="shared" ca="1" si="155"/>
        <v>Tetsubo</v>
      </c>
      <c r="AG738" s="2847" t="str">
        <f t="shared" ca="1" si="156"/>
        <v/>
      </c>
      <c r="AH738" s="3045"/>
      <c r="AI738" s="2847">
        <f>IFERROR(IF(IF(AH738&lt;&gt;"",VLOOKUP(AH738,Tabla_ArmasyEscudos,9,0),"")="Conocida",MAX(AI$645:AI737)+1,0),0)</f>
        <v>0</v>
      </c>
      <c r="AJ738" s="2847">
        <f>IF(AH738="",0,IF(AI738=0,MAX(AJ$639:AJ737,AL$637)+1,AI738+IFERROR(VLOOKUP(VLOOKUP(AH738,$D$638:$AA$840,24,0),AH$639:AJ$644,3,0)-VLOOKUP(VLOOKUP(AH738,$D$638:$AA$840,24,0),AH$639:AJ$644,2,0)+1,0)))</f>
        <v>0</v>
      </c>
      <c r="AK738" s="2847" t="str">
        <f t="shared" ca="1" si="167"/>
        <v/>
      </c>
      <c r="AL738" s="2847" t="str">
        <f t="shared" ca="1" si="157"/>
        <v/>
      </c>
      <c r="AM738" s="3045"/>
      <c r="AN738" s="2847">
        <f>IFERROR(IF(IF(AM738&lt;&gt;"",VLOOKUP(AM738,Tabla_ArmasyEscudos,9,0),"")="Conocida",MAX(AN$645:AN737)+1,0),0)</f>
        <v>0</v>
      </c>
      <c r="AO738" s="2847">
        <f>IF(AM738="",0,IF(AN738=0,MAX(AO$639:AO737,AQ$637)+1,AN738+IFERROR(VLOOKUP(VLOOKUP(AM738,$D$638:$AA$840,24,0),AM$639:AO$644,3,0)-VLOOKUP(VLOOKUP(AM738,$D$638:$AA$840,24,0),AM$639:AO$644,2,0)+1,0)))</f>
        <v>0</v>
      </c>
      <c r="AP738" s="2847" t="str">
        <f t="shared" ca="1" si="168"/>
        <v/>
      </c>
      <c r="AQ738" s="2847" t="str">
        <f t="shared" ca="1" si="158"/>
        <v/>
      </c>
      <c r="AR738" s="3045"/>
      <c r="AS738" s="2847">
        <f>IFERROR(IF(IF(AR738&lt;&gt;"",VLOOKUP(AR738,Tabla_ArmasyEscudos,9,0),"")="Conocida",MAX(AS$645:AS737)+1,0),0)</f>
        <v>0</v>
      </c>
      <c r="AT738" s="2847">
        <f>IF(AR738="",0,IF(AS738=0,MAX(AT$639:AT737,AV$637)+1,AS738+IFERROR(VLOOKUP(VLOOKUP(AR738,$D$638:$AA$840,24,0),AR$639:AT$644,3,0)-VLOOKUP(VLOOKUP(AR738,$D$638:$AA$840,24,0),AR$639:AT$644,2,0)+1,0)))</f>
        <v>0</v>
      </c>
      <c r="AU738" s="2847" t="str">
        <f t="shared" ca="1" si="169"/>
        <v/>
      </c>
      <c r="AV738" s="2847" t="str">
        <f t="shared" ca="1" si="159"/>
        <v/>
      </c>
      <c r="AX738" s="1250" t="str">
        <f t="shared" si="170"/>
        <v>Tonfa</v>
      </c>
      <c r="AY738" s="3025"/>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5"/>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5"/>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5"/>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5"/>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042"/>
      <c r="C739" s="1141"/>
      <c r="D739" s="2614" t="s">
        <v>7014</v>
      </c>
      <c r="E739" s="2618">
        <v>40</v>
      </c>
      <c r="F739" s="2613">
        <v>5</v>
      </c>
      <c r="G739" s="2613">
        <v>4</v>
      </c>
      <c r="H739" s="2613">
        <v>4</v>
      </c>
      <c r="I739" s="2613" t="s">
        <v>1550</v>
      </c>
      <c r="J739" s="2613" t="s">
        <v>1551</v>
      </c>
      <c r="K739" s="2859" t="s">
        <v>7262</v>
      </c>
      <c r="L739" s="2613" t="str">
        <f t="shared" si="163"/>
        <v>Distinta</v>
      </c>
      <c r="M739" s="2619">
        <v>12</v>
      </c>
      <c r="N739" s="2619">
        <v>1</v>
      </c>
      <c r="O739" s="2619">
        <v>20</v>
      </c>
      <c r="P739" s="2613"/>
      <c r="Q739" s="2613"/>
      <c r="R739" s="2613" t="s">
        <v>1455</v>
      </c>
      <c r="S739" s="2613" t="s">
        <v>1455</v>
      </c>
      <c r="T739" s="2613" t="s">
        <v>1455</v>
      </c>
      <c r="U739" s="2613"/>
      <c r="V739" s="2859" t="s">
        <v>1455</v>
      </c>
      <c r="W739" s="2859"/>
      <c r="X739" s="2860" t="str">
        <f t="shared" si="164"/>
        <v>Pequeña</v>
      </c>
      <c r="Y739" s="2603">
        <f t="shared" si="165"/>
        <v>0</v>
      </c>
      <c r="Z739" s="1259" t="str">
        <f t="shared" si="166"/>
        <v/>
      </c>
      <c r="AA739" s="1955" t="s">
        <v>2171</v>
      </c>
      <c r="AC739" s="3045" t="s">
        <v>7022</v>
      </c>
      <c r="AD739" s="2847">
        <f>IFERROR(IF(IF(AC739&lt;&gt;"",VLOOKUP(AC739,Tabla_ArmasyEscudos,9,0),"")="Conocida",MAX(AD$645:AD738)+1,0),0)</f>
        <v>0</v>
      </c>
      <c r="AE739" s="2847">
        <f ca="1">IF(AC739="",0,IF(AD739=0,MAX(AE$639:AE738,AG$637)+1,AD739+IFERROR(VLOOKUP(VLOOKUP(AC739,$D$638:$AA$840,24,0),AC$639:AE$644,3,0)-VLOOKUP(VLOOKUP(AC739,$D$638:$AA$840,24,0),AC$639:AE$644,2,0)+1,0)))</f>
        <v>95</v>
      </c>
      <c r="AF739" s="2847" t="str">
        <f t="shared" ca="1" si="155"/>
        <v>Tonfa</v>
      </c>
      <c r="AG739" s="2847" t="str">
        <f t="shared" ca="1" si="156"/>
        <v/>
      </c>
      <c r="AH739" s="3045"/>
      <c r="AI739" s="2847">
        <f>IFERROR(IF(IF(AH739&lt;&gt;"",VLOOKUP(AH739,Tabla_ArmasyEscudos,9,0),"")="Conocida",MAX(AI$645:AI738)+1,0),0)</f>
        <v>0</v>
      </c>
      <c r="AJ739" s="2847">
        <f>IF(AH739="",0,IF(AI739=0,MAX(AJ$639:AJ738,AL$637)+1,AI739+IFERROR(VLOOKUP(VLOOKUP(AH739,$D$638:$AA$840,24,0),AH$639:AJ$644,3,0)-VLOOKUP(VLOOKUP(AH739,$D$638:$AA$840,24,0),AH$639:AJ$644,2,0)+1,0)))</f>
        <v>0</v>
      </c>
      <c r="AK739" s="2847" t="str">
        <f t="shared" ca="1" si="167"/>
        <v/>
      </c>
      <c r="AL739" s="2847" t="str">
        <f t="shared" ca="1" si="157"/>
        <v/>
      </c>
      <c r="AM739" s="3045"/>
      <c r="AN739" s="2847">
        <f>IFERROR(IF(IF(AM739&lt;&gt;"",VLOOKUP(AM739,Tabla_ArmasyEscudos,9,0),"")="Conocida",MAX(AN$645:AN738)+1,0),0)</f>
        <v>0</v>
      </c>
      <c r="AO739" s="2847">
        <f>IF(AM739="",0,IF(AN739=0,MAX(AO$639:AO738,AQ$637)+1,AN739+IFERROR(VLOOKUP(VLOOKUP(AM739,$D$638:$AA$840,24,0),AM$639:AO$644,3,0)-VLOOKUP(VLOOKUP(AM739,$D$638:$AA$840,24,0),AM$639:AO$644,2,0)+1,0)))</f>
        <v>0</v>
      </c>
      <c r="AP739" s="2847" t="str">
        <f t="shared" ca="1" si="168"/>
        <v/>
      </c>
      <c r="AQ739" s="2847" t="str">
        <f t="shared" ca="1" si="158"/>
        <v/>
      </c>
      <c r="AR739" s="3045"/>
      <c r="AS739" s="2847">
        <f>IFERROR(IF(IF(AR739&lt;&gt;"",VLOOKUP(AR739,Tabla_ArmasyEscudos,9,0),"")="Conocida",MAX(AS$645:AS738)+1,0),0)</f>
        <v>0</v>
      </c>
      <c r="AT739" s="2847">
        <f>IF(AR739="",0,IF(AS739=0,MAX(AT$639:AT738,AV$637)+1,AS739+IFERROR(VLOOKUP(VLOOKUP(AR739,$D$638:$AA$840,24,0),AR$639:AT$644,3,0)-VLOOKUP(VLOOKUP(AR739,$D$638:$AA$840,24,0),AR$639:AT$644,2,0)+1,0)))</f>
        <v>0</v>
      </c>
      <c r="AU739" s="2847" t="str">
        <f t="shared" ca="1" si="169"/>
        <v/>
      </c>
      <c r="AV739" s="2847" t="str">
        <f t="shared" ca="1" si="159"/>
        <v/>
      </c>
      <c r="AX739" s="1250" t="str">
        <f t="shared" si="170"/>
        <v>Boku-to</v>
      </c>
      <c r="AY739" s="3025"/>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5"/>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5"/>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5"/>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5"/>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042"/>
      <c r="C740" s="1141"/>
      <c r="D740" s="2614" t="s">
        <v>7015</v>
      </c>
      <c r="E740" s="2618">
        <v>30</v>
      </c>
      <c r="F740" s="2613">
        <v>0</v>
      </c>
      <c r="G740" s="2613">
        <v>6</v>
      </c>
      <c r="H740" s="2613">
        <v>6</v>
      </c>
      <c r="I740" s="2613" t="s">
        <v>1497</v>
      </c>
      <c r="J740" s="2613" t="s">
        <v>1455</v>
      </c>
      <c r="K740" s="2859" t="s">
        <v>7261</v>
      </c>
      <c r="L740" s="2613" t="str">
        <f t="shared" si="163"/>
        <v>Distinta</v>
      </c>
      <c r="M740" s="2619">
        <v>13</v>
      </c>
      <c r="N740" s="2619">
        <v>3</v>
      </c>
      <c r="O740" s="2619">
        <v>20</v>
      </c>
      <c r="P740" s="2613"/>
      <c r="Q740" s="2613"/>
      <c r="R740" s="2613" t="s">
        <v>1455</v>
      </c>
      <c r="S740" s="2613" t="s">
        <v>1455</v>
      </c>
      <c r="T740" s="2613" t="s">
        <v>1455</v>
      </c>
      <c r="U740" s="2613"/>
      <c r="V740" s="2859" t="s">
        <v>7033</v>
      </c>
      <c r="W740" s="2859"/>
      <c r="X740" s="2860" t="str">
        <f t="shared" si="164"/>
        <v>Mediana</v>
      </c>
      <c r="Y740" s="2603">
        <f t="shared" si="165"/>
        <v>0</v>
      </c>
      <c r="Z740" s="1259" t="str">
        <f t="shared" si="166"/>
        <v/>
      </c>
      <c r="AA740" s="1955" t="s">
        <v>2171</v>
      </c>
      <c r="AC740" s="3045" t="s">
        <v>2190</v>
      </c>
      <c r="AD740" s="2847">
        <f>IFERROR(IF(IF(AC740&lt;&gt;"",VLOOKUP(AC740,Tabla_ArmasyEscudos,9,0),"")="Conocida",MAX(AD$645:AD739)+1,0),0)</f>
        <v>0</v>
      </c>
      <c r="AE740" s="2847">
        <f ca="1">IF(AC740="",0,IF(AD740=0,MAX(AE$639:AE739,AG$637)+1,AD740+IFERROR(VLOOKUP(VLOOKUP(AC740,$D$638:$AA$840,24,0),AC$639:AE$644,3,0)-VLOOKUP(VLOOKUP(AC740,$D$638:$AA$840,24,0),AC$639:AE$644,2,0)+1,0)))</f>
        <v>96</v>
      </c>
      <c r="AF740" s="2847" t="str">
        <f t="shared" ca="1" si="155"/>
        <v>Uchi-ne</v>
      </c>
      <c r="AG740" s="2847" t="str">
        <f t="shared" ca="1" si="156"/>
        <v/>
      </c>
      <c r="AH740" s="3045"/>
      <c r="AI740" s="2847">
        <f>IFERROR(IF(IF(AH740&lt;&gt;"",VLOOKUP(AH740,Tabla_ArmasyEscudos,9,0),"")="Conocida",MAX(AI$645:AI739)+1,0),0)</f>
        <v>0</v>
      </c>
      <c r="AJ740" s="2847">
        <f>IF(AH740="",0,IF(AI740=0,MAX(AJ$639:AJ739,AL$637)+1,AI740+IFERROR(VLOOKUP(VLOOKUP(AH740,$D$638:$AA$840,24,0),AH$639:AJ$644,3,0)-VLOOKUP(VLOOKUP(AH740,$D$638:$AA$840,24,0),AH$639:AJ$644,2,0)+1,0)))</f>
        <v>0</v>
      </c>
      <c r="AK740" s="2847" t="str">
        <f t="shared" ca="1" si="167"/>
        <v/>
      </c>
      <c r="AL740" s="2847" t="str">
        <f t="shared" ca="1" si="157"/>
        <v/>
      </c>
      <c r="AM740" s="3045"/>
      <c r="AN740" s="2847">
        <f>IFERROR(IF(IF(AM740&lt;&gt;"",VLOOKUP(AM740,Tabla_ArmasyEscudos,9,0),"")="Conocida",MAX(AN$645:AN739)+1,0),0)</f>
        <v>0</v>
      </c>
      <c r="AO740" s="2847">
        <f>IF(AM740="",0,IF(AN740=0,MAX(AO$639:AO739,AQ$637)+1,AN740+IFERROR(VLOOKUP(VLOOKUP(AM740,$D$638:$AA$840,24,0),AM$639:AO$644,3,0)-VLOOKUP(VLOOKUP(AM740,$D$638:$AA$840,24,0),AM$639:AO$644,2,0)+1,0)))</f>
        <v>0</v>
      </c>
      <c r="AP740" s="2847" t="str">
        <f t="shared" ca="1" si="168"/>
        <v/>
      </c>
      <c r="AQ740" s="2847" t="str">
        <f t="shared" ca="1" si="158"/>
        <v/>
      </c>
      <c r="AR740" s="3045"/>
      <c r="AS740" s="2847">
        <f>IFERROR(IF(IF(AR740&lt;&gt;"",VLOOKUP(AR740,Tabla_ArmasyEscudos,9,0),"")="Conocida",MAX(AS$645:AS739)+1,0),0)</f>
        <v>0</v>
      </c>
      <c r="AT740" s="2847">
        <f>IF(AR740="",0,IF(AS740=0,MAX(AT$639:AT739,AV$637)+1,AS740+IFERROR(VLOOKUP(VLOOKUP(AR740,$D$638:$AA$840,24,0),AR$639:AT$644,3,0)-VLOOKUP(VLOOKUP(AR740,$D$638:$AA$840,24,0),AR$639:AT$644,2,0)+1,0)))</f>
        <v>0</v>
      </c>
      <c r="AU740" s="2847" t="str">
        <f t="shared" ca="1" si="169"/>
        <v/>
      </c>
      <c r="AV740" s="2847" t="str">
        <f t="shared" ca="1" si="159"/>
        <v/>
      </c>
      <c r="AX740" s="1250" t="str">
        <f t="shared" si="170"/>
        <v>Jutte</v>
      </c>
      <c r="AY740" s="3025"/>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5"/>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5"/>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5"/>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5"/>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042"/>
      <c r="C741" s="1141"/>
      <c r="D741" s="2614" t="s">
        <v>7016</v>
      </c>
      <c r="E741" s="2618">
        <v>20</v>
      </c>
      <c r="F741" s="2613">
        <v>15</v>
      </c>
      <c r="G741" s="2613">
        <v>4</v>
      </c>
      <c r="H741" s="2613">
        <v>4</v>
      </c>
      <c r="I741" s="2613" t="s">
        <v>1497</v>
      </c>
      <c r="J741" s="2613" t="s">
        <v>1455</v>
      </c>
      <c r="K741" s="2859" t="s">
        <v>7263</v>
      </c>
      <c r="L741" s="2613" t="str">
        <f t="shared" si="163"/>
        <v>Distinta</v>
      </c>
      <c r="M741" s="2619">
        <v>13</v>
      </c>
      <c r="N741" s="2619">
        <v>3</v>
      </c>
      <c r="O741" s="2619">
        <v>20</v>
      </c>
      <c r="P741" s="2613"/>
      <c r="Q741" s="2613"/>
      <c r="R741" s="2613" t="s">
        <v>1455</v>
      </c>
      <c r="S741" s="2613" t="s">
        <v>1455</v>
      </c>
      <c r="T741" s="2613" t="s">
        <v>1455</v>
      </c>
      <c r="U741" s="2613"/>
      <c r="V741" s="2859" t="s">
        <v>1455</v>
      </c>
      <c r="W741" s="2859"/>
      <c r="X741" s="2860" t="str">
        <f t="shared" si="164"/>
        <v>Mediana</v>
      </c>
      <c r="Y741" s="2603">
        <f t="shared" si="165"/>
        <v>0</v>
      </c>
      <c r="Z741" s="1259" t="str">
        <f t="shared" si="166"/>
        <v/>
      </c>
      <c r="AA741" s="1955" t="s">
        <v>2171</v>
      </c>
      <c r="AC741" s="3045" t="s">
        <v>2191</v>
      </c>
      <c r="AD741" s="2847">
        <f>IFERROR(IF(IF(AC741&lt;&gt;"",VLOOKUP(AC741,Tabla_ArmasyEscudos,9,0),"")="Conocida",MAX(AD$645:AD740)+1,0),0)</f>
        <v>0</v>
      </c>
      <c r="AE741" s="2847">
        <f ca="1">IF(AC741="",0,IF(AD741=0,MAX(AE$639:AE740,AG$637)+1,AD741+IFERROR(VLOOKUP(VLOOKUP(AC741,$D$638:$AA$840,24,0),AC$639:AE$644,3,0)-VLOOKUP(VLOOKUP(AC741,$D$638:$AA$840,24,0),AC$639:AE$644,2,0)+1,0)))</f>
        <v>97</v>
      </c>
      <c r="AF741" s="2847" t="str">
        <f t="shared" ca="1" si="155"/>
        <v>Vara</v>
      </c>
      <c r="AG741" s="2847" t="str">
        <f t="shared" ca="1" si="156"/>
        <v/>
      </c>
      <c r="AH741" s="3045"/>
      <c r="AI741" s="2847">
        <f>IFERROR(IF(IF(AH741&lt;&gt;"",VLOOKUP(AH741,Tabla_ArmasyEscudos,9,0),"")="Conocida",MAX(AI$645:AI740)+1,0),0)</f>
        <v>0</v>
      </c>
      <c r="AJ741" s="2847">
        <f>IF(AH741="",0,IF(AI741=0,MAX(AJ$639:AJ740,AL$637)+1,AI741+IFERROR(VLOOKUP(VLOOKUP(AH741,$D$638:$AA$840,24,0),AH$639:AJ$644,3,0)-VLOOKUP(VLOOKUP(AH741,$D$638:$AA$840,24,0),AH$639:AJ$644,2,0)+1,0)))</f>
        <v>0</v>
      </c>
      <c r="AK741" s="2847" t="str">
        <f t="shared" ca="1" si="167"/>
        <v/>
      </c>
      <c r="AL741" s="2847" t="str">
        <f t="shared" ca="1" si="157"/>
        <v/>
      </c>
      <c r="AM741" s="3045"/>
      <c r="AN741" s="2847">
        <f>IFERROR(IF(IF(AM741&lt;&gt;"",VLOOKUP(AM741,Tabla_ArmasyEscudos,9,0),"")="Conocida",MAX(AN$645:AN740)+1,0),0)</f>
        <v>0</v>
      </c>
      <c r="AO741" s="2847">
        <f>IF(AM741="",0,IF(AN741=0,MAX(AO$639:AO740,AQ$637)+1,AN741+IFERROR(VLOOKUP(VLOOKUP(AM741,$D$638:$AA$840,24,0),AM$639:AO$644,3,0)-VLOOKUP(VLOOKUP(AM741,$D$638:$AA$840,24,0),AM$639:AO$644,2,0)+1,0)))</f>
        <v>0</v>
      </c>
      <c r="AP741" s="2847" t="str">
        <f t="shared" ca="1" si="168"/>
        <v/>
      </c>
      <c r="AQ741" s="2847" t="str">
        <f t="shared" ca="1" si="158"/>
        <v/>
      </c>
      <c r="AR741" s="3045"/>
      <c r="AS741" s="2847">
        <f>IFERROR(IF(IF(AR741&lt;&gt;"",VLOOKUP(AR741,Tabla_ArmasyEscudos,9,0),"")="Conocida",MAX(AS$645:AS740)+1,0),0)</f>
        <v>0</v>
      </c>
      <c r="AT741" s="2847">
        <f>IF(AR741="",0,IF(AS741=0,MAX(AT$639:AT740,AV$637)+1,AS741+IFERROR(VLOOKUP(VLOOKUP(AR741,$D$638:$AA$840,24,0),AR$639:AT$644,3,0)-VLOOKUP(VLOOKUP(AR741,$D$638:$AA$840,24,0),AR$639:AT$644,2,0)+1,0)))</f>
        <v>0</v>
      </c>
      <c r="AU741" s="2847" t="str">
        <f t="shared" ca="1" si="169"/>
        <v/>
      </c>
      <c r="AV741" s="2847" t="str">
        <f t="shared" ca="1" si="159"/>
        <v/>
      </c>
      <c r="AX741" s="1250" t="str">
        <f t="shared" si="170"/>
        <v>Kama</v>
      </c>
      <c r="AY741" s="3025"/>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5"/>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5"/>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5"/>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5"/>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042"/>
      <c r="C742" s="1141"/>
      <c r="D742" s="2614" t="s">
        <v>7017</v>
      </c>
      <c r="E742" s="2618">
        <v>30</v>
      </c>
      <c r="F742" s="2613">
        <v>15</v>
      </c>
      <c r="G742" s="2613">
        <v>4</v>
      </c>
      <c r="H742" s="2613">
        <v>4</v>
      </c>
      <c r="I742" s="2613" t="s">
        <v>1551</v>
      </c>
      <c r="J742" s="2613" t="s">
        <v>1550</v>
      </c>
      <c r="K742" s="2859" t="s">
        <v>7262</v>
      </c>
      <c r="L742" s="2613" t="str">
        <f t="shared" si="163"/>
        <v>Distinta</v>
      </c>
      <c r="M742" s="2619">
        <v>11</v>
      </c>
      <c r="N742" s="2619">
        <v>1</v>
      </c>
      <c r="O742" s="2619">
        <v>20</v>
      </c>
      <c r="P742" s="2613"/>
      <c r="Q742" s="2613"/>
      <c r="R742" s="2613" t="s">
        <v>1455</v>
      </c>
      <c r="S742" s="2613" t="s">
        <v>1455</v>
      </c>
      <c r="T742" s="2613" t="s">
        <v>1455</v>
      </c>
      <c r="U742" s="2613"/>
      <c r="V742" s="2859" t="s">
        <v>2133</v>
      </c>
      <c r="W742" s="2859"/>
      <c r="X742" s="2860" t="str">
        <f t="shared" si="164"/>
        <v>Pequeña</v>
      </c>
      <c r="Y742" s="2603">
        <f t="shared" si="165"/>
        <v>0</v>
      </c>
      <c r="Z742" s="1259" t="str">
        <f t="shared" si="166"/>
        <v/>
      </c>
      <c r="AA742" s="1955" t="s">
        <v>2171</v>
      </c>
      <c r="AC742" s="3045" t="s">
        <v>2192</v>
      </c>
      <c r="AD742" s="2847">
        <f>IFERROR(IF(IF(AC742&lt;&gt;"",VLOOKUP(AC742,Tabla_ArmasyEscudos,9,0),"")="Conocida",MAX(AD$645:AD741)+1,0),0)</f>
        <v>0</v>
      </c>
      <c r="AE742" s="2847">
        <f ca="1">IF(AC742="",0,IF(AD742=0,MAX(AE$639:AE741,AG$637)+1,AD742+IFERROR(VLOOKUP(VLOOKUP(AC742,$D$638:$AA$840,24,0),AC$639:AE$644,3,0)-VLOOKUP(VLOOKUP(AC742,$D$638:$AA$840,24,0),AC$639:AE$644,2,0)+1,0)))</f>
        <v>98</v>
      </c>
      <c r="AF742" s="2847" t="str">
        <f t="shared" ca="1" si="155"/>
        <v>Wakizashi</v>
      </c>
      <c r="AG742" s="2847" t="str">
        <f t="shared" ca="1" si="156"/>
        <v/>
      </c>
      <c r="AH742" s="3045"/>
      <c r="AI742" s="2847">
        <f>IFERROR(IF(IF(AH742&lt;&gt;"",VLOOKUP(AH742,Tabla_ArmasyEscudos,9,0),"")="Conocida",MAX(AI$645:AI741)+1,0),0)</f>
        <v>0</v>
      </c>
      <c r="AJ742" s="2847">
        <f>IF(AH742="",0,IF(AI742=0,MAX(AJ$639:AJ741,AL$637)+1,AI742+IFERROR(VLOOKUP(VLOOKUP(AH742,$D$638:$AA$840,24,0),AH$639:AJ$644,3,0)-VLOOKUP(VLOOKUP(AH742,$D$638:$AA$840,24,0),AH$639:AJ$644,2,0)+1,0)))</f>
        <v>0</v>
      </c>
      <c r="AK742" s="2847" t="str">
        <f t="shared" ca="1" si="167"/>
        <v/>
      </c>
      <c r="AL742" s="2847" t="str">
        <f t="shared" ca="1" si="157"/>
        <v/>
      </c>
      <c r="AM742" s="3045"/>
      <c r="AN742" s="2847">
        <f>IFERROR(IF(IF(AM742&lt;&gt;"",VLOOKUP(AM742,Tabla_ArmasyEscudos,9,0),"")="Conocida",MAX(AN$645:AN741)+1,0),0)</f>
        <v>0</v>
      </c>
      <c r="AO742" s="2847">
        <f>IF(AM742="",0,IF(AN742=0,MAX(AO$639:AO741,AQ$637)+1,AN742+IFERROR(VLOOKUP(VLOOKUP(AM742,$D$638:$AA$840,24,0),AM$639:AO$644,3,0)-VLOOKUP(VLOOKUP(AM742,$D$638:$AA$840,24,0),AM$639:AO$644,2,0)+1,0)))</f>
        <v>0</v>
      </c>
      <c r="AP742" s="2847" t="str">
        <f t="shared" ca="1" si="168"/>
        <v/>
      </c>
      <c r="AQ742" s="2847" t="str">
        <f t="shared" ca="1" si="158"/>
        <v/>
      </c>
      <c r="AR742" s="3045"/>
      <c r="AS742" s="2847">
        <f>IFERROR(IF(IF(AR742&lt;&gt;"",VLOOKUP(AR742,Tabla_ArmasyEscudos,9,0),"")="Conocida",MAX(AS$645:AS741)+1,0),0)</f>
        <v>0</v>
      </c>
      <c r="AT742" s="2847">
        <f>IF(AR742="",0,IF(AS742=0,MAX(AT$639:AT741,AV$637)+1,AS742+IFERROR(VLOOKUP(VLOOKUP(AR742,$D$638:$AA$840,24,0),AR$639:AT$644,3,0)-VLOOKUP(VLOOKUP(AR742,$D$638:$AA$840,24,0),AR$639:AT$644,2,0)+1,0)))</f>
        <v>0</v>
      </c>
      <c r="AU742" s="2847" t="str">
        <f t="shared" ca="1" si="169"/>
        <v/>
      </c>
      <c r="AV742" s="2847" t="str">
        <f t="shared" ca="1" si="159"/>
        <v/>
      </c>
      <c r="AX742" s="1250" t="str">
        <f t="shared" si="170"/>
        <v>Kau Sin Ke</v>
      </c>
      <c r="AY742" s="3025"/>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5"/>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5"/>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5"/>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5"/>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042"/>
      <c r="C743" s="1141"/>
      <c r="D743" s="2614" t="s">
        <v>7018</v>
      </c>
      <c r="E743" s="2618">
        <v>35</v>
      </c>
      <c r="F743" s="2613">
        <v>-10</v>
      </c>
      <c r="G743" s="2613">
        <v>4</v>
      </c>
      <c r="H743" s="2613">
        <v>4</v>
      </c>
      <c r="I743" s="2613" t="s">
        <v>1551</v>
      </c>
      <c r="J743" s="2613" t="s">
        <v>1455</v>
      </c>
      <c r="K743" s="2859" t="s">
        <v>7257</v>
      </c>
      <c r="L743" s="2613" t="str">
        <f t="shared" si="163"/>
        <v>Distinta</v>
      </c>
      <c r="M743" s="2619">
        <v>13</v>
      </c>
      <c r="N743" s="2619">
        <v>2</v>
      </c>
      <c r="O743" s="2619">
        <v>25</v>
      </c>
      <c r="P743" s="2613"/>
      <c r="Q743" s="2613"/>
      <c r="R743" s="2613" t="s">
        <v>1455</v>
      </c>
      <c r="S743" s="2613" t="s">
        <v>1455</v>
      </c>
      <c r="T743" s="2613" t="s">
        <v>1455</v>
      </c>
      <c r="U743" s="2613"/>
      <c r="V743" s="2859" t="s">
        <v>2150</v>
      </c>
      <c r="W743" s="2859"/>
      <c r="X743" s="2860" t="str">
        <f t="shared" si="164"/>
        <v>Grande</v>
      </c>
      <c r="Y743" s="2603">
        <f t="shared" si="165"/>
        <v>0</v>
      </c>
      <c r="Z743" s="1259" t="str">
        <f t="shared" si="166"/>
        <v/>
      </c>
      <c r="AA743" s="1955" t="s">
        <v>2171</v>
      </c>
      <c r="AC743" s="3045" t="s">
        <v>7004</v>
      </c>
      <c r="AD743" s="2847">
        <f>IFERROR(IF(IF(AC743&lt;&gt;"",VLOOKUP(AC743,Tabla_ArmasyEscudos,9,0),"")="Conocida",MAX(AD$645:AD742)+1,0),0)</f>
        <v>0</v>
      </c>
      <c r="AE743" s="2847">
        <f ca="1">IF(AC743="",0,IF(AD743=0,MAX(AE$639:AE742,AG$637)+1,AD743+IFERROR(VLOOKUP(VLOOKUP(AC743,$D$638:$AA$840,24,0),AC$639:AE$644,3,0)-VLOOKUP(VLOOKUP(AC743,$D$638:$AA$840,24,0),AC$639:AE$644,2,0)+1,0)))</f>
        <v>99</v>
      </c>
      <c r="AF743" s="2847" t="str">
        <f t="shared" ca="1" si="155"/>
        <v>&gt; ARS MAGNUS</v>
      </c>
      <c r="AG743" s="2847" t="str">
        <f t="shared" ca="1" si="156"/>
        <v/>
      </c>
      <c r="AH743" s="3045"/>
      <c r="AI743" s="2847">
        <f>IFERROR(IF(IF(AH743&lt;&gt;"",VLOOKUP(AH743,Tabla_ArmasyEscudos,9,0),"")="Conocida",MAX(AI$645:AI742)+1,0),0)</f>
        <v>0</v>
      </c>
      <c r="AJ743" s="2847">
        <f>IF(AH743="",0,IF(AI743=0,MAX(AJ$639:AJ742,AL$637)+1,AI743+IFERROR(VLOOKUP(VLOOKUP(AH743,$D$638:$AA$840,24,0),AH$639:AJ$644,3,0)-VLOOKUP(VLOOKUP(AH743,$D$638:$AA$840,24,0),AH$639:AJ$644,2,0)+1,0)))</f>
        <v>0</v>
      </c>
      <c r="AK743" s="2847" t="str">
        <f t="shared" ca="1" si="167"/>
        <v/>
      </c>
      <c r="AL743" s="2847" t="str">
        <f t="shared" ca="1" si="157"/>
        <v/>
      </c>
      <c r="AM743" s="3045"/>
      <c r="AN743" s="2847">
        <f>IFERROR(IF(IF(AM743&lt;&gt;"",VLOOKUP(AM743,Tabla_ArmasyEscudos,9,0),"")="Conocida",MAX(AN$645:AN742)+1,0),0)</f>
        <v>0</v>
      </c>
      <c r="AO743" s="2847">
        <f>IF(AM743="",0,IF(AN743=0,MAX(AO$639:AO742,AQ$637)+1,AN743+IFERROR(VLOOKUP(VLOOKUP(AM743,$D$638:$AA$840,24,0),AM$639:AO$644,3,0)-VLOOKUP(VLOOKUP(AM743,$D$638:$AA$840,24,0),AM$639:AO$644,2,0)+1,0)))</f>
        <v>0</v>
      </c>
      <c r="AP743" s="2847" t="str">
        <f t="shared" ca="1" si="168"/>
        <v/>
      </c>
      <c r="AQ743" s="2847" t="str">
        <f t="shared" ca="1" si="158"/>
        <v/>
      </c>
      <c r="AR743" s="3045"/>
      <c r="AS743" s="2847">
        <f>IFERROR(IF(IF(AR743&lt;&gt;"",VLOOKUP(AR743,Tabla_ArmasyEscudos,9,0),"")="Conocida",MAX(AS$645:AS742)+1,0),0)</f>
        <v>0</v>
      </c>
      <c r="AT743" s="2847">
        <f>IF(AR743="",0,IF(AS743=0,MAX(AT$639:AT742,AV$637)+1,AS743+IFERROR(VLOOKUP(VLOOKUP(AR743,$D$638:$AA$840,24,0),AR$639:AT$644,3,0)-VLOOKUP(VLOOKUP(AR743,$D$638:$AA$840,24,0),AR$639:AT$644,2,0)+1,0)))</f>
        <v>0</v>
      </c>
      <c r="AU743" s="2847" t="str">
        <f t="shared" ca="1" si="169"/>
        <v/>
      </c>
      <c r="AV743" s="2847" t="str">
        <f t="shared" ca="1" si="159"/>
        <v/>
      </c>
      <c r="AX743" s="1250" t="str">
        <f t="shared" si="170"/>
        <v>Kiseru</v>
      </c>
      <c r="AY743" s="3025"/>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5"/>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5"/>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5"/>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5"/>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042"/>
      <c r="C744" s="1141"/>
      <c r="D744" s="2614" t="s">
        <v>7019</v>
      </c>
      <c r="E744" s="2618">
        <v>25</v>
      </c>
      <c r="F744" s="2613">
        <v>20</v>
      </c>
      <c r="G744" s="2613">
        <v>4</v>
      </c>
      <c r="H744" s="2613">
        <v>4</v>
      </c>
      <c r="I744" s="2613" t="s">
        <v>1551</v>
      </c>
      <c r="J744" s="2613" t="s">
        <v>1455</v>
      </c>
      <c r="K744" s="2859" t="s">
        <v>7262</v>
      </c>
      <c r="L744" s="2613" t="str">
        <f t="shared" si="163"/>
        <v>Distinta</v>
      </c>
      <c r="M744" s="2619">
        <v>10</v>
      </c>
      <c r="N744" s="2619">
        <v>2</v>
      </c>
      <c r="O744" s="2619">
        <v>15</v>
      </c>
      <c r="P744" s="2613"/>
      <c r="Q744" s="2613"/>
      <c r="R744" s="2613">
        <v>40</v>
      </c>
      <c r="S744" s="2613" t="s">
        <v>1455</v>
      </c>
      <c r="T744" s="2613">
        <v>20</v>
      </c>
      <c r="U744" s="2613"/>
      <c r="V744" s="2859" t="s">
        <v>8565</v>
      </c>
      <c r="W744" s="2859"/>
      <c r="X744" s="2860" t="str">
        <f t="shared" si="164"/>
        <v>Pequeña</v>
      </c>
      <c r="Y744" s="2603">
        <f t="shared" si="165"/>
        <v>0</v>
      </c>
      <c r="Z744" s="1259" t="str">
        <f t="shared" si="166"/>
        <v/>
      </c>
      <c r="AA744" s="1955" t="s">
        <v>2171</v>
      </c>
      <c r="AC744" s="3045" t="s">
        <v>2193</v>
      </c>
      <c r="AD744" s="2847">
        <f>IFERROR(IF(IF(AC744&lt;&gt;"",VLOOKUP(AC744,Tabla_ArmasyEscudos,9,0),"")="Conocida",MAX(AD$645:AD743)+1,0),0)</f>
        <v>0</v>
      </c>
      <c r="AE744" s="2847">
        <f ca="1">IF(AC744="",0,IF(AD744=0,MAX(AE$639:AE743,AG$637)+1,AD744+IFERROR(VLOOKUP(VLOOKUP(AC744,$D$638:$AA$840,24,0),AC$639:AE$644,3,0)-VLOOKUP(VLOOKUP(AC744,$D$638:$AA$840,24,0),AC$639:AE$644,2,0)+1,0)))</f>
        <v>100</v>
      </c>
      <c r="AF744" s="2847" t="str">
        <f t="shared" ca="1" si="155"/>
        <v>Aquarius</v>
      </c>
      <c r="AG744" s="2847" t="str">
        <f t="shared" ca="1" si="156"/>
        <v/>
      </c>
      <c r="AH744" s="3045"/>
      <c r="AI744" s="2847">
        <f>IFERROR(IF(IF(AH744&lt;&gt;"",VLOOKUP(AH744,Tabla_ArmasyEscudos,9,0),"")="Conocida",MAX(AI$645:AI743)+1,0),0)</f>
        <v>0</v>
      </c>
      <c r="AJ744" s="2847">
        <f>IF(AH744="",0,IF(AI744=0,MAX(AJ$639:AJ743,AL$637)+1,AI744+IFERROR(VLOOKUP(VLOOKUP(AH744,$D$638:$AA$840,24,0),AH$639:AJ$644,3,0)-VLOOKUP(VLOOKUP(AH744,$D$638:$AA$840,24,0),AH$639:AJ$644,2,0)+1,0)))</f>
        <v>0</v>
      </c>
      <c r="AK744" s="2847" t="str">
        <f t="shared" ca="1" si="167"/>
        <v/>
      </c>
      <c r="AL744" s="2847" t="str">
        <f t="shared" ca="1" si="157"/>
        <v/>
      </c>
      <c r="AM744" s="3045"/>
      <c r="AN744" s="2847">
        <f>IFERROR(IF(IF(AM744&lt;&gt;"",VLOOKUP(AM744,Tabla_ArmasyEscudos,9,0),"")="Conocida",MAX(AN$645:AN743)+1,0),0)</f>
        <v>0</v>
      </c>
      <c r="AO744" s="2847">
        <f>IF(AM744="",0,IF(AN744=0,MAX(AO$639:AO743,AQ$637)+1,AN744+IFERROR(VLOOKUP(VLOOKUP(AM744,$D$638:$AA$840,24,0),AM$639:AO$644,3,0)-VLOOKUP(VLOOKUP(AM744,$D$638:$AA$840,24,0),AM$639:AO$644,2,0)+1,0)))</f>
        <v>0</v>
      </c>
      <c r="AP744" s="2847" t="str">
        <f t="shared" ca="1" si="168"/>
        <v/>
      </c>
      <c r="AQ744" s="2847" t="str">
        <f t="shared" ca="1" si="158"/>
        <v/>
      </c>
      <c r="AR744" s="3045"/>
      <c r="AS744" s="2847">
        <f>IFERROR(IF(IF(AR744&lt;&gt;"",VLOOKUP(AR744,Tabla_ArmasyEscudos,9,0),"")="Conocida",MAX(AS$645:AS743)+1,0),0)</f>
        <v>0</v>
      </c>
      <c r="AT744" s="2847">
        <f>IF(AR744="",0,IF(AS744=0,MAX(AT$639:AT743,AV$637)+1,AS744+IFERROR(VLOOKUP(VLOOKUP(AR744,$D$638:$AA$840,24,0),AR$639:AT$644,3,0)-VLOOKUP(VLOOKUP(AR744,$D$638:$AA$840,24,0),AR$639:AT$644,2,0)+1,0)))</f>
        <v>0</v>
      </c>
      <c r="AU744" s="2847" t="str">
        <f t="shared" ca="1" si="169"/>
        <v/>
      </c>
      <c r="AV744" s="2847" t="str">
        <f t="shared" ca="1" si="159"/>
        <v/>
      </c>
      <c r="AX744" s="1250" t="str">
        <f t="shared" si="170"/>
        <v>Kris</v>
      </c>
      <c r="AY744" s="3025"/>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5"/>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5"/>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5"/>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5"/>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042"/>
      <c r="C745" s="1141"/>
      <c r="D745" s="2614" t="s">
        <v>7020</v>
      </c>
      <c r="E745" s="2618">
        <v>25</v>
      </c>
      <c r="F745" s="2613">
        <v>10</v>
      </c>
      <c r="G745" s="2613">
        <v>4</v>
      </c>
      <c r="H745" s="2613">
        <v>4</v>
      </c>
      <c r="I745" s="2613" t="s">
        <v>1551</v>
      </c>
      <c r="J745" s="2613" t="s">
        <v>1455</v>
      </c>
      <c r="K745" s="2859" t="s">
        <v>7274</v>
      </c>
      <c r="L745" s="2613" t="str">
        <f t="shared" si="163"/>
        <v>Distinta</v>
      </c>
      <c r="M745" s="2619">
        <v>9</v>
      </c>
      <c r="N745" s="2619">
        <v>-3</v>
      </c>
      <c r="O745" s="2619">
        <v>20</v>
      </c>
      <c r="P745" s="2613"/>
      <c r="Q745" s="2613"/>
      <c r="R745" s="2613" t="s">
        <v>1455</v>
      </c>
      <c r="S745" s="2613" t="s">
        <v>1455</v>
      </c>
      <c r="T745" s="2613" t="s">
        <v>1455</v>
      </c>
      <c r="U745" s="2613"/>
      <c r="V745" s="2859" t="s">
        <v>7034</v>
      </c>
      <c r="W745" s="2859"/>
      <c r="X745" s="2860" t="str">
        <f t="shared" si="164"/>
        <v>Pequeña</v>
      </c>
      <c r="Y745" s="2603">
        <f t="shared" si="165"/>
        <v>0</v>
      </c>
      <c r="Z745" s="1259" t="str">
        <f t="shared" si="166"/>
        <v/>
      </c>
      <c r="AA745" s="1955" t="s">
        <v>2171</v>
      </c>
      <c r="AC745" s="3045" t="s">
        <v>7023</v>
      </c>
      <c r="AD745" s="2847">
        <f>IFERROR(IF(IF(AC745&lt;&gt;"",VLOOKUP(AC745,Tabla_ArmasyEscudos,9,0),"")="Conocida",MAX(AD$645:AD744)+1,0),0)</f>
        <v>0</v>
      </c>
      <c r="AE745" s="2847">
        <f ca="1">IF(AC745="",0,IF(AD745=0,MAX(AE$639:AE744,AG$637)+1,AD745+IFERROR(VLOOKUP(VLOOKUP(AC745,$D$638:$AA$840,24,0),AC$639:AE$644,3,0)-VLOOKUP(VLOOKUP(AC745,$D$638:$AA$840,24,0),AC$639:AE$644,2,0)+1,0)))</f>
        <v>101</v>
      </c>
      <c r="AF745" s="2847" t="str">
        <f t="shared" ca="1" si="155"/>
        <v>Capricornius</v>
      </c>
      <c r="AG745" s="2847" t="str">
        <f t="shared" ca="1" si="156"/>
        <v/>
      </c>
      <c r="AH745" s="3045"/>
      <c r="AI745" s="2847">
        <f>IFERROR(IF(IF(AH745&lt;&gt;"",VLOOKUP(AH745,Tabla_ArmasyEscudos,9,0),"")="Conocida",MAX(AI$645:AI744)+1,0),0)</f>
        <v>0</v>
      </c>
      <c r="AJ745" s="2847">
        <f>IF(AH745="",0,IF(AI745=0,MAX(AJ$639:AJ744,AL$637)+1,AI745+IFERROR(VLOOKUP(VLOOKUP(AH745,$D$638:$AA$840,24,0),AH$639:AJ$644,3,0)-VLOOKUP(VLOOKUP(AH745,$D$638:$AA$840,24,0),AH$639:AJ$644,2,0)+1,0)))</f>
        <v>0</v>
      </c>
      <c r="AK745" s="2847" t="str">
        <f t="shared" ca="1" si="167"/>
        <v/>
      </c>
      <c r="AL745" s="2847" t="str">
        <f t="shared" ca="1" si="157"/>
        <v/>
      </c>
      <c r="AM745" s="3045"/>
      <c r="AN745" s="2847">
        <f>IFERROR(IF(IF(AM745&lt;&gt;"",VLOOKUP(AM745,Tabla_ArmasyEscudos,9,0),"")="Conocida",MAX(AN$645:AN744)+1,0),0)</f>
        <v>0</v>
      </c>
      <c r="AO745" s="2847">
        <f>IF(AM745="",0,IF(AN745=0,MAX(AO$639:AO744,AQ$637)+1,AN745+IFERROR(VLOOKUP(VLOOKUP(AM745,$D$638:$AA$840,24,0),AM$639:AO$644,3,0)-VLOOKUP(VLOOKUP(AM745,$D$638:$AA$840,24,0),AM$639:AO$644,2,0)+1,0)))</f>
        <v>0</v>
      </c>
      <c r="AP745" s="2847" t="str">
        <f t="shared" ca="1" si="168"/>
        <v/>
      </c>
      <c r="AQ745" s="2847" t="str">
        <f t="shared" ca="1" si="158"/>
        <v/>
      </c>
      <c r="AR745" s="3045"/>
      <c r="AS745" s="2847">
        <f>IFERROR(IF(IF(AR745&lt;&gt;"",VLOOKUP(AR745,Tabla_ArmasyEscudos,9,0),"")="Conocida",MAX(AS$645:AS744)+1,0),0)</f>
        <v>0</v>
      </c>
      <c r="AT745" s="2847">
        <f>IF(AR745="",0,IF(AS745=0,MAX(AT$639:AT744,AV$637)+1,AS745+IFERROR(VLOOKUP(VLOOKUP(AR745,$D$638:$AA$840,24,0),AR$639:AT$644,3,0)-VLOOKUP(VLOOKUP(AR745,$D$638:$AA$840,24,0),AR$639:AT$644,2,0)+1,0)))</f>
        <v>0</v>
      </c>
      <c r="AU745" s="2847" t="str">
        <f t="shared" ca="1" si="169"/>
        <v/>
      </c>
      <c r="AV745" s="2847" t="str">
        <f t="shared" ca="1" si="159"/>
        <v/>
      </c>
      <c r="AX745" s="1250" t="str">
        <f t="shared" si="170"/>
        <v>Kumade</v>
      </c>
      <c r="AY745" s="3025"/>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5"/>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5"/>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5"/>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5"/>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042"/>
      <c r="C746" s="1141"/>
      <c r="D746" s="2614" t="s">
        <v>6997</v>
      </c>
      <c r="E746" s="2618">
        <v>40</v>
      </c>
      <c r="F746" s="2613">
        <v>-5</v>
      </c>
      <c r="G746" s="2613">
        <v>6</v>
      </c>
      <c r="H746" s="2613">
        <v>6</v>
      </c>
      <c r="I746" s="2613" t="s">
        <v>1550</v>
      </c>
      <c r="J746" s="2613" t="s">
        <v>1455</v>
      </c>
      <c r="K746" s="2859" t="s">
        <v>7257</v>
      </c>
      <c r="L746" s="2613" t="str">
        <f t="shared" si="163"/>
        <v>Distinta</v>
      </c>
      <c r="M746" s="2619">
        <v>13</v>
      </c>
      <c r="N746" s="2619">
        <v>3</v>
      </c>
      <c r="O746" s="2619">
        <v>25</v>
      </c>
      <c r="P746" s="2613"/>
      <c r="Q746" s="2613"/>
      <c r="R746" s="2613" t="s">
        <v>1455</v>
      </c>
      <c r="S746" s="2613" t="s">
        <v>1455</v>
      </c>
      <c r="T746" s="2613" t="s">
        <v>1455</v>
      </c>
      <c r="U746" s="2613"/>
      <c r="V746" s="2859" t="s">
        <v>7035</v>
      </c>
      <c r="W746" s="2859"/>
      <c r="X746" s="2860" t="str">
        <f t="shared" si="164"/>
        <v>Grande</v>
      </c>
      <c r="Y746" s="2603">
        <f t="shared" si="165"/>
        <v>0</v>
      </c>
      <c r="Z746" s="1259" t="str">
        <f t="shared" si="166"/>
        <v/>
      </c>
      <c r="AA746" s="1955" t="s">
        <v>2171</v>
      </c>
      <c r="AC746" s="3045" t="s">
        <v>2165</v>
      </c>
      <c r="AD746" s="2847">
        <f>IFERROR(IF(IF(AC746&lt;&gt;"",VLOOKUP(AC746,Tabla_ArmasyEscudos,9,0),"")="Conocida",MAX(AD$645:AD745)+1,0),0)</f>
        <v>0</v>
      </c>
      <c r="AE746" s="2847">
        <f ca="1">IF(AC746="",0,IF(AD746=0,MAX(AE$639:AE745,AG$637)+1,AD746+IFERROR(VLOOKUP(VLOOKUP(AC746,$D$638:$AA$840,24,0),AC$639:AE$644,3,0)-VLOOKUP(VLOOKUP(AC746,$D$638:$AA$840,24,0),AC$639:AE$644,2,0)+1,0)))</f>
        <v>102</v>
      </c>
      <c r="AF746" s="2847" t="str">
        <f t="shared" ca="1" si="155"/>
        <v>Leo (Espada-Pistola)</v>
      </c>
      <c r="AG746" s="2847" t="str">
        <f t="shared" ca="1" si="156"/>
        <v/>
      </c>
      <c r="AH746" s="3045"/>
      <c r="AI746" s="2847">
        <f>IFERROR(IF(IF(AH746&lt;&gt;"",VLOOKUP(AH746,Tabla_ArmasyEscudos,9,0),"")="Conocida",MAX(AI$645:AI745)+1,0),0)</f>
        <v>0</v>
      </c>
      <c r="AJ746" s="2847">
        <f>IF(AH746="",0,IF(AI746=0,MAX(AJ$639:AJ745,AL$637)+1,AI746+IFERROR(VLOOKUP(VLOOKUP(AH746,$D$638:$AA$840,24,0),AH$639:AJ$644,3,0)-VLOOKUP(VLOOKUP(AH746,$D$638:$AA$840,24,0),AH$639:AJ$644,2,0)+1,0)))</f>
        <v>0</v>
      </c>
      <c r="AK746" s="2847" t="str">
        <f t="shared" ca="1" si="167"/>
        <v/>
      </c>
      <c r="AL746" s="2847" t="str">
        <f t="shared" ca="1" si="157"/>
        <v/>
      </c>
      <c r="AM746" s="3045"/>
      <c r="AN746" s="2847">
        <f>IFERROR(IF(IF(AM746&lt;&gt;"",VLOOKUP(AM746,Tabla_ArmasyEscudos,9,0),"")="Conocida",MAX(AN$645:AN745)+1,0),0)</f>
        <v>0</v>
      </c>
      <c r="AO746" s="2847">
        <f>IF(AM746="",0,IF(AN746=0,MAX(AO$639:AO745,AQ$637)+1,AN746+IFERROR(VLOOKUP(VLOOKUP(AM746,$D$638:$AA$840,24,0),AM$639:AO$644,3,0)-VLOOKUP(VLOOKUP(AM746,$D$638:$AA$840,24,0),AM$639:AO$644,2,0)+1,0)))</f>
        <v>0</v>
      </c>
      <c r="AP746" s="2847" t="str">
        <f t="shared" ca="1" si="168"/>
        <v/>
      </c>
      <c r="AQ746" s="2847" t="str">
        <f t="shared" ca="1" si="158"/>
        <v/>
      </c>
      <c r="AR746" s="3045"/>
      <c r="AS746" s="2847">
        <f>IFERROR(IF(IF(AR746&lt;&gt;"",VLOOKUP(AR746,Tabla_ArmasyEscudos,9,0),"")="Conocida",MAX(AS$645:AS745)+1,0),0)</f>
        <v>0</v>
      </c>
      <c r="AT746" s="2847">
        <f>IF(AR746="",0,IF(AS746=0,MAX(AT$639:AT745,AV$637)+1,AS746+IFERROR(VLOOKUP(VLOOKUP(AR746,$D$638:$AA$840,24,0),AR$639:AT$644,3,0)-VLOOKUP(VLOOKUP(AR746,$D$638:$AA$840,24,0),AR$639:AT$644,2,0)+1,0)))</f>
        <v>0</v>
      </c>
      <c r="AU746" s="2847" t="str">
        <f t="shared" ca="1" si="169"/>
        <v/>
      </c>
      <c r="AV746" s="2847" t="str">
        <f t="shared" ca="1" si="159"/>
        <v/>
      </c>
      <c r="AX746" s="1250" t="str">
        <f t="shared" si="170"/>
        <v>Kunai</v>
      </c>
      <c r="AY746" s="3025"/>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5"/>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5"/>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5"/>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5"/>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042"/>
      <c r="C747" s="1141"/>
      <c r="D747" s="2614" t="s">
        <v>6998</v>
      </c>
      <c r="E747" s="2618">
        <v>40</v>
      </c>
      <c r="F747" s="2613">
        <v>10</v>
      </c>
      <c r="G747" s="2613">
        <v>6</v>
      </c>
      <c r="H747" s="2613">
        <v>6</v>
      </c>
      <c r="I747" s="2613" t="s">
        <v>1550</v>
      </c>
      <c r="J747" s="2613" t="s">
        <v>1455</v>
      </c>
      <c r="K747" s="2859" t="s">
        <v>7257</v>
      </c>
      <c r="L747" s="2613" t="str">
        <f t="shared" si="163"/>
        <v>Distinta</v>
      </c>
      <c r="M747" s="2619">
        <v>12</v>
      </c>
      <c r="N747" s="2619">
        <v>2</v>
      </c>
      <c r="O747" s="2619">
        <v>20</v>
      </c>
      <c r="P747" s="2613"/>
      <c r="Q747" s="2613"/>
      <c r="R747" s="2613" t="s">
        <v>1455</v>
      </c>
      <c r="S747" s="2613" t="s">
        <v>1455</v>
      </c>
      <c r="T747" s="2613" t="s">
        <v>1455</v>
      </c>
      <c r="U747" s="2613"/>
      <c r="V747" s="2859" t="s">
        <v>7036</v>
      </c>
      <c r="W747" s="2859"/>
      <c r="X747" s="2860" t="str">
        <f t="shared" si="164"/>
        <v>Grande</v>
      </c>
      <c r="Y747" s="2603">
        <f t="shared" si="165"/>
        <v>0</v>
      </c>
      <c r="Z747" s="1259" t="str">
        <f t="shared" si="166"/>
        <v/>
      </c>
      <c r="AA747" s="1955" t="s">
        <v>2171</v>
      </c>
      <c r="AC747" s="3045" t="s">
        <v>10086</v>
      </c>
      <c r="AD747" s="2847">
        <f>IFERROR(IF(IF(AC747&lt;&gt;"",VLOOKUP(AC747,Tabla_ArmasyEscudos,9,0),"")="Conocida",MAX(AD$645:AD746)+1,0),0)</f>
        <v>0</v>
      </c>
      <c r="AE747" s="2847">
        <f ca="1">IF(AC747="",0,IF(AD747=0,MAX(AE$639:AE746,AG$637)+1,AD747+IFERROR(VLOOKUP(VLOOKUP(AC747,$D$638:$AA$840,24,0),AC$639:AE$644,3,0)-VLOOKUP(VLOOKUP(AC747,$D$638:$AA$840,24,0),AC$639:AE$644,2,0)+1,0)))</f>
        <v>103</v>
      </c>
      <c r="AF747" s="2847" t="str">
        <f t="shared" ca="1" si="155"/>
        <v>Leo (Lanza-Rifle)</v>
      </c>
      <c r="AG747" s="2847" t="str">
        <f t="shared" ca="1" si="156"/>
        <v/>
      </c>
      <c r="AH747" s="3045"/>
      <c r="AI747" s="2847">
        <f>IFERROR(IF(IF(AH747&lt;&gt;"",VLOOKUP(AH747,Tabla_ArmasyEscudos,9,0),"")="Conocida",MAX(AI$645:AI746)+1,0),0)</f>
        <v>0</v>
      </c>
      <c r="AJ747" s="2847">
        <f>IF(AH747="",0,IF(AI747=0,MAX(AJ$639:AJ746,AL$637)+1,AI747+IFERROR(VLOOKUP(VLOOKUP(AH747,$D$638:$AA$840,24,0),AH$639:AJ$644,3,0)-VLOOKUP(VLOOKUP(AH747,$D$638:$AA$840,24,0),AH$639:AJ$644,2,0)+1,0)))</f>
        <v>0</v>
      </c>
      <c r="AK747" s="2847" t="str">
        <f t="shared" ca="1" si="167"/>
        <v/>
      </c>
      <c r="AL747" s="2847" t="str">
        <f t="shared" ca="1" si="157"/>
        <v/>
      </c>
      <c r="AM747" s="3045"/>
      <c r="AN747" s="2847">
        <f>IFERROR(IF(IF(AM747&lt;&gt;"",VLOOKUP(AM747,Tabla_ArmasyEscudos,9,0),"")="Conocida",MAX(AN$645:AN746)+1,0),0)</f>
        <v>0</v>
      </c>
      <c r="AO747" s="2847">
        <f>IF(AM747="",0,IF(AN747=0,MAX(AO$639:AO746,AQ$637)+1,AN747+IFERROR(VLOOKUP(VLOOKUP(AM747,$D$638:$AA$840,24,0),AM$639:AO$644,3,0)-VLOOKUP(VLOOKUP(AM747,$D$638:$AA$840,24,0),AM$639:AO$644,2,0)+1,0)))</f>
        <v>0</v>
      </c>
      <c r="AP747" s="2847" t="str">
        <f t="shared" ca="1" si="168"/>
        <v/>
      </c>
      <c r="AQ747" s="2847" t="str">
        <f t="shared" ca="1" si="158"/>
        <v/>
      </c>
      <c r="AR747" s="3045"/>
      <c r="AS747" s="2847">
        <f>IFERROR(IF(IF(AR747&lt;&gt;"",VLOOKUP(AR747,Tabla_ArmasyEscudos,9,0),"")="Conocida",MAX(AS$645:AS746)+1,0),0)</f>
        <v>0</v>
      </c>
      <c r="AT747" s="2847">
        <f>IF(AR747="",0,IF(AS747=0,MAX(AT$639:AT746,AV$637)+1,AS747+IFERROR(VLOOKUP(VLOOKUP(AR747,$D$638:$AA$840,24,0),AR$639:AT$644,3,0)-VLOOKUP(VLOOKUP(AR747,$D$638:$AA$840,24,0),AR$639:AT$644,2,0)+1,0)))</f>
        <v>0</v>
      </c>
      <c r="AU747" s="2847" t="str">
        <f t="shared" ca="1" si="169"/>
        <v/>
      </c>
      <c r="AV747" s="2847" t="str">
        <f t="shared" ca="1" si="159"/>
        <v/>
      </c>
      <c r="AX747" s="1250" t="str">
        <f t="shared" si="170"/>
        <v>Kyoketsu-shogui</v>
      </c>
      <c r="AY747" s="3025"/>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5"/>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5"/>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5"/>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5"/>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042"/>
      <c r="C748" s="1141"/>
      <c r="D748" s="2614" t="s">
        <v>6999</v>
      </c>
      <c r="E748" s="2618">
        <v>55</v>
      </c>
      <c r="F748" s="2613">
        <v>-10</v>
      </c>
      <c r="G748" s="2613">
        <v>8</v>
      </c>
      <c r="H748" s="2613">
        <v>6</v>
      </c>
      <c r="I748" s="2613" t="s">
        <v>1550</v>
      </c>
      <c r="J748" s="2613" t="s">
        <v>1551</v>
      </c>
      <c r="K748" s="2859" t="s">
        <v>7257</v>
      </c>
      <c r="L748" s="2613" t="str">
        <f t="shared" si="163"/>
        <v>Distinta</v>
      </c>
      <c r="M748" s="2619">
        <v>13</v>
      </c>
      <c r="N748" s="2619">
        <v>3</v>
      </c>
      <c r="O748" s="2619">
        <v>25</v>
      </c>
      <c r="P748" s="2613"/>
      <c r="Q748" s="2613"/>
      <c r="R748" s="2613" t="s">
        <v>1455</v>
      </c>
      <c r="S748" s="2613" t="s">
        <v>1455</v>
      </c>
      <c r="T748" s="2613" t="s">
        <v>1455</v>
      </c>
      <c r="U748" s="2613"/>
      <c r="V748" s="2859" t="s">
        <v>2129</v>
      </c>
      <c r="W748" s="2859"/>
      <c r="X748" s="2860" t="str">
        <f t="shared" si="164"/>
        <v>Grande</v>
      </c>
      <c r="Y748" s="2603">
        <f t="shared" si="165"/>
        <v>0</v>
      </c>
      <c r="Z748" s="1259" t="str">
        <f t="shared" si="166"/>
        <v/>
      </c>
      <c r="AA748" s="1955" t="s">
        <v>2171</v>
      </c>
      <c r="AC748" s="3050" t="s">
        <v>2225</v>
      </c>
      <c r="AD748" s="2847">
        <f>IFERROR(IF(IF(AC748&lt;&gt;"",VLOOKUP(AC748,Tabla_ArmasyEscudos,9,0),"")="Conocida",MAX(AD$645:AD747)+1,0),0)</f>
        <v>0</v>
      </c>
      <c r="AE748" s="2847">
        <f ca="1">IF(AC748="",0,IF(AD748=0,MAX(AE$639:AE747,AG$637)+1,AD748+IFERROR(VLOOKUP(VLOOKUP(AC748,$D$638:$AA$840,24,0),AC$639:AE$644,3,0)-VLOOKUP(VLOOKUP(AC748,$D$638:$AA$840,24,0),AC$639:AE$644,2,0)+1,0)))</f>
        <v>104</v>
      </c>
      <c r="AF748" s="2847" t="str">
        <f t="shared" ca="1" si="155"/>
        <v>Libra</v>
      </c>
      <c r="AG748" s="2847" t="str">
        <f t="shared" ca="1" si="156"/>
        <v/>
      </c>
      <c r="AH748" s="3045"/>
      <c r="AI748" s="2847">
        <f>IFERROR(IF(IF(AH748&lt;&gt;"",VLOOKUP(AH748,Tabla_ArmasyEscudos,9,0),"")="Conocida",MAX(AI$645:AI747)+1,0),0)</f>
        <v>0</v>
      </c>
      <c r="AJ748" s="2847">
        <f>IF(AH748="",0,IF(AI748=0,MAX(AJ$639:AJ747,AL$637)+1,AI748+IFERROR(VLOOKUP(VLOOKUP(AH748,$D$638:$AA$840,24,0),AH$639:AJ$644,3,0)-VLOOKUP(VLOOKUP(AH748,$D$638:$AA$840,24,0),AH$639:AJ$644,2,0)+1,0)))</f>
        <v>0</v>
      </c>
      <c r="AK748" s="2847" t="str">
        <f t="shared" ca="1" si="167"/>
        <v/>
      </c>
      <c r="AL748" s="2847" t="str">
        <f t="shared" ca="1" si="157"/>
        <v/>
      </c>
      <c r="AM748" s="3045"/>
      <c r="AN748" s="2847">
        <f>IFERROR(IF(IF(AM748&lt;&gt;"",VLOOKUP(AM748,Tabla_ArmasyEscudos,9,0),"")="Conocida",MAX(AN$645:AN747)+1,0),0)</f>
        <v>0</v>
      </c>
      <c r="AO748" s="2847">
        <f>IF(AM748="",0,IF(AN748=0,MAX(AO$639:AO747,AQ$637)+1,AN748+IFERROR(VLOOKUP(VLOOKUP(AM748,$D$638:$AA$840,24,0),AM$639:AO$644,3,0)-VLOOKUP(VLOOKUP(AM748,$D$638:$AA$840,24,0),AM$639:AO$644,2,0)+1,0)))</f>
        <v>0</v>
      </c>
      <c r="AP748" s="2847" t="str">
        <f t="shared" ca="1" si="168"/>
        <v/>
      </c>
      <c r="AQ748" s="2847" t="str">
        <f t="shared" ca="1" si="158"/>
        <v/>
      </c>
      <c r="AR748" s="3045"/>
      <c r="AS748" s="2847">
        <f>IFERROR(IF(IF(AR748&lt;&gt;"",VLOOKUP(AR748,Tabla_ArmasyEscudos,9,0),"")="Conocida",MAX(AS$645:AS747)+1,0),0)</f>
        <v>0</v>
      </c>
      <c r="AT748" s="2847">
        <f>IF(AR748="",0,IF(AS748=0,MAX(AT$639:AT747,AV$637)+1,AS748+IFERROR(VLOOKUP(VLOOKUP(AR748,$D$638:$AA$840,24,0),AR$639:AT$644,3,0)-VLOOKUP(VLOOKUP(AR748,$D$638:$AA$840,24,0),AR$639:AT$644,2,0)+1,0)))</f>
        <v>0</v>
      </c>
      <c r="AU748" s="2847" t="str">
        <f t="shared" ca="1" si="169"/>
        <v/>
      </c>
      <c r="AV748" s="2847" t="str">
        <f t="shared" ca="1" si="159"/>
        <v/>
      </c>
      <c r="AX748" s="1250" t="str">
        <f t="shared" si="170"/>
        <v>Lajatang</v>
      </c>
      <c r="AY748" s="3025"/>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5"/>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5"/>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5"/>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5"/>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042"/>
      <c r="C749" s="1141"/>
      <c r="D749" s="2614" t="s">
        <v>7021</v>
      </c>
      <c r="E749" s="2618">
        <v>45</v>
      </c>
      <c r="F749" s="2613">
        <v>10</v>
      </c>
      <c r="G749" s="2613">
        <v>4</v>
      </c>
      <c r="H749" s="2613">
        <v>4</v>
      </c>
      <c r="I749" s="2613" t="s">
        <v>1550</v>
      </c>
      <c r="J749" s="2613" t="s">
        <v>1551</v>
      </c>
      <c r="K749" s="2859" t="s">
        <v>7260</v>
      </c>
      <c r="L749" s="2613" t="str">
        <f t="shared" si="163"/>
        <v>Distinta</v>
      </c>
      <c r="M749" s="2619">
        <v>12</v>
      </c>
      <c r="N749" s="2619">
        <v>1</v>
      </c>
      <c r="O749" s="2619">
        <v>25</v>
      </c>
      <c r="P749" s="2613"/>
      <c r="Q749" s="2613"/>
      <c r="R749" s="2613" t="s">
        <v>1455</v>
      </c>
      <c r="S749" s="2613" t="s">
        <v>1455</v>
      </c>
      <c r="T749" s="2613" t="s">
        <v>1455</v>
      </c>
      <c r="U749" s="2613"/>
      <c r="V749" s="2859" t="s">
        <v>1455</v>
      </c>
      <c r="W749" s="2859"/>
      <c r="X749" s="2860" t="str">
        <f t="shared" si="164"/>
        <v>Mediana</v>
      </c>
      <c r="Y749" s="2603">
        <f t="shared" si="165"/>
        <v>0</v>
      </c>
      <c r="Z749" s="1259" t="str">
        <f t="shared" si="166"/>
        <v/>
      </c>
      <c r="AA749" s="1955" t="s">
        <v>2171</v>
      </c>
      <c r="AC749" s="1023" t="s">
        <v>2245</v>
      </c>
      <c r="AD749" s="2847">
        <f>IFERROR(IF(IF(AC749&lt;&gt;"",VLOOKUP(AC749,Tabla_ArmasyEscudos,9,0),"")="Conocida",MAX(AD$645:AD748)+1,0),0)</f>
        <v>0</v>
      </c>
      <c r="AE749" s="2847">
        <f ca="1">IF(AC749="",0,IF(AD749=0,MAX(AE$639:AE748,AG$637)+1,AD749+IFERROR(VLOOKUP(VLOOKUP(AC749,$D$638:$AA$840,24,0),AC$639:AE$644,3,0)-VLOOKUP(VLOOKUP(AC749,$D$638:$AA$840,24,0),AC$639:AE$644,2,0)+1,0)))</f>
        <v>105</v>
      </c>
      <c r="AF749" s="2847" t="str">
        <f t="shared" ca="1" si="155"/>
        <v>Piscis</v>
      </c>
      <c r="AG749" s="2847" t="str">
        <f t="shared" ca="1" si="156"/>
        <v/>
      </c>
      <c r="AH749" s="3045"/>
      <c r="AI749" s="2847">
        <f>IFERROR(IF(IF(AH749&lt;&gt;"",VLOOKUP(AH749,Tabla_ArmasyEscudos,9,0),"")="Conocida",MAX(AI$645:AI748)+1,0),0)</f>
        <v>0</v>
      </c>
      <c r="AJ749" s="2847">
        <f>IF(AH749="",0,IF(AI749=0,MAX(AJ$639:AJ748,AL$637)+1,AI749+IFERROR(VLOOKUP(VLOOKUP(AH749,$D$638:$AA$840,24,0),AH$639:AJ$644,3,0)-VLOOKUP(VLOOKUP(AH749,$D$638:$AA$840,24,0),AH$639:AJ$644,2,0)+1,0)))</f>
        <v>0</v>
      </c>
      <c r="AK749" s="2847" t="str">
        <f t="shared" ca="1" si="167"/>
        <v/>
      </c>
      <c r="AL749" s="2847" t="str">
        <f t="shared" ca="1" si="157"/>
        <v/>
      </c>
      <c r="AM749" s="3045"/>
      <c r="AN749" s="2847">
        <f>IFERROR(IF(IF(AM749&lt;&gt;"",VLOOKUP(AM749,Tabla_ArmasyEscudos,9,0),"")="Conocida",MAX(AN$645:AN748)+1,0),0)</f>
        <v>0</v>
      </c>
      <c r="AO749" s="2847">
        <f>IF(AM749="",0,IF(AN749=0,MAX(AO$639:AO748,AQ$637)+1,AN749+IFERROR(VLOOKUP(VLOOKUP(AM749,$D$638:$AA$840,24,0),AM$639:AO$644,3,0)-VLOOKUP(VLOOKUP(AM749,$D$638:$AA$840,24,0),AM$639:AO$644,2,0)+1,0)))</f>
        <v>0</v>
      </c>
      <c r="AP749" s="2847" t="str">
        <f t="shared" ca="1" si="168"/>
        <v/>
      </c>
      <c r="AQ749" s="2847" t="str">
        <f t="shared" ca="1" si="158"/>
        <v/>
      </c>
      <c r="AR749" s="3045"/>
      <c r="AS749" s="2847">
        <f>IFERROR(IF(IF(AR749&lt;&gt;"",VLOOKUP(AR749,Tabla_ArmasyEscudos,9,0),"")="Conocida",MAX(AS$645:AS748)+1,0),0)</f>
        <v>0</v>
      </c>
      <c r="AT749" s="2847">
        <f>IF(AR749="",0,IF(AS749=0,MAX(AT$639:AT748,AV$637)+1,AS749+IFERROR(VLOOKUP(VLOOKUP(AR749,$D$638:$AA$840,24,0),AR$639:AT$644,3,0)-VLOOKUP(VLOOKUP(AR749,$D$638:$AA$840,24,0),AR$639:AT$644,2,0)+1,0)))</f>
        <v>0</v>
      </c>
      <c r="AU749" s="2847" t="str">
        <f t="shared" ca="1" si="169"/>
        <v/>
      </c>
      <c r="AV749" s="2847" t="str">
        <f t="shared" ca="1" si="159"/>
        <v/>
      </c>
      <c r="AX749" s="1250" t="str">
        <f t="shared" si="170"/>
        <v>Nagimaki</v>
      </c>
      <c r="AY749" s="3025"/>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5"/>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5"/>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5"/>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5"/>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042"/>
      <c r="C750" s="1141"/>
      <c r="D750" s="2614" t="s">
        <v>7001</v>
      </c>
      <c r="E750" s="2618">
        <v>60</v>
      </c>
      <c r="F750" s="2613">
        <v>-20</v>
      </c>
      <c r="G750" s="2613">
        <v>9</v>
      </c>
      <c r="H750" s="2613">
        <v>7</v>
      </c>
      <c r="I750" s="2613" t="s">
        <v>1550</v>
      </c>
      <c r="J750" s="2613" t="s">
        <v>1455</v>
      </c>
      <c r="K750" s="2859" t="s">
        <v>7265</v>
      </c>
      <c r="L750" s="2613" t="str">
        <f t="shared" si="163"/>
        <v>Distinta</v>
      </c>
      <c r="M750" s="2619">
        <v>16</v>
      </c>
      <c r="N750" s="2619">
        <v>7</v>
      </c>
      <c r="O750" s="2619">
        <v>30</v>
      </c>
      <c r="P750" s="2613"/>
      <c r="Q750" s="2613"/>
      <c r="R750" s="2613" t="s">
        <v>1455</v>
      </c>
      <c r="S750" s="2613" t="s">
        <v>1455</v>
      </c>
      <c r="T750" s="2613" t="s">
        <v>1455</v>
      </c>
      <c r="U750" s="2613"/>
      <c r="V750" s="2859" t="s">
        <v>2129</v>
      </c>
      <c r="W750" s="2859"/>
      <c r="X750" s="2860" t="str">
        <f t="shared" si="164"/>
        <v>Grande</v>
      </c>
      <c r="Y750" s="2603">
        <f t="shared" si="165"/>
        <v>0</v>
      </c>
      <c r="Z750" s="1259" t="str">
        <f t="shared" si="166"/>
        <v/>
      </c>
      <c r="AA750" s="1955" t="s">
        <v>2171</v>
      </c>
      <c r="AC750" s="3045" t="s">
        <v>2244</v>
      </c>
      <c r="AD750" s="2847">
        <f>IFERROR(IF(IF(AC750&lt;&gt;"",VLOOKUP(AC750,Tabla_ArmasyEscudos,9,0),"")="Conocida",MAX(AD$645:AD749)+1,0),0)</f>
        <v>0</v>
      </c>
      <c r="AE750" s="2847">
        <f ca="1">IF(AC750="",0,IF(AD750=0,MAX(AE$639:AE749,AG$637)+1,AD750+IFERROR(VLOOKUP(VLOOKUP(AC750,$D$638:$AA$840,24,0),AC$639:AE$644,3,0)-VLOOKUP(VLOOKUP(AC750,$D$638:$AA$840,24,0),AC$639:AE$644,2,0)+1,0)))</f>
        <v>106</v>
      </c>
      <c r="AF750" s="2847" t="str">
        <f t="shared" ca="1" si="155"/>
        <v>Sagittarius</v>
      </c>
      <c r="AG750" s="2847" t="str">
        <f t="shared" ca="1" si="156"/>
        <v/>
      </c>
      <c r="AH750" s="3045"/>
      <c r="AI750" s="2847">
        <f>IFERROR(IF(IF(AH750&lt;&gt;"",VLOOKUP(AH750,Tabla_ArmasyEscudos,9,0),"")="Conocida",MAX(AI$645:AI749)+1,0),0)</f>
        <v>0</v>
      </c>
      <c r="AJ750" s="2847">
        <f>IF(AH750="",0,IF(AI750=0,MAX(AJ$639:AJ749,AL$637)+1,AI750+IFERROR(VLOOKUP(VLOOKUP(AH750,$D$638:$AA$840,24,0),AH$639:AJ$644,3,0)-VLOOKUP(VLOOKUP(AH750,$D$638:$AA$840,24,0),AH$639:AJ$644,2,0)+1,0)))</f>
        <v>0</v>
      </c>
      <c r="AK750" s="2847" t="str">
        <f t="shared" ca="1" si="167"/>
        <v/>
      </c>
      <c r="AL750" s="2847" t="str">
        <f t="shared" ca="1" si="157"/>
        <v/>
      </c>
      <c r="AM750" s="3045"/>
      <c r="AN750" s="2847">
        <f>IFERROR(IF(IF(AM750&lt;&gt;"",VLOOKUP(AM750,Tabla_ArmasyEscudos,9,0),"")="Conocida",MAX(AN$645:AN749)+1,0),0)</f>
        <v>0</v>
      </c>
      <c r="AO750" s="2847">
        <f>IF(AM750="",0,IF(AN750=0,MAX(AO$639:AO749,AQ$637)+1,AN750+IFERROR(VLOOKUP(VLOOKUP(AM750,$D$638:$AA$840,24,0),AM$639:AO$644,3,0)-VLOOKUP(VLOOKUP(AM750,$D$638:$AA$840,24,0),AM$639:AO$644,2,0)+1,0)))</f>
        <v>0</v>
      </c>
      <c r="AP750" s="2847" t="str">
        <f t="shared" ca="1" si="168"/>
        <v/>
      </c>
      <c r="AQ750" s="2847" t="str">
        <f t="shared" ca="1" si="158"/>
        <v/>
      </c>
      <c r="AR750" s="3045"/>
      <c r="AS750" s="2847">
        <f>IFERROR(IF(IF(AR750&lt;&gt;"",VLOOKUP(AR750,Tabla_ArmasyEscudos,9,0),"")="Conocida",MAX(AS$645:AS749)+1,0),0)</f>
        <v>0</v>
      </c>
      <c r="AT750" s="2847">
        <f>IF(AR750="",0,IF(AS750=0,MAX(AT$639:AT749,AV$637)+1,AS750+IFERROR(VLOOKUP(VLOOKUP(AR750,$D$638:$AA$840,24,0),AR$639:AT$644,3,0)-VLOOKUP(VLOOKUP(AR750,$D$638:$AA$840,24,0),AR$639:AT$644,2,0)+1,0)))</f>
        <v>0</v>
      </c>
      <c r="AU750" s="2847" t="str">
        <f t="shared" ca="1" si="169"/>
        <v/>
      </c>
      <c r="AV750" s="2847" t="str">
        <f t="shared" ca="1" si="159"/>
        <v/>
      </c>
      <c r="AX750" s="1250" t="str">
        <f t="shared" si="170"/>
        <v>Naginata</v>
      </c>
      <c r="AY750" s="3025"/>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5"/>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5"/>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5"/>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5"/>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042"/>
      <c r="C751" s="1141"/>
      <c r="D751" s="2614" t="s">
        <v>7022</v>
      </c>
      <c r="E751" s="2618">
        <v>50</v>
      </c>
      <c r="F751" s="2613">
        <v>-10</v>
      </c>
      <c r="G751" s="2613">
        <v>6</v>
      </c>
      <c r="H751" s="2613">
        <v>6</v>
      </c>
      <c r="I751" s="2613" t="s">
        <v>1550</v>
      </c>
      <c r="J751" s="2613" t="s">
        <v>1551</v>
      </c>
      <c r="K751" s="2859" t="s">
        <v>7257</v>
      </c>
      <c r="L751" s="2613" t="str">
        <f t="shared" si="163"/>
        <v>Distinta</v>
      </c>
      <c r="M751" s="2621">
        <v>10</v>
      </c>
      <c r="N751" s="2619">
        <v>2</v>
      </c>
      <c r="O751" s="2619">
        <v>25</v>
      </c>
      <c r="P751" s="2619"/>
      <c r="Q751" s="2613"/>
      <c r="R751" s="2613" t="s">
        <v>1455</v>
      </c>
      <c r="S751" s="2613" t="s">
        <v>1455</v>
      </c>
      <c r="T751" s="2613" t="s">
        <v>1455</v>
      </c>
      <c r="U751" s="2613"/>
      <c r="V751" s="2859" t="s">
        <v>2150</v>
      </c>
      <c r="W751" s="2859"/>
      <c r="X751" s="2860" t="str">
        <f t="shared" si="164"/>
        <v>Grande</v>
      </c>
      <c r="Y751" s="2603">
        <f t="shared" si="165"/>
        <v>0</v>
      </c>
      <c r="Z751" s="1259" t="str">
        <f t="shared" si="166"/>
        <v/>
      </c>
      <c r="AA751" s="1955" t="s">
        <v>2171</v>
      </c>
      <c r="AC751" s="3045" t="s">
        <v>2235</v>
      </c>
      <c r="AD751" s="2847">
        <f>IFERROR(IF(IF(AC751&lt;&gt;"",VLOOKUP(AC751,Tabla_ArmasyEscudos,9,0),"")="Conocida",MAX(AD$645:AD750)+1,0),0)</f>
        <v>0</v>
      </c>
      <c r="AE751" s="2847">
        <f ca="1">IF(AC751="",0,IF(AD751=0,MAX(AE$639:AE750,AG$637)+1,AD751+IFERROR(VLOOKUP(VLOOKUP(AC751,$D$638:$AA$840,24,0),AC$639:AE$644,3,0)-VLOOKUP(VLOOKUP(AC751,$D$638:$AA$840,24,0),AC$639:AE$644,2,0)+1,0)))</f>
        <v>107</v>
      </c>
      <c r="AF751" s="2847" t="str">
        <f t="shared" ca="1" si="155"/>
        <v>Scorpio (Espada)</v>
      </c>
      <c r="AG751" s="2847" t="str">
        <f t="shared" ca="1" si="156"/>
        <v/>
      </c>
      <c r="AH751" s="3045"/>
      <c r="AI751" s="2847">
        <f>IFERROR(IF(IF(AH751&lt;&gt;"",VLOOKUP(AH751,Tabla_ArmasyEscudos,9,0),"")="Conocida",MAX(AI$645:AI750)+1,0),0)</f>
        <v>0</v>
      </c>
      <c r="AJ751" s="2847">
        <f>IF(AH751="",0,IF(AI751=0,MAX(AJ$639:AJ750,AL$637)+1,AI751+IFERROR(VLOOKUP(VLOOKUP(AH751,$D$638:$AA$840,24,0),AH$639:AJ$644,3,0)-VLOOKUP(VLOOKUP(AH751,$D$638:$AA$840,24,0),AH$639:AJ$644,2,0)+1,0)))</f>
        <v>0</v>
      </c>
      <c r="AK751" s="2847" t="str">
        <f t="shared" ca="1" si="167"/>
        <v/>
      </c>
      <c r="AL751" s="2847" t="str">
        <f t="shared" ca="1" si="157"/>
        <v/>
      </c>
      <c r="AM751" s="3045"/>
      <c r="AN751" s="2847">
        <f>IFERROR(IF(IF(AM751&lt;&gt;"",VLOOKUP(AM751,Tabla_ArmasyEscudos,9,0),"")="Conocida",MAX(AN$645:AN750)+1,0),0)</f>
        <v>0</v>
      </c>
      <c r="AO751" s="2847">
        <f>IF(AM751="",0,IF(AN751=0,MAX(AO$639:AO750,AQ$637)+1,AN751+IFERROR(VLOOKUP(VLOOKUP(AM751,$D$638:$AA$840,24,0),AM$639:AO$644,3,0)-VLOOKUP(VLOOKUP(AM751,$D$638:$AA$840,24,0),AM$639:AO$644,2,0)+1,0)))</f>
        <v>0</v>
      </c>
      <c r="AP751" s="2847" t="str">
        <f t="shared" ca="1" si="168"/>
        <v/>
      </c>
      <c r="AQ751" s="2847" t="str">
        <f t="shared" ca="1" si="158"/>
        <v/>
      </c>
      <c r="AR751" s="3045"/>
      <c r="AS751" s="2847">
        <f>IFERROR(IF(IF(AR751&lt;&gt;"",VLOOKUP(AR751,Tabla_ArmasyEscudos,9,0),"")="Conocida",MAX(AS$645:AS750)+1,0),0)</f>
        <v>0</v>
      </c>
      <c r="AT751" s="2847">
        <f>IF(AR751="",0,IF(AS751=0,MAX(AT$639:AT750,AV$637)+1,AS751+IFERROR(VLOOKUP(VLOOKUP(AR751,$D$638:$AA$840,24,0),AR$639:AT$644,3,0)-VLOOKUP(VLOOKUP(AR751,$D$638:$AA$840,24,0),AR$639:AT$644,2,0)+1,0)))</f>
        <v>0</v>
      </c>
      <c r="AU751" s="2847" t="str">
        <f t="shared" ca="1" si="169"/>
        <v/>
      </c>
      <c r="AV751" s="2847" t="str">
        <f t="shared" ca="1" si="159"/>
        <v/>
      </c>
      <c r="AX751" s="1250" t="str">
        <f t="shared" si="170"/>
        <v>Ninja-to</v>
      </c>
      <c r="AY751" s="3025"/>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5"/>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5"/>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5"/>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5"/>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042"/>
      <c r="C752" s="1141"/>
      <c r="D752" s="2614" t="s">
        <v>7002</v>
      </c>
      <c r="E752" s="2618">
        <v>20</v>
      </c>
      <c r="F752" s="2613">
        <v>0</v>
      </c>
      <c r="G752" s="2613">
        <v>5</v>
      </c>
      <c r="H752" s="2613">
        <v>5</v>
      </c>
      <c r="I752" s="2613" t="s">
        <v>1497</v>
      </c>
      <c r="J752" s="2613" t="s">
        <v>1455</v>
      </c>
      <c r="K752" s="2859" t="s">
        <v>7257</v>
      </c>
      <c r="L752" s="2613" t="str">
        <f t="shared" si="163"/>
        <v>Distinta</v>
      </c>
      <c r="M752" s="2619">
        <v>13</v>
      </c>
      <c r="N752" s="2619">
        <v>2</v>
      </c>
      <c r="O752" s="2619">
        <v>20</v>
      </c>
      <c r="P752" s="2613"/>
      <c r="Q752" s="2613"/>
      <c r="R752" s="2613" t="s">
        <v>1455</v>
      </c>
      <c r="S752" s="2613" t="s">
        <v>1455</v>
      </c>
      <c r="T752" s="2613" t="s">
        <v>1455</v>
      </c>
      <c r="U752" s="2613"/>
      <c r="V752" s="2859" t="s">
        <v>7037</v>
      </c>
      <c r="W752" s="2859"/>
      <c r="X752" s="2860" t="str">
        <f t="shared" si="164"/>
        <v>Grande</v>
      </c>
      <c r="Y752" s="2603">
        <f t="shared" si="165"/>
        <v>0</v>
      </c>
      <c r="Z752" s="1259" t="str">
        <f t="shared" si="166"/>
        <v/>
      </c>
      <c r="AA752" s="1955" t="s">
        <v>2171</v>
      </c>
      <c r="AC752" s="3045" t="s">
        <v>2237</v>
      </c>
      <c r="AD752" s="2847">
        <f>IFERROR(IF(IF(AC752&lt;&gt;"",VLOOKUP(AC752,Tabla_ArmasyEscudos,9,0),"")="Conocida",MAX(AD$645:AD751)+1,0),0)</f>
        <v>0</v>
      </c>
      <c r="AE752" s="2847">
        <f ca="1">IF(AC752="",0,IF(AD752=0,MAX(AE$639:AE751,AG$637)+1,AD752+IFERROR(VLOOKUP(VLOOKUP(AC752,$D$638:$AA$840,24,0),AC$639:AE$644,3,0)-VLOOKUP(VLOOKUP(AC752,$D$638:$AA$840,24,0),AC$639:AE$644,2,0)+1,0)))</f>
        <v>108</v>
      </c>
      <c r="AF752" s="2847" t="str">
        <f t="shared" ca="1" si="155"/>
        <v>Scorpio (Látigo)</v>
      </c>
      <c r="AG752" s="2847" t="str">
        <f t="shared" ca="1" si="156"/>
        <v/>
      </c>
      <c r="AH752" s="3045"/>
      <c r="AI752" s="2847">
        <f>IFERROR(IF(IF(AH752&lt;&gt;"",VLOOKUP(AH752,Tabla_ArmasyEscudos,9,0),"")="Conocida",MAX(AI$645:AI751)+1,0),0)</f>
        <v>0</v>
      </c>
      <c r="AJ752" s="2847">
        <f>IF(AH752="",0,IF(AI752=0,MAX(AJ$639:AJ751,AL$637)+1,AI752+IFERROR(VLOOKUP(VLOOKUP(AH752,$D$638:$AA$840,24,0),AH$639:AJ$644,3,0)-VLOOKUP(VLOOKUP(AH752,$D$638:$AA$840,24,0),AH$639:AJ$644,2,0)+1,0)))</f>
        <v>0</v>
      </c>
      <c r="AK752" s="2847" t="str">
        <f t="shared" ca="1" si="167"/>
        <v/>
      </c>
      <c r="AL752" s="2847" t="str">
        <f t="shared" ca="1" si="157"/>
        <v/>
      </c>
      <c r="AM752" s="3045"/>
      <c r="AN752" s="2847">
        <f>IFERROR(IF(IF(AM752&lt;&gt;"",VLOOKUP(AM752,Tabla_ArmasyEscudos,9,0),"")="Conocida",MAX(AN$645:AN751)+1,0),0)</f>
        <v>0</v>
      </c>
      <c r="AO752" s="2847">
        <f>IF(AM752="",0,IF(AN752=0,MAX(AO$639:AO751,AQ$637)+1,AN752+IFERROR(VLOOKUP(VLOOKUP(AM752,$D$638:$AA$840,24,0),AM$639:AO$644,3,0)-VLOOKUP(VLOOKUP(AM752,$D$638:$AA$840,24,0),AM$639:AO$644,2,0)+1,0)))</f>
        <v>0</v>
      </c>
      <c r="AP752" s="2847" t="str">
        <f t="shared" ca="1" si="168"/>
        <v/>
      </c>
      <c r="AQ752" s="2847" t="str">
        <f t="shared" ca="1" si="158"/>
        <v/>
      </c>
      <c r="AR752" s="3045"/>
      <c r="AS752" s="2847">
        <f>IFERROR(IF(IF(AR752&lt;&gt;"",VLOOKUP(AR752,Tabla_ArmasyEscudos,9,0),"")="Conocida",MAX(AS$645:AS751)+1,0),0)</f>
        <v>0</v>
      </c>
      <c r="AT752" s="2847">
        <f>IF(AR752="",0,IF(AS752=0,MAX(AT$639:AT751,AV$637)+1,AS752+IFERROR(VLOOKUP(VLOOKUP(AR752,$D$638:$AA$840,24,0),AR$639:AT$644,3,0)-VLOOKUP(VLOOKUP(AR752,$D$638:$AA$840,24,0),AR$639:AT$644,2,0)+1,0)))</f>
        <v>0</v>
      </c>
      <c r="AU752" s="2847" t="str">
        <f t="shared" ca="1" si="169"/>
        <v/>
      </c>
      <c r="AV752" s="2847" t="str">
        <f t="shared" ca="1" si="159"/>
        <v/>
      </c>
      <c r="AX752" s="1250" t="str">
        <f t="shared" si="170"/>
        <v>Ram Dao</v>
      </c>
      <c r="AY752" s="3025"/>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5"/>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5"/>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5"/>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5"/>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042"/>
      <c r="C753" s="1141"/>
      <c r="D753" s="2614" t="s">
        <v>7004</v>
      </c>
      <c r="E753" s="2618">
        <v>80</v>
      </c>
      <c r="F753" s="2613">
        <v>-50</v>
      </c>
      <c r="G753" s="2613">
        <v>10</v>
      </c>
      <c r="H753" s="2613">
        <v>8</v>
      </c>
      <c r="I753" s="2613" t="s">
        <v>1497</v>
      </c>
      <c r="J753" s="2613" t="s">
        <v>1455</v>
      </c>
      <c r="K753" s="2859" t="s">
        <v>7263</v>
      </c>
      <c r="L753" s="2613" t="str">
        <f t="shared" si="163"/>
        <v>Distinta</v>
      </c>
      <c r="M753" s="2619">
        <v>13</v>
      </c>
      <c r="N753" s="2619">
        <v>4</v>
      </c>
      <c r="O753" s="2619">
        <v>30</v>
      </c>
      <c r="P753" s="2613"/>
      <c r="Q753" s="2613"/>
      <c r="R753" s="2613" t="s">
        <v>1455</v>
      </c>
      <c r="S753" s="2613" t="s">
        <v>1455</v>
      </c>
      <c r="T753" s="2613" t="s">
        <v>1455</v>
      </c>
      <c r="U753" s="2613"/>
      <c r="V753" s="2859" t="s">
        <v>2129</v>
      </c>
      <c r="W753" s="2859"/>
      <c r="X753" s="2860" t="str">
        <f t="shared" si="164"/>
        <v>Mediana</v>
      </c>
      <c r="Y753" s="2603">
        <f t="shared" si="165"/>
        <v>0</v>
      </c>
      <c r="Z753" s="1259" t="str">
        <f t="shared" si="166"/>
        <v/>
      </c>
      <c r="AA753" s="1955" t="s">
        <v>2171</v>
      </c>
      <c r="AC753" s="3045" t="s">
        <v>2240</v>
      </c>
      <c r="AD753" s="2847">
        <f>IFERROR(IF(IF(AC753&lt;&gt;"",VLOOKUP(AC753,Tabla_ArmasyEscudos,9,0),"")="Conocida",MAX(AD$645:AD752)+1,0),0)</f>
        <v>0</v>
      </c>
      <c r="AE753" s="2847">
        <f ca="1">IF(AC753="",0,IF(AD753=0,MAX(AE$639:AE752,AG$637)+1,AD753+IFERROR(VLOOKUP(VLOOKUP(AC753,$D$638:$AA$840,24,0),AC$639:AE$644,3,0)-VLOOKUP(VLOOKUP(AC753,$D$638:$AA$840,24,0),AC$639:AE$644,2,0)+1,0)))</f>
        <v>109</v>
      </c>
      <c r="AF753" s="2847" t="str">
        <f t="shared" ca="1" si="155"/>
        <v>Taurus</v>
      </c>
      <c r="AG753" s="2847" t="str">
        <f t="shared" ca="1" si="156"/>
        <v/>
      </c>
      <c r="AH753" s="3045"/>
      <c r="AI753" s="2847">
        <f>IFERROR(IF(IF(AH753&lt;&gt;"",VLOOKUP(AH753,Tabla_ArmasyEscudos,9,0),"")="Conocida",MAX(AI$645:AI752)+1,0),0)</f>
        <v>0</v>
      </c>
      <c r="AJ753" s="2847">
        <f>IF(AH753="",0,IF(AI753=0,MAX(AJ$639:AJ752,AL$637)+1,AI753+IFERROR(VLOOKUP(VLOOKUP(AH753,$D$638:$AA$840,24,0),AH$639:AJ$644,3,0)-VLOOKUP(VLOOKUP(AH753,$D$638:$AA$840,24,0),AH$639:AJ$644,2,0)+1,0)))</f>
        <v>0</v>
      </c>
      <c r="AK753" s="2847" t="str">
        <f t="shared" ca="1" si="167"/>
        <v/>
      </c>
      <c r="AL753" s="2847" t="str">
        <f t="shared" ca="1" si="157"/>
        <v/>
      </c>
      <c r="AM753" s="3045"/>
      <c r="AN753" s="2847">
        <f>IFERROR(IF(IF(AM753&lt;&gt;"",VLOOKUP(AM753,Tabla_ArmasyEscudos,9,0),"")="Conocida",MAX(AN$645:AN752)+1,0),0)</f>
        <v>0</v>
      </c>
      <c r="AO753" s="2847">
        <f>IF(AM753="",0,IF(AN753=0,MAX(AO$639:AO752,AQ$637)+1,AN753+IFERROR(VLOOKUP(VLOOKUP(AM753,$D$638:$AA$840,24,0),AM$639:AO$644,3,0)-VLOOKUP(VLOOKUP(AM753,$D$638:$AA$840,24,0),AM$639:AO$644,2,0)+1,0)))</f>
        <v>0</v>
      </c>
      <c r="AP753" s="2847" t="str">
        <f t="shared" ca="1" si="168"/>
        <v/>
      </c>
      <c r="AQ753" s="2847" t="str">
        <f t="shared" ca="1" si="158"/>
        <v/>
      </c>
      <c r="AR753" s="3045"/>
      <c r="AS753" s="2847">
        <f>IFERROR(IF(IF(AR753&lt;&gt;"",VLOOKUP(AR753,Tabla_ArmasyEscudos,9,0),"")="Conocida",MAX(AS$645:AS752)+1,0),0)</f>
        <v>0</v>
      </c>
      <c r="AT753" s="2847">
        <f>IF(AR753="",0,IF(AS753=0,MAX(AT$639:AT752,AV$637)+1,AS753+IFERROR(VLOOKUP(VLOOKUP(AR753,$D$638:$AA$840,24,0),AR$639:AT$644,3,0)-VLOOKUP(VLOOKUP(AR753,$D$638:$AA$840,24,0),AR$639:AT$644,2,0)+1,0)))</f>
        <v>0</v>
      </c>
      <c r="AU753" s="2847" t="str">
        <f t="shared" ca="1" si="169"/>
        <v/>
      </c>
      <c r="AV753" s="2847" t="str">
        <f t="shared" ca="1" si="159"/>
        <v/>
      </c>
      <c r="AX753" s="1250" t="str">
        <f t="shared" si="170"/>
        <v>Sang Kauw</v>
      </c>
      <c r="AY753" s="3025"/>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5"/>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5"/>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5"/>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5"/>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042"/>
      <c r="C754" s="1141"/>
      <c r="D754" s="2614" t="s">
        <v>7023</v>
      </c>
      <c r="E754" s="2618">
        <v>25</v>
      </c>
      <c r="F754" s="2613">
        <v>10</v>
      </c>
      <c r="G754" s="2613">
        <v>4</v>
      </c>
      <c r="H754" s="2613">
        <v>4</v>
      </c>
      <c r="I754" s="2613" t="s">
        <v>1551</v>
      </c>
      <c r="J754" s="2613" t="s">
        <v>1455</v>
      </c>
      <c r="K754" s="2859" t="s">
        <v>7257</v>
      </c>
      <c r="L754" s="2613" t="str">
        <f t="shared" si="163"/>
        <v>Distinta</v>
      </c>
      <c r="M754" s="2619">
        <v>10</v>
      </c>
      <c r="N754" s="2619">
        <v>-2</v>
      </c>
      <c r="O754" s="2619">
        <v>20</v>
      </c>
      <c r="P754" s="2613"/>
      <c r="Q754" s="2613"/>
      <c r="R754" s="2613">
        <v>100</v>
      </c>
      <c r="S754" s="2613" t="s">
        <v>1455</v>
      </c>
      <c r="T754" s="2613">
        <v>30</v>
      </c>
      <c r="U754" s="2613"/>
      <c r="V754" s="2859" t="s">
        <v>8567</v>
      </c>
      <c r="W754" s="2859"/>
      <c r="X754" s="2860" t="str">
        <f t="shared" si="164"/>
        <v>Grande</v>
      </c>
      <c r="Y754" s="2603">
        <f t="shared" si="165"/>
        <v>0</v>
      </c>
      <c r="Z754" s="1259" t="str">
        <f t="shared" si="166"/>
        <v/>
      </c>
      <c r="AA754" s="1955" t="s">
        <v>2171</v>
      </c>
      <c r="AC754" s="1023" t="s">
        <v>2246</v>
      </c>
      <c r="AD754" s="2847">
        <f>IFERROR(IF(IF(AC754&lt;&gt;"",VLOOKUP(AC754,Tabla_ArmasyEscudos,9,0),"")="Conocida",MAX(AD$645:AD753)+1,0),0)</f>
        <v>0</v>
      </c>
      <c r="AE754" s="2847">
        <f ca="1">IF(AC754="",0,IF(AD754=0,MAX(AE$639:AE753,AG$637)+1,AD754+IFERROR(VLOOKUP(VLOOKUP(AC754,$D$638:$AA$840,24,0),AC$639:AE$644,3,0)-VLOOKUP(VLOOKUP(AC754,$D$638:$AA$840,24,0),AC$639:AE$644,2,0)+1,0)))</f>
        <v>110</v>
      </c>
      <c r="AF754" s="2847" t="str">
        <f t="shared" ca="1" si="155"/>
        <v>Umbra</v>
      </c>
      <c r="AG754" s="2847" t="str">
        <f t="shared" ca="1" si="156"/>
        <v/>
      </c>
      <c r="AH754" s="3045"/>
      <c r="AI754" s="2847">
        <f>IFERROR(IF(IF(AH754&lt;&gt;"",VLOOKUP(AH754,Tabla_ArmasyEscudos,9,0),"")="Conocida",MAX(AI$645:AI753)+1,0),0)</f>
        <v>0</v>
      </c>
      <c r="AJ754" s="2847">
        <f>IF(AH754="",0,IF(AI754=0,MAX(AJ$639:AJ753,AL$637)+1,AI754+IFERROR(VLOOKUP(VLOOKUP(AH754,$D$638:$AA$840,24,0),AH$639:AJ$644,3,0)-VLOOKUP(VLOOKUP(AH754,$D$638:$AA$840,24,0),AH$639:AJ$644,2,0)+1,0)))</f>
        <v>0</v>
      </c>
      <c r="AK754" s="2847" t="str">
        <f t="shared" ca="1" si="167"/>
        <v/>
      </c>
      <c r="AL754" s="2847" t="str">
        <f t="shared" ca="1" si="157"/>
        <v/>
      </c>
      <c r="AM754" s="3045"/>
      <c r="AN754" s="2847">
        <f>IFERROR(IF(IF(AM754&lt;&gt;"",VLOOKUP(AM754,Tabla_ArmasyEscudos,9,0),"")="Conocida",MAX(AN$645:AN753)+1,0),0)</f>
        <v>0</v>
      </c>
      <c r="AO754" s="2847">
        <f>IF(AM754="",0,IF(AN754=0,MAX(AO$639:AO753,AQ$637)+1,AN754+IFERROR(VLOOKUP(VLOOKUP(AM754,$D$638:$AA$840,24,0),AM$639:AO$644,3,0)-VLOOKUP(VLOOKUP(AM754,$D$638:$AA$840,24,0),AM$639:AO$644,2,0)+1,0)))</f>
        <v>0</v>
      </c>
      <c r="AP754" s="2847" t="str">
        <f t="shared" ca="1" si="168"/>
        <v/>
      </c>
      <c r="AQ754" s="2847" t="str">
        <f t="shared" ca="1" si="158"/>
        <v/>
      </c>
      <c r="AR754" s="3045"/>
      <c r="AS754" s="2847">
        <f>IFERROR(IF(IF(AR754&lt;&gt;"",VLOOKUP(AR754,Tabla_ArmasyEscudos,9,0),"")="Conocida",MAX(AS$645:AS753)+1,0),0)</f>
        <v>0</v>
      </c>
      <c r="AT754" s="2847">
        <f>IF(AR754="",0,IF(AS754=0,MAX(AT$639:AT753,AV$637)+1,AS754+IFERROR(VLOOKUP(VLOOKUP(AR754,$D$638:$AA$840,24,0),AR$639:AT$644,3,0)-VLOOKUP(VLOOKUP(AR754,$D$638:$AA$840,24,0),AR$639:AT$644,2,0)+1,0)))</f>
        <v>0</v>
      </c>
      <c r="AU754" s="2847" t="str">
        <f t="shared" ca="1" si="169"/>
        <v/>
      </c>
      <c r="AV754" s="2847" t="str">
        <f t="shared" ca="1" si="159"/>
        <v/>
      </c>
      <c r="AX754" s="1250" t="str">
        <f t="shared" si="170"/>
        <v>Sode Garami</v>
      </c>
      <c r="AY754" s="3025"/>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5"/>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5"/>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5"/>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5"/>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042"/>
      <c r="C755" s="1141"/>
      <c r="D755" s="2614" t="s">
        <v>10086</v>
      </c>
      <c r="E755" s="2618">
        <v>45</v>
      </c>
      <c r="F755" s="2613">
        <v>0</v>
      </c>
      <c r="G755" s="2613">
        <v>4</v>
      </c>
      <c r="H755" s="2613">
        <v>4</v>
      </c>
      <c r="I755" s="2613" t="s">
        <v>1550</v>
      </c>
      <c r="J755" s="2613" t="s">
        <v>1455</v>
      </c>
      <c r="K755" s="2859" t="s">
        <v>7260</v>
      </c>
      <c r="L755" s="2613" t="str">
        <f t="shared" si="163"/>
        <v>Distinta</v>
      </c>
      <c r="M755" s="2619">
        <v>11</v>
      </c>
      <c r="N755" s="2619">
        <v>3</v>
      </c>
      <c r="O755" s="2619">
        <v>40</v>
      </c>
      <c r="P755" s="2613"/>
      <c r="Q755" s="2613"/>
      <c r="R755" s="2613" t="s">
        <v>1455</v>
      </c>
      <c r="S755" s="2613" t="s">
        <v>1455</v>
      </c>
      <c r="T755" s="2613" t="s">
        <v>1455</v>
      </c>
      <c r="U755" s="2613"/>
      <c r="V755" s="2859" t="s">
        <v>1455</v>
      </c>
      <c r="W755" s="2859"/>
      <c r="X755" s="2860" t="str">
        <f t="shared" si="164"/>
        <v>Mediana</v>
      </c>
      <c r="Y755" s="2603">
        <f t="shared" si="165"/>
        <v>0</v>
      </c>
      <c r="Z755" s="1259" t="str">
        <f t="shared" si="166"/>
        <v/>
      </c>
      <c r="AA755" s="1955" t="s">
        <v>2171</v>
      </c>
      <c r="AC755" s="3045" t="s">
        <v>2243</v>
      </c>
      <c r="AD755" s="2847">
        <f>IFERROR(IF(IF(AC755&lt;&gt;"",VLOOKUP(AC755,Tabla_ArmasyEscudos,9,0),"")="Conocida",MAX(AD$645:AD754)+1,0),0)</f>
        <v>0</v>
      </c>
      <c r="AE755" s="2847">
        <f ca="1">IF(AC755="",0,IF(AD755=0,MAX(AE$639:AE754,AG$637)+1,AD755+IFERROR(VLOOKUP(VLOOKUP(AC755,$D$638:$AA$840,24,0),AC$639:AE$644,3,0)-VLOOKUP(VLOOKUP(AC755,$D$638:$AA$840,24,0),AC$639:AE$644,2,0)+1,0)))</f>
        <v>111</v>
      </c>
      <c r="AF755" s="2847" t="str">
        <f t="shared" ca="1" si="155"/>
        <v>Virgo (Viento pequeño)</v>
      </c>
      <c r="AG755" s="2847" t="str">
        <f t="shared" ca="1" si="156"/>
        <v/>
      </c>
      <c r="AH755" s="3045"/>
      <c r="AI755" s="2847">
        <f>IFERROR(IF(IF(AH755&lt;&gt;"",VLOOKUP(AH755,Tabla_ArmasyEscudos,9,0),"")="Conocida",MAX(AI$645:AI754)+1,0),0)</f>
        <v>0</v>
      </c>
      <c r="AJ755" s="2847">
        <f>IF(AH755="",0,IF(AI755=0,MAX(AJ$639:AJ754,AL$637)+1,AI755+IFERROR(VLOOKUP(VLOOKUP(AH755,$D$638:$AA$840,24,0),AH$639:AJ$644,3,0)-VLOOKUP(VLOOKUP(AH755,$D$638:$AA$840,24,0),AH$639:AJ$644,2,0)+1,0)))</f>
        <v>0</v>
      </c>
      <c r="AK755" s="2847" t="str">
        <f t="shared" ca="1" si="167"/>
        <v/>
      </c>
      <c r="AL755" s="2847" t="str">
        <f t="shared" ca="1" si="157"/>
        <v/>
      </c>
      <c r="AM755" s="3045"/>
      <c r="AN755" s="2847">
        <f>IFERROR(IF(IF(AM755&lt;&gt;"",VLOOKUP(AM755,Tabla_ArmasyEscudos,9,0),"")="Conocida",MAX(AN$645:AN754)+1,0),0)</f>
        <v>0</v>
      </c>
      <c r="AO755" s="2847">
        <f>IF(AM755="",0,IF(AN755=0,MAX(AO$639:AO754,AQ$637)+1,AN755+IFERROR(VLOOKUP(VLOOKUP(AM755,$D$638:$AA$840,24,0),AM$639:AO$644,3,0)-VLOOKUP(VLOOKUP(AM755,$D$638:$AA$840,24,0),AM$639:AO$644,2,0)+1,0)))</f>
        <v>0</v>
      </c>
      <c r="AP755" s="2847" t="str">
        <f t="shared" ca="1" si="168"/>
        <v/>
      </c>
      <c r="AQ755" s="2847" t="str">
        <f t="shared" ca="1" si="158"/>
        <v/>
      </c>
      <c r="AR755" s="3045"/>
      <c r="AS755" s="2847">
        <f>IFERROR(IF(IF(AR755&lt;&gt;"",VLOOKUP(AR755,Tabla_ArmasyEscudos,9,0),"")="Conocida",MAX(AS$645:AS754)+1,0),0)</f>
        <v>0</v>
      </c>
      <c r="AT755" s="2847">
        <f>IF(AR755="",0,IF(AS755=0,MAX(AT$639:AT754,AV$637)+1,AS755+IFERROR(VLOOKUP(VLOOKUP(AR755,$D$638:$AA$840,24,0),AR$639:AT$644,3,0)-VLOOKUP(VLOOKUP(AR755,$D$638:$AA$840,24,0),AR$639:AT$644,2,0)+1,0)))</f>
        <v>0</v>
      </c>
      <c r="AU755" s="2847" t="str">
        <f t="shared" ca="1" si="169"/>
        <v/>
      </c>
      <c r="AV755" s="2847" t="str">
        <f t="shared" ca="1" si="159"/>
        <v/>
      </c>
      <c r="AX755" s="1250" t="str">
        <f t="shared" si="170"/>
        <v>Tetsubo</v>
      </c>
      <c r="AY755" s="3025"/>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5"/>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5"/>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5"/>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5"/>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042"/>
      <c r="C756" s="1141"/>
      <c r="D756" s="2614" t="s">
        <v>2194</v>
      </c>
      <c r="E756" s="2611"/>
      <c r="F756" s="2611"/>
      <c r="G756" s="2611"/>
      <c r="H756" s="2611"/>
      <c r="I756" s="2611"/>
      <c r="J756" s="2611"/>
      <c r="K756" s="2607" t="s">
        <v>7255</v>
      </c>
      <c r="L756" s="2613"/>
      <c r="M756" s="2611"/>
      <c r="N756" s="2611"/>
      <c r="O756" s="2611"/>
      <c r="P756" s="2611"/>
      <c r="Q756" s="2611"/>
      <c r="R756" s="2611"/>
      <c r="S756" s="2611"/>
      <c r="T756" s="2611"/>
      <c r="U756" s="2611"/>
      <c r="V756" s="2607"/>
      <c r="W756" s="2607"/>
      <c r="X756" s="2608"/>
      <c r="Y756" s="1144"/>
      <c r="Z756" s="1259" t="str">
        <f t="shared" si="166"/>
        <v/>
      </c>
      <c r="AA756" s="1955"/>
      <c r="AC756" s="3045" t="s">
        <v>7079</v>
      </c>
      <c r="AD756" s="2847">
        <f>IFERROR(IF(IF(AC756&lt;&gt;"",VLOOKUP(AC756,Tabla_ArmasyEscudos,9,0),"")="Conocida",MAX(AD$645:AD755)+1,0),0)</f>
        <v>0</v>
      </c>
      <c r="AE756" s="2847">
        <f ca="1">IF(AC756="",0,IF(AD756=0,MAX(AE$639:AE755,AG$637)+1,AD756+IFERROR(VLOOKUP(VLOOKUP(AC756,$D$638:$AA$840,24,0),AC$639:AE$644,3,0)-VLOOKUP(VLOOKUP(AC756,$D$638:$AA$840,24,0),AC$639:AE$644,2,0)+1,0)))</f>
        <v>112</v>
      </c>
      <c r="AF756" s="2847" t="str">
        <f t="shared" ca="1" si="155"/>
        <v>Virgo (Viento grande)</v>
      </c>
      <c r="AG756" s="2847" t="str">
        <f t="shared" ca="1" si="156"/>
        <v/>
      </c>
      <c r="AH756" s="3045"/>
      <c r="AI756" s="2847">
        <f>IFERROR(IF(IF(AH756&lt;&gt;"",VLOOKUP(AH756,Tabla_ArmasyEscudos,9,0),"")="Conocida",MAX(AI$645:AI755)+1,0),0)</f>
        <v>0</v>
      </c>
      <c r="AJ756" s="2847">
        <f>IF(AH756="",0,IF(AI756=0,MAX(AJ$639:AJ755,AL$637)+1,AI756+IFERROR(VLOOKUP(VLOOKUP(AH756,$D$638:$AA$840,24,0),AH$639:AJ$644,3,0)-VLOOKUP(VLOOKUP(AH756,$D$638:$AA$840,24,0),AH$639:AJ$644,2,0)+1,0)))</f>
        <v>0</v>
      </c>
      <c r="AK756" s="2847" t="str">
        <f t="shared" ca="1" si="167"/>
        <v/>
      </c>
      <c r="AL756" s="2847" t="str">
        <f t="shared" ca="1" si="157"/>
        <v/>
      </c>
      <c r="AM756" s="3045"/>
      <c r="AN756" s="2847">
        <f>IFERROR(IF(IF(AM756&lt;&gt;"",VLOOKUP(AM756,Tabla_ArmasyEscudos,9,0),"")="Conocida",MAX(AN$645:AN755)+1,0),0)</f>
        <v>0</v>
      </c>
      <c r="AO756" s="2847">
        <f>IF(AM756="",0,IF(AN756=0,MAX(AO$639:AO755,AQ$637)+1,AN756+IFERROR(VLOOKUP(VLOOKUP(AM756,$D$638:$AA$840,24,0),AM$639:AO$644,3,0)-VLOOKUP(VLOOKUP(AM756,$D$638:$AA$840,24,0),AM$639:AO$644,2,0)+1,0)))</f>
        <v>0</v>
      </c>
      <c r="AP756" s="2847" t="str">
        <f t="shared" ca="1" si="168"/>
        <v/>
      </c>
      <c r="AQ756" s="2847" t="str">
        <f t="shared" ca="1" si="158"/>
        <v/>
      </c>
      <c r="AR756" s="3045"/>
      <c r="AS756" s="2847">
        <f>IFERROR(IF(IF(AR756&lt;&gt;"",VLOOKUP(AR756,Tabla_ArmasyEscudos,9,0),"")="Conocida",MAX(AS$645:AS755)+1,0),0)</f>
        <v>0</v>
      </c>
      <c r="AT756" s="2847">
        <f>IF(AR756="",0,IF(AS756=0,MAX(AT$639:AT755,AV$637)+1,AS756+IFERROR(VLOOKUP(VLOOKUP(AR756,$D$638:$AA$840,24,0),AR$639:AT$644,3,0)-VLOOKUP(VLOOKUP(AR756,$D$638:$AA$840,24,0),AR$639:AT$644,2,0)+1,0)))</f>
        <v>0</v>
      </c>
      <c r="AU756" s="2847" t="str">
        <f t="shared" ca="1" si="169"/>
        <v/>
      </c>
      <c r="AV756" s="2847" t="str">
        <f t="shared" ca="1" si="159"/>
        <v/>
      </c>
      <c r="AX756" s="1250" t="str">
        <f t="shared" si="170"/>
        <v>Uchi-ne</v>
      </c>
      <c r="AY756" s="3025"/>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5"/>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5"/>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5"/>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5"/>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042"/>
      <c r="C757" s="1141"/>
      <c r="D757" s="2614" t="s">
        <v>8547</v>
      </c>
      <c r="E757" s="2613">
        <v>0</v>
      </c>
      <c r="F757" s="2613">
        <v>-20</v>
      </c>
      <c r="G757" s="2613">
        <v>6</v>
      </c>
      <c r="H757" s="2613">
        <v>6</v>
      </c>
      <c r="I757" s="2613" t="s">
        <v>1455</v>
      </c>
      <c r="J757" s="2613" t="s">
        <v>1455</v>
      </c>
      <c r="K757" s="2859" t="s">
        <v>7275</v>
      </c>
      <c r="L757" s="2613"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19">
        <v>9</v>
      </c>
      <c r="N757" s="2619">
        <v>-3</v>
      </c>
      <c r="O757" s="2619">
        <v>20</v>
      </c>
      <c r="P757" s="2613"/>
      <c r="Q757" s="2613"/>
      <c r="R757" s="2613" t="s">
        <v>1455</v>
      </c>
      <c r="S757" s="2613">
        <v>4</v>
      </c>
      <c r="T757" s="2613">
        <v>80</v>
      </c>
      <c r="U757" s="2620">
        <v>11</v>
      </c>
      <c r="V757" s="2859" t="s">
        <v>2182</v>
      </c>
      <c r="W757" s="2859"/>
      <c r="X757" s="2664" t="s">
        <v>10151</v>
      </c>
      <c r="Y757" s="2603">
        <f>VLOOKUP(U757,Tabla_BonoStats,2)</f>
        <v>20</v>
      </c>
      <c r="Z757" s="1259" t="str">
        <f t="shared" si="166"/>
        <v/>
      </c>
      <c r="AA757" s="1955" t="s">
        <v>2194</v>
      </c>
      <c r="AC757" s="3045" t="s">
        <v>7080</v>
      </c>
      <c r="AD757" s="2847">
        <f>IFERROR(IF(IF(AC757&lt;&gt;"",VLOOKUP(AC757,Tabla_ArmasyEscudos,9,0),"")="Conocida",MAX(AD$645:AD756)+1,0),0)</f>
        <v>0</v>
      </c>
      <c r="AE757" s="2847">
        <f ca="1">IF(AC757="",0,IF(AD757=0,MAX(AE$639:AE756,AG$637)+1,AD757+IFERROR(VLOOKUP(VLOOKUP(AC757,$D$638:$AA$840,24,0),AC$639:AE$644,3,0)-VLOOKUP(VLOOKUP(AC757,$D$638:$AA$840,24,0),AC$639:AE$644,2,0)+1,0)))</f>
        <v>113</v>
      </c>
      <c r="AF757" s="2847" t="str">
        <f t="shared" ca="1" si="155"/>
        <v>Virgo (Cuerda)</v>
      </c>
      <c r="AG757" s="2847" t="str">
        <f t="shared" ca="1" si="156"/>
        <v/>
      </c>
      <c r="AH757" s="3045"/>
      <c r="AI757" s="2847">
        <f>IFERROR(IF(IF(AH757&lt;&gt;"",VLOOKUP(AH757,Tabla_ArmasyEscudos,9,0),"")="Conocida",MAX(AI$645:AI756)+1,0),0)</f>
        <v>0</v>
      </c>
      <c r="AJ757" s="2847">
        <f>IF(AH757="",0,IF(AI757=0,MAX(AJ$639:AJ756,AL$637)+1,AI757+IFERROR(VLOOKUP(VLOOKUP(AH757,$D$638:$AA$840,24,0),AH$639:AJ$644,3,0)-VLOOKUP(VLOOKUP(AH757,$D$638:$AA$840,24,0),AH$639:AJ$644,2,0)+1,0)))</f>
        <v>0</v>
      </c>
      <c r="AK757" s="2847" t="str">
        <f t="shared" ca="1" si="167"/>
        <v/>
      </c>
      <c r="AL757" s="2847" t="str">
        <f t="shared" ca="1" si="157"/>
        <v/>
      </c>
      <c r="AM757" s="3045"/>
      <c r="AN757" s="2847">
        <f>IFERROR(IF(IF(AM757&lt;&gt;"",VLOOKUP(AM757,Tabla_ArmasyEscudos,9,0),"")="Conocida",MAX(AN$645:AN756)+1,0),0)</f>
        <v>0</v>
      </c>
      <c r="AO757" s="2847">
        <f>IF(AM757="",0,IF(AN757=0,MAX(AO$639:AO756,AQ$637)+1,AN757+IFERROR(VLOOKUP(VLOOKUP(AM757,$D$638:$AA$840,24,0),AM$639:AO$644,3,0)-VLOOKUP(VLOOKUP(AM757,$D$638:$AA$840,24,0),AM$639:AO$644,2,0)+1,0)))</f>
        <v>0</v>
      </c>
      <c r="AP757" s="2847" t="str">
        <f t="shared" ca="1" si="168"/>
        <v/>
      </c>
      <c r="AQ757" s="2847" t="str">
        <f t="shared" ca="1" si="158"/>
        <v/>
      </c>
      <c r="AR757" s="3045"/>
      <c r="AS757" s="2847">
        <f>IFERROR(IF(IF(AR757&lt;&gt;"",VLOOKUP(AR757,Tabla_ArmasyEscudos,9,0),"")="Conocida",MAX(AS$645:AS756)+1,0),0)</f>
        <v>0</v>
      </c>
      <c r="AT757" s="2847">
        <f>IF(AR757="",0,IF(AS757=0,MAX(AT$639:AT756,AV$637)+1,AS757+IFERROR(VLOOKUP(VLOOKUP(AR757,$D$638:$AA$840,24,0),AR$639:AT$644,3,0)-VLOOKUP(VLOOKUP(AR757,$D$638:$AA$840,24,0),AR$639:AT$644,2,0)+1,0)))</f>
        <v>0</v>
      </c>
      <c r="AU757" s="2847" t="str">
        <f t="shared" ca="1" si="169"/>
        <v/>
      </c>
      <c r="AV757" s="2847" t="str">
        <f t="shared" ca="1" si="159"/>
        <v/>
      </c>
      <c r="AX757" s="1250" t="str">
        <f t="shared" si="170"/>
        <v>Wakizashi</v>
      </c>
      <c r="AY757" s="3025"/>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5"/>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5"/>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5"/>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5"/>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042"/>
      <c r="C758" s="1141"/>
      <c r="D758" s="2614" t="s">
        <v>2195</v>
      </c>
      <c r="E758" s="2613">
        <v>0</v>
      </c>
      <c r="F758" s="2613">
        <v>-30</v>
      </c>
      <c r="G758" s="2613" t="s">
        <v>1455</v>
      </c>
      <c r="H758" s="2613">
        <v>7</v>
      </c>
      <c r="I758" s="2613" t="s">
        <v>1455</v>
      </c>
      <c r="J758" s="2613" t="s">
        <v>1455</v>
      </c>
      <c r="K758" s="2859" t="s">
        <v>7275</v>
      </c>
      <c r="L758" s="2613" t="str">
        <f t="shared" si="189"/>
        <v>Distinta</v>
      </c>
      <c r="M758" s="2619">
        <v>8</v>
      </c>
      <c r="N758" s="2619">
        <v>-2</v>
      </c>
      <c r="O758" s="2619">
        <v>25</v>
      </c>
      <c r="P758" s="2613"/>
      <c r="Q758" s="2613"/>
      <c r="R758" s="2613" t="s">
        <v>1455</v>
      </c>
      <c r="S758" s="2613">
        <v>1</v>
      </c>
      <c r="T758" s="2613">
        <v>90</v>
      </c>
      <c r="U758" s="2613"/>
      <c r="V758" s="2859" t="s">
        <v>1578</v>
      </c>
      <c r="W758" s="2859"/>
      <c r="X758" s="2664" t="s">
        <v>1966</v>
      </c>
      <c r="Y758" s="2603">
        <f>Bono_Fue</f>
        <v>0</v>
      </c>
      <c r="Z758" s="1259" t="str">
        <f t="shared" si="166"/>
        <v/>
      </c>
      <c r="AA758" s="1955" t="s">
        <v>2194</v>
      </c>
      <c r="AC758" s="3045" t="s">
        <v>2232</v>
      </c>
      <c r="AD758" s="2847">
        <f>IFERROR(IF(IF(AC758&lt;&gt;"",VLOOKUP(AC758,Tabla_ArmasyEscudos,9,0),"")="Conocida",MAX(AD$645:AD757)+1,0),0)</f>
        <v>0</v>
      </c>
      <c r="AE758" s="2847">
        <f ca="1">IF(AC758="",0,IF(AD758=0,MAX(AE$639:AE757,AG$637)+1,AD758+IFERROR(VLOOKUP(VLOOKUP(AC758,$D$638:$AA$840,24,0),AC$639:AE$644,3,0)-VLOOKUP(VLOOKUP(AC758,$D$638:$AA$840,24,0),AC$639:AE$644,2,0)+1,0)))</f>
        <v>114</v>
      </c>
      <c r="AF758" s="2847" t="str">
        <f t="shared" ca="1" si="155"/>
        <v>Virgo (Percusión)</v>
      </c>
      <c r="AG758" s="2847" t="str">
        <f t="shared" ca="1" si="156"/>
        <v/>
      </c>
      <c r="AH758" s="3045"/>
      <c r="AI758" s="2847">
        <f>IFERROR(IF(IF(AH758&lt;&gt;"",VLOOKUP(AH758,Tabla_ArmasyEscudos,9,0),"")="Conocida",MAX(AI$645:AI757)+1,0),0)</f>
        <v>0</v>
      </c>
      <c r="AJ758" s="2847">
        <f>IF(AH758="",0,IF(AI758=0,MAX(AJ$639:AJ757,AL$637)+1,AI758+IFERROR(VLOOKUP(VLOOKUP(AH758,$D$638:$AA$840,24,0),AH$639:AJ$644,3,0)-VLOOKUP(VLOOKUP(AH758,$D$638:$AA$840,24,0),AH$639:AJ$644,2,0)+1,0)))</f>
        <v>0</v>
      </c>
      <c r="AK758" s="2847" t="str">
        <f t="shared" ca="1" si="167"/>
        <v/>
      </c>
      <c r="AL758" s="2847" t="str">
        <f t="shared" ca="1" si="157"/>
        <v/>
      </c>
      <c r="AM758" s="3045"/>
      <c r="AN758" s="2847">
        <f>IFERROR(IF(IF(AM758&lt;&gt;"",VLOOKUP(AM758,Tabla_ArmasyEscudos,9,0),"")="Conocida",MAX(AN$645:AN757)+1,0),0)</f>
        <v>0</v>
      </c>
      <c r="AO758" s="2847">
        <f>IF(AM758="",0,IF(AN758=0,MAX(AO$639:AO757,AQ$637)+1,AN758+IFERROR(VLOOKUP(VLOOKUP(AM758,$D$638:$AA$840,24,0),AM$639:AO$644,3,0)-VLOOKUP(VLOOKUP(AM758,$D$638:$AA$840,24,0),AM$639:AO$644,2,0)+1,0)))</f>
        <v>0</v>
      </c>
      <c r="AP758" s="2847" t="str">
        <f t="shared" ca="1" si="168"/>
        <v/>
      </c>
      <c r="AQ758" s="2847" t="str">
        <f t="shared" ca="1" si="158"/>
        <v/>
      </c>
      <c r="AR758" s="3045"/>
      <c r="AS758" s="2847">
        <f>IFERROR(IF(IF(AR758&lt;&gt;"",VLOOKUP(AR758,Tabla_ArmasyEscudos,9,0),"")="Conocida",MAX(AS$645:AS757)+1,0),0)</f>
        <v>0</v>
      </c>
      <c r="AT758" s="2847">
        <f>IF(AR758="",0,IF(AS758=0,MAX(AT$639:AT757,AV$637)+1,AS758+IFERROR(VLOOKUP(VLOOKUP(AR758,$D$638:$AA$840,24,0),AR$639:AT$644,3,0)-VLOOKUP(VLOOKUP(AR758,$D$638:$AA$840,24,0),AR$639:AT$644,2,0)+1,0)))</f>
        <v>0</v>
      </c>
      <c r="AU758" s="2847" t="str">
        <f t="shared" ca="1" si="169"/>
        <v/>
      </c>
      <c r="AV758" s="2847" t="str">
        <f t="shared" ca="1" si="159"/>
        <v/>
      </c>
      <c r="AX758" s="1250" t="str">
        <f t="shared" si="170"/>
        <v>&gt; A. DE PROYECTILES</v>
      </c>
      <c r="AY758" s="3025"/>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5"/>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5"/>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5"/>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5"/>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042"/>
      <c r="C759" s="1141"/>
      <c r="D759" s="2614" t="s">
        <v>2197</v>
      </c>
      <c r="E759" s="2613">
        <v>0</v>
      </c>
      <c r="F759" s="2613">
        <v>-10</v>
      </c>
      <c r="G759" s="2613" t="s">
        <v>1455</v>
      </c>
      <c r="H759" s="2613">
        <v>4</v>
      </c>
      <c r="I759" s="2613" t="s">
        <v>1455</v>
      </c>
      <c r="J759" s="2613" t="s">
        <v>1455</v>
      </c>
      <c r="K759" s="2859" t="s">
        <v>7275</v>
      </c>
      <c r="L759" s="2613" t="str">
        <f t="shared" si="189"/>
        <v>Distinta</v>
      </c>
      <c r="M759" s="2619">
        <v>7</v>
      </c>
      <c r="N759" s="2619">
        <v>-3</v>
      </c>
      <c r="O759" s="2619">
        <v>15</v>
      </c>
      <c r="P759" s="2613"/>
      <c r="Q759" s="2613"/>
      <c r="R759" s="2613" t="s">
        <v>1455</v>
      </c>
      <c r="S759" s="2613">
        <v>1</v>
      </c>
      <c r="T759" s="2613">
        <v>40</v>
      </c>
      <c r="U759" s="2613"/>
      <c r="V759" s="2859" t="s">
        <v>1578</v>
      </c>
      <c r="W759" s="2859"/>
      <c r="X759" s="2664" t="s">
        <v>1966</v>
      </c>
      <c r="Y759" s="2603">
        <f>Bono_Fue</f>
        <v>0</v>
      </c>
      <c r="Z759" s="1259" t="str">
        <f t="shared" si="166"/>
        <v/>
      </c>
      <c r="AA759" s="1955" t="s">
        <v>2194</v>
      </c>
      <c r="AC759" s="3045" t="s">
        <v>2226</v>
      </c>
      <c r="AD759" s="2847">
        <f>IFERROR(IF(IF(AC759&lt;&gt;"",VLOOKUP(AC759,Tabla_ArmasyEscudos,9,0),"")="Conocida",MAX(AD$645:AD758)+1,0),0)</f>
        <v>0</v>
      </c>
      <c r="AE759" s="2847">
        <f ca="1">IF(AC759="",0,IF(AD759=0,MAX(AE$639:AE758,AG$637)+1,AD759+IFERROR(VLOOKUP(VLOOKUP(AC759,$D$638:$AA$840,24,0),AC$639:AE$644,3,0)-VLOOKUP(VLOOKUP(AC759,$D$638:$AA$840,24,0),AC$639:AE$644,2,0)+1,0)))</f>
        <v>115</v>
      </c>
      <c r="AF759" s="2847" t="str">
        <f t="shared" ca="1" si="155"/>
        <v/>
      </c>
      <c r="AG759" s="2847" t="str">
        <f t="shared" ca="1" si="156"/>
        <v/>
      </c>
      <c r="AH759" s="3045"/>
      <c r="AI759" s="2847">
        <f>IFERROR(IF(IF(AH759&lt;&gt;"",VLOOKUP(AH759,Tabla_ArmasyEscudos,9,0),"")="Conocida",MAX(AI$645:AI758)+1,0),0)</f>
        <v>0</v>
      </c>
      <c r="AJ759" s="2847">
        <f>IF(AH759="",0,IF(AI759=0,MAX(AJ$639:AJ758,AL$637)+1,AI759+IFERROR(VLOOKUP(VLOOKUP(AH759,$D$638:$AA$840,24,0),AH$639:AJ$644,3,0)-VLOOKUP(VLOOKUP(AH759,$D$638:$AA$840,24,0),AH$639:AJ$644,2,0)+1,0)))</f>
        <v>0</v>
      </c>
      <c r="AK759" s="2847" t="str">
        <f t="shared" ca="1" si="167"/>
        <v/>
      </c>
      <c r="AL759" s="2847" t="str">
        <f t="shared" ca="1" si="157"/>
        <v/>
      </c>
      <c r="AM759" s="3045"/>
      <c r="AN759" s="2847">
        <f>IFERROR(IF(IF(AM759&lt;&gt;"",VLOOKUP(AM759,Tabla_ArmasyEscudos,9,0),"")="Conocida",MAX(AN$645:AN758)+1,0),0)</f>
        <v>0</v>
      </c>
      <c r="AO759" s="2847">
        <f>IF(AM759="",0,IF(AN759=0,MAX(AO$639:AO758,AQ$637)+1,AN759+IFERROR(VLOOKUP(VLOOKUP(AM759,$D$638:$AA$840,24,0),AM$639:AO$644,3,0)-VLOOKUP(VLOOKUP(AM759,$D$638:$AA$840,24,0),AM$639:AO$644,2,0)+1,0)))</f>
        <v>0</v>
      </c>
      <c r="AP759" s="2847" t="str">
        <f t="shared" ca="1" si="168"/>
        <v/>
      </c>
      <c r="AQ759" s="2847" t="str">
        <f t="shared" ca="1" si="158"/>
        <v/>
      </c>
      <c r="AR759" s="3045"/>
      <c r="AS759" s="2847">
        <f>IFERROR(IF(IF(AR759&lt;&gt;"",VLOOKUP(AR759,Tabla_ArmasyEscudos,9,0),"")="Conocida",MAX(AS$645:AS758)+1,0),0)</f>
        <v>0</v>
      </c>
      <c r="AT759" s="2847">
        <f>IF(AR759="",0,IF(AS759=0,MAX(AT$639:AT758,AV$637)+1,AS759+IFERROR(VLOOKUP(VLOOKUP(AR759,$D$638:$AA$840,24,0),AR$639:AT$644,3,0)-VLOOKUP(VLOOKUP(AR759,$D$638:$AA$840,24,0),AR$639:AT$644,2,0)+1,0)))</f>
        <v>0</v>
      </c>
      <c r="AU759" s="2847" t="str">
        <f t="shared" ca="1" si="169"/>
        <v/>
      </c>
      <c r="AV759" s="2847" t="str">
        <f t="shared" ca="1" si="159"/>
        <v/>
      </c>
      <c r="AX759" s="1250" t="str">
        <f t="shared" si="170"/>
        <v>Arcabuz</v>
      </c>
      <c r="AY759" s="3025"/>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5"/>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5"/>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5"/>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5"/>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042"/>
      <c r="C760" s="1141"/>
      <c r="D760" s="2614" t="s">
        <v>6976</v>
      </c>
      <c r="E760" s="2613">
        <f>IF(FUE+2&lt;1,0,VLOOKUP(FUE+2,Tabla_BonoStats,2))-Bono_Fue</f>
        <v>-20</v>
      </c>
      <c r="F760" s="2613">
        <v>-10</v>
      </c>
      <c r="G760" s="2613">
        <v>4</v>
      </c>
      <c r="H760" s="2613">
        <v>4</v>
      </c>
      <c r="I760" s="2613" t="s">
        <v>1455</v>
      </c>
      <c r="J760" s="2613" t="s">
        <v>1455</v>
      </c>
      <c r="K760" s="2859" t="s">
        <v>7275</v>
      </c>
      <c r="L760" s="2613" t="str">
        <f t="shared" si="189"/>
        <v>Distinta</v>
      </c>
      <c r="M760" s="2619">
        <v>6</v>
      </c>
      <c r="N760" s="2619">
        <v>-3</v>
      </c>
      <c r="O760" s="2619">
        <v>15</v>
      </c>
      <c r="P760" s="2613"/>
      <c r="Q760" s="2613"/>
      <c r="R760" s="2613" t="s">
        <v>1455</v>
      </c>
      <c r="S760" s="2613">
        <v>1</v>
      </c>
      <c r="T760" s="2613">
        <v>40</v>
      </c>
      <c r="U760" s="2613"/>
      <c r="V760" s="2859" t="s">
        <v>7025</v>
      </c>
      <c r="W760" s="2859"/>
      <c r="X760" s="2664" t="s">
        <v>1966</v>
      </c>
      <c r="Y760" s="2603">
        <f>Bono_Fue</f>
        <v>0</v>
      </c>
      <c r="Z760" s="1259" t="str">
        <f t="shared" si="166"/>
        <v/>
      </c>
      <c r="AA760" s="1955" t="s">
        <v>2194</v>
      </c>
      <c r="AC760" s="3045" t="s">
        <v>10061</v>
      </c>
      <c r="AD760" s="2847">
        <f>IFERROR(IF(IF(AC760&lt;&gt;"",VLOOKUP(AC760,Tabla_ArmasyEscudos,9,0),"")="Conocida",MAX(AD$645:AD759)+1,0),0)</f>
        <v>0</v>
      </c>
      <c r="AE760" s="2847">
        <f ca="1">IF(AC760="",0,IF(AD760=0,MAX(AE$639:AE759,AG$637)+1,AD760+IFERROR(VLOOKUP(VLOOKUP(AC760,$D$638:$AA$840,24,0),AC$639:AE$644,3,0)-VLOOKUP(VLOOKUP(AC760,$D$638:$AA$840,24,0),AC$639:AE$644,2,0)+1,0)))</f>
        <v>116</v>
      </c>
      <c r="AF760" s="2847" t="str">
        <f t="shared" ca="1" si="155"/>
        <v/>
      </c>
      <c r="AG760" s="2847" t="str">
        <f t="shared" ca="1" si="156"/>
        <v/>
      </c>
      <c r="AH760" s="3045"/>
      <c r="AI760" s="2847">
        <f>IFERROR(IF(IF(AH760&lt;&gt;"",VLOOKUP(AH760,Tabla_ArmasyEscudos,9,0),"")="Conocida",MAX(AI$645:AI759)+1,0),0)</f>
        <v>0</v>
      </c>
      <c r="AJ760" s="2847">
        <f>IF(AH760="",0,IF(AI760=0,MAX(AJ$639:AJ759,AL$637)+1,AI760+IFERROR(VLOOKUP(VLOOKUP(AH760,$D$638:$AA$840,24,0),AH$639:AJ$644,3,0)-VLOOKUP(VLOOKUP(AH760,$D$638:$AA$840,24,0),AH$639:AJ$644,2,0)+1,0)))</f>
        <v>0</v>
      </c>
      <c r="AK760" s="2847" t="str">
        <f t="shared" ca="1" si="167"/>
        <v/>
      </c>
      <c r="AL760" s="2847" t="str">
        <f t="shared" ca="1" si="157"/>
        <v/>
      </c>
      <c r="AM760" s="3045"/>
      <c r="AN760" s="2847">
        <f>IFERROR(IF(IF(AM760&lt;&gt;"",VLOOKUP(AM760,Tabla_ArmasyEscudos,9,0),"")="Conocida",MAX(AN$645:AN759)+1,0),0)</f>
        <v>0</v>
      </c>
      <c r="AO760" s="2847">
        <f>IF(AM760="",0,IF(AN760=0,MAX(AO$639:AO759,AQ$637)+1,AN760+IFERROR(VLOOKUP(VLOOKUP(AM760,$D$638:$AA$840,24,0),AM$639:AO$644,3,0)-VLOOKUP(VLOOKUP(AM760,$D$638:$AA$840,24,0),AM$639:AO$644,2,0)+1,0)))</f>
        <v>0</v>
      </c>
      <c r="AP760" s="2847" t="str">
        <f t="shared" ca="1" si="168"/>
        <v/>
      </c>
      <c r="AQ760" s="2847" t="str">
        <f t="shared" ca="1" si="158"/>
        <v/>
      </c>
      <c r="AR760" s="3045"/>
      <c r="AS760" s="2847">
        <f>IFERROR(IF(IF(AR760&lt;&gt;"",VLOOKUP(AR760,Tabla_ArmasyEscudos,9,0),"")="Conocida",MAX(AS$645:AS759)+1,0),0)</f>
        <v>0</v>
      </c>
      <c r="AT760" s="2847">
        <f>IF(AR760="",0,IF(AS760=0,MAX(AT$639:AT759,AV$637)+1,AS760+IFERROR(VLOOKUP(VLOOKUP(AR760,$D$638:$AA$840,24,0),AR$639:AT$644,3,0)-VLOOKUP(VLOOKUP(AR760,$D$638:$AA$840,24,0),AR$639:AT$644,2,0)+1,0)))</f>
        <v>0</v>
      </c>
      <c r="AU760" s="2847" t="str">
        <f t="shared" ca="1" si="169"/>
        <v/>
      </c>
      <c r="AV760" s="2847" t="str">
        <f t="shared" ca="1" si="159"/>
        <v/>
      </c>
      <c r="AX760" s="1250" t="str">
        <f t="shared" si="170"/>
        <v>Arco compuesto</v>
      </c>
      <c r="AY760" s="3025"/>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5"/>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5"/>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5"/>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5"/>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042"/>
      <c r="C761" s="1141"/>
      <c r="D761" s="2614" t="s">
        <v>2198</v>
      </c>
      <c r="E761" s="2613">
        <v>0</v>
      </c>
      <c r="F761" s="2613">
        <v>-30</v>
      </c>
      <c r="G761" s="2613" t="s">
        <v>1455</v>
      </c>
      <c r="H761" s="2613">
        <v>7</v>
      </c>
      <c r="I761" s="2613" t="s">
        <v>1455</v>
      </c>
      <c r="J761" s="2613" t="s">
        <v>1455</v>
      </c>
      <c r="K761" s="2859" t="s">
        <v>7275</v>
      </c>
      <c r="L761" s="2613" t="str">
        <f t="shared" si="189"/>
        <v>Distinta</v>
      </c>
      <c r="M761" s="2619">
        <v>8</v>
      </c>
      <c r="N761" s="2619">
        <v>-2</v>
      </c>
      <c r="O761" s="2619">
        <v>20</v>
      </c>
      <c r="P761" s="2613"/>
      <c r="Q761" s="2613"/>
      <c r="R761" s="2613" t="s">
        <v>1455</v>
      </c>
      <c r="S761" s="2613">
        <v>1</v>
      </c>
      <c r="T761" s="2613">
        <v>60</v>
      </c>
      <c r="U761" s="2613"/>
      <c r="V761" s="2859" t="s">
        <v>1578</v>
      </c>
      <c r="W761" s="2859"/>
      <c r="X761" s="2664" t="s">
        <v>1966</v>
      </c>
      <c r="Y761" s="2603">
        <f>Bono_Fue</f>
        <v>0</v>
      </c>
      <c r="Z761" s="1259" t="str">
        <f t="shared" si="166"/>
        <v/>
      </c>
      <c r="AA761" s="1955" t="s">
        <v>2194</v>
      </c>
      <c r="AC761" s="3045" t="s">
        <v>10062</v>
      </c>
      <c r="AD761" s="2847">
        <f>IFERROR(IF(IF(AC761&lt;&gt;"",VLOOKUP(AC761,Tabla_ArmasyEscudos,9,0),"")="Conocida",MAX(AD$645:AD760)+1,0),0)</f>
        <v>0</v>
      </c>
      <c r="AE761" s="2847">
        <f ca="1">IF(AC761="",0,IF(AD761=0,MAX(AE$639:AE760,AG$637)+1,AD761+IFERROR(VLOOKUP(VLOOKUP(AC761,$D$638:$AA$840,24,0),AC$639:AE$644,3,0)-VLOOKUP(VLOOKUP(AC761,$D$638:$AA$840,24,0),AC$639:AE$644,2,0)+1,0)))</f>
        <v>117</v>
      </c>
      <c r="AF761" s="2847" t="str">
        <f t="shared" ca="1" si="155"/>
        <v/>
      </c>
      <c r="AG761" s="2847" t="str">
        <f t="shared" ca="1" si="156"/>
        <v/>
      </c>
      <c r="AH761" s="3045"/>
      <c r="AI761" s="2847">
        <f>IFERROR(IF(IF(AH761&lt;&gt;"",VLOOKUP(AH761,Tabla_ArmasyEscudos,9,0),"")="Conocida",MAX(AI$645:AI760)+1,0),0)</f>
        <v>0</v>
      </c>
      <c r="AJ761" s="2847">
        <f>IF(AH761="",0,IF(AI761=0,MAX(AJ$639:AJ760,AL$637)+1,AI761+IFERROR(VLOOKUP(VLOOKUP(AH761,$D$638:$AA$840,24,0),AH$639:AJ$644,3,0)-VLOOKUP(VLOOKUP(AH761,$D$638:$AA$840,24,0),AH$639:AJ$644,2,0)+1,0)))</f>
        <v>0</v>
      </c>
      <c r="AK761" s="2847" t="str">
        <f t="shared" ca="1" si="167"/>
        <v/>
      </c>
      <c r="AL761" s="2847" t="str">
        <f t="shared" ca="1" si="157"/>
        <v/>
      </c>
      <c r="AM761" s="3045"/>
      <c r="AN761" s="2847">
        <f>IFERROR(IF(IF(AM761&lt;&gt;"",VLOOKUP(AM761,Tabla_ArmasyEscudos,9,0),"")="Conocida",MAX(AN$645:AN760)+1,0),0)</f>
        <v>0</v>
      </c>
      <c r="AO761" s="2847">
        <f>IF(AM761="",0,IF(AN761=0,MAX(AO$639:AO760,AQ$637)+1,AN761+IFERROR(VLOOKUP(VLOOKUP(AM761,$D$638:$AA$840,24,0),AM$639:AO$644,3,0)-VLOOKUP(VLOOKUP(AM761,$D$638:$AA$840,24,0),AM$639:AO$644,2,0)+1,0)))</f>
        <v>0</v>
      </c>
      <c r="AP761" s="2847" t="str">
        <f t="shared" ca="1" si="168"/>
        <v/>
      </c>
      <c r="AQ761" s="2847" t="str">
        <f t="shared" ca="1" si="158"/>
        <v/>
      </c>
      <c r="AR761" s="3045"/>
      <c r="AS761" s="2847">
        <f>IFERROR(IF(IF(AR761&lt;&gt;"",VLOOKUP(AR761,Tabla_ArmasyEscudos,9,0),"")="Conocida",MAX(AS$645:AS760)+1,0),0)</f>
        <v>0</v>
      </c>
      <c r="AT761" s="2847">
        <f>IF(AR761="",0,IF(AS761=0,MAX(AT$639:AT760,AV$637)+1,AS761+IFERROR(VLOOKUP(VLOOKUP(AR761,$D$638:$AA$840,24,0),AR$639:AT$644,3,0)-VLOOKUP(VLOOKUP(AR761,$D$638:$AA$840,24,0),AR$639:AT$644,2,0)+1,0)))</f>
        <v>0</v>
      </c>
      <c r="AU761" s="2847" t="str">
        <f t="shared" ca="1" si="169"/>
        <v/>
      </c>
      <c r="AV761" s="2847" t="str">
        <f t="shared" ca="1" si="159"/>
        <v/>
      </c>
      <c r="AX761" s="1250" t="str">
        <f t="shared" si="170"/>
        <v>Arco corto</v>
      </c>
      <c r="AY761" s="3025"/>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5"/>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5"/>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5"/>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5"/>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042"/>
      <c r="C762" s="1141"/>
      <c r="D762" s="2614" t="s">
        <v>6980</v>
      </c>
      <c r="E762" s="2613">
        <v>0</v>
      </c>
      <c r="F762" s="2613">
        <v>0</v>
      </c>
      <c r="G762" s="2613">
        <v>5</v>
      </c>
      <c r="H762" s="2613">
        <v>5</v>
      </c>
      <c r="I762" s="2613" t="s">
        <v>1455</v>
      </c>
      <c r="J762" s="2613" t="s">
        <v>1455</v>
      </c>
      <c r="K762" s="2859" t="s">
        <v>7275</v>
      </c>
      <c r="L762" s="2613" t="str">
        <f t="shared" si="189"/>
        <v>Distinta</v>
      </c>
      <c r="M762" s="2619">
        <v>8</v>
      </c>
      <c r="N762" s="2619">
        <v>-4</v>
      </c>
      <c r="O762" s="2619">
        <v>10</v>
      </c>
      <c r="P762" s="2613"/>
      <c r="Q762" s="2613"/>
      <c r="R762" s="2613" t="s">
        <v>1455</v>
      </c>
      <c r="S762" s="2613">
        <v>1</v>
      </c>
      <c r="T762" s="2613">
        <v>30</v>
      </c>
      <c r="U762" s="2620">
        <f>FUE+2</f>
        <v>2</v>
      </c>
      <c r="V762" s="2859" t="s">
        <v>2150</v>
      </c>
      <c r="W762" s="2859"/>
      <c r="X762" s="2664" t="s">
        <v>10151</v>
      </c>
      <c r="Y762" s="2603">
        <f>VLOOKUP(U762,Tabla_BonoStats,2)</f>
        <v>-20</v>
      </c>
      <c r="Z762" s="1259" t="str">
        <f t="shared" si="166"/>
        <v/>
      </c>
      <c r="AA762" s="1955" t="s">
        <v>2194</v>
      </c>
      <c r="AC762" s="3045" t="s">
        <v>10063</v>
      </c>
      <c r="AD762" s="2847">
        <f>IFERROR(IF(IF(AC762&lt;&gt;"",VLOOKUP(AC762,Tabla_ArmasyEscudos,9,0),"")="Conocida",MAX(AD$645:AD761)+1,0),0)</f>
        <v>0</v>
      </c>
      <c r="AE762" s="2847">
        <f ca="1">IF(AC762="",0,IF(AD762=0,MAX(AE$639:AE761,AG$637)+1,AD762+IFERROR(VLOOKUP(VLOOKUP(AC762,$D$638:$AA$840,24,0),AC$639:AE$644,3,0)-VLOOKUP(VLOOKUP(AC762,$D$638:$AA$840,24,0),AC$639:AE$644,2,0)+1,0)))</f>
        <v>118</v>
      </c>
      <c r="AF762" s="2847" t="str">
        <f t="shared" ca="1" si="155"/>
        <v/>
      </c>
      <c r="AG762" s="2847" t="str">
        <f t="shared" ca="1" si="156"/>
        <v/>
      </c>
      <c r="AH762" s="3045"/>
      <c r="AI762" s="2847">
        <f>IFERROR(IF(IF(AH762&lt;&gt;"",VLOOKUP(AH762,Tabla_ArmasyEscudos,9,0),"")="Conocida",MAX(AI$645:AI761)+1,0),0)</f>
        <v>0</v>
      </c>
      <c r="AJ762" s="2847">
        <f>IF(AH762="",0,IF(AI762=0,MAX(AJ$639:AJ761,AL$637)+1,AI762+IFERROR(VLOOKUP(VLOOKUP(AH762,$D$638:$AA$840,24,0),AH$639:AJ$644,3,0)-VLOOKUP(VLOOKUP(AH762,$D$638:$AA$840,24,0),AH$639:AJ$644,2,0)+1,0)))</f>
        <v>0</v>
      </c>
      <c r="AK762" s="2847" t="str">
        <f t="shared" ca="1" si="167"/>
        <v/>
      </c>
      <c r="AL762" s="2847" t="str">
        <f t="shared" ca="1" si="157"/>
        <v/>
      </c>
      <c r="AM762" s="3045"/>
      <c r="AN762" s="2847">
        <f>IFERROR(IF(IF(AM762&lt;&gt;"",VLOOKUP(AM762,Tabla_ArmasyEscudos,9,0),"")="Conocida",MAX(AN$645:AN761)+1,0),0)</f>
        <v>0</v>
      </c>
      <c r="AO762" s="2847">
        <f>IF(AM762="",0,IF(AN762=0,MAX(AO$639:AO761,AQ$637)+1,AN762+IFERROR(VLOOKUP(VLOOKUP(AM762,$D$638:$AA$840,24,0),AM$639:AO$644,3,0)-VLOOKUP(VLOOKUP(AM762,$D$638:$AA$840,24,0),AM$639:AO$644,2,0)+1,0)))</f>
        <v>0</v>
      </c>
      <c r="AP762" s="2847" t="str">
        <f t="shared" ca="1" si="168"/>
        <v/>
      </c>
      <c r="AQ762" s="2847" t="str">
        <f t="shared" ca="1" si="158"/>
        <v/>
      </c>
      <c r="AR762" s="3045"/>
      <c r="AS762" s="2847">
        <f>IFERROR(IF(IF(AR762&lt;&gt;"",VLOOKUP(AR762,Tabla_ArmasyEscudos,9,0),"")="Conocida",MAX(AS$645:AS761)+1,0),0)</f>
        <v>0</v>
      </c>
      <c r="AT762" s="2847">
        <f>IF(AR762="",0,IF(AS762=0,MAX(AT$639:AT761,AV$637)+1,AS762+IFERROR(VLOOKUP(VLOOKUP(AR762,$D$638:$AA$840,24,0),AR$639:AT$644,3,0)-VLOOKUP(VLOOKUP(AR762,$D$638:$AA$840,24,0),AR$639:AT$644,2,0)+1,0)))</f>
        <v>0</v>
      </c>
      <c r="AU762" s="2847" t="str">
        <f t="shared" ca="1" si="169"/>
        <v/>
      </c>
      <c r="AV762" s="2847" t="str">
        <f t="shared" ca="1" si="159"/>
        <v/>
      </c>
      <c r="AX762" s="1250" t="str">
        <f t="shared" si="170"/>
        <v>Arco de balas</v>
      </c>
      <c r="AY762" s="3025"/>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5"/>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5"/>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5"/>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5"/>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042"/>
      <c r="C763" s="1141"/>
      <c r="D763" s="2614" t="s">
        <v>2199</v>
      </c>
      <c r="E763" s="2613">
        <v>0</v>
      </c>
      <c r="F763" s="2613">
        <v>0</v>
      </c>
      <c r="G763" s="2613">
        <v>8</v>
      </c>
      <c r="H763" s="2613">
        <v>4</v>
      </c>
      <c r="I763" s="2613" t="s">
        <v>1455</v>
      </c>
      <c r="J763" s="2613" t="s">
        <v>1455</v>
      </c>
      <c r="K763" s="2859" t="s">
        <v>7275</v>
      </c>
      <c r="L763" s="2620"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19">
        <v>8</v>
      </c>
      <c r="N763" s="2619">
        <v>-2</v>
      </c>
      <c r="O763" s="2619">
        <v>20</v>
      </c>
      <c r="P763" s="2613"/>
      <c r="Q763" s="2613"/>
      <c r="R763" s="2613" t="s">
        <v>1455</v>
      </c>
      <c r="S763" s="2613">
        <v>2</v>
      </c>
      <c r="T763" s="2613">
        <v>60</v>
      </c>
      <c r="U763" s="2620">
        <v>8</v>
      </c>
      <c r="V763" s="2859" t="s">
        <v>2200</v>
      </c>
      <c r="W763" s="2859"/>
      <c r="X763" s="2664" t="s">
        <v>10151</v>
      </c>
      <c r="Y763" s="2603">
        <f>VLOOKUP(U763,Tabla_BonoStats,2)</f>
        <v>10</v>
      </c>
      <c r="Z763" s="1259" t="str">
        <f t="shared" si="166"/>
        <v/>
      </c>
      <c r="AA763" s="1955" t="s">
        <v>2194</v>
      </c>
      <c r="AC763" s="3045" t="s">
        <v>10064</v>
      </c>
      <c r="AD763" s="2847">
        <f>IFERROR(IF(IF(AC763&lt;&gt;"",VLOOKUP(AC763,Tabla_ArmasyEscudos,9,0),"")="Conocida",MAX(AD$645:AD762)+1,0),0)</f>
        <v>0</v>
      </c>
      <c r="AE763" s="2847">
        <f ca="1">IF(AC763="",0,IF(AD763=0,MAX(AE$639:AE762,AG$637)+1,AD763+IFERROR(VLOOKUP(VLOOKUP(AC763,$D$638:$AA$840,24,0),AC$639:AE$644,3,0)-VLOOKUP(VLOOKUP(AC763,$D$638:$AA$840,24,0),AC$639:AE$644,2,0)+1,0)))</f>
        <v>119</v>
      </c>
      <c r="AF763" s="2847" t="str">
        <f t="shared" ca="1" si="155"/>
        <v/>
      </c>
      <c r="AG763" s="2847" t="str">
        <f t="shared" ca="1" si="156"/>
        <v/>
      </c>
      <c r="AH763" s="3045"/>
      <c r="AI763" s="2847">
        <f>IFERROR(IF(IF(AH763&lt;&gt;"",VLOOKUP(AH763,Tabla_ArmasyEscudos,9,0),"")="Conocida",MAX(AI$645:AI762)+1,0),0)</f>
        <v>0</v>
      </c>
      <c r="AJ763" s="2847">
        <f>IF(AH763="",0,IF(AI763=0,MAX(AJ$639:AJ762,AL$637)+1,AI763+IFERROR(VLOOKUP(VLOOKUP(AH763,$D$638:$AA$840,24,0),AH$639:AJ$644,3,0)-VLOOKUP(VLOOKUP(AH763,$D$638:$AA$840,24,0),AH$639:AJ$644,2,0)+1,0)))</f>
        <v>0</v>
      </c>
      <c r="AK763" s="2847" t="str">
        <f t="shared" ca="1" si="167"/>
        <v/>
      </c>
      <c r="AL763" s="2847" t="str">
        <f t="shared" ca="1" si="157"/>
        <v/>
      </c>
      <c r="AM763" s="3045"/>
      <c r="AN763" s="2847">
        <f>IFERROR(IF(IF(AM763&lt;&gt;"",VLOOKUP(AM763,Tabla_ArmasyEscudos,9,0),"")="Conocida",MAX(AN$645:AN762)+1,0),0)</f>
        <v>0</v>
      </c>
      <c r="AO763" s="2847">
        <f>IF(AM763="",0,IF(AN763=0,MAX(AO$639:AO762,AQ$637)+1,AN763+IFERROR(VLOOKUP(VLOOKUP(AM763,$D$638:$AA$840,24,0),AM$639:AO$644,3,0)-VLOOKUP(VLOOKUP(AM763,$D$638:$AA$840,24,0),AM$639:AO$644,2,0)+1,0)))</f>
        <v>0</v>
      </c>
      <c r="AP763" s="2847" t="str">
        <f t="shared" ca="1" si="168"/>
        <v/>
      </c>
      <c r="AQ763" s="2847" t="str">
        <f t="shared" ca="1" si="158"/>
        <v/>
      </c>
      <c r="AR763" s="3045"/>
      <c r="AS763" s="2847">
        <f>IFERROR(IF(IF(AR763&lt;&gt;"",VLOOKUP(AR763,Tabla_ArmasyEscudos,9,0),"")="Conocida",MAX(AS$645:AS762)+1,0),0)</f>
        <v>0</v>
      </c>
      <c r="AT763" s="2847">
        <f>IF(AR763="",0,IF(AS763=0,MAX(AT$639:AT762,AV$637)+1,AS763+IFERROR(VLOOKUP(VLOOKUP(AR763,$D$638:$AA$840,24,0),AR$639:AT$644,3,0)-VLOOKUP(VLOOKUP(AR763,$D$638:$AA$840,24,0),AR$639:AT$644,2,0)+1,0)))</f>
        <v>0</v>
      </c>
      <c r="AU763" s="2847" t="str">
        <f t="shared" ca="1" si="169"/>
        <v/>
      </c>
      <c r="AV763" s="2847" t="str">
        <f t="shared" ca="1" si="159"/>
        <v/>
      </c>
      <c r="AX763" s="1250" t="str">
        <f t="shared" si="170"/>
        <v>Arco largo</v>
      </c>
      <c r="AY763" s="3025"/>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5"/>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5"/>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5"/>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5"/>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042"/>
      <c r="C764" s="1141"/>
      <c r="D764" s="2614" t="s">
        <v>2201</v>
      </c>
      <c r="E764" s="2613">
        <v>0</v>
      </c>
      <c r="F764" s="2613">
        <v>10</v>
      </c>
      <c r="G764" s="2613">
        <v>3</v>
      </c>
      <c r="H764" s="2613">
        <v>3</v>
      </c>
      <c r="I764" s="2613" t="s">
        <v>1455</v>
      </c>
      <c r="J764" s="2613" t="s">
        <v>1455</v>
      </c>
      <c r="K764" s="2859" t="s">
        <v>7275</v>
      </c>
      <c r="L764" s="2620" t="str">
        <f>$L$763</f>
        <v>Distinta</v>
      </c>
      <c r="M764" s="2619">
        <v>5</v>
      </c>
      <c r="N764" s="2619">
        <v>-4</v>
      </c>
      <c r="O764" s="2619">
        <v>15</v>
      </c>
      <c r="P764" s="2613"/>
      <c r="Q764" s="2613"/>
      <c r="R764" s="2613" t="s">
        <v>1455</v>
      </c>
      <c r="S764" s="2613">
        <v>2</v>
      </c>
      <c r="T764" s="2613">
        <v>30</v>
      </c>
      <c r="U764" s="2620">
        <v>5</v>
      </c>
      <c r="V764" s="2859" t="s">
        <v>2150</v>
      </c>
      <c r="W764" s="2859"/>
      <c r="X764" s="2664" t="s">
        <v>10151</v>
      </c>
      <c r="Y764" s="2603">
        <f>VLOOKUP(U764,Tabla_BonoStats,2)</f>
        <v>0</v>
      </c>
      <c r="Z764" s="2863"/>
      <c r="AA764" s="1955" t="s">
        <v>2194</v>
      </c>
      <c r="AC764" s="3052"/>
      <c r="AD764" s="2847">
        <f>IFERROR(IF(IF(AC764&lt;&gt;"",VLOOKUP(AC764,Tabla_ArmasyEscudos,9,0),"")="Conocida",MAX(AD$645:AD763)+1,0),0)</f>
        <v>0</v>
      </c>
      <c r="AE764" s="2847">
        <f>IF(AC764="",0,IF(AD764=0,MAX(AE$639:AE763,AG$637)+1,AD764+IFERROR(VLOOKUP(VLOOKUP(AC764,$D$638:$AA$840,24,0),AC$639:AE$644,3,0)-VLOOKUP(VLOOKUP(AC764,$D$638:$AA$840,24,0),AC$639:AE$644,2,0)+1,0)))</f>
        <v>0</v>
      </c>
      <c r="AF764" s="2847" t="str">
        <f t="shared" ca="1" si="155"/>
        <v/>
      </c>
      <c r="AG764" s="2847" t="str">
        <f t="shared" ca="1" si="156"/>
        <v/>
      </c>
      <c r="AH764" s="3045"/>
      <c r="AI764" s="2847">
        <f>IFERROR(IF(IF(AH764&lt;&gt;"",VLOOKUP(AH764,Tabla_ArmasyEscudos,9,0),"")="Conocida",MAX(AI$645:AI763)+1,0),0)</f>
        <v>0</v>
      </c>
      <c r="AJ764" s="2847">
        <f>IF(AH764="",0,IF(AI764=0,MAX(AJ$639:AJ763,AL$637)+1,AI764+IFERROR(VLOOKUP(VLOOKUP(AH764,$D$638:$AA$840,24,0),AH$639:AJ$644,3,0)-VLOOKUP(VLOOKUP(AH764,$D$638:$AA$840,24,0),AH$639:AJ$644,2,0)+1,0)))</f>
        <v>0</v>
      </c>
      <c r="AK764" s="2847" t="str">
        <f t="shared" ca="1" si="167"/>
        <v/>
      </c>
      <c r="AL764" s="2847" t="str">
        <f t="shared" ca="1" si="157"/>
        <v/>
      </c>
      <c r="AM764" s="3045"/>
      <c r="AN764" s="2847">
        <f>IFERROR(IF(IF(AM764&lt;&gt;"",VLOOKUP(AM764,Tabla_ArmasyEscudos,9,0),"")="Conocida",MAX(AN$645:AN763)+1,0),0)</f>
        <v>0</v>
      </c>
      <c r="AO764" s="2847">
        <f>IF(AM764="",0,IF(AN764=0,MAX(AO$639:AO763,AQ$637)+1,AN764+IFERROR(VLOOKUP(VLOOKUP(AM764,$D$638:$AA$840,24,0),AM$639:AO$644,3,0)-VLOOKUP(VLOOKUP(AM764,$D$638:$AA$840,24,0),AM$639:AO$644,2,0)+1,0)))</f>
        <v>0</v>
      </c>
      <c r="AP764" s="2847" t="str">
        <f t="shared" ca="1" si="168"/>
        <v/>
      </c>
      <c r="AQ764" s="2847" t="str">
        <f t="shared" ca="1" si="158"/>
        <v/>
      </c>
      <c r="AR764" s="3045"/>
      <c r="AS764" s="2847">
        <f>IFERROR(IF(IF(AR764&lt;&gt;"",VLOOKUP(AR764,Tabla_ArmasyEscudos,9,0),"")="Conocida",MAX(AS$645:AS763)+1,0),0)</f>
        <v>0</v>
      </c>
      <c r="AT764" s="2847">
        <f>IF(AR764="",0,IF(AS764=0,MAX(AT$639:AT763,AV$637)+1,AS764+IFERROR(VLOOKUP(VLOOKUP(AR764,$D$638:$AA$840,24,0),AR$639:AT$644,3,0)-VLOOKUP(VLOOKUP(AR764,$D$638:$AA$840,24,0),AR$639:AT$644,2,0)+1,0)))</f>
        <v>0</v>
      </c>
      <c r="AU764" s="2847" t="str">
        <f t="shared" ca="1" si="169"/>
        <v/>
      </c>
      <c r="AV764" s="2847" t="str">
        <f t="shared" ca="1" si="159"/>
        <v/>
      </c>
      <c r="AX764" s="1250" t="str">
        <f t="shared" si="170"/>
        <v>Atlatl</v>
      </c>
      <c r="AY764" s="3025"/>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5"/>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5"/>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5"/>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5"/>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042"/>
      <c r="C765" s="1141"/>
      <c r="D765" s="2614" t="s">
        <v>2202</v>
      </c>
      <c r="E765" s="2613">
        <v>0</v>
      </c>
      <c r="F765" s="2613">
        <v>0</v>
      </c>
      <c r="G765" s="2613">
        <v>8</v>
      </c>
      <c r="H765" s="2613">
        <v>4</v>
      </c>
      <c r="I765" s="2613" t="s">
        <v>1455</v>
      </c>
      <c r="J765" s="2613" t="s">
        <v>1455</v>
      </c>
      <c r="K765" s="2859" t="s">
        <v>7275</v>
      </c>
      <c r="L765" s="2620" t="str">
        <f>$L$763</f>
        <v>Distinta</v>
      </c>
      <c r="M765" s="2619">
        <v>6</v>
      </c>
      <c r="N765" s="2619">
        <v>-2</v>
      </c>
      <c r="O765" s="2619">
        <v>20</v>
      </c>
      <c r="P765" s="2613"/>
      <c r="Q765" s="2613"/>
      <c r="R765" s="2613" t="s">
        <v>1455</v>
      </c>
      <c r="S765" s="2613">
        <v>3</v>
      </c>
      <c r="T765" s="2613">
        <v>60</v>
      </c>
      <c r="U765" s="2620">
        <v>8</v>
      </c>
      <c r="V765" s="2859" t="s">
        <v>2200</v>
      </c>
      <c r="W765" s="2859"/>
      <c r="X765" s="2664" t="s">
        <v>10151</v>
      </c>
      <c r="Y765" s="2603">
        <f>VLOOKUP(U765,Tabla_BonoStats,2)</f>
        <v>10</v>
      </c>
      <c r="Z765" s="2863"/>
      <c r="AA765" s="1955" t="s">
        <v>2194</v>
      </c>
      <c r="AC765" s="3045" t="str">
        <f t="shared" ref="AC765:AC774" ca="1" si="190">$D820</f>
        <v/>
      </c>
      <c r="AD765" s="2847">
        <f ca="1">IFERROR(IF(IF(AC765&lt;&gt;"",VLOOKUP(AC765,Tabla_ArmasyEscudos,9,0),"")="Conocida",MAX(AD$645:AD764)+1,0),0)</f>
        <v>0</v>
      </c>
      <c r="AE765" s="2847">
        <f ca="1">IF(AC765="",0,IF(AD765=0,MAX(AE$639:AE764,AG$637)+1,AD765+IFERROR(VLOOKUP(VLOOKUP(AC765,$D$638:$AA$840,24,0),AC$639:AE$644,3,0)-VLOOKUP(VLOOKUP(AC765,$D$638:$AA$840,24,0),AC$639:AE$644,2,0)+1,0)))</f>
        <v>0</v>
      </c>
      <c r="AF765" s="2847" t="str">
        <f t="shared" ca="1" si="155"/>
        <v/>
      </c>
      <c r="AG765" s="2847" t="str">
        <f t="shared" ca="1" si="156"/>
        <v/>
      </c>
      <c r="AH765" s="3045"/>
      <c r="AI765" s="2847">
        <f>IFERROR(IF(IF(AH765&lt;&gt;"",VLOOKUP(AH765,Tabla_ArmasyEscudos,9,0),"")="Conocida",MAX(AI$645:AI764)+1,0),0)</f>
        <v>0</v>
      </c>
      <c r="AJ765" s="2847">
        <f>IF(AH765="",0,IF(AI765=0,MAX(AJ$639:AJ764,AL$637)+1,AI765+IFERROR(VLOOKUP(VLOOKUP(AH765,$D$638:$AA$840,24,0),AH$639:AJ$644,3,0)-VLOOKUP(VLOOKUP(AH765,$D$638:$AA$840,24,0),AH$639:AJ$644,2,0)+1,0)))</f>
        <v>0</v>
      </c>
      <c r="AK765" s="2847" t="str">
        <f t="shared" ca="1" si="167"/>
        <v/>
      </c>
      <c r="AL765" s="2847" t="str">
        <f t="shared" ca="1" si="157"/>
        <v/>
      </c>
      <c r="AM765" s="3045"/>
      <c r="AN765" s="2847">
        <f>IFERROR(IF(IF(AM765&lt;&gt;"",VLOOKUP(AM765,Tabla_ArmasyEscudos,9,0),"")="Conocida",MAX(AN$645:AN764)+1,0),0)</f>
        <v>0</v>
      </c>
      <c r="AO765" s="2847">
        <f>IF(AM765="",0,IF(AN765=0,MAX(AO$639:AO764,AQ$637)+1,AN765+IFERROR(VLOOKUP(VLOOKUP(AM765,$D$638:$AA$840,24,0),AM$639:AO$644,3,0)-VLOOKUP(VLOOKUP(AM765,$D$638:$AA$840,24,0),AM$639:AO$644,2,0)+1,0)))</f>
        <v>0</v>
      </c>
      <c r="AP765" s="2847" t="str">
        <f t="shared" ca="1" si="168"/>
        <v/>
      </c>
      <c r="AQ765" s="2847" t="str">
        <f t="shared" ca="1" si="158"/>
        <v/>
      </c>
      <c r="AR765" s="3045"/>
      <c r="AS765" s="2847">
        <f>IFERROR(IF(IF(AR765&lt;&gt;"",VLOOKUP(AR765,Tabla_ArmasyEscudos,9,0),"")="Conocida",MAX(AS$645:AS764)+1,0),0)</f>
        <v>0</v>
      </c>
      <c r="AT765" s="2847">
        <f>IF(AR765="",0,IF(AS765=0,MAX(AT$639:AT764,AV$637)+1,AS765+IFERROR(VLOOKUP(VLOOKUP(AR765,$D$638:$AA$840,24,0),AR$639:AT$644,3,0)-VLOOKUP(VLOOKUP(AR765,$D$638:$AA$840,24,0),AR$639:AT$644,2,0)+1,0)))</f>
        <v>0</v>
      </c>
      <c r="AU765" s="2847" t="str">
        <f t="shared" ca="1" si="169"/>
        <v/>
      </c>
      <c r="AV765" s="2847" t="str">
        <f t="shared" ca="1" si="159"/>
        <v/>
      </c>
      <c r="AX765" s="1250" t="str">
        <f t="shared" si="170"/>
        <v>Ballesta</v>
      </c>
      <c r="AY765" s="3025"/>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5"/>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5"/>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5"/>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5"/>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042"/>
      <c r="C766" s="1141"/>
      <c r="D766" s="2614" t="s">
        <v>2203</v>
      </c>
      <c r="E766" s="2613">
        <v>0</v>
      </c>
      <c r="F766" s="2613">
        <v>-20</v>
      </c>
      <c r="G766" s="2613">
        <v>10</v>
      </c>
      <c r="H766" s="2613">
        <v>7</v>
      </c>
      <c r="I766" s="2613" t="s">
        <v>1455</v>
      </c>
      <c r="J766" s="2613" t="s">
        <v>1455</v>
      </c>
      <c r="K766" s="2859" t="s">
        <v>7275</v>
      </c>
      <c r="L766" s="2613"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19">
        <v>8</v>
      </c>
      <c r="N766" s="2619">
        <v>-1</v>
      </c>
      <c r="O766" s="2619">
        <v>20</v>
      </c>
      <c r="P766" s="2613"/>
      <c r="Q766" s="2613"/>
      <c r="R766" s="2613" t="s">
        <v>1455</v>
      </c>
      <c r="S766" s="2613">
        <v>2</v>
      </c>
      <c r="T766" s="2613">
        <v>80</v>
      </c>
      <c r="U766" s="2620">
        <v>10</v>
      </c>
      <c r="V766" s="2859" t="s">
        <v>2200</v>
      </c>
      <c r="W766" s="2859"/>
      <c r="X766" s="2664" t="s">
        <v>10151</v>
      </c>
      <c r="Y766" s="2603">
        <f>VLOOKUP(U766,Tabla_BonoStats,2)</f>
        <v>15</v>
      </c>
      <c r="Z766" s="1259" t="str">
        <f t="shared" ref="Z766:Z793" si="191">IF(AND(K766&lt;&gt;"Natural/-",ISNUMBER(SEARCH(D766&amp;",",Armas_Conocidas))),", "&amp;K766,"")</f>
        <v/>
      </c>
      <c r="AA766" s="1955" t="s">
        <v>2194</v>
      </c>
      <c r="AC766" s="3045" t="str">
        <f t="shared" ca="1" si="190"/>
        <v/>
      </c>
      <c r="AD766" s="2847">
        <f ca="1">IFERROR(IF(IF(AC766&lt;&gt;"",VLOOKUP(AC766,Tabla_ArmasyEscudos,9,0),"")="Conocida",MAX(AD$645:AD765)+1,0),0)</f>
        <v>0</v>
      </c>
      <c r="AE766" s="2847">
        <f ca="1">IF(AC766="",0,IF(AD766=0,MAX(AE$639:AE765,AG$637)+1,AD766+IFERROR(VLOOKUP(VLOOKUP(AC766,$D$638:$AA$840,24,0),AC$639:AE$644,3,0)-VLOOKUP(VLOOKUP(AC766,$D$638:$AA$840,24,0),AC$639:AE$644,2,0)+1,0)))</f>
        <v>0</v>
      </c>
      <c r="AF766" s="2847" t="str">
        <f t="shared" ca="1" si="155"/>
        <v/>
      </c>
      <c r="AG766" s="2847" t="str">
        <f t="shared" ca="1" si="156"/>
        <v/>
      </c>
      <c r="AH766" s="3045"/>
      <c r="AI766" s="2847">
        <f>IFERROR(IF(IF(AH766&lt;&gt;"",VLOOKUP(AH766,Tabla_ArmasyEscudos,9,0),"")="Conocida",MAX(AI$645:AI765)+1,0),0)</f>
        <v>0</v>
      </c>
      <c r="AJ766" s="2847">
        <f>IF(AH766="",0,IF(AI766=0,MAX(AJ$639:AJ765,AL$637)+1,AI766+IFERROR(VLOOKUP(VLOOKUP(AH766,$D$638:$AA$840,24,0),AH$639:AJ$644,3,0)-VLOOKUP(VLOOKUP(AH766,$D$638:$AA$840,24,0),AH$639:AJ$644,2,0)+1,0)))</f>
        <v>0</v>
      </c>
      <c r="AK766" s="2847" t="str">
        <f t="shared" ca="1" si="167"/>
        <v/>
      </c>
      <c r="AL766" s="2847" t="str">
        <f t="shared" ca="1" si="157"/>
        <v/>
      </c>
      <c r="AM766" s="3045"/>
      <c r="AN766" s="2847">
        <f>IFERROR(IF(IF(AM766&lt;&gt;"",VLOOKUP(AM766,Tabla_ArmasyEscudos,9,0),"")="Conocida",MAX(AN$645:AN765)+1,0),0)</f>
        <v>0</v>
      </c>
      <c r="AO766" s="2847">
        <f>IF(AM766="",0,IF(AN766=0,MAX(AO$639:AO765,AQ$637)+1,AN766+IFERROR(VLOOKUP(VLOOKUP(AM766,$D$638:$AA$840,24,0),AM$639:AO$644,3,0)-VLOOKUP(VLOOKUP(AM766,$D$638:$AA$840,24,0),AM$639:AO$644,2,0)+1,0)))</f>
        <v>0</v>
      </c>
      <c r="AP766" s="2847" t="str">
        <f t="shared" ca="1" si="168"/>
        <v/>
      </c>
      <c r="AQ766" s="2847" t="str">
        <f t="shared" ca="1" si="158"/>
        <v/>
      </c>
      <c r="AR766" s="3045"/>
      <c r="AS766" s="2847">
        <f>IFERROR(IF(IF(AR766&lt;&gt;"",VLOOKUP(AR766,Tabla_ArmasyEscudos,9,0),"")="Conocida",MAX(AS$645:AS765)+1,0),0)</f>
        <v>0</v>
      </c>
      <c r="AT766" s="2847">
        <f>IF(AR766="",0,IF(AS766=0,MAX(AT$639:AT765,AV$637)+1,AS766+IFERROR(VLOOKUP(VLOOKUP(AR766,$D$638:$AA$840,24,0),AR$639:AT$644,3,0)-VLOOKUP(VLOOKUP(AR766,$D$638:$AA$840,24,0),AR$639:AT$644,2,0)+1,0)))</f>
        <v>0</v>
      </c>
      <c r="AU766" s="2847" t="str">
        <f t="shared" ca="1" si="169"/>
        <v/>
      </c>
      <c r="AV766" s="2847" t="str">
        <f t="shared" ca="1" si="159"/>
        <v/>
      </c>
      <c r="AX766" s="1250" t="str">
        <f t="shared" si="170"/>
        <v>Ballesta de mano</v>
      </c>
      <c r="AY766" s="3025"/>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5"/>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5"/>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5"/>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5"/>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042"/>
      <c r="C767" s="1141"/>
      <c r="D767" s="2614" t="s">
        <v>2204</v>
      </c>
      <c r="E767" s="2613">
        <v>0</v>
      </c>
      <c r="F767" s="2613">
        <v>-10</v>
      </c>
      <c r="G767" s="2613">
        <v>4</v>
      </c>
      <c r="H767" s="2613">
        <v>4</v>
      </c>
      <c r="I767" s="2613" t="s">
        <v>1455</v>
      </c>
      <c r="J767" s="2613" t="s">
        <v>1455</v>
      </c>
      <c r="K767" s="2859" t="s">
        <v>7275</v>
      </c>
      <c r="L767" s="2613"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19">
        <v>3</v>
      </c>
      <c r="N767" s="2619">
        <v>-3</v>
      </c>
      <c r="O767" s="2619">
        <v>15</v>
      </c>
      <c r="P767" s="2613"/>
      <c r="Q767" s="2613"/>
      <c r="R767" s="2613" t="s">
        <v>1455</v>
      </c>
      <c r="S767" s="2613">
        <v>1</v>
      </c>
      <c r="T767" s="2613">
        <v>50</v>
      </c>
      <c r="U767" s="2613"/>
      <c r="V767" s="2859" t="s">
        <v>1455</v>
      </c>
      <c r="W767" s="2859"/>
      <c r="X767" s="2664" t="s">
        <v>8680</v>
      </c>
      <c r="Y767" s="2603">
        <v>0</v>
      </c>
      <c r="Z767" s="1259" t="str">
        <f t="shared" si="191"/>
        <v/>
      </c>
      <c r="AA767" s="1955" t="s">
        <v>2194</v>
      </c>
      <c r="AC767" s="3045" t="str">
        <f t="shared" ca="1" si="190"/>
        <v/>
      </c>
      <c r="AD767" s="2847">
        <f ca="1">IFERROR(IF(IF(AC767&lt;&gt;"",VLOOKUP(AC767,Tabla_ArmasyEscudos,9,0),"")="Conocida",MAX(AD$645:AD766)+1,0),0)</f>
        <v>0</v>
      </c>
      <c r="AE767" s="2847">
        <f ca="1">IF(AC767="",0,IF(AD767=0,MAX(AE$639:AE766,AG$637)+1,AD767+IFERROR(VLOOKUP(VLOOKUP(AC767,$D$638:$AA$840,24,0),AC$639:AE$644,3,0)-VLOOKUP(VLOOKUP(AC767,$D$638:$AA$840,24,0),AC$639:AE$644,2,0)+1,0)))</f>
        <v>0</v>
      </c>
      <c r="AF767" s="2847" t="str">
        <f t="shared" ca="1" si="155"/>
        <v/>
      </c>
      <c r="AG767" s="2847" t="str">
        <f t="shared" ca="1" si="156"/>
        <v/>
      </c>
      <c r="AH767" s="3045"/>
      <c r="AI767" s="2847">
        <f>IFERROR(IF(IF(AH767&lt;&gt;"",VLOOKUP(AH767,Tabla_ArmasyEscudos,9,0),"")="Conocida",MAX(AI$645:AI766)+1,0),0)</f>
        <v>0</v>
      </c>
      <c r="AJ767" s="2847">
        <f>IF(AH767="",0,IF(AI767=0,MAX(AJ$639:AJ766,AL$637)+1,AI767+IFERROR(VLOOKUP(VLOOKUP(AH767,$D$638:$AA$840,24,0),AH$639:AJ$644,3,0)-VLOOKUP(VLOOKUP(AH767,$D$638:$AA$840,24,0),AH$639:AJ$644,2,0)+1,0)))</f>
        <v>0</v>
      </c>
      <c r="AK767" s="2847" t="str">
        <f t="shared" ca="1" si="167"/>
        <v/>
      </c>
      <c r="AL767" s="2847" t="str">
        <f t="shared" ca="1" si="157"/>
        <v/>
      </c>
      <c r="AM767" s="3045"/>
      <c r="AN767" s="2847">
        <f>IFERROR(IF(IF(AM767&lt;&gt;"",VLOOKUP(AM767,Tabla_ArmasyEscudos,9,0),"")="Conocida",MAX(AN$645:AN766)+1,0),0)</f>
        <v>0</v>
      </c>
      <c r="AO767" s="2847">
        <f>IF(AM767="",0,IF(AN767=0,MAX(AO$639:AO766,AQ$637)+1,AN767+IFERROR(VLOOKUP(VLOOKUP(AM767,$D$638:$AA$840,24,0),AM$639:AO$644,3,0)-VLOOKUP(VLOOKUP(AM767,$D$638:$AA$840,24,0),AM$639:AO$644,2,0)+1,0)))</f>
        <v>0</v>
      </c>
      <c r="AP767" s="2847" t="str">
        <f t="shared" ca="1" si="168"/>
        <v/>
      </c>
      <c r="AQ767" s="2847" t="str">
        <f t="shared" ca="1" si="158"/>
        <v/>
      </c>
      <c r="AR767" s="3045"/>
      <c r="AS767" s="2847">
        <f>IFERROR(IF(IF(AR767&lt;&gt;"",VLOOKUP(AR767,Tabla_ArmasyEscudos,9,0),"")="Conocida",MAX(AS$645:AS766)+1,0),0)</f>
        <v>0</v>
      </c>
      <c r="AT767" s="2847">
        <f>IF(AR767="",0,IF(AS767=0,MAX(AT$639:AT766,AV$637)+1,AS767+IFERROR(VLOOKUP(VLOOKUP(AR767,$D$638:$AA$840,24,0),AR$639:AT$644,3,0)-VLOOKUP(VLOOKUP(AR767,$D$638:$AA$840,24,0),AR$639:AT$644,2,0)+1,0)))</f>
        <v>0</v>
      </c>
      <c r="AU767" s="2847" t="str">
        <f t="shared" ca="1" si="169"/>
        <v/>
      </c>
      <c r="AV767" s="2847" t="str">
        <f t="shared" ca="1" si="159"/>
        <v/>
      </c>
      <c r="AX767" s="1250" t="str">
        <f t="shared" si="170"/>
        <v>Ballesta de repetición</v>
      </c>
      <c r="AY767" s="3025"/>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5"/>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5"/>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5"/>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5"/>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042"/>
      <c r="C768" s="1141"/>
      <c r="D768" s="2614" t="s">
        <v>6985</v>
      </c>
      <c r="E768" s="2613">
        <v>0</v>
      </c>
      <c r="F768" s="2613">
        <v>-30</v>
      </c>
      <c r="G768" s="2613">
        <v>7</v>
      </c>
      <c r="H768" s="2613">
        <v>7</v>
      </c>
      <c r="I768" s="2613" t="s">
        <v>1455</v>
      </c>
      <c r="J768" s="2613" t="s">
        <v>1455</v>
      </c>
      <c r="K768" s="2859" t="s">
        <v>7275</v>
      </c>
      <c r="L768" s="2613"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19">
        <v>8</v>
      </c>
      <c r="N768" s="2619">
        <v>-2</v>
      </c>
      <c r="O768" s="2619">
        <v>20</v>
      </c>
      <c r="P768" s="2613"/>
      <c r="Q768" s="2613"/>
      <c r="R768" s="2613" t="s">
        <v>1455</v>
      </c>
      <c r="S768" s="2613">
        <v>1</v>
      </c>
      <c r="T768" s="2613">
        <v>90</v>
      </c>
      <c r="U768" s="2613"/>
      <c r="V768" s="2859" t="s">
        <v>1578</v>
      </c>
      <c r="W768" s="2859"/>
      <c r="X768" s="2664" t="s">
        <v>1966</v>
      </c>
      <c r="Y768" s="2603">
        <f>Bono_Fue</f>
        <v>0</v>
      </c>
      <c r="Z768" s="1259" t="str">
        <f t="shared" si="191"/>
        <v/>
      </c>
      <c r="AA768" s="1955" t="s">
        <v>2194</v>
      </c>
      <c r="AC768" s="3045" t="str">
        <f t="shared" ca="1" si="190"/>
        <v/>
      </c>
      <c r="AD768" s="2847">
        <f ca="1">IFERROR(IF(IF(AC768&lt;&gt;"",VLOOKUP(AC768,Tabla_ArmasyEscudos,9,0),"")="Conocida",MAX(AD$645:AD767)+1,0),0)</f>
        <v>0</v>
      </c>
      <c r="AE768" s="2847">
        <f ca="1">IF(AC768="",0,IF(AD768=0,MAX(AE$639:AE767,AG$637)+1,AD768+IFERROR(VLOOKUP(VLOOKUP(AC768,$D$638:$AA$840,24,0),AC$639:AE$644,3,0)-VLOOKUP(VLOOKUP(AC768,$D$638:$AA$840,24,0),AC$639:AE$644,2,0)+1,0)))</f>
        <v>0</v>
      </c>
      <c r="AF768" s="2847" t="str">
        <f t="shared" ca="1" si="155"/>
        <v/>
      </c>
      <c r="AG768" s="2847" t="str">
        <f t="shared" ca="1" si="156"/>
        <v/>
      </c>
      <c r="AH768" s="3045"/>
      <c r="AI768" s="2847">
        <f>IFERROR(IF(IF(AH768&lt;&gt;"",VLOOKUP(AH768,Tabla_ArmasyEscudos,9,0),"")="Conocida",MAX(AI$645:AI767)+1,0),0)</f>
        <v>0</v>
      </c>
      <c r="AJ768" s="2847">
        <f>IF(AH768="",0,IF(AI768=0,MAX(AJ$639:AJ767,AL$637)+1,AI768+IFERROR(VLOOKUP(VLOOKUP(AH768,$D$638:$AA$840,24,0),AH$639:AJ$644,3,0)-VLOOKUP(VLOOKUP(AH768,$D$638:$AA$840,24,0),AH$639:AJ$644,2,0)+1,0)))</f>
        <v>0</v>
      </c>
      <c r="AK768" s="2847" t="str">
        <f t="shared" ref="AK768:AK774" ca="1" si="192">IFERROR(INDEX(AH$639:AH$774,MATCH($A129,AJ$639:AJ$774,0)),"")</f>
        <v/>
      </c>
      <c r="AL768" s="2847" t="str">
        <f t="shared" ca="1" si="157"/>
        <v/>
      </c>
      <c r="AM768" s="3045"/>
      <c r="AN768" s="2847">
        <f>IFERROR(IF(IF(AM768&lt;&gt;"",VLOOKUP(AM768,Tabla_ArmasyEscudos,9,0),"")="Conocida",MAX(AN$645:AN767)+1,0),0)</f>
        <v>0</v>
      </c>
      <c r="AO768" s="2847">
        <f>IF(AM768="",0,IF(AN768=0,MAX(AO$639:AO767,AQ$637)+1,AN768+IFERROR(VLOOKUP(VLOOKUP(AM768,$D$638:$AA$840,24,0),AM$639:AO$644,3,0)-VLOOKUP(VLOOKUP(AM768,$D$638:$AA$840,24,0),AM$639:AO$644,2,0)+1,0)))</f>
        <v>0</v>
      </c>
      <c r="AP768" s="2847" t="str">
        <f t="shared" ref="AP768:AP774" ca="1" si="193">IFERROR(INDEX(AM$639:AM$774,MATCH($A129,AO$639:AO$774,0)),"")</f>
        <v/>
      </c>
      <c r="AQ768" s="2847" t="str">
        <f t="shared" ca="1" si="158"/>
        <v/>
      </c>
      <c r="AR768" s="3045"/>
      <c r="AS768" s="2847">
        <f>IFERROR(IF(IF(AR768&lt;&gt;"",VLOOKUP(AR768,Tabla_ArmasyEscudos,9,0),"")="Conocida",MAX(AS$645:AS767)+1,0),0)</f>
        <v>0</v>
      </c>
      <c r="AT768" s="2847">
        <f>IF(AR768="",0,IF(AS768=0,MAX(AT$639:AT767,AV$637)+1,AS768+IFERROR(VLOOKUP(VLOOKUP(AR768,$D$638:$AA$840,24,0),AR$639:AT$644,3,0)-VLOOKUP(VLOOKUP(AR768,$D$638:$AA$840,24,0),AR$639:AT$644,2,0)+1,0)))</f>
        <v>0</v>
      </c>
      <c r="AU768" s="2847" t="str">
        <f t="shared" ref="AU768:AU774" ca="1" si="194">IFERROR(INDEX(AR$639:AR$774,MATCH($A129,AT$639:AT$774,0)),"")</f>
        <v/>
      </c>
      <c r="AV768" s="2847" t="str">
        <f t="shared" ca="1" si="159"/>
        <v/>
      </c>
      <c r="AX768" s="1250" t="str">
        <f t="shared" ref="AX768:AX776" si="195">D766</f>
        <v>Ballesta pesada</v>
      </c>
      <c r="AY768" s="3025"/>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5"/>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5"/>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5"/>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5"/>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042"/>
      <c r="C769" s="1141"/>
      <c r="D769" s="2614" t="s">
        <v>2205</v>
      </c>
      <c r="E769" s="2613">
        <v>0</v>
      </c>
      <c r="F769" s="2613">
        <v>-40</v>
      </c>
      <c r="G769" s="2613">
        <v>4</v>
      </c>
      <c r="H769" s="2613">
        <v>4</v>
      </c>
      <c r="I769" s="2613" t="s">
        <v>1455</v>
      </c>
      <c r="J769" s="2613" t="s">
        <v>1455</v>
      </c>
      <c r="K769" s="2859" t="s">
        <v>7275</v>
      </c>
      <c r="L769" s="2613"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19">
        <v>3</v>
      </c>
      <c r="N769" s="2619">
        <v>-6</v>
      </c>
      <c r="O769" s="2619">
        <v>10</v>
      </c>
      <c r="P769" s="2613"/>
      <c r="Q769" s="2613"/>
      <c r="R769" s="2613" t="s">
        <v>1455</v>
      </c>
      <c r="S769" s="2613">
        <v>1</v>
      </c>
      <c r="T769" s="2613">
        <v>50</v>
      </c>
      <c r="U769" s="2613"/>
      <c r="V769" s="2859" t="s">
        <v>1455</v>
      </c>
      <c r="W769" s="2859"/>
      <c r="X769" s="2664" t="s">
        <v>8680</v>
      </c>
      <c r="Y769" s="2603">
        <f>Bono_Fue</f>
        <v>0</v>
      </c>
      <c r="Z769" s="1259" t="str">
        <f t="shared" si="191"/>
        <v/>
      </c>
      <c r="AA769" s="1955" t="s">
        <v>2194</v>
      </c>
      <c r="AC769" s="3045" t="str">
        <f t="shared" ca="1" si="190"/>
        <v/>
      </c>
      <c r="AD769" s="2847">
        <f ca="1">IFERROR(IF(IF(AC769&lt;&gt;"",VLOOKUP(AC769,Tabla_ArmasyEscudos,9,0),"")="Conocida",MAX(AD$645:AD768)+1,0),0)</f>
        <v>0</v>
      </c>
      <c r="AE769" s="2847">
        <f ca="1">IF(AC769="",0,IF(AD769=0,MAX(AE$639:AE768,AG$637)+1,AD769+IFERROR(VLOOKUP(VLOOKUP(AC769,$D$638:$AA$840,24,0),AC$639:AE$644,3,0)-VLOOKUP(VLOOKUP(AC769,$D$638:$AA$840,24,0),AC$639:AE$644,2,0)+1,0)))</f>
        <v>0</v>
      </c>
      <c r="AF769" s="2847" t="str">
        <f t="shared" ref="AF769:AF774" ca="1" si="214">IFERROR(INDEX(AC$639:AC$774,MATCH($A130,AE$639:AE$774,0)),"")</f>
        <v/>
      </c>
      <c r="AG769" s="2847" t="str">
        <f t="shared" ref="AG769:AG774" ca="1" si="215">IF($A130&lt;MIN(AE$645,IF($AE$643&gt;0,$AE$643,9999),IF($AE$644&gt;0,$AE$644,9999)),IFERROR(INDEX(AC$639:AC$774,MATCH($A130,AE$639:AE$774,0)),""),"")</f>
        <v/>
      </c>
      <c r="AH769" s="3045"/>
      <c r="AI769" s="2847">
        <f>IFERROR(IF(IF(AH769&lt;&gt;"",VLOOKUP(AH769,Tabla_ArmasyEscudos,9,0),"")="Conocida",MAX(AI$645:AI768)+1,0),0)</f>
        <v>0</v>
      </c>
      <c r="AJ769" s="2847">
        <f>IF(AH769="",0,IF(AI769=0,MAX(AJ$639:AJ768,AL$637)+1,AI769+IFERROR(VLOOKUP(VLOOKUP(AH769,$D$638:$AA$840,24,0),AH$639:AJ$644,3,0)-VLOOKUP(VLOOKUP(AH769,$D$638:$AA$840,24,0),AH$639:AJ$644,2,0)+1,0)))</f>
        <v>0</v>
      </c>
      <c r="AK769" s="2847" t="str">
        <f t="shared" ca="1" si="192"/>
        <v/>
      </c>
      <c r="AL769" s="2847" t="str">
        <f t="shared" ref="AL769:AL774" ca="1" si="216">IF($A130&lt;MIN(AJ$645,IF($AJ$642&gt;0,$AJ$642,9999)),IFERROR(INDEX(AH$639:AH$774,MATCH($A130,AJ$639:AJ$774,0)),""),"")</f>
        <v/>
      </c>
      <c r="AM769" s="3045"/>
      <c r="AN769" s="2847">
        <f>IFERROR(IF(IF(AM769&lt;&gt;"",VLOOKUP(AM769,Tabla_ArmasyEscudos,9,0),"")="Conocida",MAX(AN$645:AN768)+1,0),0)</f>
        <v>0</v>
      </c>
      <c r="AO769" s="2847">
        <f>IF(AM769="",0,IF(AN769=0,MAX(AO$639:AO768,AQ$637)+1,AN769+IFERROR(VLOOKUP(VLOOKUP(AM769,$D$638:$AA$840,24,0),AM$639:AO$644,3,0)-VLOOKUP(VLOOKUP(AM769,$D$638:$AA$840,24,0),AM$639:AO$644,2,0)+1,0)))</f>
        <v>0</v>
      </c>
      <c r="AP769" s="2847" t="str">
        <f t="shared" ca="1" si="193"/>
        <v/>
      </c>
      <c r="AQ769" s="2847" t="str">
        <f t="shared" ref="AQ769:AQ774" ca="1" si="217">IF($A130&lt;MIN(AO$645,IF($AO$641&gt;0,$AO$641,9999)),IFERROR(INDEX(AM$639:AM$774,MATCH($A130,AO$639:AO$774,0)),""),"")</f>
        <v/>
      </c>
      <c r="AR769" s="3045"/>
      <c r="AS769" s="2847">
        <f>IFERROR(IF(IF(AR769&lt;&gt;"",VLOOKUP(AR769,Tabla_ArmasyEscudos,9,0),"")="Conocida",MAX(AS$645:AS768)+1,0),0)</f>
        <v>0</v>
      </c>
      <c r="AT769" s="2847">
        <f>IF(AR769="",0,IF(AS769=0,MAX(AT$639:AT768,AV$637)+1,AS769+IFERROR(VLOOKUP(VLOOKUP(AR769,$D$638:$AA$840,24,0),AR$639:AT$644,3,0)-VLOOKUP(VLOOKUP(AR769,$D$638:$AA$840,24,0),AR$639:AT$644,2,0)+1,0)))</f>
        <v>0</v>
      </c>
      <c r="AU769" s="2847" t="str">
        <f t="shared" ca="1" si="194"/>
        <v/>
      </c>
      <c r="AV769" s="2847" t="str">
        <f t="shared" ref="AV769:AV774" ca="1" si="218">IF($A130&lt;MIN(AT$645,IF($AT$642&gt;0,$AT$642,9999)),IFERROR(INDEX(AR$639:AR$774,MATCH($A130,AT$639:AT$774,0)),""),"")</f>
        <v/>
      </c>
      <c r="AX769" s="1250" t="str">
        <f t="shared" si="195"/>
        <v>Cerbatana</v>
      </c>
      <c r="AY769" s="3025"/>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5"/>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5"/>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5"/>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5"/>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042"/>
      <c r="C770" s="1141"/>
      <c r="D770" s="2614" t="s">
        <v>2206</v>
      </c>
      <c r="E770" s="2613">
        <v>0</v>
      </c>
      <c r="F770" s="2613">
        <v>0</v>
      </c>
      <c r="G770" s="2613">
        <v>4</v>
      </c>
      <c r="H770" s="2613">
        <v>4</v>
      </c>
      <c r="I770" s="2613" t="s">
        <v>1455</v>
      </c>
      <c r="J770" s="2613" t="s">
        <v>1455</v>
      </c>
      <c r="K770" s="2859" t="s">
        <v>7275</v>
      </c>
      <c r="L770" s="2613"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19">
        <v>8</v>
      </c>
      <c r="N770" s="2619">
        <v>-3</v>
      </c>
      <c r="O770" s="2619">
        <v>20</v>
      </c>
      <c r="P770" s="2613"/>
      <c r="Q770" s="2613"/>
      <c r="R770" s="2613" t="s">
        <v>1455</v>
      </c>
      <c r="S770" s="2613">
        <v>4</v>
      </c>
      <c r="T770" s="2613">
        <v>50</v>
      </c>
      <c r="U770" s="2620">
        <v>9</v>
      </c>
      <c r="V770" s="2859" t="s">
        <v>2182</v>
      </c>
      <c r="W770" s="2859"/>
      <c r="X770" s="2664" t="s">
        <v>10151</v>
      </c>
      <c r="Y770" s="2603">
        <f>VLOOKUP(U770,Tabla_BonoStats,2)</f>
        <v>10</v>
      </c>
      <c r="Z770" s="1259" t="str">
        <f t="shared" si="191"/>
        <v/>
      </c>
      <c r="AA770" s="1955" t="s">
        <v>2194</v>
      </c>
      <c r="AC770" s="3045" t="str">
        <f t="shared" ca="1" si="190"/>
        <v/>
      </c>
      <c r="AD770" s="2847">
        <f ca="1">IFERROR(IF(IF(AC770&lt;&gt;"",VLOOKUP(AC770,Tabla_ArmasyEscudos,9,0),"")="Conocida",MAX(AD$645:AD769)+1,0),0)</f>
        <v>0</v>
      </c>
      <c r="AE770" s="2847">
        <f ca="1">IF(AC770="",0,IF(AD770=0,MAX(AE$639:AE769,AG$637)+1,AD770+IFERROR(VLOOKUP(VLOOKUP(AC770,$D$638:$AA$840,24,0),AC$639:AE$644,3,0)-VLOOKUP(VLOOKUP(AC770,$D$638:$AA$840,24,0),AC$639:AE$644,2,0)+1,0)))</f>
        <v>0</v>
      </c>
      <c r="AF770" s="2847" t="str">
        <f t="shared" ca="1" si="214"/>
        <v/>
      </c>
      <c r="AG770" s="2847" t="str">
        <f t="shared" ca="1" si="215"/>
        <v/>
      </c>
      <c r="AH770" s="3045"/>
      <c r="AI770" s="2847">
        <f>IFERROR(IF(IF(AH770&lt;&gt;"",VLOOKUP(AH770,Tabla_ArmasyEscudos,9,0),"")="Conocida",MAX(AI$645:AI769)+1,0),0)</f>
        <v>0</v>
      </c>
      <c r="AJ770" s="2847">
        <f>IF(AH770="",0,IF(AI770=0,MAX(AJ$639:AJ769,AL$637)+1,AI770+IFERROR(VLOOKUP(VLOOKUP(AH770,$D$638:$AA$840,24,0),AH$639:AJ$644,3,0)-VLOOKUP(VLOOKUP(AH770,$D$638:$AA$840,24,0),AH$639:AJ$644,2,0)+1,0)))</f>
        <v>0</v>
      </c>
      <c r="AK770" s="2847" t="str">
        <f t="shared" ca="1" si="192"/>
        <v/>
      </c>
      <c r="AL770" s="2847" t="str">
        <f t="shared" ca="1" si="216"/>
        <v/>
      </c>
      <c r="AM770" s="3045"/>
      <c r="AN770" s="2847">
        <f>IFERROR(IF(IF(AM770&lt;&gt;"",VLOOKUP(AM770,Tabla_ArmasyEscudos,9,0),"")="Conocida",MAX(AN$645:AN769)+1,0),0)</f>
        <v>0</v>
      </c>
      <c r="AO770" s="2847">
        <f>IF(AM770="",0,IF(AN770=0,MAX(AO$639:AO769,AQ$637)+1,AN770+IFERROR(VLOOKUP(VLOOKUP(AM770,$D$638:$AA$840,24,0),AM$639:AO$644,3,0)-VLOOKUP(VLOOKUP(AM770,$D$638:$AA$840,24,0),AM$639:AO$644,2,0)+1,0)))</f>
        <v>0</v>
      </c>
      <c r="AP770" s="2847" t="str">
        <f t="shared" ca="1" si="193"/>
        <v/>
      </c>
      <c r="AQ770" s="2847" t="str">
        <f t="shared" ca="1" si="217"/>
        <v/>
      </c>
      <c r="AR770" s="3045"/>
      <c r="AS770" s="2847">
        <f>IFERROR(IF(IF(AR770&lt;&gt;"",VLOOKUP(AR770,Tabla_ArmasyEscudos,9,0),"")="Conocida",MAX(AS$645:AS769)+1,0),0)</f>
        <v>0</v>
      </c>
      <c r="AT770" s="2847">
        <f>IF(AR770="",0,IF(AS770=0,MAX(AT$639:AT769,AV$637)+1,AS770+IFERROR(VLOOKUP(VLOOKUP(AR770,$D$638:$AA$840,24,0),AR$639:AT$644,3,0)-VLOOKUP(VLOOKUP(AR770,$D$638:$AA$840,24,0),AR$639:AT$644,2,0)+1,0)))</f>
        <v>0</v>
      </c>
      <c r="AU770" s="2847" t="str">
        <f t="shared" ca="1" si="194"/>
        <v/>
      </c>
      <c r="AV770" s="2847" t="str">
        <f t="shared" ca="1" si="218"/>
        <v/>
      </c>
      <c r="AX770" s="1250" t="str">
        <f t="shared" si="195"/>
        <v>Daikyu</v>
      </c>
      <c r="AY770" s="3025"/>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5"/>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5"/>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5"/>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5"/>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042"/>
      <c r="C771" s="1141"/>
      <c r="D771" s="2398" t="s">
        <v>8296</v>
      </c>
      <c r="E771" s="2859"/>
      <c r="F771" s="2859"/>
      <c r="G771" s="2859"/>
      <c r="H771" s="2859"/>
      <c r="I771" s="2859"/>
      <c r="J771" s="2859"/>
      <c r="K771" s="2859"/>
      <c r="L771" s="2613"/>
      <c r="M771" s="2859"/>
      <c r="N771" s="2859"/>
      <c r="O771" s="2859"/>
      <c r="P771" s="2859"/>
      <c r="Q771" s="2859"/>
      <c r="R771" s="2859"/>
      <c r="S771" s="2859"/>
      <c r="T771" s="2859"/>
      <c r="U771" s="2859"/>
      <c r="V771" s="2859"/>
      <c r="W771" s="2859"/>
      <c r="X771" s="2860"/>
      <c r="Y771" s="2603"/>
      <c r="Z771" s="1259" t="str">
        <f t="shared" si="191"/>
        <v/>
      </c>
      <c r="AA771" s="1955"/>
      <c r="AC771" s="3045" t="str">
        <f t="shared" ca="1" si="190"/>
        <v/>
      </c>
      <c r="AD771" s="2847">
        <f ca="1">IFERROR(IF(IF(AC771&lt;&gt;"",VLOOKUP(AC771,Tabla_ArmasyEscudos,9,0),"")="Conocida",MAX(AD$645:AD770)+1,0),0)</f>
        <v>0</v>
      </c>
      <c r="AE771" s="2847">
        <f ca="1">IF(AC771="",0,IF(AD771=0,MAX(AE$639:AE770,AG$637)+1,AD771+IFERROR(VLOOKUP(VLOOKUP(AC771,$D$638:$AA$840,24,0),AC$639:AE$644,3,0)-VLOOKUP(VLOOKUP(AC771,$D$638:$AA$840,24,0),AC$639:AE$644,2,0)+1,0)))</f>
        <v>0</v>
      </c>
      <c r="AF771" s="2847" t="str">
        <f t="shared" ca="1" si="214"/>
        <v/>
      </c>
      <c r="AG771" s="2847" t="str">
        <f t="shared" ca="1" si="215"/>
        <v/>
      </c>
      <c r="AH771" s="3045"/>
      <c r="AI771" s="2847">
        <f>IFERROR(IF(IF(AH771&lt;&gt;"",VLOOKUP(AH771,Tabla_ArmasyEscudos,9,0),"")="Conocida",MAX(AI$645:AI770)+1,0),0)</f>
        <v>0</v>
      </c>
      <c r="AJ771" s="2847">
        <f>IF(AH771="",0,IF(AI771=0,MAX(AJ$639:AJ770,AL$637)+1,AI771+IFERROR(VLOOKUP(VLOOKUP(AH771,$D$638:$AA$840,24,0),AH$639:AJ$644,3,0)-VLOOKUP(VLOOKUP(AH771,$D$638:$AA$840,24,0),AH$639:AJ$644,2,0)+1,0)))</f>
        <v>0</v>
      </c>
      <c r="AK771" s="2847" t="str">
        <f t="shared" ca="1" si="192"/>
        <v/>
      </c>
      <c r="AL771" s="2847" t="str">
        <f t="shared" ca="1" si="216"/>
        <v/>
      </c>
      <c r="AM771" s="3045"/>
      <c r="AN771" s="2847">
        <f>IFERROR(IF(IF(AM771&lt;&gt;"",VLOOKUP(AM771,Tabla_ArmasyEscudos,9,0),"")="Conocida",MAX(AN$645:AN770)+1,0),0)</f>
        <v>0</v>
      </c>
      <c r="AO771" s="2847">
        <f>IF(AM771="",0,IF(AN771=0,MAX(AO$639:AO770,AQ$637)+1,AN771+IFERROR(VLOOKUP(VLOOKUP(AM771,$D$638:$AA$840,24,0),AM$639:AO$644,3,0)-VLOOKUP(VLOOKUP(AM771,$D$638:$AA$840,24,0),AM$639:AO$644,2,0)+1,0)))</f>
        <v>0</v>
      </c>
      <c r="AP771" s="2847" t="str">
        <f t="shared" ca="1" si="193"/>
        <v/>
      </c>
      <c r="AQ771" s="2847" t="str">
        <f t="shared" ca="1" si="217"/>
        <v/>
      </c>
      <c r="AR771" s="3045"/>
      <c r="AS771" s="2847">
        <f>IFERROR(IF(IF(AR771&lt;&gt;"",VLOOKUP(AR771,Tabla_ArmasyEscudos,9,0),"")="Conocida",MAX(AS$645:AS770)+1,0),0)</f>
        <v>0</v>
      </c>
      <c r="AT771" s="2847">
        <f>IF(AR771="",0,IF(AS771=0,MAX(AT$639:AT770,AV$637)+1,AS771+IFERROR(VLOOKUP(VLOOKUP(AR771,$D$638:$AA$840,24,0),AR$639:AT$644,3,0)-VLOOKUP(VLOOKUP(AR771,$D$638:$AA$840,24,0),AR$639:AT$644,2,0)+1,0)))</f>
        <v>0</v>
      </c>
      <c r="AU771" s="2847" t="str">
        <f t="shared" ca="1" si="194"/>
        <v/>
      </c>
      <c r="AV771" s="2847" t="str">
        <f t="shared" ca="1" si="218"/>
        <v/>
      </c>
      <c r="AX771" s="1250" t="str">
        <f t="shared" si="195"/>
        <v>Honda</v>
      </c>
      <c r="AY771" s="3025"/>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5"/>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5"/>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5"/>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5"/>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042"/>
      <c r="C772" s="1141"/>
      <c r="D772" s="2396" t="s">
        <v>8297</v>
      </c>
      <c r="E772" s="2613">
        <v>0</v>
      </c>
      <c r="F772" s="2613">
        <v>-80</v>
      </c>
      <c r="G772" s="2613">
        <v>0</v>
      </c>
      <c r="H772" s="2613">
        <v>0</v>
      </c>
      <c r="I772" s="2613" t="s">
        <v>1455</v>
      </c>
      <c r="J772" s="2613" t="s">
        <v>1455</v>
      </c>
      <c r="K772" s="2859" t="s">
        <v>7275</v>
      </c>
      <c r="L772" s="2613"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3">
        <v>18</v>
      </c>
      <c r="N772" s="2613" t="s">
        <v>1455</v>
      </c>
      <c r="O772" s="2613">
        <v>25</v>
      </c>
      <c r="P772" s="2613"/>
      <c r="Q772" s="2613"/>
      <c r="R772" s="2613" t="s">
        <v>1455</v>
      </c>
      <c r="S772" s="2613"/>
      <c r="T772" s="2613">
        <v>150</v>
      </c>
      <c r="U772" s="2620">
        <v>10</v>
      </c>
      <c r="V772" s="2859" t="s">
        <v>2150</v>
      </c>
      <c r="W772" s="2859"/>
      <c r="X772" s="2664" t="s">
        <v>1966</v>
      </c>
      <c r="Y772" s="2603">
        <f>VLOOKUP(U772,Tabla_BonoStats,2)</f>
        <v>15</v>
      </c>
      <c r="Z772" s="1259" t="str">
        <f t="shared" si="191"/>
        <v/>
      </c>
      <c r="AA772" s="1955" t="s">
        <v>8296</v>
      </c>
      <c r="AC772" s="3045" t="str">
        <f t="shared" ca="1" si="190"/>
        <v/>
      </c>
      <c r="AD772" s="2847">
        <f ca="1">IFERROR(IF(IF(AC772&lt;&gt;"",VLOOKUP(AC772,Tabla_ArmasyEscudos,9,0),"")="Conocida",MAX(AD$645:AD771)+1,0),0)</f>
        <v>0</v>
      </c>
      <c r="AE772" s="2847">
        <f ca="1">IF(AC772="",0,IF(AD772=0,MAX(AE$639:AE771,AG$637)+1,AD772+IFERROR(VLOOKUP(VLOOKUP(AC772,$D$638:$AA$840,24,0),AC$639:AE$644,3,0)-VLOOKUP(VLOOKUP(AC772,$D$638:$AA$840,24,0),AC$639:AE$644,2,0)+1,0)))</f>
        <v>0</v>
      </c>
      <c r="AF772" s="2847" t="str">
        <f t="shared" ca="1" si="214"/>
        <v/>
      </c>
      <c r="AG772" s="2847" t="str">
        <f t="shared" ca="1" si="215"/>
        <v/>
      </c>
      <c r="AH772" s="3045"/>
      <c r="AI772" s="2847">
        <f>IFERROR(IF(IF(AH772&lt;&gt;"",VLOOKUP(AH772,Tabla_ArmasyEscudos,9,0),"")="Conocida",MAX(AI$645:AI771)+1,0),0)</f>
        <v>0</v>
      </c>
      <c r="AJ772" s="2847">
        <f>IF(AH772="",0,IF(AI772=0,MAX(AJ$639:AJ771,AL$637)+1,AI772+IFERROR(VLOOKUP(VLOOKUP(AH772,$D$638:$AA$840,24,0),AH$639:AJ$644,3,0)-VLOOKUP(VLOOKUP(AH772,$D$638:$AA$840,24,0),AH$639:AJ$644,2,0)+1,0)))</f>
        <v>0</v>
      </c>
      <c r="AK772" s="2847" t="str">
        <f t="shared" ca="1" si="192"/>
        <v/>
      </c>
      <c r="AL772" s="2847" t="str">
        <f t="shared" ca="1" si="216"/>
        <v/>
      </c>
      <c r="AM772" s="3045"/>
      <c r="AN772" s="2847">
        <f>IFERROR(IF(IF(AM772&lt;&gt;"",VLOOKUP(AM772,Tabla_ArmasyEscudos,9,0),"")="Conocida",MAX(AN$645:AN771)+1,0),0)</f>
        <v>0</v>
      </c>
      <c r="AO772" s="2847">
        <f>IF(AM772="",0,IF(AN772=0,MAX(AO$639:AO771,AQ$637)+1,AN772+IFERROR(VLOOKUP(VLOOKUP(AM772,$D$638:$AA$840,24,0),AM$639:AO$644,3,0)-VLOOKUP(VLOOKUP(AM772,$D$638:$AA$840,24,0),AM$639:AO$644,2,0)+1,0)))</f>
        <v>0</v>
      </c>
      <c r="AP772" s="2847" t="str">
        <f t="shared" ca="1" si="193"/>
        <v/>
      </c>
      <c r="AQ772" s="2847" t="str">
        <f t="shared" ca="1" si="217"/>
        <v/>
      </c>
      <c r="AR772" s="3045"/>
      <c r="AS772" s="2847">
        <f>IFERROR(IF(IF(AR772&lt;&gt;"",VLOOKUP(AR772,Tabla_ArmasyEscudos,9,0),"")="Conocida",MAX(AS$645:AS771)+1,0),0)</f>
        <v>0</v>
      </c>
      <c r="AT772" s="2847">
        <f>IF(AR772="",0,IF(AS772=0,MAX(AT$639:AT771,AV$637)+1,AS772+IFERROR(VLOOKUP(VLOOKUP(AR772,$D$638:$AA$840,24,0),AR$639:AT$644,3,0)-VLOOKUP(VLOOKUP(AR772,$D$638:$AA$840,24,0),AR$639:AT$644,2,0)+1,0)))</f>
        <v>0</v>
      </c>
      <c r="AU772" s="2847" t="str">
        <f t="shared" ca="1" si="194"/>
        <v/>
      </c>
      <c r="AV772" s="2847" t="str">
        <f t="shared" ca="1" si="218"/>
        <v/>
      </c>
      <c r="AX772" s="1250" t="str">
        <f t="shared" si="195"/>
        <v>Pistola</v>
      </c>
      <c r="AY772" s="3025"/>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5"/>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5"/>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5"/>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5"/>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042"/>
      <c r="C773" s="1141"/>
      <c r="D773" s="2396" t="s">
        <v>8298</v>
      </c>
      <c r="E773" s="2613">
        <v>0</v>
      </c>
      <c r="F773" s="2613">
        <v>-100</v>
      </c>
      <c r="G773" s="2613">
        <v>0</v>
      </c>
      <c r="H773" s="2613">
        <v>0</v>
      </c>
      <c r="I773" s="2613" t="s">
        <v>1455</v>
      </c>
      <c r="J773" s="2613" t="s">
        <v>1455</v>
      </c>
      <c r="K773" s="2859" t="s">
        <v>7275</v>
      </c>
      <c r="L773" s="2613"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3">
        <v>20</v>
      </c>
      <c r="N773" s="2613" t="s">
        <v>1455</v>
      </c>
      <c r="O773" s="2613">
        <v>30</v>
      </c>
      <c r="P773" s="2613"/>
      <c r="Q773" s="2613"/>
      <c r="R773" s="2613" t="s">
        <v>1455</v>
      </c>
      <c r="S773" s="2613"/>
      <c r="T773" s="2613">
        <v>200</v>
      </c>
      <c r="U773" s="2620">
        <v>13</v>
      </c>
      <c r="V773" s="2859" t="s">
        <v>2150</v>
      </c>
      <c r="W773" s="2859"/>
      <c r="X773" s="2664" t="s">
        <v>1966</v>
      </c>
      <c r="Y773" s="2603">
        <f>VLOOKUP(U773,Tabla_BonoStats,2)</f>
        <v>25</v>
      </c>
      <c r="Z773" s="1259" t="str">
        <f t="shared" si="191"/>
        <v/>
      </c>
      <c r="AA773" s="1955" t="s">
        <v>8296</v>
      </c>
      <c r="AC773" s="3045" t="str">
        <f t="shared" ca="1" si="190"/>
        <v/>
      </c>
      <c r="AD773" s="2847">
        <f ca="1">IFERROR(IF(IF(AC773&lt;&gt;"",VLOOKUP(AC773,Tabla_ArmasyEscudos,9,0),"")="Conocida",MAX(AD$645:AD772)+1,0),0)</f>
        <v>0</v>
      </c>
      <c r="AE773" s="2847">
        <f ca="1">IF(AC773="",0,IF(AD773=0,MAX(AE$639:AE772,AG$637)+1,AD773+IFERROR(VLOOKUP(VLOOKUP(AC773,$D$638:$AA$840,24,0),AC$639:AE$644,3,0)-VLOOKUP(VLOOKUP(AC773,$D$638:$AA$840,24,0),AC$639:AE$644,2,0)+1,0)))</f>
        <v>0</v>
      </c>
      <c r="AF773" s="2847" t="str">
        <f t="shared" ca="1" si="214"/>
        <v/>
      </c>
      <c r="AG773" s="2847" t="str">
        <f t="shared" ca="1" si="215"/>
        <v/>
      </c>
      <c r="AH773" s="3045"/>
      <c r="AI773" s="2847">
        <f>IFERROR(IF(IF(AH773&lt;&gt;"",VLOOKUP(AH773,Tabla_ArmasyEscudos,9,0),"")="Conocida",MAX(AI$645:AI772)+1,0),0)</f>
        <v>0</v>
      </c>
      <c r="AJ773" s="2847">
        <f>IF(AH773="",0,IF(AI773=0,MAX(AJ$639:AJ772,AL$637)+1,AI773+IFERROR(VLOOKUP(VLOOKUP(AH773,$D$638:$AA$840,24,0),AH$639:AJ$644,3,0)-VLOOKUP(VLOOKUP(AH773,$D$638:$AA$840,24,0),AH$639:AJ$644,2,0)+1,0)))</f>
        <v>0</v>
      </c>
      <c r="AK773" s="2847" t="str">
        <f t="shared" ca="1" si="192"/>
        <v/>
      </c>
      <c r="AL773" s="2847" t="str">
        <f t="shared" ca="1" si="216"/>
        <v/>
      </c>
      <c r="AM773" s="3045"/>
      <c r="AN773" s="2847">
        <f>IFERROR(IF(IF(AM773&lt;&gt;"",VLOOKUP(AM773,Tabla_ArmasyEscudos,9,0),"")="Conocida",MAX(AN$645:AN772)+1,0),0)</f>
        <v>0</v>
      </c>
      <c r="AO773" s="2847">
        <f>IF(AM773="",0,IF(AN773=0,MAX(AO$639:AO772,AQ$637)+1,AN773+IFERROR(VLOOKUP(VLOOKUP(AM773,$D$638:$AA$840,24,0),AM$639:AO$644,3,0)-VLOOKUP(VLOOKUP(AM773,$D$638:$AA$840,24,0),AM$639:AO$644,2,0)+1,0)))</f>
        <v>0</v>
      </c>
      <c r="AP773" s="2847" t="str">
        <f t="shared" ca="1" si="193"/>
        <v/>
      </c>
      <c r="AQ773" s="2847" t="str">
        <f t="shared" ca="1" si="217"/>
        <v/>
      </c>
      <c r="AR773" s="3045"/>
      <c r="AS773" s="2847">
        <f>IFERROR(IF(IF(AR773&lt;&gt;"",VLOOKUP(AR773,Tabla_ArmasyEscudos,9,0),"")="Conocida",MAX(AS$645:AS772)+1,0),0)</f>
        <v>0</v>
      </c>
      <c r="AT773" s="2847">
        <f>IF(AR773="",0,IF(AS773=0,MAX(AT$639:AT772,AV$637)+1,AS773+IFERROR(VLOOKUP(VLOOKUP(AR773,$D$638:$AA$840,24,0),AR$639:AT$644,3,0)-VLOOKUP(VLOOKUP(AR773,$D$638:$AA$840,24,0),AR$639:AT$644,2,0)+1,0)))</f>
        <v>0</v>
      </c>
      <c r="AU773" s="2847" t="str">
        <f t="shared" ca="1" si="194"/>
        <v/>
      </c>
      <c r="AV773" s="2847" t="str">
        <f t="shared" ca="1" si="218"/>
        <v/>
      </c>
      <c r="AX773" s="1250" t="str">
        <f t="shared" si="195"/>
        <v>&gt; ARMAS DE ASEDIO</v>
      </c>
      <c r="AY773" s="3025"/>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5"/>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5"/>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5"/>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5"/>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042"/>
      <c r="C774" s="1141"/>
      <c r="D774" s="2396" t="s">
        <v>8299</v>
      </c>
      <c r="E774" s="2613">
        <v>0</v>
      </c>
      <c r="F774" s="2613">
        <v>-100</v>
      </c>
      <c r="G774" s="2613">
        <v>0</v>
      </c>
      <c r="H774" s="2613">
        <v>0</v>
      </c>
      <c r="I774" s="2613" t="s">
        <v>1455</v>
      </c>
      <c r="J774" s="2613" t="s">
        <v>1455</v>
      </c>
      <c r="K774" s="2859" t="s">
        <v>7275</v>
      </c>
      <c r="L774" s="2613"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3">
        <v>24</v>
      </c>
      <c r="N774" s="2613" t="s">
        <v>1455</v>
      </c>
      <c r="O774" s="2613">
        <v>30</v>
      </c>
      <c r="P774" s="2613"/>
      <c r="Q774" s="2613"/>
      <c r="R774" s="2613" t="s">
        <v>1455</v>
      </c>
      <c r="S774" s="2613">
        <v>12</v>
      </c>
      <c r="T774" s="2613">
        <v>250</v>
      </c>
      <c r="U774" s="2620">
        <v>14</v>
      </c>
      <c r="V774" s="2859" t="s">
        <v>2150</v>
      </c>
      <c r="W774" s="2859"/>
      <c r="X774" s="2664" t="s">
        <v>1966</v>
      </c>
      <c r="Y774" s="2603">
        <f>VLOOKUP(U774,Tabla_BonoStats,2)</f>
        <v>25</v>
      </c>
      <c r="Z774" s="1259" t="str">
        <f t="shared" si="191"/>
        <v/>
      </c>
      <c r="AA774" s="1955" t="s">
        <v>8296</v>
      </c>
      <c r="AC774" s="3046"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7" t="str">
        <f t="shared" ca="1" si="215"/>
        <v/>
      </c>
      <c r="AH774" s="3046"/>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7" t="str">
        <f t="shared" ca="1" si="216"/>
        <v/>
      </c>
      <c r="AM774" s="3046"/>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7" t="str">
        <f t="shared" ca="1" si="217"/>
        <v/>
      </c>
      <c r="AR774" s="3046"/>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7" t="str">
        <f t="shared" ca="1" si="218"/>
        <v/>
      </c>
      <c r="AX774" s="1250" t="str">
        <f t="shared" si="195"/>
        <v>Balista ligera</v>
      </c>
      <c r="AY774" s="3025"/>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5"/>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5"/>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5"/>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5"/>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042"/>
      <c r="C775" s="1141"/>
      <c r="D775" s="2614" t="s">
        <v>2207</v>
      </c>
      <c r="E775" s="2611"/>
      <c r="F775" s="2611"/>
      <c r="G775" s="2611"/>
      <c r="H775" s="2611"/>
      <c r="I775" s="2611"/>
      <c r="J775" s="2611"/>
      <c r="K775" s="2607" t="s">
        <v>7255</v>
      </c>
      <c r="L775" s="2611"/>
      <c r="M775" s="2611"/>
      <c r="N775" s="2611"/>
      <c r="O775" s="2611"/>
      <c r="P775" s="2611"/>
      <c r="Q775" s="2611"/>
      <c r="R775" s="2611"/>
      <c r="S775" s="2611"/>
      <c r="T775" s="2611"/>
      <c r="U775" s="2611"/>
      <c r="V775" s="2607"/>
      <c r="W775" s="2607"/>
      <c r="X775" s="2608" t="str">
        <f t="shared" si="164"/>
        <v/>
      </c>
      <c r="Y775" s="1144"/>
      <c r="Z775" s="1259" t="str">
        <f t="shared" si="191"/>
        <v/>
      </c>
      <c r="AA775" s="1955"/>
      <c r="AC775" s="6307" t="s">
        <v>10052</v>
      </c>
      <c r="AD775" s="6299"/>
      <c r="AE775" s="6299"/>
      <c r="AF775" s="6299"/>
      <c r="AG775" s="6299"/>
      <c r="AH775" s="6299"/>
      <c r="AI775" s="6299"/>
      <c r="AJ775" s="6299"/>
      <c r="AK775" s="6299"/>
      <c r="AL775" s="6299"/>
      <c r="AM775" s="6299"/>
      <c r="AN775" s="6299"/>
      <c r="AO775" s="6299"/>
      <c r="AP775" s="6299"/>
      <c r="AQ775" s="6299"/>
      <c r="AR775" s="6299"/>
      <c r="AS775" s="6299"/>
      <c r="AT775" s="6299"/>
      <c r="AU775" s="6299"/>
      <c r="AV775" s="6300"/>
      <c r="AX775" s="1250" t="str">
        <f t="shared" si="195"/>
        <v>Balista pesada</v>
      </c>
      <c r="AY775" s="3025"/>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5"/>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5"/>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5"/>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5"/>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042"/>
      <c r="C776" s="1141"/>
      <c r="D776" s="2614" t="s">
        <v>2208</v>
      </c>
      <c r="E776" s="2613">
        <v>60</v>
      </c>
      <c r="F776" s="2613" t="s">
        <v>1455</v>
      </c>
      <c r="G776" s="2613">
        <v>0</v>
      </c>
      <c r="H776" s="2613">
        <v>0</v>
      </c>
      <c r="I776" s="2613" t="s">
        <v>1551</v>
      </c>
      <c r="J776" s="2613" t="s">
        <v>1455</v>
      </c>
      <c r="K776" s="2859" t="s">
        <v>7276</v>
      </c>
      <c r="L776" s="2613"/>
      <c r="M776" s="2619">
        <v>11</v>
      </c>
      <c r="N776" s="2619">
        <v>5</v>
      </c>
      <c r="O776" s="2619">
        <v>15</v>
      </c>
      <c r="P776" s="2613"/>
      <c r="Q776" s="2613"/>
      <c r="R776" s="2613" t="s">
        <v>1455</v>
      </c>
      <c r="S776" s="2613" t="s">
        <v>1455</v>
      </c>
      <c r="T776" s="2613" t="s">
        <v>1455</v>
      </c>
      <c r="U776" s="2613"/>
      <c r="V776" s="6182" t="s">
        <v>2209</v>
      </c>
      <c r="W776" s="6182"/>
      <c r="X776" s="6183"/>
      <c r="Y776" s="2603">
        <v>0</v>
      </c>
      <c r="Z776" s="1259" t="str">
        <f t="shared" si="191"/>
        <v/>
      </c>
      <c r="AA776" s="1955" t="s">
        <v>2207</v>
      </c>
      <c r="AC776" s="4800"/>
      <c r="AD776" s="6387"/>
      <c r="AE776" s="6387"/>
      <c r="AF776" s="6387"/>
      <c r="AG776" s="6387"/>
      <c r="AH776" s="6387"/>
      <c r="AI776" s="6387"/>
      <c r="AJ776" s="6387"/>
      <c r="AK776" s="6387"/>
      <c r="AL776" s="6387"/>
      <c r="AM776" s="6387"/>
      <c r="AN776" s="6387"/>
      <c r="AO776" s="6387"/>
      <c r="AP776" s="6387"/>
      <c r="AQ776" s="6387"/>
      <c r="AR776" s="6387"/>
      <c r="AS776" s="6387"/>
      <c r="AT776" s="6387"/>
      <c r="AU776" s="6387"/>
      <c r="AV776" s="6388"/>
      <c r="AX776" s="1250" t="str">
        <f t="shared" si="195"/>
        <v>Cañón</v>
      </c>
      <c r="AY776" s="3025"/>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5"/>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5"/>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5"/>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5"/>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042"/>
      <c r="C777" s="1141"/>
      <c r="D777" s="2614" t="s">
        <v>8548</v>
      </c>
      <c r="E777" s="2613">
        <v>30</v>
      </c>
      <c r="F777" s="2613" t="s">
        <v>1455</v>
      </c>
      <c r="G777" s="2613">
        <v>0</v>
      </c>
      <c r="H777" s="2613">
        <v>0</v>
      </c>
      <c r="I777" s="2613" t="s">
        <v>1551</v>
      </c>
      <c r="J777" s="2613" t="s">
        <v>1455</v>
      </c>
      <c r="K777" s="2859" t="s">
        <v>7276</v>
      </c>
      <c r="L777" s="2613"/>
      <c r="M777" s="2619">
        <v>6</v>
      </c>
      <c r="N777" s="2619">
        <v>1</v>
      </c>
      <c r="O777" s="2619">
        <v>10</v>
      </c>
      <c r="P777" s="2613"/>
      <c r="Q777" s="2613"/>
      <c r="R777" s="2613" t="s">
        <v>1455</v>
      </c>
      <c r="S777" s="2613" t="s">
        <v>1455</v>
      </c>
      <c r="T777" s="2613" t="s">
        <v>1455</v>
      </c>
      <c r="U777" s="2613"/>
      <c r="V777" s="2859" t="s">
        <v>8556</v>
      </c>
      <c r="W777" s="2859"/>
      <c r="X777" s="2860"/>
      <c r="Y777" s="2603">
        <v>0</v>
      </c>
      <c r="Z777" s="1259" t="str">
        <f t="shared" si="191"/>
        <v/>
      </c>
      <c r="AA777" s="1955" t="s">
        <v>2207</v>
      </c>
      <c r="AC777" s="6389" t="str">
        <f ca="1">"Tablas!"&amp;ADDRESS(ROW(IF(AG639="",AG640,AG639)),COLUMN(AG639))&amp;":"&amp;ADDRESS(IF(AG639="",ROW(AG640)+COUNTIF(AG640:AG774,"*?"),ROW(AG639)+COUNTIF(AG639:AG774,"*?"))-1,COLUMN(AG639))</f>
        <v>Tablas!$AG$639:$AG$639</v>
      </c>
      <c r="AD777" s="6390"/>
      <c r="AE777" s="6390"/>
      <c r="AF777" s="6390"/>
      <c r="AG777" s="6391"/>
      <c r="AH777" s="6389" t="e">
        <f ca="1">IF(COUNTIF(AL640:AL774,"*?")=0,NA(),"Tablas!"&amp;ADDRESS(ROW(AL640),COLUMN(AL640))&amp;":"&amp;ADDRESS(ROW(AL640)+COUNTIF(AL640:AL774,"*?")-1,COLUMN(AL640)))</f>
        <v>#N/A</v>
      </c>
      <c r="AI777" s="6390"/>
      <c r="AJ777" s="6390"/>
      <c r="AK777" s="6390"/>
      <c r="AL777" s="6391"/>
      <c r="AM777" s="6389" t="e">
        <f ca="1">IF(AQ640="Armas naturales",IF(COUNTIF(AQ641:AQ774,"*?")=0,NA(),"Tablas!"&amp;ADDRESS(ROW(AQ641),COLUMN(AQ641))&amp;":"&amp;ADDRESS(ROW(AQ641)+COUNTIF(AQ641:AQ774,"*?")-1,COLUMN(AQ641))),IF(COUNTIF(AQ640:AQ774,"*?")=0,NA(),"Tablas!"&amp;ADDRESS(ROW(AQ640),COLUMN(AQ640))&amp;":"&amp;ADDRESS(ROW(AQ640)+COUNTIF(AQ640:AQ774,"*?")-1,COLUMN(AQ640))))</f>
        <v>#N/A</v>
      </c>
      <c r="AN777" s="6390"/>
      <c r="AO777" s="6390"/>
      <c r="AP777" s="6390"/>
      <c r="AQ777" s="6391"/>
      <c r="AR777" s="6389" t="e">
        <f ca="1">IF(COUNTIF(AV640:AV774,"*?")=0,NA(),"Tablas!"&amp;ADDRESS(ROW(AV640),COLUMN(AV640))&amp;":"&amp;ADDRESS(ROW(AV640)+COUNTIF(AV640:AV774,"*?")-1,COLUMN(AV640)))</f>
        <v>#N/A</v>
      </c>
      <c r="AS777" s="6390"/>
      <c r="AT777" s="6390"/>
      <c r="AU777" s="6390"/>
      <c r="AV777" s="6391"/>
      <c r="AX777" s="3041" t="str">
        <f>D796</f>
        <v>&gt; ARMAS IMPOSIBLES</v>
      </c>
      <c r="AY777" s="555"/>
      <c r="AZ777" s="3026" t="str">
        <f t="shared" si="196"/>
        <v/>
      </c>
      <c r="BA777" s="3027" t="str">
        <f t="shared" si="197"/>
        <v/>
      </c>
      <c r="BB777" s="3027" t="str">
        <f t="shared" si="198"/>
        <v/>
      </c>
      <c r="BC777" s="3032">
        <v>0</v>
      </c>
      <c r="BD777" s="3033">
        <v>0</v>
      </c>
      <c r="BE777" s="3034">
        <f>IF(AND(VirgoAprendido,OR($L$796=BE$637,$L$796="",$D$796=$BE$636)),MAX(BE$639:BE776)+1,0)</f>
        <v>0</v>
      </c>
      <c r="BG777" s="3026" t="str">
        <f t="shared" si="199"/>
        <v/>
      </c>
      <c r="BH777" s="3027" t="str">
        <f t="shared" si="200"/>
        <v/>
      </c>
      <c r="BI777" s="3027" t="str">
        <f t="shared" si="201"/>
        <v/>
      </c>
      <c r="BJ777" s="3032">
        <v>0</v>
      </c>
      <c r="BK777" s="3033">
        <v>0</v>
      </c>
      <c r="BL777" s="3034">
        <f>IF(AND(VirgoAprendido,OR($L$796=BL$637,$L$796="",$D$796=$BL$636)),MAX(BL$639:BL776)+1,0)</f>
        <v>0</v>
      </c>
      <c r="BN777" s="3026" t="str">
        <f t="shared" si="202"/>
        <v/>
      </c>
      <c r="BO777" s="3027" t="str">
        <f t="shared" si="203"/>
        <v/>
      </c>
      <c r="BP777" s="3027" t="str">
        <f t="shared" si="204"/>
        <v/>
      </c>
      <c r="BQ777" s="3032">
        <v>0</v>
      </c>
      <c r="BR777" s="3033">
        <v>0</v>
      </c>
      <c r="BS777" s="3034">
        <f>IF(AND(VirgoAprendido,OR($L$796=BS$637,$L$796="",$D$796=$BS$636)),MAX(BS$639:BS776)+1,0)</f>
        <v>0</v>
      </c>
      <c r="BU777" s="3026" t="str">
        <f t="shared" si="205"/>
        <v/>
      </c>
      <c r="BV777" s="3027" t="str">
        <f t="shared" si="206"/>
        <v/>
      </c>
      <c r="BW777" s="3027" t="str">
        <f t="shared" si="207"/>
        <v/>
      </c>
      <c r="BX777" s="3032">
        <v>0</v>
      </c>
      <c r="BY777" s="3033">
        <v>0</v>
      </c>
      <c r="BZ777" s="3034">
        <f>IF(AND(VirgoAprendido,OR($L$796=BZ$637,$L$796="",$D$796=$BZ$636)),MAX(BZ$639:BZ776)+1,0)</f>
        <v>0</v>
      </c>
      <c r="CB777" s="3026" t="str">
        <f t="shared" si="208"/>
        <v/>
      </c>
      <c r="CC777" s="3027" t="str">
        <f t="shared" si="209"/>
        <v/>
      </c>
      <c r="CD777" s="3027" t="str">
        <f t="shared" si="210"/>
        <v/>
      </c>
      <c r="CE777" s="3032">
        <v>0</v>
      </c>
      <c r="CF777" s="3033">
        <v>0</v>
      </c>
      <c r="CG777" s="3034">
        <f>IF(AND(VirgoAprendido,OR($L$796=CG$637,$L$796="",$D$796=$CG$636)),MAX(CG$639:CG776)+1,0)</f>
        <v>0</v>
      </c>
      <c r="CI777" s="3026" t="str">
        <f t="shared" si="211"/>
        <v/>
      </c>
      <c r="CJ777" s="3027" t="str">
        <f t="shared" si="212"/>
        <v/>
      </c>
      <c r="CK777" s="3027" t="str">
        <f t="shared" si="213"/>
        <v/>
      </c>
      <c r="CL777" s="3032">
        <v>0</v>
      </c>
      <c r="CM777" s="3033">
        <v>0</v>
      </c>
      <c r="CN777" s="3034">
        <f>IF(AND(VirgoAprendido,OR($L$796=CN$637,$L$796="",$D$796=$CN$636)),MAX(CN$639:CN776)+1,0)</f>
        <v>0</v>
      </c>
    </row>
    <row r="778" spans="1:92" ht="12.75" customHeight="1" x14ac:dyDescent="0.2">
      <c r="A778" s="227">
        <v>778</v>
      </c>
      <c r="B778" s="6042"/>
      <c r="C778" s="1141"/>
      <c r="D778" s="2614" t="s">
        <v>2210</v>
      </c>
      <c r="E778" s="2613">
        <v>150</v>
      </c>
      <c r="F778" s="2613" t="s">
        <v>1455</v>
      </c>
      <c r="G778" s="2613">
        <v>0</v>
      </c>
      <c r="H778" s="2613">
        <v>0</v>
      </c>
      <c r="I778" s="2613" t="s">
        <v>1497</v>
      </c>
      <c r="J778" s="2613" t="s">
        <v>1455</v>
      </c>
      <c r="K778" s="2859" t="s">
        <v>7276</v>
      </c>
      <c r="L778" s="2613"/>
      <c r="M778" s="2619">
        <v>20</v>
      </c>
      <c r="N778" s="2619">
        <v>14</v>
      </c>
      <c r="O778" s="2619">
        <v>15</v>
      </c>
      <c r="P778" s="2613"/>
      <c r="Q778" s="2613"/>
      <c r="R778" s="2613" t="s">
        <v>1455</v>
      </c>
      <c r="S778" s="2613" t="s">
        <v>1455</v>
      </c>
      <c r="T778" s="2613" t="s">
        <v>1455</v>
      </c>
      <c r="U778" s="2613"/>
      <c r="V778" s="6182" t="s">
        <v>2211</v>
      </c>
      <c r="W778" s="6182"/>
      <c r="X778" s="6183"/>
      <c r="Y778" s="2603">
        <v>0</v>
      </c>
      <c r="Z778" s="1259" t="str">
        <f t="shared" si="191"/>
        <v/>
      </c>
      <c r="AA778" s="1955" t="s">
        <v>2207</v>
      </c>
      <c r="AC778" s="3071"/>
      <c r="AD778" s="3072"/>
      <c r="AE778" s="3072"/>
      <c r="AF778" s="3072"/>
      <c r="AX778" s="3041" t="str">
        <f>D807</f>
        <v>Virgo (Viento pequeño)</v>
      </c>
      <c r="AY778" s="555"/>
      <c r="AZ778" s="3028" t="str">
        <f t="shared" si="196"/>
        <v/>
      </c>
      <c r="BA778" s="3029" t="str">
        <f t="shared" si="197"/>
        <v/>
      </c>
      <c r="BB778" s="3029" t="str">
        <f t="shared" si="198"/>
        <v/>
      </c>
      <c r="BC778" s="3035">
        <v>0</v>
      </c>
      <c r="BD778" s="3036">
        <v>0</v>
      </c>
      <c r="BE778" s="3037">
        <f>IF(AND(VirgoAprendido,OR($L807=BE$637,$L807="",$D807=$BE$636)),MAX(BE$639:BE777)+1,0)</f>
        <v>0</v>
      </c>
      <c r="BG778" s="3028" t="str">
        <f t="shared" si="199"/>
        <v/>
      </c>
      <c r="BH778" s="3029" t="str">
        <f t="shared" si="200"/>
        <v/>
      </c>
      <c r="BI778" s="3029" t="str">
        <f t="shared" si="201"/>
        <v/>
      </c>
      <c r="BJ778" s="3035">
        <v>0</v>
      </c>
      <c r="BK778" s="3036">
        <v>0</v>
      </c>
      <c r="BL778" s="3037">
        <f>IF(AND(VirgoAprendido,OR($L807=BL$637,$L807="",$D807=$BL$636)),MAX(BL$639:BL777)+1,0)</f>
        <v>0</v>
      </c>
      <c r="BN778" s="3028" t="str">
        <f t="shared" si="202"/>
        <v/>
      </c>
      <c r="BO778" s="3029" t="str">
        <f t="shared" si="203"/>
        <v/>
      </c>
      <c r="BP778" s="3029" t="str">
        <f t="shared" si="204"/>
        <v/>
      </c>
      <c r="BQ778" s="3035">
        <v>0</v>
      </c>
      <c r="BR778" s="3036">
        <v>0</v>
      </c>
      <c r="BS778" s="3037">
        <f>IF(AND(VirgoAprendido,OR($L807=BS$637,$L807="",$D807=$BS$636)),MAX(BS$639:BS777)+1,0)</f>
        <v>0</v>
      </c>
      <c r="BU778" s="3028" t="str">
        <f t="shared" si="205"/>
        <v/>
      </c>
      <c r="BV778" s="3029" t="str">
        <f t="shared" si="206"/>
        <v/>
      </c>
      <c r="BW778" s="3029" t="str">
        <f t="shared" si="207"/>
        <v/>
      </c>
      <c r="BX778" s="3035">
        <v>0</v>
      </c>
      <c r="BY778" s="3036">
        <v>0</v>
      </c>
      <c r="BZ778" s="3037">
        <f>IF(AND(VirgoAprendido,OR($L807=BZ$637,$L807="",$D807=$BZ$636)),MAX(BZ$639:BZ777)+1,0)</f>
        <v>0</v>
      </c>
      <c r="CB778" s="3028" t="str">
        <f t="shared" si="208"/>
        <v/>
      </c>
      <c r="CC778" s="3029" t="str">
        <f t="shared" si="209"/>
        <v/>
      </c>
      <c r="CD778" s="3029" t="str">
        <f t="shared" si="210"/>
        <v/>
      </c>
      <c r="CE778" s="3035">
        <v>0</v>
      </c>
      <c r="CF778" s="3036">
        <v>0</v>
      </c>
      <c r="CG778" s="3037">
        <f>IF(AND(VirgoAprendido,OR($L807=CG$637,$L807="",$D807=$CG$636)),MAX(CG$639:CG777)+1,0)</f>
        <v>0</v>
      </c>
      <c r="CI778" s="3028" t="str">
        <f t="shared" si="211"/>
        <v/>
      </c>
      <c r="CJ778" s="3029" t="str">
        <f t="shared" si="212"/>
        <v/>
      </c>
      <c r="CK778" s="3029" t="str">
        <f t="shared" si="213"/>
        <v/>
      </c>
      <c r="CL778" s="3035">
        <v>0</v>
      </c>
      <c r="CM778" s="3036">
        <v>0</v>
      </c>
      <c r="CN778" s="3037">
        <f>IF(AND(VirgoAprendido,OR($L807=CN$637,$L807="",$D807=$CN$636)),MAX(CN$639:CN777)+1,0)</f>
        <v>0</v>
      </c>
    </row>
    <row r="779" spans="1:92" ht="12.75" customHeight="1" x14ac:dyDescent="0.2">
      <c r="A779" s="227">
        <v>779</v>
      </c>
      <c r="B779" s="6042"/>
      <c r="C779" s="1141"/>
      <c r="D779" s="2614" t="s">
        <v>8583</v>
      </c>
      <c r="E779" s="2613">
        <v>120</v>
      </c>
      <c r="F779" s="2613" t="s">
        <v>1455</v>
      </c>
      <c r="G779" s="2613">
        <v>0</v>
      </c>
      <c r="H779" s="2613">
        <v>0</v>
      </c>
      <c r="I779" s="2613" t="s">
        <v>1497</v>
      </c>
      <c r="J779" s="2613" t="s">
        <v>1455</v>
      </c>
      <c r="K779" s="2859" t="s">
        <v>7276</v>
      </c>
      <c r="L779" s="2613"/>
      <c r="M779" s="2619">
        <v>20</v>
      </c>
      <c r="N779" s="2619">
        <v>14</v>
      </c>
      <c r="O779" s="2619">
        <v>15</v>
      </c>
      <c r="P779" s="2613"/>
      <c r="Q779" s="2613"/>
      <c r="R779" s="2613" t="s">
        <v>1455</v>
      </c>
      <c r="S779" s="2613" t="s">
        <v>1455</v>
      </c>
      <c r="T779" s="2613" t="s">
        <v>1455</v>
      </c>
      <c r="U779" s="2613"/>
      <c r="V779" s="6182" t="s">
        <v>8584</v>
      </c>
      <c r="W779" s="6182"/>
      <c r="X779" s="6183"/>
      <c r="Y779" s="2603">
        <v>0</v>
      </c>
      <c r="Z779" s="1259" t="str">
        <f t="shared" si="191"/>
        <v/>
      </c>
      <c r="AA779" s="1955" t="s">
        <v>2207</v>
      </c>
      <c r="AX779" s="3041" t="str">
        <f>D808</f>
        <v>Virgo (Viento grande)</v>
      </c>
      <c r="AY779" s="555"/>
      <c r="AZ779" s="3028" t="str">
        <f t="shared" si="196"/>
        <v/>
      </c>
      <c r="BA779" s="3029" t="str">
        <f t="shared" si="197"/>
        <v/>
      </c>
      <c r="BB779" s="3029" t="str">
        <f t="shared" si="198"/>
        <v/>
      </c>
      <c r="BC779" s="3035">
        <v>0</v>
      </c>
      <c r="BD779" s="3036">
        <v>0</v>
      </c>
      <c r="BE779" s="3037">
        <f>IF(AND(VirgoAprendido,OR($L808=BE$637,$L808="",$D808=$BE$636)),MAX(BE$639:BE778)+1,0)</f>
        <v>0</v>
      </c>
      <c r="BG779" s="3028" t="str">
        <f t="shared" si="199"/>
        <v/>
      </c>
      <c r="BH779" s="3029" t="str">
        <f t="shared" si="200"/>
        <v/>
      </c>
      <c r="BI779" s="3029" t="str">
        <f t="shared" si="201"/>
        <v/>
      </c>
      <c r="BJ779" s="3035">
        <v>0</v>
      </c>
      <c r="BK779" s="3036">
        <v>0</v>
      </c>
      <c r="BL779" s="3037">
        <f>IF(AND(VirgoAprendido,OR($L808=BL$637,$L808="",$D808=$BL$636)),MAX(BL$639:BL778)+1,0)</f>
        <v>0</v>
      </c>
      <c r="BN779" s="3028" t="str">
        <f t="shared" si="202"/>
        <v/>
      </c>
      <c r="BO779" s="3029" t="str">
        <f t="shared" si="203"/>
        <v/>
      </c>
      <c r="BP779" s="3029" t="str">
        <f t="shared" si="204"/>
        <v/>
      </c>
      <c r="BQ779" s="3035">
        <v>0</v>
      </c>
      <c r="BR779" s="3036">
        <v>0</v>
      </c>
      <c r="BS779" s="3037">
        <f>IF(AND(VirgoAprendido,OR($L808=BS$637,$L808="",$D808=$BS$636)),MAX(BS$639:BS778)+1,0)</f>
        <v>0</v>
      </c>
      <c r="BU779" s="3028" t="str">
        <f t="shared" si="205"/>
        <v/>
      </c>
      <c r="BV779" s="3029" t="str">
        <f t="shared" si="206"/>
        <v/>
      </c>
      <c r="BW779" s="3029" t="str">
        <f t="shared" si="207"/>
        <v/>
      </c>
      <c r="BX779" s="3035">
        <v>0</v>
      </c>
      <c r="BY779" s="3036">
        <v>0</v>
      </c>
      <c r="BZ779" s="3037">
        <f>IF(AND(VirgoAprendido,OR($L808=BZ$637,$L808="",$D808=$BZ$636)),MAX(BZ$639:BZ778)+1,0)</f>
        <v>0</v>
      </c>
      <c r="CB779" s="3028" t="str">
        <f t="shared" si="208"/>
        <v/>
      </c>
      <c r="CC779" s="3029" t="str">
        <f t="shared" si="209"/>
        <v/>
      </c>
      <c r="CD779" s="3029" t="str">
        <f t="shared" si="210"/>
        <v/>
      </c>
      <c r="CE779" s="3035">
        <v>0</v>
      </c>
      <c r="CF779" s="3036">
        <v>0</v>
      </c>
      <c r="CG779" s="3037">
        <f>IF(AND(VirgoAprendido,OR($L808=CG$637,$L808="",$D808=$CG$636)),MAX(CG$639:CG778)+1,0)</f>
        <v>0</v>
      </c>
      <c r="CI779" s="3028" t="str">
        <f t="shared" si="211"/>
        <v/>
      </c>
      <c r="CJ779" s="3029" t="str">
        <f t="shared" si="212"/>
        <v/>
      </c>
      <c r="CK779" s="3029" t="str">
        <f t="shared" si="213"/>
        <v/>
      </c>
      <c r="CL779" s="3035">
        <v>0</v>
      </c>
      <c r="CM779" s="3036">
        <v>0</v>
      </c>
      <c r="CN779" s="3037">
        <f>IF(AND(VirgoAprendido,OR($L808=CN$637,$L808="",$D808=$CN$636)),MAX(CN$639:CN778)+1,0)</f>
        <v>0</v>
      </c>
    </row>
    <row r="780" spans="1:92" ht="12.75" customHeight="1" x14ac:dyDescent="0.2">
      <c r="A780" s="227">
        <v>780</v>
      </c>
      <c r="B780" s="6042"/>
      <c r="C780" s="1141"/>
      <c r="D780" s="2614" t="s">
        <v>8577</v>
      </c>
      <c r="E780" s="2613">
        <v>50</v>
      </c>
      <c r="F780" s="2613" t="s">
        <v>1455</v>
      </c>
      <c r="G780" s="2613">
        <v>0</v>
      </c>
      <c r="H780" s="2613">
        <v>0</v>
      </c>
      <c r="I780" s="2613" t="s">
        <v>1551</v>
      </c>
      <c r="J780" s="2613" t="s">
        <v>1455</v>
      </c>
      <c r="K780" s="2859" t="s">
        <v>7276</v>
      </c>
      <c r="L780" s="2613"/>
      <c r="M780" s="2619">
        <v>11</v>
      </c>
      <c r="N780" s="2619">
        <v>5</v>
      </c>
      <c r="O780" s="2619">
        <v>15</v>
      </c>
      <c r="P780" s="2613"/>
      <c r="Q780" s="2613"/>
      <c r="R780" s="2613" t="s">
        <v>1455</v>
      </c>
      <c r="S780" s="2613" t="s">
        <v>1455</v>
      </c>
      <c r="T780" s="2613" t="s">
        <v>1455</v>
      </c>
      <c r="U780" s="2613"/>
      <c r="V780" s="2859" t="s">
        <v>8582</v>
      </c>
      <c r="W780" s="2859"/>
      <c r="X780" s="2860"/>
      <c r="Y780" s="2603">
        <v>0</v>
      </c>
      <c r="Z780" s="1259" t="str">
        <f t="shared" si="191"/>
        <v/>
      </c>
      <c r="AA780" s="1955" t="s">
        <v>2207</v>
      </c>
      <c r="AX780" s="3041" t="str">
        <f>D809</f>
        <v>Virgo (Cuerda)</v>
      </c>
      <c r="AY780" s="555"/>
      <c r="AZ780" s="3028" t="str">
        <f t="shared" si="196"/>
        <v/>
      </c>
      <c r="BA780" s="3029" t="str">
        <f t="shared" si="197"/>
        <v/>
      </c>
      <c r="BB780" s="3029" t="str">
        <f t="shared" si="198"/>
        <v/>
      </c>
      <c r="BC780" s="3035">
        <v>0</v>
      </c>
      <c r="BD780" s="3036">
        <v>0</v>
      </c>
      <c r="BE780" s="3037">
        <f>IF(AND(VirgoAprendido,OR($L809=BE$637,$L809="",$D809=$BE$636)),MAX(BE$639:BE779)+1,0)</f>
        <v>0</v>
      </c>
      <c r="BG780" s="3028" t="str">
        <f t="shared" si="199"/>
        <v/>
      </c>
      <c r="BH780" s="3029" t="str">
        <f t="shared" si="200"/>
        <v/>
      </c>
      <c r="BI780" s="3029" t="str">
        <f t="shared" si="201"/>
        <v/>
      </c>
      <c r="BJ780" s="3035">
        <v>0</v>
      </c>
      <c r="BK780" s="3036">
        <v>0</v>
      </c>
      <c r="BL780" s="3037">
        <f>IF(AND(VirgoAprendido,OR($L809=BL$637,$L809="",$D809=$BL$636)),MAX(BL$639:BL779)+1,0)</f>
        <v>0</v>
      </c>
      <c r="BN780" s="3028" t="str">
        <f t="shared" si="202"/>
        <v/>
      </c>
      <c r="BO780" s="3029" t="str">
        <f t="shared" si="203"/>
        <v/>
      </c>
      <c r="BP780" s="3029" t="str">
        <f t="shared" si="204"/>
        <v/>
      </c>
      <c r="BQ780" s="3035">
        <v>0</v>
      </c>
      <c r="BR780" s="3036">
        <v>0</v>
      </c>
      <c r="BS780" s="3037">
        <f>IF(AND(VirgoAprendido,OR($L809=BS$637,$L809="",$D809=$BS$636)),MAX(BS$639:BS779)+1,0)</f>
        <v>0</v>
      </c>
      <c r="BU780" s="3028" t="str">
        <f t="shared" si="205"/>
        <v/>
      </c>
      <c r="BV780" s="3029" t="str">
        <f t="shared" si="206"/>
        <v/>
      </c>
      <c r="BW780" s="3029" t="str">
        <f t="shared" si="207"/>
        <v/>
      </c>
      <c r="BX780" s="3035">
        <v>0</v>
      </c>
      <c r="BY780" s="3036">
        <v>0</v>
      </c>
      <c r="BZ780" s="3037">
        <f>IF(AND(VirgoAprendido,OR($L809=BZ$637,$L809="",$D809=$BZ$636)),MAX(BZ$639:BZ779)+1,0)</f>
        <v>0</v>
      </c>
      <c r="CB780" s="3028" t="str">
        <f t="shared" si="208"/>
        <v/>
      </c>
      <c r="CC780" s="3029" t="str">
        <f t="shared" si="209"/>
        <v/>
      </c>
      <c r="CD780" s="3029" t="str">
        <f t="shared" si="210"/>
        <v/>
      </c>
      <c r="CE780" s="3035">
        <v>0</v>
      </c>
      <c r="CF780" s="3036">
        <v>0</v>
      </c>
      <c r="CG780" s="3037">
        <f>IF(AND(VirgoAprendido,OR($L809=CG$637,$L809="",$D809=$CG$636)),MAX(CG$639:CG779)+1,0)</f>
        <v>0</v>
      </c>
      <c r="CI780" s="3028" t="str">
        <f t="shared" si="211"/>
        <v/>
      </c>
      <c r="CJ780" s="3029" t="str">
        <f t="shared" si="212"/>
        <v/>
      </c>
      <c r="CK780" s="3029" t="str">
        <f t="shared" si="213"/>
        <v/>
      </c>
      <c r="CL780" s="3035">
        <v>0</v>
      </c>
      <c r="CM780" s="3036">
        <v>0</v>
      </c>
      <c r="CN780" s="3037">
        <f>IF(AND(VirgoAprendido,OR($L809=CN$637,$L809="",$D809=$CN$636)),MAX(CN$639:CN779)+1,0)</f>
        <v>0</v>
      </c>
    </row>
    <row r="781" spans="1:92" ht="12.75" customHeight="1" thickBot="1" x14ac:dyDescent="0.25">
      <c r="A781" s="227">
        <v>781</v>
      </c>
      <c r="B781" s="6042"/>
      <c r="C781" s="1141"/>
      <c r="D781" s="2614" t="s">
        <v>2212</v>
      </c>
      <c r="E781" s="2613">
        <v>5</v>
      </c>
      <c r="F781" s="2613" t="s">
        <v>1455</v>
      </c>
      <c r="G781" s="2613">
        <v>0</v>
      </c>
      <c r="H781" s="2613">
        <v>0</v>
      </c>
      <c r="I781" s="2613" t="s">
        <v>1551</v>
      </c>
      <c r="J781" s="2613" t="s">
        <v>1455</v>
      </c>
      <c r="K781" s="2859" t="s">
        <v>7276</v>
      </c>
      <c r="L781" s="2613"/>
      <c r="M781" s="2619">
        <v>2</v>
      </c>
      <c r="N781" s="2619">
        <v>-4</v>
      </c>
      <c r="O781" s="2619">
        <v>15</v>
      </c>
      <c r="P781" s="2613"/>
      <c r="Q781" s="2613"/>
      <c r="R781" s="2613" t="s">
        <v>1455</v>
      </c>
      <c r="S781" s="2613" t="s">
        <v>1455</v>
      </c>
      <c r="T781" s="2613" t="s">
        <v>1455</v>
      </c>
      <c r="U781" s="2613"/>
      <c r="V781" s="6182" t="s">
        <v>2213</v>
      </c>
      <c r="W781" s="6182"/>
      <c r="X781" s="6183"/>
      <c r="Y781" s="2603">
        <v>0</v>
      </c>
      <c r="Z781" s="1259" t="str">
        <f t="shared" si="191"/>
        <v/>
      </c>
      <c r="AA781" s="1955" t="s">
        <v>2207</v>
      </c>
      <c r="AX781" s="3042" t="str">
        <f>D810</f>
        <v>Virgo (Percusión)</v>
      </c>
      <c r="AY781" s="555"/>
      <c r="AZ781" s="3030" t="str">
        <f t="shared" si="196"/>
        <v/>
      </c>
      <c r="BA781" s="3031" t="str">
        <f t="shared" si="197"/>
        <v/>
      </c>
      <c r="BB781" s="3031" t="str">
        <f t="shared" si="198"/>
        <v/>
      </c>
      <c r="BC781" s="3038">
        <v>0</v>
      </c>
      <c r="BD781" s="3039">
        <v>0</v>
      </c>
      <c r="BE781" s="3040">
        <f>IF(AND(VirgoAprendido,OR($L810=BE$637,$L810="",$D810=$BE$636)),MAX(BE$639:BE780)+1,0)</f>
        <v>0</v>
      </c>
      <c r="BG781" s="3030" t="str">
        <f t="shared" si="199"/>
        <v/>
      </c>
      <c r="BH781" s="3031" t="str">
        <f t="shared" si="200"/>
        <v/>
      </c>
      <c r="BI781" s="3031" t="str">
        <f t="shared" si="201"/>
        <v/>
      </c>
      <c r="BJ781" s="3038">
        <v>0</v>
      </c>
      <c r="BK781" s="3039">
        <v>0</v>
      </c>
      <c r="BL781" s="3040">
        <f>IF(AND(VirgoAprendido,OR($L810=BL$637,$L810="",$D810=$BL$636)),MAX(BL$639:BL780)+1,0)</f>
        <v>0</v>
      </c>
      <c r="BN781" s="3030" t="str">
        <f t="shared" si="202"/>
        <v/>
      </c>
      <c r="BO781" s="3031" t="str">
        <f t="shared" si="203"/>
        <v/>
      </c>
      <c r="BP781" s="3031" t="str">
        <f t="shared" si="204"/>
        <v/>
      </c>
      <c r="BQ781" s="3038">
        <v>0</v>
      </c>
      <c r="BR781" s="3039">
        <v>0</v>
      </c>
      <c r="BS781" s="3040">
        <f>IF(AND(VirgoAprendido,OR($L810=BS$637,$L810="",$D810=$BS$636)),MAX(BS$639:BS780)+1,0)</f>
        <v>0</v>
      </c>
      <c r="BU781" s="3030" t="str">
        <f t="shared" si="205"/>
        <v/>
      </c>
      <c r="BV781" s="3031" t="str">
        <f t="shared" si="206"/>
        <v/>
      </c>
      <c r="BW781" s="3031" t="str">
        <f t="shared" si="207"/>
        <v/>
      </c>
      <c r="BX781" s="3038">
        <v>0</v>
      </c>
      <c r="BY781" s="3039">
        <v>0</v>
      </c>
      <c r="BZ781" s="3040">
        <f>IF(AND(VirgoAprendido,OR($L810=BZ$637,$L810="",$D810=$BZ$636)),MAX(BZ$639:BZ780)+1,0)</f>
        <v>0</v>
      </c>
      <c r="CB781" s="3030" t="str">
        <f t="shared" si="208"/>
        <v/>
      </c>
      <c r="CC781" s="3031" t="str">
        <f t="shared" si="209"/>
        <v/>
      </c>
      <c r="CD781" s="3031" t="str">
        <f t="shared" si="210"/>
        <v/>
      </c>
      <c r="CE781" s="3038">
        <v>0</v>
      </c>
      <c r="CF781" s="3039">
        <v>0</v>
      </c>
      <c r="CG781" s="3040">
        <f>IF(AND(VirgoAprendido,OR($L810=CG$637,$L810="",$D810=$CG$636)),MAX(CG$639:CG780)+1,0)</f>
        <v>0</v>
      </c>
      <c r="CI781" s="3030" t="str">
        <f t="shared" si="211"/>
        <v/>
      </c>
      <c r="CJ781" s="3031" t="str">
        <f t="shared" si="212"/>
        <v/>
      </c>
      <c r="CK781" s="3031" t="str">
        <f t="shared" si="213"/>
        <v/>
      </c>
      <c r="CL781" s="3038">
        <v>0</v>
      </c>
      <c r="CM781" s="3039">
        <v>0</v>
      </c>
      <c r="CN781" s="3040">
        <f>IF(AND(VirgoAprendido,OR($L810=CN$637,$L810="",$D810=$CN$636)),MAX(CN$639:CN780)+1,0)</f>
        <v>0</v>
      </c>
    </row>
    <row r="782" spans="1:92" ht="12.75" customHeight="1" thickBot="1" x14ac:dyDescent="0.25">
      <c r="A782" s="227">
        <v>782</v>
      </c>
      <c r="B782" s="6042"/>
      <c r="C782" s="1141"/>
      <c r="D782" s="2614" t="s">
        <v>2214</v>
      </c>
      <c r="E782" s="2613">
        <v>40</v>
      </c>
      <c r="F782" s="2613" t="s">
        <v>1455</v>
      </c>
      <c r="G782" s="2613">
        <v>0</v>
      </c>
      <c r="H782" s="2613">
        <v>0</v>
      </c>
      <c r="I782" s="2613" t="s">
        <v>1551</v>
      </c>
      <c r="J782" s="2613" t="s">
        <v>1455</v>
      </c>
      <c r="K782" s="2859" t="s">
        <v>7276</v>
      </c>
      <c r="L782" s="2613"/>
      <c r="M782" s="2619">
        <v>4</v>
      </c>
      <c r="N782" s="2619">
        <v>1</v>
      </c>
      <c r="O782" s="2619">
        <v>20</v>
      </c>
      <c r="P782" s="2613"/>
      <c r="Q782" s="2613"/>
      <c r="R782" s="2613" t="s">
        <v>1455</v>
      </c>
      <c r="S782" s="2613" t="s">
        <v>1455</v>
      </c>
      <c r="T782" s="2613" t="s">
        <v>1455</v>
      </c>
      <c r="U782" s="2613"/>
      <c r="V782" s="6182" t="s">
        <v>2215</v>
      </c>
      <c r="W782" s="6182"/>
      <c r="X782" s="6183"/>
      <c r="Y782" s="2603">
        <v>0</v>
      </c>
      <c r="Z782" s="1259" t="str">
        <f t="shared" si="191"/>
        <v/>
      </c>
      <c r="AA782" s="1955" t="s">
        <v>2207</v>
      </c>
      <c r="AX782" s="555"/>
      <c r="AY782" s="3025"/>
      <c r="AZ782" s="1140" t="str">
        <f>""</f>
        <v/>
      </c>
      <c r="BA782" s="924" t="str">
        <f>""</f>
        <v/>
      </c>
      <c r="BB782" s="924" t="str">
        <f>""</f>
        <v/>
      </c>
      <c r="BC782" s="1630"/>
      <c r="BD782" s="1254"/>
      <c r="BE782" s="1255"/>
      <c r="BF782" s="3025"/>
      <c r="BG782" s="1140" t="str">
        <f>""</f>
        <v/>
      </c>
      <c r="BH782" s="924" t="str">
        <f>""</f>
        <v/>
      </c>
      <c r="BI782" s="924" t="str">
        <f>""</f>
        <v/>
      </c>
      <c r="BJ782" s="1630"/>
      <c r="BK782" s="1254"/>
      <c r="BL782" s="1255"/>
      <c r="BM782" s="3025"/>
      <c r="BN782" s="1140" t="str">
        <f>""</f>
        <v/>
      </c>
      <c r="BO782" s="924" t="str">
        <f>""</f>
        <v/>
      </c>
      <c r="BP782" s="924" t="str">
        <f>""</f>
        <v/>
      </c>
      <c r="BQ782" s="1630"/>
      <c r="BR782" s="1254"/>
      <c r="BS782" s="1255"/>
      <c r="BT782" s="3025"/>
      <c r="BU782" s="1140" t="str">
        <f>""</f>
        <v/>
      </c>
      <c r="BV782" s="924" t="str">
        <f>""</f>
        <v/>
      </c>
      <c r="BW782" s="924" t="str">
        <f>""</f>
        <v/>
      </c>
      <c r="BX782" s="1630"/>
      <c r="BY782" s="1254"/>
      <c r="BZ782" s="1255"/>
      <c r="CA782" s="3025"/>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042"/>
      <c r="C783" s="1141"/>
      <c r="D783" s="2614" t="s">
        <v>2216</v>
      </c>
      <c r="E783" s="2613">
        <v>30</v>
      </c>
      <c r="F783" s="2613" t="s">
        <v>1455</v>
      </c>
      <c r="G783" s="2613">
        <v>0</v>
      </c>
      <c r="H783" s="2613">
        <v>0</v>
      </c>
      <c r="I783" s="2613" t="s">
        <v>1551</v>
      </c>
      <c r="J783" s="2613" t="s">
        <v>1455</v>
      </c>
      <c r="K783" s="2859" t="s">
        <v>7276</v>
      </c>
      <c r="L783" s="2613"/>
      <c r="M783" s="2619">
        <v>3</v>
      </c>
      <c r="N783" s="2619">
        <v>0</v>
      </c>
      <c r="O783" s="2619">
        <v>20</v>
      </c>
      <c r="P783" s="2613"/>
      <c r="Q783" s="2613"/>
      <c r="R783" s="2613" t="s">
        <v>1455</v>
      </c>
      <c r="S783" s="2613" t="s">
        <v>1455</v>
      </c>
      <c r="T783" s="2613" t="s">
        <v>1455</v>
      </c>
      <c r="U783" s="2613"/>
      <c r="V783" s="6286" t="s">
        <v>8559</v>
      </c>
      <c r="W783" s="6182"/>
      <c r="X783" s="6183"/>
      <c r="Y783" s="2603">
        <v>0</v>
      </c>
      <c r="Z783" s="1259" t="str">
        <f t="shared" si="191"/>
        <v/>
      </c>
      <c r="AA783" s="1955" t="s">
        <v>2207</v>
      </c>
    </row>
    <row r="784" spans="1:92" ht="12.75" customHeight="1" x14ac:dyDescent="0.2">
      <c r="A784" s="227">
        <v>784</v>
      </c>
      <c r="B784" s="6042"/>
      <c r="C784" s="1141"/>
      <c r="D784" s="2614" t="s">
        <v>2217</v>
      </c>
      <c r="E784" s="2613">
        <v>30</v>
      </c>
      <c r="F784" s="2613" t="s">
        <v>1455</v>
      </c>
      <c r="G784" s="2613">
        <v>0</v>
      </c>
      <c r="H784" s="2613">
        <v>0</v>
      </c>
      <c r="I784" s="2613" t="s">
        <v>1551</v>
      </c>
      <c r="J784" s="2613" t="s">
        <v>1455</v>
      </c>
      <c r="K784" s="2859" t="s">
        <v>7276</v>
      </c>
      <c r="L784" s="2613"/>
      <c r="M784" s="2619">
        <v>3</v>
      </c>
      <c r="N784" s="2619">
        <v>0</v>
      </c>
      <c r="O784" s="2619">
        <v>20</v>
      </c>
      <c r="P784" s="2613"/>
      <c r="Q784" s="2613"/>
      <c r="R784" s="2613" t="s">
        <v>1455</v>
      </c>
      <c r="S784" s="2613" t="s">
        <v>1455</v>
      </c>
      <c r="T784" s="2613" t="s">
        <v>1455</v>
      </c>
      <c r="U784" s="2613"/>
      <c r="V784" s="6286" t="s">
        <v>8560</v>
      </c>
      <c r="W784" s="6182"/>
      <c r="X784" s="6183"/>
      <c r="Y784" s="2603">
        <v>0</v>
      </c>
      <c r="Z784" s="1259" t="str">
        <f t="shared" si="191"/>
        <v/>
      </c>
      <c r="AA784" s="1955" t="s">
        <v>2207</v>
      </c>
      <c r="AG784" s="3044"/>
      <c r="AK784" s="3044"/>
      <c r="AO784" s="3044"/>
    </row>
    <row r="785" spans="1:48" ht="12.75" customHeight="1" x14ac:dyDescent="0.2">
      <c r="A785" s="227">
        <v>785</v>
      </c>
      <c r="B785" s="6042"/>
      <c r="C785" s="1141"/>
      <c r="D785" s="2614" t="s">
        <v>8576</v>
      </c>
      <c r="E785" s="2613">
        <v>35</v>
      </c>
      <c r="F785" s="2613" t="s">
        <v>1455</v>
      </c>
      <c r="G785" s="2613">
        <v>0</v>
      </c>
      <c r="H785" s="2613">
        <v>0</v>
      </c>
      <c r="I785" s="2613" t="s">
        <v>1551</v>
      </c>
      <c r="J785" s="2613" t="s">
        <v>1455</v>
      </c>
      <c r="K785" s="2859" t="s">
        <v>7276</v>
      </c>
      <c r="L785" s="2613"/>
      <c r="M785" s="2619">
        <v>10</v>
      </c>
      <c r="N785" s="2619">
        <v>-2</v>
      </c>
      <c r="O785" s="2619">
        <v>20</v>
      </c>
      <c r="P785" s="2613"/>
      <c r="Q785" s="2613"/>
      <c r="R785" s="2613" t="s">
        <v>1455</v>
      </c>
      <c r="S785" s="2613" t="s">
        <v>1455</v>
      </c>
      <c r="T785" s="2613" t="s">
        <v>1455</v>
      </c>
      <c r="U785" s="2613"/>
      <c r="V785" s="2859" t="s">
        <v>8555</v>
      </c>
      <c r="W785" s="2859"/>
      <c r="X785" s="2860"/>
      <c r="Y785" s="2603">
        <v>0</v>
      </c>
      <c r="Z785" s="1259" t="str">
        <f t="shared" si="191"/>
        <v/>
      </c>
      <c r="AA785" s="1955" t="s">
        <v>2207</v>
      </c>
    </row>
    <row r="786" spans="1:48" ht="12.75" customHeight="1" x14ac:dyDescent="0.2">
      <c r="A786" s="227">
        <v>786</v>
      </c>
      <c r="B786" s="6042"/>
      <c r="C786" s="1141"/>
      <c r="D786" s="2614" t="s">
        <v>8550</v>
      </c>
      <c r="E786" s="2613">
        <v>20</v>
      </c>
      <c r="F786" s="2613" t="s">
        <v>1455</v>
      </c>
      <c r="G786" s="2613">
        <v>0</v>
      </c>
      <c r="H786" s="2613">
        <v>0</v>
      </c>
      <c r="I786" s="2613" t="s">
        <v>1497</v>
      </c>
      <c r="J786" s="2613" t="s">
        <v>1455</v>
      </c>
      <c r="K786" s="2859" t="s">
        <v>7276</v>
      </c>
      <c r="L786" s="2613"/>
      <c r="M786" s="2619">
        <v>5</v>
      </c>
      <c r="N786" s="2619">
        <v>0</v>
      </c>
      <c r="O786" s="2619">
        <v>5</v>
      </c>
      <c r="P786" s="2613"/>
      <c r="Q786" s="2613"/>
      <c r="R786" s="2613" t="s">
        <v>1455</v>
      </c>
      <c r="S786" s="2613" t="s">
        <v>1455</v>
      </c>
      <c r="T786" s="2613" t="s">
        <v>1455</v>
      </c>
      <c r="U786" s="2613"/>
      <c r="V786" s="2859" t="s">
        <v>8556</v>
      </c>
      <c r="W786" s="2859"/>
      <c r="X786" s="2860"/>
      <c r="Y786" s="2603">
        <v>0</v>
      </c>
      <c r="Z786" s="1259" t="str">
        <f t="shared" si="191"/>
        <v/>
      </c>
      <c r="AA786" s="1955" t="s">
        <v>2207</v>
      </c>
    </row>
    <row r="787" spans="1:48" ht="12.75" customHeight="1" x14ac:dyDescent="0.2">
      <c r="A787" s="227">
        <v>787</v>
      </c>
      <c r="B787" s="6042"/>
      <c r="C787" s="1141"/>
      <c r="D787" s="2614" t="s">
        <v>8549</v>
      </c>
      <c r="E787" s="2613">
        <v>15</v>
      </c>
      <c r="F787" s="2613" t="s">
        <v>1455</v>
      </c>
      <c r="G787" s="2613">
        <v>0</v>
      </c>
      <c r="H787" s="2613">
        <v>0</v>
      </c>
      <c r="I787" s="2613" t="s">
        <v>1497</v>
      </c>
      <c r="J787" s="2613" t="s">
        <v>1455</v>
      </c>
      <c r="K787" s="2859" t="s">
        <v>7276</v>
      </c>
      <c r="L787" s="2613"/>
      <c r="M787" s="2619">
        <v>7</v>
      </c>
      <c r="N787" s="2619">
        <v>2</v>
      </c>
      <c r="O787" s="2619">
        <v>10</v>
      </c>
      <c r="P787" s="2613"/>
      <c r="Q787" s="2613"/>
      <c r="R787" s="2613" t="s">
        <v>1455</v>
      </c>
      <c r="S787" s="2613" t="s">
        <v>1455</v>
      </c>
      <c r="T787" s="2613" t="s">
        <v>1455</v>
      </c>
      <c r="U787" s="2613"/>
      <c r="V787" s="6182" t="s">
        <v>2218</v>
      </c>
      <c r="W787" s="6182"/>
      <c r="X787" s="6183"/>
      <c r="Y787" s="2603">
        <v>0</v>
      </c>
      <c r="Z787" s="1259" t="str">
        <f t="shared" si="191"/>
        <v/>
      </c>
      <c r="AA787" s="1955" t="s">
        <v>2207</v>
      </c>
    </row>
    <row r="788" spans="1:48" ht="12.75" customHeight="1" x14ac:dyDescent="0.2">
      <c r="A788" s="227">
        <v>788</v>
      </c>
      <c r="B788" s="6042"/>
      <c r="C788" s="1141"/>
      <c r="D788" s="2614" t="s">
        <v>2219</v>
      </c>
      <c r="E788" s="2613">
        <v>40</v>
      </c>
      <c r="F788" s="2613" t="s">
        <v>1455</v>
      </c>
      <c r="G788" s="2613">
        <v>0</v>
      </c>
      <c r="H788" s="2613">
        <v>0</v>
      </c>
      <c r="I788" s="2613" t="s">
        <v>1551</v>
      </c>
      <c r="J788" s="2613" t="s">
        <v>1455</v>
      </c>
      <c r="K788" s="2859" t="s">
        <v>7276</v>
      </c>
      <c r="L788" s="2613"/>
      <c r="M788" s="2619">
        <v>3</v>
      </c>
      <c r="N788" s="2619">
        <v>0</v>
      </c>
      <c r="O788" s="2619">
        <v>15</v>
      </c>
      <c r="P788" s="2613"/>
      <c r="Q788" s="2613"/>
      <c r="R788" s="2613" t="s">
        <v>1455</v>
      </c>
      <c r="S788" s="2613" t="s">
        <v>1455</v>
      </c>
      <c r="T788" s="2613" t="s">
        <v>1455</v>
      </c>
      <c r="U788" s="2613"/>
      <c r="V788" s="6182" t="s">
        <v>2220</v>
      </c>
      <c r="W788" s="6182"/>
      <c r="X788" s="6183"/>
      <c r="Y788" s="2603">
        <v>0</v>
      </c>
      <c r="Z788" s="1259" t="str">
        <f t="shared" si="191"/>
        <v/>
      </c>
      <c r="AA788" s="1955" t="s">
        <v>2207</v>
      </c>
    </row>
    <row r="789" spans="1:48" ht="12.75" customHeight="1" x14ac:dyDescent="0.2">
      <c r="A789" s="227">
        <v>789</v>
      </c>
      <c r="B789" s="6042"/>
      <c r="C789" s="1141"/>
      <c r="D789" s="2614" t="s">
        <v>2221</v>
      </c>
      <c r="E789" s="2613">
        <v>30</v>
      </c>
      <c r="F789" s="2613" t="s">
        <v>1455</v>
      </c>
      <c r="G789" s="2613">
        <v>0</v>
      </c>
      <c r="H789" s="2613">
        <v>0</v>
      </c>
      <c r="I789" s="2613" t="s">
        <v>1551</v>
      </c>
      <c r="J789" s="2613" t="s">
        <v>1455</v>
      </c>
      <c r="K789" s="2859" t="s">
        <v>7276</v>
      </c>
      <c r="L789" s="2613"/>
      <c r="M789" s="2619">
        <v>2</v>
      </c>
      <c r="N789" s="2619">
        <v>-1</v>
      </c>
      <c r="O789" s="2619">
        <v>15</v>
      </c>
      <c r="P789" s="2613"/>
      <c r="Q789" s="2613"/>
      <c r="R789" s="2613" t="s">
        <v>1455</v>
      </c>
      <c r="S789" s="2613" t="s">
        <v>1455</v>
      </c>
      <c r="T789" s="2613" t="s">
        <v>1455</v>
      </c>
      <c r="U789" s="2613"/>
      <c r="V789" s="6182" t="s">
        <v>2222</v>
      </c>
      <c r="W789" s="6182"/>
      <c r="X789" s="6183"/>
      <c r="Y789" s="2603">
        <v>0</v>
      </c>
      <c r="Z789" s="1259" t="str">
        <f t="shared" si="191"/>
        <v/>
      </c>
      <c r="AA789" s="1955" t="s">
        <v>2207</v>
      </c>
    </row>
    <row r="790" spans="1:48" ht="12.75" customHeight="1" x14ac:dyDescent="0.2">
      <c r="A790" s="227">
        <v>790</v>
      </c>
      <c r="B790" s="6042"/>
      <c r="C790" s="1141"/>
      <c r="D790" s="2614" t="s">
        <v>2223</v>
      </c>
      <c r="E790" s="2613">
        <v>60</v>
      </c>
      <c r="F790" s="2613" t="s">
        <v>1455</v>
      </c>
      <c r="G790" s="2613">
        <v>0</v>
      </c>
      <c r="H790" s="2613">
        <v>0</v>
      </c>
      <c r="I790" s="2613" t="s">
        <v>1551</v>
      </c>
      <c r="J790" s="2613" t="s">
        <v>1455</v>
      </c>
      <c r="K790" s="2859" t="s">
        <v>7276</v>
      </c>
      <c r="L790" s="2613"/>
      <c r="M790" s="2619">
        <v>4</v>
      </c>
      <c r="N790" s="2619">
        <v>1</v>
      </c>
      <c r="O790" s="2619">
        <v>15</v>
      </c>
      <c r="P790" s="2613"/>
      <c r="Q790" s="2613"/>
      <c r="R790" s="2613" t="s">
        <v>1455</v>
      </c>
      <c r="S790" s="2613" t="s">
        <v>1455</v>
      </c>
      <c r="T790" s="2613" t="s">
        <v>1455</v>
      </c>
      <c r="U790" s="2613"/>
      <c r="V790" s="6182" t="s">
        <v>2224</v>
      </c>
      <c r="W790" s="6182"/>
      <c r="X790" s="6183"/>
      <c r="Y790" s="2603">
        <v>0</v>
      </c>
      <c r="Z790" s="1259" t="str">
        <f t="shared" si="191"/>
        <v/>
      </c>
      <c r="AA790" s="1955" t="s">
        <v>2207</v>
      </c>
    </row>
    <row r="791" spans="1:48" ht="12.75" customHeight="1" x14ac:dyDescent="0.2">
      <c r="A791" s="227">
        <v>791</v>
      </c>
      <c r="B791" s="6042"/>
      <c r="C791" s="1141"/>
      <c r="D791" s="2614" t="s">
        <v>8551</v>
      </c>
      <c r="E791" s="2613">
        <v>120</v>
      </c>
      <c r="F791" s="2613" t="s">
        <v>1455</v>
      </c>
      <c r="G791" s="2613">
        <v>0</v>
      </c>
      <c r="H791" s="2613">
        <v>0</v>
      </c>
      <c r="I791" s="2613" t="s">
        <v>1551</v>
      </c>
      <c r="J791" s="2613" t="s">
        <v>1455</v>
      </c>
      <c r="K791" s="2859" t="s">
        <v>7276</v>
      </c>
      <c r="L791" s="2613"/>
      <c r="M791" s="2619">
        <v>16</v>
      </c>
      <c r="N791" s="2619">
        <v>8</v>
      </c>
      <c r="O791" s="2619">
        <v>15</v>
      </c>
      <c r="P791" s="2613"/>
      <c r="Q791" s="2613"/>
      <c r="R791" s="2613" t="s">
        <v>1455</v>
      </c>
      <c r="S791" s="2613" t="s">
        <v>1455</v>
      </c>
      <c r="T791" s="2613" t="s">
        <v>1455</v>
      </c>
      <c r="U791" s="2613"/>
      <c r="V791" s="2859" t="s">
        <v>8557</v>
      </c>
      <c r="W791" s="2859"/>
      <c r="X791" s="2860"/>
      <c r="Y791" s="2603">
        <v>0</v>
      </c>
      <c r="Z791" s="1259" t="str">
        <f t="shared" si="191"/>
        <v/>
      </c>
      <c r="AA791" s="1955" t="s">
        <v>2207</v>
      </c>
    </row>
    <row r="792" spans="1:48" ht="12.75" customHeight="1" x14ac:dyDescent="0.2">
      <c r="A792" s="227">
        <v>792</v>
      </c>
      <c r="B792" s="6042"/>
      <c r="C792" s="1141"/>
      <c r="D792" s="2614" t="s">
        <v>8552</v>
      </c>
      <c r="E792" s="2613">
        <v>150</v>
      </c>
      <c r="F792" s="2613" t="s">
        <v>1455</v>
      </c>
      <c r="G792" s="2613">
        <v>0</v>
      </c>
      <c r="H792" s="2613">
        <v>0</v>
      </c>
      <c r="I792" s="2613" t="s">
        <v>1551</v>
      </c>
      <c r="J792" s="2613" t="s">
        <v>1455</v>
      </c>
      <c r="K792" s="2859" t="s">
        <v>7276</v>
      </c>
      <c r="L792" s="2613"/>
      <c r="M792" s="2619">
        <v>18</v>
      </c>
      <c r="N792" s="2619">
        <v>12</v>
      </c>
      <c r="O792" s="2619">
        <v>15</v>
      </c>
      <c r="P792" s="2613"/>
      <c r="Q792" s="2613"/>
      <c r="R792" s="2613" t="s">
        <v>1455</v>
      </c>
      <c r="S792" s="2613" t="s">
        <v>1455</v>
      </c>
      <c r="T792" s="2613" t="s">
        <v>1455</v>
      </c>
      <c r="U792" s="2613"/>
      <c r="V792" s="2859" t="s">
        <v>8558</v>
      </c>
      <c r="W792" s="2859"/>
      <c r="X792" s="2860"/>
      <c r="Y792" s="2603">
        <v>0</v>
      </c>
      <c r="Z792" s="1259" t="str">
        <f t="shared" si="191"/>
        <v/>
      </c>
      <c r="AA792" s="1955" t="s">
        <v>2207</v>
      </c>
    </row>
    <row r="793" spans="1:48" ht="12.75" customHeight="1" x14ac:dyDescent="0.2">
      <c r="A793" s="227">
        <v>793</v>
      </c>
      <c r="B793" s="6042"/>
      <c r="C793" s="1141"/>
      <c r="D793" s="2614" t="s">
        <v>8793</v>
      </c>
      <c r="E793" s="2613">
        <v>0</v>
      </c>
      <c r="F793" s="2613" t="s">
        <v>1455</v>
      </c>
      <c r="G793" s="2613">
        <v>0</v>
      </c>
      <c r="H793" s="2613">
        <v>0</v>
      </c>
      <c r="I793" s="2613" t="str">
        <f>I639</f>
        <v>-</v>
      </c>
      <c r="J793" s="2613" t="str">
        <f>J639</f>
        <v>-</v>
      </c>
      <c r="K793" s="2859" t="s">
        <v>7276</v>
      </c>
      <c r="L793" s="2613"/>
      <c r="M793" s="2619">
        <f>M639</f>
        <v>4</v>
      </c>
      <c r="N793" s="2613">
        <f>N639</f>
        <v>-4</v>
      </c>
      <c r="O793" s="2613"/>
      <c r="P793" s="2613"/>
      <c r="Q793" s="2613"/>
      <c r="R793" s="2613" t="s">
        <v>1455</v>
      </c>
      <c r="S793" s="2613" t="s">
        <v>1455</v>
      </c>
      <c r="T793" s="2613" t="s">
        <v>1455</v>
      </c>
      <c r="U793" s="2613"/>
      <c r="V793" s="2859" t="s">
        <v>8792</v>
      </c>
      <c r="W793" s="2859"/>
      <c r="X793" s="2860"/>
      <c r="Y793" s="2603">
        <v>0</v>
      </c>
      <c r="Z793" s="1259" t="str">
        <f t="shared" si="191"/>
        <v/>
      </c>
      <c r="AA793" s="1955" t="s">
        <v>2207</v>
      </c>
    </row>
    <row r="794" spans="1:48" ht="12.75" customHeight="1" x14ac:dyDescent="0.2">
      <c r="A794" s="227">
        <v>794</v>
      </c>
      <c r="B794" s="6042"/>
      <c r="C794" s="1141"/>
      <c r="D794" s="2614" t="s">
        <v>2225</v>
      </c>
      <c r="E794" s="2613"/>
      <c r="F794" s="2613"/>
      <c r="G794" s="2613"/>
      <c r="H794" s="2613"/>
      <c r="I794" s="2613"/>
      <c r="J794" s="2613"/>
      <c r="K794" s="2859" t="s">
        <v>7255</v>
      </c>
      <c r="L794" s="2613"/>
      <c r="M794" s="2619"/>
      <c r="N794" s="2619"/>
      <c r="O794" s="2619"/>
      <c r="P794" s="2613"/>
      <c r="Q794" s="2613"/>
      <c r="R794" s="2613"/>
      <c r="S794" s="2613"/>
      <c r="T794" s="2613"/>
      <c r="U794" s="2613"/>
      <c r="V794" s="2859"/>
      <c r="W794" s="2859"/>
      <c r="X794" s="2860"/>
      <c r="Y794" s="1144"/>
      <c r="Z794" s="2863"/>
      <c r="AA794" s="1955"/>
    </row>
    <row r="795" spans="1:48" ht="12.75" customHeight="1" x14ac:dyDescent="0.2">
      <c r="A795" s="227">
        <v>795</v>
      </c>
      <c r="B795" s="6042"/>
      <c r="C795" s="1141"/>
      <c r="D795" s="2614" t="s">
        <v>2226</v>
      </c>
      <c r="E795" s="2613">
        <f>Presencia_final</f>
        <v>20</v>
      </c>
      <c r="F795" s="2613">
        <v>20</v>
      </c>
      <c r="G795" s="2613">
        <v>0</v>
      </c>
      <c r="H795" s="2613">
        <v>0</v>
      </c>
      <c r="I795" s="2613" t="s">
        <v>2227</v>
      </c>
      <c r="J795" s="2613" t="s">
        <v>1455</v>
      </c>
      <c r="K795" s="2859" t="s">
        <v>7277</v>
      </c>
      <c r="L795" s="2622" t="str">
        <f>IF(SUMPRODUCT(--ISNUMBER(SEARCH($D795,INDEX(Tabla_ArsMagnus,,1))),INDEX(Tabla_ArsMagnus,,4))&gt;0,"Conocida","Distinta")</f>
        <v>Distinta</v>
      </c>
      <c r="M795" s="2619" t="s">
        <v>1455</v>
      </c>
      <c r="N795" s="2619">
        <f>POD-IF(FUE=0,0,VLOOKUP(FUE,Tabla_Fuerza,2))</f>
        <v>0</v>
      </c>
      <c r="O795" s="2619">
        <f>Presencia_final</f>
        <v>20</v>
      </c>
      <c r="P795" s="2613"/>
      <c r="Q795" s="2613"/>
      <c r="R795" s="2613"/>
      <c r="S795" s="2613"/>
      <c r="T795" s="2613"/>
      <c r="U795" s="2613"/>
      <c r="V795" s="2859" t="s">
        <v>2228</v>
      </c>
      <c r="W795" s="2859"/>
      <c r="X795" s="2860"/>
      <c r="Y795" s="2603">
        <f>Bono_Pod</f>
        <v>0</v>
      </c>
      <c r="Z795" s="1259" t="str">
        <f>IF(AND(K796&lt;&gt;"Natural/-",ISNUMBER(SEARCH(D796&amp;",",Armas_Conocidas))),", "&amp;K796,"")</f>
        <v/>
      </c>
      <c r="AA795" s="1955" t="s">
        <v>2225</v>
      </c>
    </row>
    <row r="796" spans="1:48" ht="12.75" customHeight="1" x14ac:dyDescent="0.2">
      <c r="A796" s="227">
        <v>796</v>
      </c>
      <c r="B796" s="6042"/>
      <c r="C796" s="1141"/>
      <c r="D796" s="2614" t="s">
        <v>2229</v>
      </c>
      <c r="E796" s="2611"/>
      <c r="F796" s="2611"/>
      <c r="G796" s="2611"/>
      <c r="H796" s="2611"/>
      <c r="I796" s="2611"/>
      <c r="J796" s="2611"/>
      <c r="K796" s="2607" t="s">
        <v>7255</v>
      </c>
      <c r="L796" s="2611"/>
      <c r="M796" s="2611"/>
      <c r="N796" s="2611"/>
      <c r="O796" s="2611"/>
      <c r="P796" s="2611"/>
      <c r="Q796" s="2611"/>
      <c r="R796" s="2611"/>
      <c r="S796" s="2611"/>
      <c r="T796" s="2611"/>
      <c r="U796" s="2611"/>
      <c r="V796" s="2607"/>
      <c r="W796" s="2607"/>
      <c r="X796" s="2608"/>
      <c r="Y796" s="1144"/>
      <c r="Z796" s="2863"/>
      <c r="AA796" s="1955" t="s">
        <v>2225</v>
      </c>
    </row>
    <row r="797" spans="1:48" ht="12.75" customHeight="1" thickBot="1" x14ac:dyDescent="0.25">
      <c r="A797" s="227">
        <v>797</v>
      </c>
      <c r="B797" s="6042"/>
      <c r="C797" s="1141"/>
      <c r="D797" s="2614" t="s">
        <v>2230</v>
      </c>
      <c r="E797" s="2618">
        <f>100-Bono_Fue</f>
        <v>100</v>
      </c>
      <c r="F797" s="2613">
        <v>-20</v>
      </c>
      <c r="G797" s="2613">
        <v>0</v>
      </c>
      <c r="H797" s="2613">
        <v>0</v>
      </c>
      <c r="I797" s="2613" t="s">
        <v>1551</v>
      </c>
      <c r="J797" s="2613" t="s">
        <v>1550</v>
      </c>
      <c r="K797" s="2859" t="s">
        <v>7255</v>
      </c>
      <c r="L797" s="2622" t="str">
        <f>IF(H1014&gt;0,"Conocida","Distinta")</f>
        <v>Distinta</v>
      </c>
      <c r="M797" s="2619">
        <v>16</v>
      </c>
      <c r="N797" s="2619">
        <v>6</v>
      </c>
      <c r="O797" s="2619">
        <v>30</v>
      </c>
      <c r="P797" s="2613"/>
      <c r="Q797" s="2613"/>
      <c r="R797" s="2613" t="s">
        <v>1455</v>
      </c>
      <c r="S797" s="2613" t="s">
        <v>1455</v>
      </c>
      <c r="T797" s="2613" t="s">
        <v>1455</v>
      </c>
      <c r="U797" s="2613"/>
      <c r="V797" s="2859" t="s">
        <v>2231</v>
      </c>
      <c r="W797" s="2611"/>
      <c r="X797" s="2665" t="s">
        <v>1966</v>
      </c>
      <c r="Y797" s="2603">
        <f>Bono_Fue</f>
        <v>0</v>
      </c>
      <c r="Z797" s="2863"/>
      <c r="AA797" s="1955" t="s">
        <v>2225</v>
      </c>
    </row>
    <row r="798" spans="1:48" ht="12.75" customHeight="1" x14ac:dyDescent="0.2">
      <c r="A798" s="227">
        <v>798</v>
      </c>
      <c r="B798" s="6042"/>
      <c r="C798" s="1141"/>
      <c r="D798" s="2614" t="s">
        <v>2232</v>
      </c>
      <c r="E798" s="2618">
        <v>120</v>
      </c>
      <c r="F798" s="2613">
        <v>-80</v>
      </c>
      <c r="G798" s="2613">
        <v>12</v>
      </c>
      <c r="H798" s="2613">
        <v>10</v>
      </c>
      <c r="I798" s="2613" t="s">
        <v>1550</v>
      </c>
      <c r="J798" s="2613" t="s">
        <v>1497</v>
      </c>
      <c r="K798" s="2859" t="s">
        <v>7255</v>
      </c>
      <c r="L798" s="2622" t="str">
        <f>IF(AND(H1015&gt;0,OR(L664="Conocida",L681="Conocida",L701="Conocida")),"Conocida","Distinta")</f>
        <v>Distinta</v>
      </c>
      <c r="M798" s="2619">
        <v>16</v>
      </c>
      <c r="N798" s="2619">
        <v>8</v>
      </c>
      <c r="O798" s="2619">
        <v>25</v>
      </c>
      <c r="P798" s="2613"/>
      <c r="Q798" s="2613"/>
      <c r="R798" s="2613" t="s">
        <v>1455</v>
      </c>
      <c r="S798" s="2613" t="s">
        <v>1455</v>
      </c>
      <c r="T798" s="2613" t="s">
        <v>1455</v>
      </c>
      <c r="U798" s="2613"/>
      <c r="V798" s="2859" t="s">
        <v>2233</v>
      </c>
      <c r="W798" s="2611"/>
      <c r="X798" s="2665" t="s">
        <v>1966</v>
      </c>
      <c r="Y798" s="1144">
        <f>Bono_Fue</f>
        <v>0</v>
      </c>
      <c r="Z798" s="2863"/>
      <c r="AA798" s="1955" t="s">
        <v>2225</v>
      </c>
      <c r="AC798" s="6307" t="s">
        <v>8546</v>
      </c>
      <c r="AD798" s="6299"/>
      <c r="AE798" s="6299"/>
      <c r="AF798" s="6299"/>
      <c r="AG798" s="6299"/>
      <c r="AH798" s="6299"/>
      <c r="AI798" s="6299"/>
      <c r="AJ798" s="6299"/>
      <c r="AK798" s="6299"/>
      <c r="AL798" s="6299"/>
      <c r="AM798" s="6299"/>
      <c r="AN798" s="6299"/>
      <c r="AO798" s="6299"/>
      <c r="AP798" s="6299"/>
      <c r="AQ798" s="6299"/>
      <c r="AR798" s="6299"/>
      <c r="AS798" s="6299"/>
      <c r="AT798" s="6299"/>
      <c r="AU798" s="6299"/>
      <c r="AV798" s="6300"/>
    </row>
    <row r="799" spans="1:48" ht="12.75" customHeight="1" x14ac:dyDescent="0.2">
      <c r="A799" s="227">
        <v>799</v>
      </c>
      <c r="B799" s="6042"/>
      <c r="C799" s="1141"/>
      <c r="D799" s="2614" t="s">
        <v>2234</v>
      </c>
      <c r="E799" s="2618">
        <f>50+20*U608</f>
        <v>50</v>
      </c>
      <c r="F799" s="2613">
        <v>15</v>
      </c>
      <c r="G799" s="2613">
        <v>4</v>
      </c>
      <c r="H799" s="2613">
        <v>4</v>
      </c>
      <c r="I799" s="2613" t="s">
        <v>1550</v>
      </c>
      <c r="J799" s="2613" t="s">
        <v>1551</v>
      </c>
      <c r="K799" s="2859" t="s">
        <v>7255</v>
      </c>
      <c r="L799" s="2622" t="str">
        <f>IF(OR(H1017&gt;0,H1018&gt;0),"Conocida","Distinta")</f>
        <v>Distinta</v>
      </c>
      <c r="M799" s="2619">
        <v>10</v>
      </c>
      <c r="N799" s="2619">
        <v>0</v>
      </c>
      <c r="O799" s="2619">
        <v>30</v>
      </c>
      <c r="P799" s="2613"/>
      <c r="Q799" s="2613"/>
      <c r="R799" s="2613" t="s">
        <v>1455</v>
      </c>
      <c r="S799" s="2613" t="s">
        <v>1455</v>
      </c>
      <c r="T799" s="2613" t="s">
        <v>1455</v>
      </c>
      <c r="U799" s="2613"/>
      <c r="V799" s="2859" t="str">
        <f>"Alcance ("&amp;IF($U$606&gt;0,25,5)&amp;"m), Presa (FUE "&amp;IF(U605&gt;0,13,11)&amp;"), Invisible ("&amp;IF(U607&gt;0,"ABS","MDF")&amp;"), -"&amp;2+4*U609&amp;" TA"&amp;IF(U610&gt;0,", Imparable","")&amp;", Ver"</f>
        <v>Alcance (5m), Presa (FUE 11), Invisible (MDF), -2 TA, Ver</v>
      </c>
      <c r="W799" s="2611"/>
      <c r="X799" s="2665" t="s">
        <v>8680</v>
      </c>
      <c r="Y799" s="1144">
        <v>0</v>
      </c>
      <c r="Z799" s="2863"/>
      <c r="AA799" s="1955" t="s">
        <v>2225</v>
      </c>
      <c r="AC799" s="1058">
        <v>1</v>
      </c>
      <c r="AD799" s="2612">
        <v>2</v>
      </c>
      <c r="AE799" s="2612">
        <v>3</v>
      </c>
      <c r="AF799" s="2612">
        <v>4</v>
      </c>
      <c r="AG799" s="2612">
        <v>5</v>
      </c>
      <c r="AH799" s="2612">
        <v>6</v>
      </c>
      <c r="AI799" s="2612">
        <v>7</v>
      </c>
      <c r="AJ799" s="2612">
        <v>8</v>
      </c>
      <c r="AK799" s="2612">
        <v>9</v>
      </c>
      <c r="AL799" s="2612">
        <v>10</v>
      </c>
      <c r="AM799" s="2612">
        <v>11</v>
      </c>
      <c r="AN799" s="2612">
        <v>12</v>
      </c>
      <c r="AO799" s="2612">
        <v>13</v>
      </c>
      <c r="AP799" s="2612">
        <v>14</v>
      </c>
      <c r="AQ799" s="2612">
        <v>15</v>
      </c>
      <c r="AR799" s="2612">
        <v>16</v>
      </c>
      <c r="AS799" s="2612">
        <v>17</v>
      </c>
      <c r="AT799" s="2612">
        <v>18</v>
      </c>
      <c r="AU799" s="2612">
        <v>19</v>
      </c>
      <c r="AV799" s="1059">
        <v>20</v>
      </c>
    </row>
    <row r="800" spans="1:48" ht="12.75" customHeight="1" thickBot="1" x14ac:dyDescent="0.25">
      <c r="A800" s="227">
        <v>800</v>
      </c>
      <c r="B800" s="6042"/>
      <c r="C800" s="1141"/>
      <c r="D800" s="2614" t="s">
        <v>2235</v>
      </c>
      <c r="E800" s="2618">
        <v>70</v>
      </c>
      <c r="F800" s="2613">
        <v>-30</v>
      </c>
      <c r="G800" s="2613">
        <v>8</v>
      </c>
      <c r="H800" s="2613">
        <v>6</v>
      </c>
      <c r="I800" s="2613" t="s">
        <v>1550</v>
      </c>
      <c r="J800" s="2613" t="s">
        <v>1497</v>
      </c>
      <c r="K800" s="2859" t="s">
        <v>7255</v>
      </c>
      <c r="L800" s="2622" t="str">
        <f>IF(AND(H1019&gt;0,L770="Conocida",OR(L651="Conocida",L656="Conocida",L665="Conocida",L668="Conocida",L670="Conocida",L688="Conocida",L707="Conocida",L708="Conocida",L709="Conocida",L725="Conocida",L726="Conocida",L737="Conocida",L749="Conocida",L755="Conocida")),"Conocida","Distinta")</f>
        <v>Distinta</v>
      </c>
      <c r="M800" s="2619">
        <v>13</v>
      </c>
      <c r="N800" s="2619">
        <v>4</v>
      </c>
      <c r="O800" s="2619">
        <v>35</v>
      </c>
      <c r="P800" s="2613"/>
      <c r="Q800" s="2613"/>
      <c r="R800" s="2613" t="s">
        <v>1455</v>
      </c>
      <c r="S800" s="2613" t="s">
        <v>1455</v>
      </c>
      <c r="T800" s="2613" t="s">
        <v>1455</v>
      </c>
      <c r="U800" s="2613"/>
      <c r="V800" s="2859" t="s">
        <v>2236</v>
      </c>
      <c r="W800" s="2611"/>
      <c r="X800" s="2665" t="s">
        <v>10151</v>
      </c>
      <c r="Y800" s="1144">
        <f>Bono_Fue</f>
        <v>0</v>
      </c>
      <c r="Z800" s="2863"/>
      <c r="AA800" s="1955" t="s">
        <v>2225</v>
      </c>
      <c r="AC800" s="1358" t="s">
        <v>1440</v>
      </c>
      <c r="AD800" s="1359" t="s">
        <v>8553</v>
      </c>
      <c r="AE800" s="6308" t="s">
        <v>8554</v>
      </c>
      <c r="AF800" s="6308"/>
      <c r="AG800" s="6308"/>
      <c r="AH800" s="6308"/>
      <c r="AI800" s="6308"/>
      <c r="AJ800" s="6308"/>
      <c r="AK800" s="6308"/>
      <c r="AL800" s="6308"/>
      <c r="AM800" s="6308"/>
      <c r="AN800" s="6308"/>
      <c r="AO800" s="6308"/>
      <c r="AP800" s="6308"/>
      <c r="AQ800" s="6308"/>
      <c r="AR800" s="6308"/>
      <c r="AS800" s="6308"/>
      <c r="AT800" s="6308"/>
      <c r="AU800" s="6308"/>
      <c r="AV800" s="6309"/>
    </row>
    <row r="801" spans="1:48" ht="12.75" customHeight="1" x14ac:dyDescent="0.2">
      <c r="A801" s="227">
        <v>801</v>
      </c>
      <c r="B801" s="6042"/>
      <c r="C801" s="1141"/>
      <c r="D801" s="2614" t="s">
        <v>8579</v>
      </c>
      <c r="E801" s="2613">
        <v>0</v>
      </c>
      <c r="F801" s="2613">
        <v>0</v>
      </c>
      <c r="G801" s="2613">
        <v>8</v>
      </c>
      <c r="H801" s="2613">
        <v>6</v>
      </c>
      <c r="I801" s="2613" t="s">
        <v>1551</v>
      </c>
      <c r="J801" s="2613" t="s">
        <v>1455</v>
      </c>
      <c r="K801" s="2859" t="s">
        <v>7255</v>
      </c>
      <c r="L801" s="2622" t="str">
        <f>L800</f>
        <v>Distinta</v>
      </c>
      <c r="M801" s="2619">
        <v>13</v>
      </c>
      <c r="N801" s="2619">
        <v>4</v>
      </c>
      <c r="O801" s="2619">
        <v>35</v>
      </c>
      <c r="P801" s="2613"/>
      <c r="Q801" s="2613"/>
      <c r="R801" s="2613" t="s">
        <v>1455</v>
      </c>
      <c r="S801" s="2613">
        <v>2</v>
      </c>
      <c r="T801" s="2613">
        <v>50</v>
      </c>
      <c r="U801" s="2613">
        <v>10</v>
      </c>
      <c r="V801" s="2859" t="s">
        <v>2236</v>
      </c>
      <c r="W801" s="2611"/>
      <c r="X801" s="2665" t="s">
        <v>10151</v>
      </c>
      <c r="Y801" s="1144">
        <v>0</v>
      </c>
      <c r="Z801" s="2863"/>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2" t="s">
        <v>8548</v>
      </c>
      <c r="AG801" s="2872" t="s">
        <v>2210</v>
      </c>
      <c r="AH801" s="2872" t="s">
        <v>2212</v>
      </c>
      <c r="AI801" s="2872" t="s">
        <v>2214</v>
      </c>
      <c r="AJ801" s="2872" t="s">
        <v>2216</v>
      </c>
      <c r="AK801" s="2872" t="s">
        <v>2217</v>
      </c>
      <c r="AL801" s="2872" t="s">
        <v>2147</v>
      </c>
      <c r="AM801" s="2872" t="s">
        <v>8550</v>
      </c>
      <c r="AN801" s="2872" t="s">
        <v>8549</v>
      </c>
      <c r="AO801" s="2872" t="s">
        <v>2219</v>
      </c>
      <c r="AP801" s="2872" t="s">
        <v>2221</v>
      </c>
      <c r="AQ801" s="2872" t="s">
        <v>2223</v>
      </c>
      <c r="AR801" s="2872" t="s">
        <v>8551</v>
      </c>
      <c r="AS801" s="2872" t="s">
        <v>8552</v>
      </c>
      <c r="AT801" s="2872" t="str">
        <f>IF(ISNUMBER(FIND("Munición",VLOOKUP($D$640,Tabla_ArmasyEscudos,8,0))),$D$640,IF(ISNUMBER(FIND("Munición",VLOOKUP($D$641,Tabla_ArmasyEscudos,8,0))),$D$641,IF(ISNUMBER(FIND("Munición",VLOOKUP($D$642,Tabla_ArmasyEscudos,8,0))),$D$642,"")))</f>
        <v/>
      </c>
      <c r="AU801" s="2872"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042"/>
      <c r="C802" s="1141"/>
      <c r="D802" s="2614" t="s">
        <v>2237</v>
      </c>
      <c r="E802" s="2613">
        <v>40</v>
      </c>
      <c r="F802" s="2613">
        <v>5</v>
      </c>
      <c r="G802" s="2613">
        <v>5</v>
      </c>
      <c r="H802" s="2613">
        <v>3</v>
      </c>
      <c r="I802" s="2613" t="s">
        <v>1551</v>
      </c>
      <c r="J802" s="2613" t="s">
        <v>1455</v>
      </c>
      <c r="K802" s="2859" t="s">
        <v>7255</v>
      </c>
      <c r="L802" s="2622" t="str">
        <f>IF(AND(H1019&gt;0,L757="Conocida",L690="Conocida"),"Conocida","Distinta")</f>
        <v>Distinta</v>
      </c>
      <c r="M802" s="2619">
        <v>12</v>
      </c>
      <c r="N802" s="2619">
        <v>2</v>
      </c>
      <c r="O802" s="2619">
        <v>35</v>
      </c>
      <c r="P802" s="2613"/>
      <c r="Q802" s="2613"/>
      <c r="R802" s="2613" t="s">
        <v>1455</v>
      </c>
      <c r="S802" s="2613" t="s">
        <v>1455</v>
      </c>
      <c r="T802" s="2613" t="s">
        <v>1455</v>
      </c>
      <c r="U802" s="2613"/>
      <c r="V802" s="2859" t="s">
        <v>2236</v>
      </c>
      <c r="W802" s="2611"/>
      <c r="X802" s="2665" t="s">
        <v>10151</v>
      </c>
      <c r="Y802" s="1144">
        <f>Bono_Fue</f>
        <v>0</v>
      </c>
      <c r="Z802" s="2863"/>
      <c r="AA802" s="1955" t="s">
        <v>2225</v>
      </c>
      <c r="AC802" s="1366" t="str">
        <f>IF(ISNUMBER(FIND("Proyectil",VLOOKUP($D641,Tabla_ArmasyEscudos,8,0))),$D641,"-")</f>
        <v>-</v>
      </c>
      <c r="AD802" s="1369" t="str">
        <f t="shared" si="219"/>
        <v>Tablas!$AE$802:$AS$802</v>
      </c>
      <c r="AE802" s="1364" t="s">
        <v>2208</v>
      </c>
      <c r="AF802" s="2872" t="s">
        <v>8548</v>
      </c>
      <c r="AG802" s="2872" t="s">
        <v>2210</v>
      </c>
      <c r="AH802" s="2872" t="s">
        <v>2212</v>
      </c>
      <c r="AI802" s="2872" t="s">
        <v>2214</v>
      </c>
      <c r="AJ802" s="2872" t="s">
        <v>2216</v>
      </c>
      <c r="AK802" s="2872" t="s">
        <v>2217</v>
      </c>
      <c r="AL802" s="2872" t="s">
        <v>2147</v>
      </c>
      <c r="AM802" s="2872" t="s">
        <v>8550</v>
      </c>
      <c r="AN802" s="2872" t="s">
        <v>8549</v>
      </c>
      <c r="AO802" s="2872" t="s">
        <v>2219</v>
      </c>
      <c r="AP802" s="2872" t="s">
        <v>2221</v>
      </c>
      <c r="AQ802" s="2872" t="s">
        <v>2223</v>
      </c>
      <c r="AR802" s="2872" t="s">
        <v>8551</v>
      </c>
      <c r="AS802" s="2872" t="s">
        <v>8552</v>
      </c>
      <c r="AT802" s="2872" t="str">
        <f>IF(ISNUMBER(FIND("Munición",VLOOKUP($D$640,Tabla_ArmasyEscudos,8,0))),$D$640,IF(ISNUMBER(FIND("Munición",VLOOKUP($D$641,Tabla_ArmasyEscudos,8,0))),$D$641,IF(ISNUMBER(FIND("Munición",VLOOKUP($D$642,Tabla_ArmasyEscudos,8,0))),$D$642,"")))</f>
        <v/>
      </c>
      <c r="AU802" s="2872"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042"/>
      <c r="C803" s="1141"/>
      <c r="D803" s="2614" t="s">
        <v>8580</v>
      </c>
      <c r="E803" s="2613">
        <v>0</v>
      </c>
      <c r="F803" s="2613">
        <v>-20</v>
      </c>
      <c r="G803" s="2613">
        <v>5</v>
      </c>
      <c r="H803" s="2613">
        <v>3</v>
      </c>
      <c r="I803" s="2613" t="s">
        <v>1551</v>
      </c>
      <c r="J803" s="2613" t="s">
        <v>1455</v>
      </c>
      <c r="K803" s="2859" t="s">
        <v>7255</v>
      </c>
      <c r="L803" s="2622" t="str">
        <f>L802</f>
        <v>Distinta</v>
      </c>
      <c r="M803" s="2619">
        <v>12</v>
      </c>
      <c r="N803" s="2619">
        <v>2</v>
      </c>
      <c r="O803" s="2619">
        <v>35</v>
      </c>
      <c r="P803" s="2613"/>
      <c r="Q803" s="2613"/>
      <c r="R803" s="2613" t="s">
        <v>1455</v>
      </c>
      <c r="S803" s="2613">
        <v>2</v>
      </c>
      <c r="T803" s="2613">
        <v>80</v>
      </c>
      <c r="U803" s="2613">
        <v>11</v>
      </c>
      <c r="V803" s="2859" t="s">
        <v>2236</v>
      </c>
      <c r="W803" s="2611"/>
      <c r="X803" s="2665" t="s">
        <v>10151</v>
      </c>
      <c r="Y803" s="1144">
        <v>0</v>
      </c>
      <c r="Z803" s="2863"/>
      <c r="AA803" s="1955" t="s">
        <v>2225</v>
      </c>
      <c r="AC803" s="1366" t="str">
        <f>IF(ISNUMBER(FIND("Proyectil",VLOOKUP($D642,Tabla_ArmasyEscudos,8,0))),$D642,"-")</f>
        <v>-</v>
      </c>
      <c r="AD803" s="1369" t="str">
        <f t="shared" si="219"/>
        <v>Tablas!$AE$803:$AS$803</v>
      </c>
      <c r="AE803" s="1364" t="s">
        <v>2208</v>
      </c>
      <c r="AF803" s="2872" t="s">
        <v>8548</v>
      </c>
      <c r="AG803" s="2872" t="s">
        <v>2210</v>
      </c>
      <c r="AH803" s="2872" t="s">
        <v>2212</v>
      </c>
      <c r="AI803" s="2872" t="s">
        <v>2214</v>
      </c>
      <c r="AJ803" s="2872" t="s">
        <v>2216</v>
      </c>
      <c r="AK803" s="2872" t="s">
        <v>2217</v>
      </c>
      <c r="AL803" s="2872" t="s">
        <v>2147</v>
      </c>
      <c r="AM803" s="2872" t="s">
        <v>8550</v>
      </c>
      <c r="AN803" s="2872" t="s">
        <v>8549</v>
      </c>
      <c r="AO803" s="2872" t="s">
        <v>2219</v>
      </c>
      <c r="AP803" s="2872" t="s">
        <v>2221</v>
      </c>
      <c r="AQ803" s="2872" t="s">
        <v>2223</v>
      </c>
      <c r="AR803" s="2872" t="s">
        <v>8551</v>
      </c>
      <c r="AS803" s="2872" t="s">
        <v>8552</v>
      </c>
      <c r="AT803" s="2872" t="str">
        <f>IF(ISNUMBER(FIND("Munición",VLOOKUP($D$640,Tabla_ArmasyEscudos,8,0))),$D$640,IF(ISNUMBER(FIND("Munición",VLOOKUP($D$641,Tabla_ArmasyEscudos,8,0))),$D$641,IF(ISNUMBER(FIND("Munición",VLOOKUP($D$642,Tabla_ArmasyEscudos,8,0))),$D$642,"")))</f>
        <v/>
      </c>
      <c r="AU803" s="2872"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042"/>
      <c r="C804" s="1141"/>
      <c r="D804" s="2614" t="s">
        <v>8581</v>
      </c>
      <c r="E804" s="2613">
        <v>0</v>
      </c>
      <c r="F804" s="2613">
        <v>-40</v>
      </c>
      <c r="G804" s="2613" t="s">
        <v>1455</v>
      </c>
      <c r="H804" s="2613">
        <v>7</v>
      </c>
      <c r="I804" s="2613" t="s">
        <v>1497</v>
      </c>
      <c r="J804" s="2613" t="s">
        <v>1455</v>
      </c>
      <c r="K804" s="2859" t="s">
        <v>7255</v>
      </c>
      <c r="L804" s="2622" t="str">
        <f>IF(AND(H1019&gt;0,L774="Conocida",OR(L699="Conocida",L700="Conocida",L701="Conocida")),"Conocida","Distinta")</f>
        <v>Distinta</v>
      </c>
      <c r="M804" s="2619">
        <v>15</v>
      </c>
      <c r="N804" s="2619">
        <v>5</v>
      </c>
      <c r="O804" s="2619">
        <v>35</v>
      </c>
      <c r="P804" s="2613"/>
      <c r="Q804" s="2613"/>
      <c r="R804" s="2613" t="s">
        <v>1455</v>
      </c>
      <c r="S804" s="2613">
        <v>10</v>
      </c>
      <c r="T804" s="2613">
        <v>250</v>
      </c>
      <c r="U804" s="2613">
        <v>12</v>
      </c>
      <c r="V804" s="2859" t="s">
        <v>2239</v>
      </c>
      <c r="W804" s="2611"/>
      <c r="X804" s="2665" t="s">
        <v>1966</v>
      </c>
      <c r="Y804" s="1144">
        <v>0</v>
      </c>
      <c r="Z804" s="2863"/>
      <c r="AA804" s="1955" t="s">
        <v>2225</v>
      </c>
      <c r="AC804" s="1366" t="s">
        <v>1915</v>
      </c>
      <c r="AD804" s="1369" t="str">
        <f t="shared" ca="1" si="219"/>
        <v>Tablas!$AE$804:$AE$804</v>
      </c>
      <c r="AE804" s="1364" t="s">
        <v>8793</v>
      </c>
      <c r="AF804" s="2872" t="str">
        <f ca="1">AF829</f>
        <v/>
      </c>
      <c r="AG804" s="2872" t="str">
        <f ca="1">AF830</f>
        <v/>
      </c>
      <c r="AH804" s="2872" t="str">
        <f ca="1">AF831</f>
        <v/>
      </c>
      <c r="AI804" s="2872" t="str">
        <f ca="1">AF832</f>
        <v/>
      </c>
      <c r="AJ804" s="2872" t="str">
        <f ca="1">AF833</f>
        <v/>
      </c>
      <c r="AK804" s="2872" t="str">
        <f ca="1">AF834</f>
        <v/>
      </c>
      <c r="AL804" s="2872" t="str">
        <f ca="1">AF835</f>
        <v/>
      </c>
      <c r="AM804" s="2872" t="str">
        <f ca="1">AF836</f>
        <v/>
      </c>
      <c r="AN804" s="2872" t="str">
        <f ca="1">AF837</f>
        <v/>
      </c>
      <c r="AO804" s="2872" t="str">
        <f ca="1">AF838</f>
        <v/>
      </c>
      <c r="AP804" s="2872"/>
      <c r="AQ804" s="2872"/>
      <c r="AR804" s="2872"/>
      <c r="AS804" s="2872"/>
      <c r="AT804" s="2872"/>
      <c r="AU804" s="2872"/>
      <c r="AV804" s="1362"/>
    </row>
    <row r="805" spans="1:48" ht="12.75" customHeight="1" x14ac:dyDescent="0.2">
      <c r="A805" s="227">
        <v>805</v>
      </c>
      <c r="B805" s="6042"/>
      <c r="C805" s="1141"/>
      <c r="D805" s="2614" t="s">
        <v>2238</v>
      </c>
      <c r="E805" s="2613">
        <v>60</v>
      </c>
      <c r="F805" s="2613">
        <v>-15</v>
      </c>
      <c r="G805" s="2613" t="s">
        <v>1455</v>
      </c>
      <c r="H805" s="2613">
        <v>7</v>
      </c>
      <c r="I805" s="2613" t="s">
        <v>1497</v>
      </c>
      <c r="J805" s="2613" t="s">
        <v>1455</v>
      </c>
      <c r="K805" s="2859" t="s">
        <v>7255</v>
      </c>
      <c r="L805" s="2622" t="str">
        <f>L804</f>
        <v>Distinta</v>
      </c>
      <c r="M805" s="2619">
        <v>15</v>
      </c>
      <c r="N805" s="2619">
        <v>5</v>
      </c>
      <c r="O805" s="2619">
        <v>35</v>
      </c>
      <c r="P805" s="2613"/>
      <c r="Q805" s="2613"/>
      <c r="R805" s="2613" t="s">
        <v>1455</v>
      </c>
      <c r="S805" s="2613" t="s">
        <v>1455</v>
      </c>
      <c r="T805" s="2613" t="s">
        <v>1455</v>
      </c>
      <c r="U805" s="2613"/>
      <c r="V805" s="2859" t="s">
        <v>2239</v>
      </c>
      <c r="W805" s="2611"/>
      <c r="X805" s="2665" t="s">
        <v>1966</v>
      </c>
      <c r="Y805" s="1144">
        <f>Bono_Fue</f>
        <v>0</v>
      </c>
      <c r="Z805" s="2863"/>
      <c r="AA805" s="1955" t="s">
        <v>2225</v>
      </c>
      <c r="AC805" s="1366" t="s">
        <v>8547</v>
      </c>
      <c r="AD805" s="1369" t="str">
        <f t="shared" si="219"/>
        <v>Tablas!$AE$805:$AE$805</v>
      </c>
      <c r="AE805" s="1365" t="s">
        <v>2208</v>
      </c>
      <c r="AF805" s="2872" t="str">
        <f>IF(ISNUMBER(FIND("Munición",VLOOKUP($D$640,Tabla_ArmasyEscudos,8,0))),$D$640,IF(ISNUMBER(FIND("Munición",VLOOKUP($D$641,Tabla_ArmasyEscudos,8,0))),$D$641,IF(ISNUMBER(FIND("Munición",VLOOKUP($D$642,Tabla_ArmasyEscudos,8,0))),$D$642,"")))</f>
        <v/>
      </c>
      <c r="AG805" s="2872" t="str">
        <f>IF(AF805&lt;&gt;"",IF(AND($D$641&lt;&gt;AF805,ISNUMBER(FIND("Munición",VLOOKUP($D$641,Tabla_ArmasyEscudos,8,0)))),$D$641,IF(AND($D$642&lt;&gt;AF805,ISNUMBER(FIND("Munición",VLOOKUP($D$642,Tabla_ArmasyEscudos,8,0)))),$D$642,"")),"")</f>
        <v/>
      </c>
      <c r="AH805" s="2872" t="str">
        <f>IF(AND(AG805&lt;&gt;"",$D$642&lt;&gt;AG805,$D$642&lt;&gt;AF805,ISNUMBER(FIND("Munición",VLOOKUP($D$642,Tabla_ArmasyEscudos,8,0)))),$D$642,"")</f>
        <v/>
      </c>
      <c r="AI805" s="2335"/>
      <c r="AJ805" s="2335"/>
      <c r="AK805" s="2335"/>
      <c r="AL805" s="2873"/>
      <c r="AM805" s="2873"/>
      <c r="AN805" s="2873"/>
      <c r="AO805" s="2335"/>
      <c r="AP805" s="2335"/>
      <c r="AQ805" s="2335"/>
      <c r="AR805" s="2335"/>
      <c r="AS805" s="2335"/>
      <c r="AT805" s="2335"/>
      <c r="AU805" s="2335"/>
      <c r="AV805" s="617"/>
    </row>
    <row r="806" spans="1:48" ht="12.75" customHeight="1" x14ac:dyDescent="0.2">
      <c r="A806" s="227">
        <v>806</v>
      </c>
      <c r="B806" s="6042"/>
      <c r="C806" s="1141"/>
      <c r="D806" s="2614" t="s">
        <v>10079</v>
      </c>
      <c r="E806" s="2613">
        <f>80-Bono_Pod</f>
        <v>80</v>
      </c>
      <c r="F806" s="2613">
        <v>20</v>
      </c>
      <c r="G806" s="2613" t="s">
        <v>1455</v>
      </c>
      <c r="H806" s="2613">
        <v>0</v>
      </c>
      <c r="I806" s="2613" t="s">
        <v>8608</v>
      </c>
      <c r="J806" s="2613" t="s">
        <v>1455</v>
      </c>
      <c r="K806" s="2859" t="s">
        <v>7255</v>
      </c>
      <c r="L806" s="2622" t="str">
        <f>IF($H$1001&gt;0,"Conocida","Distinta")</f>
        <v>Distinta</v>
      </c>
      <c r="M806" s="2619" t="s">
        <v>1455</v>
      </c>
      <c r="N806" s="2619">
        <v>8</v>
      </c>
      <c r="O806" s="2619" t="s">
        <v>8608</v>
      </c>
      <c r="P806" s="2613"/>
      <c r="Q806" s="2613"/>
      <c r="R806" s="2613" t="s">
        <v>1455</v>
      </c>
      <c r="S806" s="2613" t="s">
        <v>1455</v>
      </c>
      <c r="T806" s="2613" t="s">
        <v>1455</v>
      </c>
      <c r="U806" s="2613"/>
      <c r="V806" s="2859" t="s">
        <v>2150</v>
      </c>
      <c r="W806" s="2611"/>
      <c r="X806" s="2665"/>
      <c r="Y806" s="1144">
        <f>Bono_Pod</f>
        <v>0</v>
      </c>
      <c r="Z806" s="2863"/>
      <c r="AA806" s="1955" t="s">
        <v>2225</v>
      </c>
      <c r="AC806" s="1366" t="s">
        <v>2195</v>
      </c>
      <c r="AD806" s="1369" t="str">
        <f t="shared" si="219"/>
        <v>Tablas!$AE$806:$AG$806</v>
      </c>
      <c r="AE806" s="1365" t="s">
        <v>2214</v>
      </c>
      <c r="AF806" s="2873" t="s">
        <v>2216</v>
      </c>
      <c r="AG806" s="2873" t="s">
        <v>2217</v>
      </c>
      <c r="AH806" s="2872" t="str">
        <f>IF(ISNUMBER(FIND("Munición",VLOOKUP($D$640,Tabla_ArmasyEscudos,8,0))),$D$640,IF(ISNUMBER(FIND("Munición",VLOOKUP($D$641,Tabla_ArmasyEscudos,8,0))),$D$641,IF(ISNUMBER(FIND("Munición",VLOOKUP($D$642,Tabla_ArmasyEscudos,8,0))),$D$642,"")))</f>
        <v/>
      </c>
      <c r="AI806" s="2872" t="str">
        <f>IF(AH806&lt;&gt;"",IF(AND($D$641&lt;&gt;AH806,ISNUMBER(FIND("Munición",VLOOKUP($D$641,Tabla_ArmasyEscudos,8,0)))),$D$641,IF(AND($D$642&lt;&gt;AH806,ISNUMBER(FIND("Munición",VLOOKUP($D$642,Tabla_ArmasyEscudos,8,0)))),$D$642,"")),"")</f>
        <v/>
      </c>
      <c r="AJ806" s="2872" t="str">
        <f>IF(AND(AI806&lt;&gt;"",$D$642&lt;&gt;AI806,$D$642&lt;&gt;AH806,ISNUMBER(FIND("Munición",VLOOKUP($D$642,Tabla_ArmasyEscudos,8,0)))),$D$642,"")</f>
        <v/>
      </c>
      <c r="AK806" s="2335"/>
      <c r="AL806" s="2873"/>
      <c r="AM806" s="2873"/>
      <c r="AN806" s="2873"/>
      <c r="AO806" s="2335"/>
      <c r="AP806" s="2335"/>
      <c r="AQ806" s="2335"/>
      <c r="AR806" s="2335"/>
      <c r="AS806" s="2335"/>
      <c r="AT806" s="2335"/>
      <c r="AU806" s="2335"/>
      <c r="AV806" s="617"/>
    </row>
    <row r="807" spans="1:48" ht="12.75" customHeight="1" x14ac:dyDescent="0.2">
      <c r="A807" s="227">
        <v>807</v>
      </c>
      <c r="B807" s="6042"/>
      <c r="C807" s="1141"/>
      <c r="D807" s="2614" t="s">
        <v>10061</v>
      </c>
      <c r="E807" s="2613">
        <f>60-10</f>
        <v>50</v>
      </c>
      <c r="F807" s="2613">
        <v>-10</v>
      </c>
      <c r="G807" s="2613">
        <v>0</v>
      </c>
      <c r="H807" s="2613">
        <v>0</v>
      </c>
      <c r="I807" s="2613" t="s">
        <v>1497</v>
      </c>
      <c r="J807" s="2613" t="s">
        <v>1455</v>
      </c>
      <c r="K807" s="2859" t="s">
        <v>7255</v>
      </c>
      <c r="L807" s="3043" t="str">
        <f>IF(AND(VirgoAprendido,OR($H1020&gt;0,ISNUMBER(SEARCH($D807&amp;",",Armas_Conocidas)))),"Conocida","Distinta")</f>
        <v>Distinta</v>
      </c>
      <c r="M807" s="2619">
        <v>0</v>
      </c>
      <c r="N807" s="2619">
        <v>2</v>
      </c>
      <c r="O807" s="2619">
        <f>Presencia_final</f>
        <v>20</v>
      </c>
      <c r="P807" s="2613"/>
      <c r="Q807" s="2613"/>
      <c r="R807" s="2613" t="s">
        <v>1455</v>
      </c>
      <c r="S807" s="2613" t="s">
        <v>1455</v>
      </c>
      <c r="T807" s="2613">
        <f>2*Principal!K52</f>
        <v>0</v>
      </c>
      <c r="U807" s="2613"/>
      <c r="V807" s="2859" t="str">
        <f>"Alcance "&amp;2*Presencia_final&amp;"m, Fascinación, Ver"</f>
        <v>Alcance 40m, Fascinación, Ver</v>
      </c>
      <c r="W807" s="2611"/>
      <c r="X807" s="2665" t="s">
        <v>10151</v>
      </c>
      <c r="Y807" s="1144">
        <v>0</v>
      </c>
      <c r="Z807" s="2863"/>
      <c r="AA807" s="1955" t="s">
        <v>2225</v>
      </c>
      <c r="AC807" s="1366" t="s">
        <v>2197</v>
      </c>
      <c r="AD807" s="1369" t="str">
        <f t="shared" si="219"/>
        <v>Tablas!$AE$807:$AG$807</v>
      </c>
      <c r="AE807" s="1365" t="s">
        <v>2214</v>
      </c>
      <c r="AF807" s="2873" t="s">
        <v>2216</v>
      </c>
      <c r="AG807" s="2873" t="s">
        <v>2217</v>
      </c>
      <c r="AH807" s="2872" t="str">
        <f>IF(ISNUMBER(FIND("Munición",VLOOKUP($D$640,Tabla_ArmasyEscudos,8,0))),$D$640,IF(ISNUMBER(FIND("Munición",VLOOKUP($D$641,Tabla_ArmasyEscudos,8,0))),$D$641,IF(ISNUMBER(FIND("Munición",VLOOKUP($D$642,Tabla_ArmasyEscudos,8,0))),$D$642,"")))</f>
        <v/>
      </c>
      <c r="AI807" s="2872" t="str">
        <f>IF(AH807&lt;&gt;"",IF(AND($D$641&lt;&gt;AH807,ISNUMBER(FIND("Munición",VLOOKUP($D$641,Tabla_ArmasyEscudos,8,0)))),$D$641,IF(AND($D$642&lt;&gt;AH807,ISNUMBER(FIND("Munición",VLOOKUP($D$642,Tabla_ArmasyEscudos,8,0)))),$D$642,"")),"")</f>
        <v/>
      </c>
      <c r="AJ807" s="2872" t="str">
        <f>IF(AND(AI807&lt;&gt;"",$D$642&lt;&gt;AI807,$D$642&lt;&gt;AH807,ISNUMBER(FIND("Munición",VLOOKUP($D$642,Tabla_ArmasyEscudos,8,0)))),$D$642,"")</f>
        <v/>
      </c>
      <c r="AK807" s="2335"/>
      <c r="AL807" s="2873"/>
      <c r="AM807" s="2873"/>
      <c r="AN807" s="2873"/>
      <c r="AO807" s="2335"/>
      <c r="AP807" s="2335"/>
      <c r="AQ807" s="2335"/>
      <c r="AR807" s="2335"/>
      <c r="AS807" s="2335"/>
      <c r="AT807" s="2335"/>
      <c r="AU807" s="2335"/>
      <c r="AV807" s="617"/>
    </row>
    <row r="808" spans="1:48" ht="12.75" customHeight="1" x14ac:dyDescent="0.2">
      <c r="A808" s="227">
        <v>808</v>
      </c>
      <c r="B808" s="6042"/>
      <c r="C808" s="1141"/>
      <c r="D808" s="2614" t="s">
        <v>10062</v>
      </c>
      <c r="E808" s="2613">
        <f>80-10</f>
        <v>70</v>
      </c>
      <c r="F808" s="2613">
        <v>-10</v>
      </c>
      <c r="G808" s="2613">
        <v>0</v>
      </c>
      <c r="H808" s="2613">
        <v>0</v>
      </c>
      <c r="I808" s="2613" t="s">
        <v>1497</v>
      </c>
      <c r="J808" s="2613" t="s">
        <v>1455</v>
      </c>
      <c r="K808" s="2859" t="s">
        <v>7255</v>
      </c>
      <c r="L808" s="3043" t="str">
        <f>IF(AND(VirgoAprendido,OR($H1021&gt;0,ISNUMBER(SEARCH($D808&amp;",",Armas_Conocidas)))),"Conocida","Distinta")</f>
        <v>Distinta</v>
      </c>
      <c r="M808" s="2619">
        <v>0</v>
      </c>
      <c r="N808" s="2619">
        <v>2</v>
      </c>
      <c r="O808" s="2619">
        <f>Presencia_final</f>
        <v>20</v>
      </c>
      <c r="P808" s="2613"/>
      <c r="Q808" s="2613"/>
      <c r="R808" s="2613" t="s">
        <v>1455</v>
      </c>
      <c r="S808" s="2613" t="s">
        <v>1455</v>
      </c>
      <c r="T808" s="2613">
        <f>2*Principal!K53</f>
        <v>0</v>
      </c>
      <c r="U808" s="2613"/>
      <c r="V808" s="2859" t="str">
        <f>"Alcance "&amp;2*Presencia_final&amp;"m, Ver"</f>
        <v>Alcance 40m, Ver</v>
      </c>
      <c r="W808" s="2611"/>
      <c r="X808" s="2665" t="s">
        <v>10151</v>
      </c>
      <c r="Y808" s="1144">
        <v>0</v>
      </c>
      <c r="Z808" s="2863"/>
      <c r="AA808" s="1955" t="s">
        <v>2225</v>
      </c>
      <c r="AC808" s="1366" t="s">
        <v>6976</v>
      </c>
      <c r="AD808" s="1369" t="str">
        <f t="shared" si="219"/>
        <v>Tablas!$AE$808:$AF$808</v>
      </c>
      <c r="AE808" s="1365" t="s">
        <v>8548</v>
      </c>
      <c r="AF808" s="2873" t="s">
        <v>8550</v>
      </c>
      <c r="AG808" s="2872" t="str">
        <f>IF(ISNUMBER(FIND("Munición",VLOOKUP($D$640,Tabla_ArmasyEscudos,8,0))),$D$640,IF(ISNUMBER(FIND("Munición",VLOOKUP($D$641,Tabla_ArmasyEscudos,8,0))),$D$641,IF(ISNUMBER(FIND("Munición",VLOOKUP($D$642,Tabla_ArmasyEscudos,8,0))),$D$642,"")))</f>
        <v/>
      </c>
      <c r="AH808" s="2872" t="str">
        <f>IF(AG808&lt;&gt;"",IF(AND($D$641&lt;&gt;AG808,ISNUMBER(FIND("Munición",VLOOKUP($D$641,Tabla_ArmasyEscudos,8,0)))),$D$641,IF(AND($D$642&lt;&gt;AG808,ISNUMBER(FIND("Munición",VLOOKUP($D$642,Tabla_ArmasyEscudos,8,0)))),$D$642,"")),"")</f>
        <v/>
      </c>
      <c r="AI808" s="2872" t="str">
        <f>IF(AND(AH808&lt;&gt;"",$D$642&lt;&gt;AH808,$D$642&lt;&gt;AG808,ISNUMBER(FIND("Munición",VLOOKUP($D$642,Tabla_ArmasyEscudos,8,0)))),$D$642,"")</f>
        <v/>
      </c>
      <c r="AJ808" s="2335"/>
      <c r="AK808" s="2335"/>
      <c r="AL808" s="2873"/>
      <c r="AM808" s="2873"/>
      <c r="AN808" s="2873"/>
      <c r="AO808" s="2335"/>
      <c r="AP808" s="2335"/>
      <c r="AQ808" s="2335"/>
      <c r="AR808" s="2335"/>
      <c r="AS808" s="2335"/>
      <c r="AT808" s="2335"/>
      <c r="AU808" s="2335"/>
      <c r="AV808" s="617"/>
    </row>
    <row r="809" spans="1:48" ht="12.75" customHeight="1" x14ac:dyDescent="0.2">
      <c r="A809" s="227">
        <v>809</v>
      </c>
      <c r="B809" s="6042"/>
      <c r="C809" s="1141"/>
      <c r="D809" s="2614" t="s">
        <v>10063</v>
      </c>
      <c r="E809" s="2613">
        <f>60-10</f>
        <v>50</v>
      </c>
      <c r="F809" s="2613">
        <v>-10</v>
      </c>
      <c r="G809" s="2613">
        <v>0</v>
      </c>
      <c r="H809" s="2613">
        <v>0</v>
      </c>
      <c r="I809" s="2613" t="s">
        <v>1497</v>
      </c>
      <c r="J809" s="2613" t="s">
        <v>1455</v>
      </c>
      <c r="K809" s="2859" t="s">
        <v>7255</v>
      </c>
      <c r="L809" s="3043" t="str">
        <f>IF(AND(VirgoAprendido,OR($H1022&gt;0,ISNUMBER(SEARCH($D809&amp;",",Armas_Conocidas)))),"Conocida","Distinta")</f>
        <v>Distinta</v>
      </c>
      <c r="M809" s="2619">
        <v>0</v>
      </c>
      <c r="N809" s="2619">
        <v>2</v>
      </c>
      <c r="O809" s="2619">
        <f>Presencia_final</f>
        <v>20</v>
      </c>
      <c r="P809" s="2613"/>
      <c r="Q809" s="2613"/>
      <c r="R809" s="2613" t="s">
        <v>1455</v>
      </c>
      <c r="S809" s="2613" t="s">
        <v>1455</v>
      </c>
      <c r="T809" s="2613">
        <f>2*Principal!K54</f>
        <v>0</v>
      </c>
      <c r="U809" s="2613"/>
      <c r="V809" s="2859" t="str">
        <f>"Alcance "&amp;2*Presencia_final&amp;"m, Resonancia mejorada, Ver"</f>
        <v>Alcance 40m, Resonancia mejorada, Ver</v>
      </c>
      <c r="W809" s="2611"/>
      <c r="X809" s="2665" t="s">
        <v>10151</v>
      </c>
      <c r="Y809" s="1144">
        <v>0</v>
      </c>
      <c r="Z809" s="2863"/>
      <c r="AA809" s="1955" t="s">
        <v>2225</v>
      </c>
      <c r="AC809" s="1366" t="s">
        <v>2198</v>
      </c>
      <c r="AD809" s="1369" t="str">
        <f t="shared" si="219"/>
        <v>Tablas!$AE$809:$AG$809</v>
      </c>
      <c r="AE809" s="1365" t="s">
        <v>2214</v>
      </c>
      <c r="AF809" s="2873" t="s">
        <v>2216</v>
      </c>
      <c r="AG809" s="2873" t="s">
        <v>2217</v>
      </c>
      <c r="AH809" s="2872" t="str">
        <f>IF(ISNUMBER(FIND("Munición",VLOOKUP($D$640,Tabla_ArmasyEscudos,8,0))),$D$640,IF(ISNUMBER(FIND("Munición",VLOOKUP($D$641,Tabla_ArmasyEscudos,8,0))),$D$641,IF(ISNUMBER(FIND("Munición",VLOOKUP($D$642,Tabla_ArmasyEscudos,8,0))),$D$642,"")))</f>
        <v/>
      </c>
      <c r="AI809" s="2872" t="str">
        <f>IF(AH809&lt;&gt;"",IF(AND($D$641&lt;&gt;AH809,ISNUMBER(FIND("Munición",VLOOKUP($D$641,Tabla_ArmasyEscudos,8,0)))),$D$641,IF(AND($D$642&lt;&gt;AH809,ISNUMBER(FIND("Munición",VLOOKUP($D$642,Tabla_ArmasyEscudos,8,0)))),$D$642,"")),"")</f>
        <v/>
      </c>
      <c r="AJ809" s="2872" t="str">
        <f>IF(AND(AI809&lt;&gt;"",$D$642&lt;&gt;AI809,$D$642&lt;&gt;AH809,ISNUMBER(FIND("Munición",VLOOKUP($D$642,Tabla_ArmasyEscudos,8,0)))),$D$642,"")</f>
        <v/>
      </c>
      <c r="AK809" s="2335"/>
      <c r="AL809" s="2873"/>
      <c r="AM809" s="2873"/>
      <c r="AN809" s="2873"/>
      <c r="AO809" s="2335"/>
      <c r="AP809" s="2335"/>
      <c r="AQ809" s="2335"/>
      <c r="AR809" s="2335"/>
      <c r="AS809" s="2335"/>
      <c r="AT809" s="2335"/>
      <c r="AU809" s="2335"/>
      <c r="AV809" s="617"/>
    </row>
    <row r="810" spans="1:48" ht="12.75" customHeight="1" x14ac:dyDescent="0.2">
      <c r="A810" s="227">
        <v>810</v>
      </c>
      <c r="B810" s="6042"/>
      <c r="C810" s="1141"/>
      <c r="D810" s="2614" t="s">
        <v>10064</v>
      </c>
      <c r="E810" s="2613">
        <f>60-10</f>
        <v>50</v>
      </c>
      <c r="F810" s="2613">
        <v>-10</v>
      </c>
      <c r="G810" s="2613">
        <v>0</v>
      </c>
      <c r="H810" s="2613">
        <v>0</v>
      </c>
      <c r="I810" s="2613" t="s">
        <v>1497</v>
      </c>
      <c r="J810" s="2613" t="s">
        <v>1455</v>
      </c>
      <c r="K810" s="2859" t="s">
        <v>7255</v>
      </c>
      <c r="L810" s="3043" t="str">
        <f>IF(AND(VirgoAprendido,OR($H1023&gt;0,ISNUMBER(SEARCH($D810&amp;",",Armas_Conocidas)))),"Conocida","Distinta")</f>
        <v>Distinta</v>
      </c>
      <c r="M810" s="2619">
        <v>0</v>
      </c>
      <c r="N810" s="2619">
        <v>2</v>
      </c>
      <c r="O810" s="2619">
        <f>Presencia_final</f>
        <v>20</v>
      </c>
      <c r="P810" s="2613"/>
      <c r="Q810" s="2613"/>
      <c r="R810" s="2613" t="s">
        <v>1455</v>
      </c>
      <c r="S810" s="2613" t="s">
        <v>1455</v>
      </c>
      <c r="T810" s="2613">
        <f>2*Principal!K55</f>
        <v>0</v>
      </c>
      <c r="U810" s="2613"/>
      <c r="V810" s="2859" t="str">
        <f>"Alcance "&amp;2*Presencia_final&amp;"m, Impacto FUE 12, Ver"</f>
        <v>Alcance 40m, Impacto FUE 12, Ver</v>
      </c>
      <c r="W810" s="2611"/>
      <c r="X810" s="2665" t="s">
        <v>10151</v>
      </c>
      <c r="Y810" s="1144">
        <v>0</v>
      </c>
      <c r="Z810" s="2863"/>
      <c r="AA810" s="1955" t="s">
        <v>2225</v>
      </c>
      <c r="AC810" s="1366" t="s">
        <v>6980</v>
      </c>
      <c r="AD810" s="1369" t="str">
        <f t="shared" si="219"/>
        <v>Tablas!$AE$810:$AE$810</v>
      </c>
      <c r="AE810" s="1365" t="s">
        <v>8576</v>
      </c>
      <c r="AF810" s="2872" t="str">
        <f t="shared" ref="AF810:AF815" si="220">IF(ISNUMBER(FIND("Munición",VLOOKUP($D$640,Tabla_ArmasyEscudos,8,0))),$D$640,IF(ISNUMBER(FIND("Munición",VLOOKUP($D$641,Tabla_ArmasyEscudos,8,0))),$D$641,IF(ISNUMBER(FIND("Munición",VLOOKUP($D$642,Tabla_ArmasyEscudos,8,0))),$D$642,"")))</f>
        <v/>
      </c>
      <c r="AG810" s="2872" t="str">
        <f t="shared" ref="AG810:AG815" si="221">IF(AF810&lt;&gt;"",IF(AND($D$641&lt;&gt;AF810,ISNUMBER(FIND("Munición",VLOOKUP($D$641,Tabla_ArmasyEscudos,8,0)))),$D$641,IF(AND($D$642&lt;&gt;AF810,ISNUMBER(FIND("Munición",VLOOKUP($D$642,Tabla_ArmasyEscudos,8,0)))),$D$642,"")),"")</f>
        <v/>
      </c>
      <c r="AH810" s="2872" t="str">
        <f t="shared" ref="AH810:AH815" si="222">IF(AND(AG810&lt;&gt;"",$D$642&lt;&gt;AG810,$D$642&lt;&gt;AF810,ISNUMBER(FIND("Munición",VLOOKUP($D$642,Tabla_ArmasyEscudos,8,0)))),$D$642,"")</f>
        <v/>
      </c>
      <c r="AI810" s="2335"/>
      <c r="AJ810" s="2335"/>
      <c r="AK810" s="2335"/>
      <c r="AL810" s="2873"/>
      <c r="AM810" s="2873"/>
      <c r="AN810" s="2873"/>
      <c r="AO810" s="2335"/>
      <c r="AP810" s="2335"/>
      <c r="AQ810" s="2335"/>
      <c r="AR810" s="2335"/>
      <c r="AS810" s="2335"/>
      <c r="AT810" s="2335"/>
      <c r="AU810" s="2335"/>
      <c r="AV810" s="617"/>
    </row>
    <row r="811" spans="1:48" ht="12.75" customHeight="1" x14ac:dyDescent="0.2">
      <c r="A811" s="227">
        <v>811</v>
      </c>
      <c r="B811" s="6042"/>
      <c r="C811" s="1141"/>
      <c r="D811" s="2614" t="s">
        <v>2240</v>
      </c>
      <c r="E811" s="2613">
        <f>60-10</f>
        <v>50</v>
      </c>
      <c r="F811" s="2613">
        <v>0</v>
      </c>
      <c r="G811" s="2613">
        <v>5</v>
      </c>
      <c r="H811" s="2613">
        <v>5</v>
      </c>
      <c r="I811" s="2613" t="s">
        <v>2241</v>
      </c>
      <c r="J811" s="2613" t="s">
        <v>1455</v>
      </c>
      <c r="K811" s="2859" t="s">
        <v>7255</v>
      </c>
      <c r="L811" s="2622" t="str">
        <f>IF(SUMPRODUCT(--ISNUMBER(SEARCH($D811,INDEX(Tabla_ArsMagnus,,1))),INDEX(Tabla_ArsMagnus,,4))&gt;0,"Conocida","Distinta")</f>
        <v>Distinta</v>
      </c>
      <c r="M811" s="2619">
        <v>15</v>
      </c>
      <c r="N811" s="2619">
        <v>2</v>
      </c>
      <c r="O811" s="2619">
        <f>Presencia_final</f>
        <v>20</v>
      </c>
      <c r="P811" s="2613"/>
      <c r="Q811" s="2613"/>
      <c r="R811" s="2613" t="s">
        <v>1455</v>
      </c>
      <c r="S811" s="2613" t="s">
        <v>1455</v>
      </c>
      <c r="T811" s="2613" t="s">
        <v>1455</v>
      </c>
      <c r="U811" s="2613"/>
      <c r="V811" s="2859" t="s">
        <v>2242</v>
      </c>
      <c r="W811" s="2611"/>
      <c r="X811" s="2665" t="s">
        <v>10151</v>
      </c>
      <c r="Y811" s="1144">
        <f>Bono_Fue</f>
        <v>0</v>
      </c>
      <c r="Z811" s="2863"/>
      <c r="AA811" s="1955" t="s">
        <v>2225</v>
      </c>
      <c r="AC811" s="1366" t="s">
        <v>2199</v>
      </c>
      <c r="AD811" s="1369" t="str">
        <f t="shared" si="219"/>
        <v>Tablas!$AE$811:$AE$811</v>
      </c>
      <c r="AE811" s="1365" t="s">
        <v>2219</v>
      </c>
      <c r="AF811" s="2872" t="str">
        <f t="shared" si="220"/>
        <v/>
      </c>
      <c r="AG811" s="2872" t="str">
        <f t="shared" si="221"/>
        <v/>
      </c>
      <c r="AH811" s="2872" t="str">
        <f t="shared" si="222"/>
        <v/>
      </c>
      <c r="AI811" s="2335"/>
      <c r="AJ811" s="2335"/>
      <c r="AK811" s="2335"/>
      <c r="AL811" s="2873"/>
      <c r="AM811" s="2873"/>
      <c r="AN811" s="2873"/>
      <c r="AO811" s="2335"/>
      <c r="AP811" s="2335"/>
      <c r="AQ811" s="2335"/>
      <c r="AR811" s="2335"/>
      <c r="AS811" s="2335"/>
      <c r="AT811" s="2335"/>
      <c r="AU811" s="2335"/>
      <c r="AV811" s="617"/>
    </row>
    <row r="812" spans="1:48" ht="12.75" customHeight="1" x14ac:dyDescent="0.2">
      <c r="A812" s="227">
        <v>812</v>
      </c>
      <c r="B812" s="6042"/>
      <c r="C812" s="1141"/>
      <c r="D812" s="2614" t="s">
        <v>7079</v>
      </c>
      <c r="E812" s="2613">
        <v>50</v>
      </c>
      <c r="F812" s="2613">
        <v>0</v>
      </c>
      <c r="G812" s="2613">
        <v>5</v>
      </c>
      <c r="H812" s="2613">
        <v>5</v>
      </c>
      <c r="I812" s="2613" t="s">
        <v>1550</v>
      </c>
      <c r="J812" s="2613" t="s">
        <v>1551</v>
      </c>
      <c r="K812" s="2859" t="s">
        <v>7255</v>
      </c>
      <c r="L812" s="2622" t="str">
        <f>IF(AND(H1025&gt;0,OR(L668="Conocida",L707="Conocida"),L692="Conocida"),"Conocida","Distinta")</f>
        <v>Distinta</v>
      </c>
      <c r="M812" s="2619">
        <v>13</v>
      </c>
      <c r="N812" s="2619">
        <v>2</v>
      </c>
      <c r="O812" s="2619">
        <v>35</v>
      </c>
      <c r="P812" s="2613"/>
      <c r="Q812" s="2613"/>
      <c r="R812" s="2613" t="s">
        <v>1455</v>
      </c>
      <c r="S812" s="2613" t="s">
        <v>1455</v>
      </c>
      <c r="T812" s="2613" t="s">
        <v>1455</v>
      </c>
      <c r="U812" s="2613"/>
      <c r="V812" s="2859" t="s">
        <v>1455</v>
      </c>
      <c r="W812" s="2611"/>
      <c r="X812" s="2665" t="s">
        <v>10151</v>
      </c>
      <c r="Y812" s="1144">
        <f>Bono_Fue</f>
        <v>0</v>
      </c>
      <c r="Z812" s="2863"/>
      <c r="AA812" s="1955" t="s">
        <v>2225</v>
      </c>
      <c r="AC812" s="1366" t="s">
        <v>2201</v>
      </c>
      <c r="AD812" s="1369" t="str">
        <f t="shared" si="219"/>
        <v>Tablas!$AE$812:$AE$812</v>
      </c>
      <c r="AE812" s="1365" t="s">
        <v>2221</v>
      </c>
      <c r="AF812" s="2872" t="str">
        <f t="shared" si="220"/>
        <v/>
      </c>
      <c r="AG812" s="2872" t="str">
        <f t="shared" si="221"/>
        <v/>
      </c>
      <c r="AH812" s="2872" t="str">
        <f t="shared" si="222"/>
        <v/>
      </c>
      <c r="AI812" s="2335"/>
      <c r="AJ812" s="2335"/>
      <c r="AK812" s="2335"/>
      <c r="AL812" s="2873"/>
      <c r="AM812" s="2873"/>
      <c r="AN812" s="2873"/>
      <c r="AO812" s="2335"/>
      <c r="AP812" s="2335"/>
      <c r="AQ812" s="2335"/>
      <c r="AR812" s="2335"/>
      <c r="AS812" s="2335"/>
      <c r="AT812" s="2335"/>
      <c r="AU812" s="2335"/>
      <c r="AV812" s="617"/>
    </row>
    <row r="813" spans="1:48" ht="12.75" customHeight="1" x14ac:dyDescent="0.2">
      <c r="A813" s="227">
        <v>813</v>
      </c>
      <c r="B813" s="6042"/>
      <c r="C813" s="1141"/>
      <c r="D813" s="2614" t="s">
        <v>7080</v>
      </c>
      <c r="E813" s="2613">
        <v>40</v>
      </c>
      <c r="F813" s="2613">
        <v>-10</v>
      </c>
      <c r="G813" s="2613">
        <v>5</v>
      </c>
      <c r="H813" s="2613">
        <v>5</v>
      </c>
      <c r="I813" s="2613" t="s">
        <v>1550</v>
      </c>
      <c r="J813" s="2613" t="s">
        <v>1551</v>
      </c>
      <c r="K813" s="2859" t="s">
        <v>7255</v>
      </c>
      <c r="L813" s="2622" t="str">
        <f>L812</f>
        <v>Distinta</v>
      </c>
      <c r="M813" s="2619">
        <v>13</v>
      </c>
      <c r="N813" s="2619">
        <v>2</v>
      </c>
      <c r="O813" s="2619">
        <v>35</v>
      </c>
      <c r="P813" s="2613"/>
      <c r="Q813" s="2613"/>
      <c r="R813" s="2613" t="s">
        <v>1455</v>
      </c>
      <c r="S813" s="2613" t="s">
        <v>1455</v>
      </c>
      <c r="T813" s="2613" t="s">
        <v>1455</v>
      </c>
      <c r="U813" s="2613"/>
      <c r="V813" s="2859" t="s">
        <v>8657</v>
      </c>
      <c r="W813" s="2611"/>
      <c r="X813" s="2665" t="s">
        <v>10151</v>
      </c>
      <c r="Y813" s="1144">
        <f>Bono_Fue</f>
        <v>0</v>
      </c>
      <c r="Z813" s="2863"/>
      <c r="AA813" s="1955" t="s">
        <v>2225</v>
      </c>
      <c r="AC813" s="1366" t="s">
        <v>2202</v>
      </c>
      <c r="AD813" s="1369" t="str">
        <f t="shared" si="219"/>
        <v>Tablas!$AE$813:$AE$813</v>
      </c>
      <c r="AE813" s="1365" t="s">
        <v>2219</v>
      </c>
      <c r="AF813" s="2872" t="str">
        <f t="shared" si="220"/>
        <v/>
      </c>
      <c r="AG813" s="2872" t="str">
        <f t="shared" si="221"/>
        <v/>
      </c>
      <c r="AH813" s="2872" t="str">
        <f t="shared" si="222"/>
        <v/>
      </c>
      <c r="AI813" s="2335"/>
      <c r="AJ813" s="2335"/>
      <c r="AK813" s="2335"/>
      <c r="AL813" s="2873"/>
      <c r="AM813" s="2873"/>
      <c r="AN813" s="2873"/>
      <c r="AO813" s="2335"/>
      <c r="AP813" s="2335"/>
      <c r="AQ813" s="2335"/>
      <c r="AR813" s="2335"/>
      <c r="AS813" s="2335"/>
      <c r="AT813" s="2335"/>
      <c r="AU813" s="2335"/>
      <c r="AV813" s="617"/>
    </row>
    <row r="814" spans="1:48" ht="12.75" customHeight="1" x14ac:dyDescent="0.2">
      <c r="A814" s="227">
        <v>814</v>
      </c>
      <c r="B814" s="6042"/>
      <c r="C814" s="1141"/>
      <c r="D814" s="2614" t="s">
        <v>2243</v>
      </c>
      <c r="E814" s="2613">
        <f>50-10-IF(Ki!Q38&gt;0,10,0)+50*V597</f>
        <v>40</v>
      </c>
      <c r="F814" s="2613">
        <v>10</v>
      </c>
      <c r="G814" s="2613">
        <v>4</v>
      </c>
      <c r="H814" s="2613">
        <v>4</v>
      </c>
      <c r="I814" s="2613" t="s">
        <v>1551</v>
      </c>
      <c r="J814" s="2613" t="s">
        <v>1497</v>
      </c>
      <c r="K814" s="2859" t="s">
        <v>7255</v>
      </c>
      <c r="L814" s="2622" t="str">
        <f>IF(OR(H1027&gt;0,H1026&gt;0),"Conocida","Distinta")</f>
        <v>Distinta</v>
      </c>
      <c r="M814" s="2619">
        <v>0</v>
      </c>
      <c r="N814" s="2619">
        <v>0</v>
      </c>
      <c r="O814" s="2619" t="s">
        <v>8608</v>
      </c>
      <c r="P814" s="2613"/>
      <c r="Q814" s="2613"/>
      <c r="R814" s="2613">
        <v>100</v>
      </c>
      <c r="S814" s="2613" t="s">
        <v>1455</v>
      </c>
      <c r="T814" s="2613">
        <v>10</v>
      </c>
      <c r="U814" s="2613"/>
      <c r="V814" s="2859" t="str">
        <f>"Lanzable (100/XXXm)"&amp;IF(V598&gt;0,", Penetrante","")&amp;IF(V599&gt;0,", Área "&amp;5+MAX(0,5*TRUNC((HA_final-200)/50))&amp;"m","")&amp;IF(V600&gt;0,", Precisión absoluta","")&amp;IF(V601&gt;0,", +40 nivel de crítico","")&amp;IF(V602&gt;0,", Quebrantador de escudos","")</f>
        <v>Lanzable (100/XXXm)</v>
      </c>
      <c r="W814" s="2611"/>
      <c r="X814" s="2665" t="s">
        <v>8680</v>
      </c>
      <c r="Y814" s="1144">
        <v>0</v>
      </c>
      <c r="Z814" s="2863"/>
      <c r="AA814" s="1955" t="s">
        <v>2225</v>
      </c>
      <c r="AC814" s="1366" t="s">
        <v>2203</v>
      </c>
      <c r="AD814" s="1369" t="str">
        <f t="shared" si="219"/>
        <v>Tablas!$AE$814:$AE$814</v>
      </c>
      <c r="AE814" s="1365" t="s">
        <v>2223</v>
      </c>
      <c r="AF814" s="2872" t="str">
        <f t="shared" si="220"/>
        <v/>
      </c>
      <c r="AG814" s="2872" t="str">
        <f t="shared" si="221"/>
        <v/>
      </c>
      <c r="AH814" s="2872" t="str">
        <f t="shared" si="222"/>
        <v/>
      </c>
      <c r="AI814" s="2335"/>
      <c r="AJ814" s="2335"/>
      <c r="AK814" s="2335"/>
      <c r="AL814" s="2873"/>
      <c r="AM814" s="2873"/>
      <c r="AN814" s="2873"/>
      <c r="AO814" s="2335"/>
      <c r="AP814" s="2335"/>
      <c r="AQ814" s="2335"/>
      <c r="AR814" s="2335"/>
      <c r="AS814" s="2335"/>
      <c r="AT814" s="2335"/>
      <c r="AU814" s="2335"/>
      <c r="AV814" s="617"/>
    </row>
    <row r="815" spans="1:48" ht="12.75" customHeight="1" x14ac:dyDescent="0.2">
      <c r="A815" s="227">
        <v>815</v>
      </c>
      <c r="B815" s="6042"/>
      <c r="C815" s="1141"/>
      <c r="D815" s="2614" t="s">
        <v>2244</v>
      </c>
      <c r="E815" s="2613">
        <f>100</f>
        <v>100</v>
      </c>
      <c r="F815" s="2613">
        <v>20</v>
      </c>
      <c r="G815" s="2613">
        <v>3</v>
      </c>
      <c r="H815" s="2613">
        <v>3</v>
      </c>
      <c r="I815" s="2613" t="s">
        <v>1551</v>
      </c>
      <c r="J815" s="2613" t="s">
        <v>1455</v>
      </c>
      <c r="K815" s="2859" t="s">
        <v>7255</v>
      </c>
      <c r="L815" s="2622" t="str">
        <f>IF(H1028&gt;0,"Conocida","Distinta")</f>
        <v>Distinta</v>
      </c>
      <c r="M815" s="2619">
        <v>8</v>
      </c>
      <c r="N815" s="2619">
        <v>-5</v>
      </c>
      <c r="O815" s="2619">
        <v>20</v>
      </c>
      <c r="P815" s="2613"/>
      <c r="Q815" s="2613"/>
      <c r="R815" s="2613">
        <v>30</v>
      </c>
      <c r="S815" s="2613" t="s">
        <v>1455</v>
      </c>
      <c r="T815" s="2613">
        <v>10</v>
      </c>
      <c r="U815" s="2613"/>
      <c r="V815" s="2859" t="s">
        <v>8658</v>
      </c>
      <c r="W815" s="2611"/>
      <c r="X815" s="2665" t="s">
        <v>8680</v>
      </c>
      <c r="Y815" s="1144">
        <f>Bono_Des</f>
        <v>0</v>
      </c>
      <c r="Z815" s="2863"/>
      <c r="AA815" s="1955" t="s">
        <v>2225</v>
      </c>
      <c r="AC815" s="1366" t="s">
        <v>2204</v>
      </c>
      <c r="AD815" s="1369" t="str">
        <f t="shared" si="219"/>
        <v>Tablas!$AE$815:$AE$815</v>
      </c>
      <c r="AE815" s="1365" t="s">
        <v>2212</v>
      </c>
      <c r="AF815" s="2872" t="str">
        <f t="shared" si="220"/>
        <v/>
      </c>
      <c r="AG815" s="2872" t="str">
        <f t="shared" si="221"/>
        <v/>
      </c>
      <c r="AH815" s="2872" t="str">
        <f t="shared" si="222"/>
        <v/>
      </c>
      <c r="AI815" s="2335"/>
      <c r="AJ815" s="2335"/>
      <c r="AK815" s="2335"/>
      <c r="AL815" s="2873"/>
      <c r="AM815" s="2873"/>
      <c r="AN815" s="2873"/>
      <c r="AO815" s="2335"/>
      <c r="AP815" s="2335"/>
      <c r="AQ815" s="2335"/>
      <c r="AR815" s="2335"/>
      <c r="AS815" s="2335"/>
      <c r="AT815" s="2335"/>
      <c r="AU815" s="2335"/>
      <c r="AV815" s="617"/>
    </row>
    <row r="816" spans="1:48" ht="12.75" customHeight="1" x14ac:dyDescent="0.2">
      <c r="A816" s="227">
        <v>816</v>
      </c>
      <c r="B816" s="6042"/>
      <c r="C816" s="1141"/>
      <c r="D816" s="2614" t="s">
        <v>2245</v>
      </c>
      <c r="E816" s="2613">
        <f>70-10</f>
        <v>60</v>
      </c>
      <c r="F816" s="2613">
        <v>10</v>
      </c>
      <c r="G816" s="2613">
        <v>3</v>
      </c>
      <c r="H816" s="2613">
        <v>3</v>
      </c>
      <c r="I816" s="2613" t="s">
        <v>1550</v>
      </c>
      <c r="J816" s="2613" t="s">
        <v>1497</v>
      </c>
      <c r="K816" s="2859" t="s">
        <v>7255</v>
      </c>
      <c r="L816" s="2622" t="str">
        <f>IF(H1029&gt;0,"Conocida","Distinta")</f>
        <v>Distinta</v>
      </c>
      <c r="M816" s="2619">
        <v>20</v>
      </c>
      <c r="N816" s="2619">
        <v>5</v>
      </c>
      <c r="O816" s="2619">
        <v>30</v>
      </c>
      <c r="P816" s="2613"/>
      <c r="Q816" s="2613"/>
      <c r="R816" s="2613" t="s">
        <v>1455</v>
      </c>
      <c r="S816" s="2613" t="s">
        <v>1455</v>
      </c>
      <c r="T816" s="2613" t="s">
        <v>1455</v>
      </c>
      <c r="U816" s="2613"/>
      <c r="V816" s="2859" t="s">
        <v>7038</v>
      </c>
      <c r="W816" s="2611"/>
      <c r="X816" s="2665" t="s">
        <v>10151</v>
      </c>
      <c r="Y816" s="1144">
        <v>0</v>
      </c>
      <c r="Z816" s="2863"/>
      <c r="AA816" s="1955" t="s">
        <v>2225</v>
      </c>
      <c r="AC816" s="1366" t="s">
        <v>6985</v>
      </c>
      <c r="AD816" s="1369" t="str">
        <f t="shared" si="219"/>
        <v>Tablas!$AE$816:$AG$816</v>
      </c>
      <c r="AE816" s="1365" t="s">
        <v>2214</v>
      </c>
      <c r="AF816" s="2873" t="s">
        <v>2216</v>
      </c>
      <c r="AG816" s="2873" t="s">
        <v>2217</v>
      </c>
      <c r="AH816" s="2872" t="str">
        <f>IF(ISNUMBER(FIND("Munición",VLOOKUP($D$640,Tabla_ArmasyEscudos,8,0))),$D$640,IF(ISNUMBER(FIND("Munición",VLOOKUP($D$641,Tabla_ArmasyEscudos,8,0))),$D$641,IF(ISNUMBER(FIND("Munición",VLOOKUP($D$642,Tabla_ArmasyEscudos,8,0))),$D$642,"")))</f>
        <v/>
      </c>
      <c r="AI816" s="2872" t="str">
        <f>IF(AH816&lt;&gt;"",IF(AND($D$641&lt;&gt;AH816,ISNUMBER(FIND("Munición",VLOOKUP($D$641,Tabla_ArmasyEscudos,8,0)))),$D$641,IF(AND($D$642&lt;&gt;AH816,ISNUMBER(FIND("Munición",VLOOKUP($D$642,Tabla_ArmasyEscudos,8,0)))),$D$642,"")),"")</f>
        <v/>
      </c>
      <c r="AJ816" s="2872" t="str">
        <f>IF(AND(AI816&lt;&gt;"",$D$642&lt;&gt;AI816,$D$642&lt;&gt;AH816,ISNUMBER(FIND("Munición",VLOOKUP($D$642,Tabla_ArmasyEscudos,8,0)))),$D$642,"")</f>
        <v/>
      </c>
      <c r="AK816" s="2335"/>
      <c r="AL816" s="2873"/>
      <c r="AM816" s="2873"/>
      <c r="AN816" s="2873"/>
      <c r="AO816" s="2335"/>
      <c r="AP816" s="2335"/>
      <c r="AQ816" s="2335"/>
      <c r="AR816" s="2335"/>
      <c r="AS816" s="2335"/>
      <c r="AT816" s="2335"/>
      <c r="AU816" s="2335"/>
      <c r="AV816" s="617"/>
    </row>
    <row r="817" spans="1:53" ht="12.75" customHeight="1" x14ac:dyDescent="0.2">
      <c r="A817" s="227">
        <v>817</v>
      </c>
      <c r="B817" s="6042"/>
      <c r="C817" s="1141"/>
      <c r="D817" s="2614" t="s">
        <v>2246</v>
      </c>
      <c r="E817" s="2613">
        <f>30</f>
        <v>30</v>
      </c>
      <c r="F817" s="2613">
        <v>20</v>
      </c>
      <c r="G817" s="2613">
        <v>0</v>
      </c>
      <c r="H817" s="2613">
        <v>0</v>
      </c>
      <c r="I817" s="2613" t="s">
        <v>1497</v>
      </c>
      <c r="J817" s="2613" t="s">
        <v>1455</v>
      </c>
      <c r="K817" s="2859" t="s">
        <v>7255</v>
      </c>
      <c r="L817" s="2622" t="str">
        <f>IF(H1030&gt;0,"Conocida","Distinta")</f>
        <v>Distinta</v>
      </c>
      <c r="M817" s="2619">
        <v>8</v>
      </c>
      <c r="N817" s="2619">
        <v>-2</v>
      </c>
      <c r="O817" s="2619">
        <v>20</v>
      </c>
      <c r="P817" s="2613"/>
      <c r="Q817" s="2613"/>
      <c r="R817" s="2613" t="s">
        <v>1455</v>
      </c>
      <c r="S817" s="2613" t="s">
        <v>1455</v>
      </c>
      <c r="T817" s="2613" t="s">
        <v>1455</v>
      </c>
      <c r="U817" s="2613"/>
      <c r="V817" s="2859" t="s">
        <v>2247</v>
      </c>
      <c r="W817" s="2611"/>
      <c r="X817" s="2665" t="s">
        <v>8680</v>
      </c>
      <c r="Y817" s="1144">
        <f>Bono_Des</f>
        <v>0</v>
      </c>
      <c r="Z817" s="2863"/>
      <c r="AA817" s="1955" t="s">
        <v>2225</v>
      </c>
      <c r="AC817" s="1366" t="s">
        <v>2205</v>
      </c>
      <c r="AD817" s="1369" t="str">
        <f t="shared" si="219"/>
        <v>Tablas!$AE$817:$AE$817</v>
      </c>
      <c r="AE817" s="2847" t="s">
        <v>8549</v>
      </c>
      <c r="AF817" s="2872" t="str">
        <f t="shared" ref="AF817:AF823" si="223">IF(ISNUMBER(FIND("Munición",VLOOKUP($D$640,Tabla_ArmasyEscudos,8,0))),$D$640,IF(ISNUMBER(FIND("Munición",VLOOKUP($D$641,Tabla_ArmasyEscudos,8,0))),$D$641,IF(ISNUMBER(FIND("Munición",VLOOKUP($D$642,Tabla_ArmasyEscudos,8,0))),$D$642,"")))</f>
        <v/>
      </c>
      <c r="AG817" s="2872" t="str">
        <f t="shared" ref="AG817:AG823" si="224">IF(AF817&lt;&gt;"",IF(AND($D$641&lt;&gt;AF817,ISNUMBER(FIND("Munición",VLOOKUP($D$641,Tabla_ArmasyEscudos,8,0)))),$D$641,IF(AND($D$642&lt;&gt;AF817,ISNUMBER(FIND("Munición",VLOOKUP($D$642,Tabla_ArmasyEscudos,8,0)))),$D$642,"")),"")</f>
        <v/>
      </c>
      <c r="AH817" s="2872" t="str">
        <f t="shared" ref="AH817:AH823" si="225">IF(AND(AG817&lt;&gt;"",$D$642&lt;&gt;AG817,$D$642&lt;&gt;AF817,ISNUMBER(FIND("Munición",VLOOKUP($D$642,Tabla_ArmasyEscudos,8,0)))),$D$642,"")</f>
        <v/>
      </c>
      <c r="AI817" s="2335"/>
      <c r="AJ817" s="2335"/>
      <c r="AK817" s="2335"/>
      <c r="AL817" s="2873"/>
      <c r="AM817" s="2873"/>
      <c r="AN817" s="2873"/>
      <c r="AO817" s="2335"/>
      <c r="AP817" s="2335"/>
      <c r="AQ817" s="2335"/>
      <c r="AR817" s="2335"/>
      <c r="AS817" s="2335"/>
      <c r="AT817" s="2335"/>
      <c r="AU817" s="2335"/>
      <c r="AV817" s="617"/>
    </row>
    <row r="818" spans="1:53" ht="12.75" customHeight="1" x14ac:dyDescent="0.2">
      <c r="A818" s="227">
        <v>818</v>
      </c>
      <c r="B818" s="6042"/>
      <c r="C818" s="1141"/>
      <c r="D818" s="2614" t="s">
        <v>2248</v>
      </c>
      <c r="E818" s="2613">
        <f>60-10</f>
        <v>50</v>
      </c>
      <c r="F818" s="2613">
        <v>0</v>
      </c>
      <c r="G818" s="2613">
        <v>0</v>
      </c>
      <c r="H818" s="2613">
        <v>0</v>
      </c>
      <c r="I818" s="2613" t="s">
        <v>1550</v>
      </c>
      <c r="J818" s="2613" t="s">
        <v>1551</v>
      </c>
      <c r="K818" s="2859" t="s">
        <v>7255</v>
      </c>
      <c r="L818" s="2620" t="str">
        <f>IF(AND(H1031&gt;0,AA608&gt;0),"Conocida","Distinta")</f>
        <v>Distinta</v>
      </c>
      <c r="M818" s="2619">
        <v>10</v>
      </c>
      <c r="N818" s="2619">
        <v>11</v>
      </c>
      <c r="O818" s="2619">
        <f>Presencia_final*2</f>
        <v>40</v>
      </c>
      <c r="P818" s="2613"/>
      <c r="Q818" s="2613"/>
      <c r="R818" s="2613" t="s">
        <v>1455</v>
      </c>
      <c r="S818" s="2613" t="s">
        <v>1455</v>
      </c>
      <c r="T818" s="2613" t="s">
        <v>1455</v>
      </c>
      <c r="U818" s="2613"/>
      <c r="V818" s="2859" t="s">
        <v>10038</v>
      </c>
      <c r="W818" s="2611"/>
      <c r="X818" s="2665" t="s">
        <v>10151</v>
      </c>
      <c r="Y818" s="1144">
        <v>0</v>
      </c>
      <c r="Z818" s="2863"/>
      <c r="AA818" s="1955" t="s">
        <v>2225</v>
      </c>
      <c r="AC818" s="1366" t="s">
        <v>2206</v>
      </c>
      <c r="AD818" s="1369" t="str">
        <f t="shared" si="219"/>
        <v>Tablas!$AE$818:$AE$818</v>
      </c>
      <c r="AE818" s="1365" t="s">
        <v>2208</v>
      </c>
      <c r="AF818" s="2872" t="str">
        <f t="shared" si="223"/>
        <v/>
      </c>
      <c r="AG818" s="2872" t="str">
        <f t="shared" si="224"/>
        <v/>
      </c>
      <c r="AH818" s="2872" t="str">
        <f t="shared" si="225"/>
        <v/>
      </c>
      <c r="AI818" s="2335"/>
      <c r="AJ818" s="2335"/>
      <c r="AK818" s="2335"/>
      <c r="AL818" s="2873"/>
      <c r="AM818" s="2873"/>
      <c r="AN818" s="2873"/>
      <c r="AO818" s="2335"/>
      <c r="AP818" s="2335"/>
      <c r="AQ818" s="2335"/>
      <c r="AR818" s="2335"/>
      <c r="AS818" s="2335"/>
      <c r="AT818" s="2335"/>
      <c r="AU818" s="2335"/>
      <c r="AV818" s="617"/>
    </row>
    <row r="819" spans="1:53" ht="12.75" customHeight="1" x14ac:dyDescent="0.2">
      <c r="A819" s="227">
        <v>819</v>
      </c>
      <c r="B819" s="6042"/>
      <c r="C819" s="1141"/>
      <c r="D819" s="2614" t="s">
        <v>10302</v>
      </c>
      <c r="E819" s="2613"/>
      <c r="F819" s="2613"/>
      <c r="G819" s="2613"/>
      <c r="H819" s="2613"/>
      <c r="I819" s="2613"/>
      <c r="J819" s="2613"/>
      <c r="K819" s="2859"/>
      <c r="L819" s="2622"/>
      <c r="M819" s="2619"/>
      <c r="N819" s="2619"/>
      <c r="O819" s="2619"/>
      <c r="P819" s="2613"/>
      <c r="Q819" s="2613"/>
      <c r="R819" s="2613"/>
      <c r="S819" s="2613"/>
      <c r="T819" s="2613"/>
      <c r="U819" s="2613"/>
      <c r="V819" s="2859"/>
      <c r="W819" s="2611"/>
      <c r="X819" s="2665"/>
      <c r="Y819" s="1144"/>
      <c r="Z819" s="2863"/>
      <c r="AA819" s="1955"/>
      <c r="AC819" s="1025" t="s">
        <v>8297</v>
      </c>
      <c r="AD819" s="1369" t="str">
        <f t="shared" si="219"/>
        <v>Tablas!$AE$819:$AE$819</v>
      </c>
      <c r="AE819" s="1365" t="s">
        <v>8551</v>
      </c>
      <c r="AF819" s="2872" t="str">
        <f t="shared" si="223"/>
        <v/>
      </c>
      <c r="AG819" s="2872" t="str">
        <f t="shared" si="224"/>
        <v/>
      </c>
      <c r="AH819" s="2872"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042"/>
      <c r="C820" s="1141"/>
      <c r="D820" s="2614" t="str">
        <f t="shared" ref="D820:D829" ca="1" si="226">AC829</f>
        <v/>
      </c>
      <c r="E820" s="2613" t="e">
        <f t="shared" ref="E820:E829" ca="1" si="227">IFERROR(VLOOKUP(D820,$AI$829:$AS$838,6,0),ArmasNaturales_Daño)+VLOOKUP(D820,$AI$829:$AS$838,7,0)</f>
        <v>#N/A</v>
      </c>
      <c r="F820" s="2613">
        <v>20</v>
      </c>
      <c r="G820" s="2613">
        <v>0</v>
      </c>
      <c r="H820" s="2613">
        <v>0</v>
      </c>
      <c r="I820" s="2613" t="str">
        <f t="shared" ref="I820:I829" ca="1" si="228">IFERROR(VLOOKUP(D820,$AI$829:$AS$838,9,0),$I$639)</f>
        <v>-</v>
      </c>
      <c r="J820" s="2613" t="str">
        <f t="shared" ref="J820:J829" ca="1" si="229">IFERROR(VLOOKUP(D820,$AI$829:$AS$838,10,0),$J$639)</f>
        <v>-</v>
      </c>
      <c r="K820" s="2859" t="s">
        <v>7277</v>
      </c>
      <c r="L820" s="2622" t="s">
        <v>1208</v>
      </c>
      <c r="M820" s="2619">
        <f>$M$639</f>
        <v>4</v>
      </c>
      <c r="N820" s="2619" t="e">
        <f t="shared" ref="N820:N829" ca="1" si="230">$N$639+VLOOKUP(D820,$AI$829:$AS$838,11,0)</f>
        <v>#N/A</v>
      </c>
      <c r="O820" s="2619"/>
      <c r="P820" s="2613"/>
      <c r="Q820" s="2613"/>
      <c r="R820" s="2613"/>
      <c r="S820" s="2613"/>
      <c r="T820" s="2613" t="s">
        <v>1455</v>
      </c>
      <c r="U820" s="2613">
        <f t="shared" ref="U820:U829" si="231">FUE</f>
        <v>0</v>
      </c>
      <c r="V820" s="2859" t="s">
        <v>2150</v>
      </c>
      <c r="W820" s="2611"/>
      <c r="X820" s="2665" t="str">
        <f>$X$639</f>
        <v>Mediana</v>
      </c>
      <c r="Y820" s="1144">
        <f t="shared" ref="Y820:Y840" si="232">Bono_Fue</f>
        <v>0</v>
      </c>
      <c r="Z820" s="2863"/>
      <c r="AA820" s="1955" t="s">
        <v>10302</v>
      </c>
      <c r="AC820" s="1025" t="s">
        <v>8298</v>
      </c>
      <c r="AD820" s="1369" t="str">
        <f t="shared" si="219"/>
        <v>Tablas!$AE$820:$AE$820</v>
      </c>
      <c r="AE820" s="1365" t="s">
        <v>8552</v>
      </c>
      <c r="AF820" s="2872" t="str">
        <f t="shared" si="223"/>
        <v/>
      </c>
      <c r="AG820" s="2872" t="str">
        <f t="shared" si="224"/>
        <v/>
      </c>
      <c r="AH820" s="2872"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042"/>
      <c r="C821" s="1141"/>
      <c r="D821" s="2614" t="str">
        <f t="shared" ca="1" si="226"/>
        <v/>
      </c>
      <c r="E821" s="2613" t="e">
        <f t="shared" ca="1" si="227"/>
        <v>#N/A</v>
      </c>
      <c r="F821" s="2613">
        <v>20</v>
      </c>
      <c r="G821" s="2613">
        <v>0</v>
      </c>
      <c r="H821" s="2613">
        <v>0</v>
      </c>
      <c r="I821" s="2613" t="str">
        <f t="shared" ca="1" si="228"/>
        <v>-</v>
      </c>
      <c r="J821" s="2613" t="str">
        <f t="shared" ca="1" si="229"/>
        <v>-</v>
      </c>
      <c r="K821" s="2859" t="s">
        <v>7277</v>
      </c>
      <c r="L821" s="2622" t="s">
        <v>1208</v>
      </c>
      <c r="M821" s="2619">
        <f t="shared" ref="M821:M829" si="233">$M$639</f>
        <v>4</v>
      </c>
      <c r="N821" s="2619" t="e">
        <f t="shared" ca="1" si="230"/>
        <v>#N/A</v>
      </c>
      <c r="O821" s="2619"/>
      <c r="P821" s="2613"/>
      <c r="Q821" s="2613"/>
      <c r="R821" s="2613"/>
      <c r="S821" s="2613"/>
      <c r="T821" s="2613" t="s">
        <v>1455</v>
      </c>
      <c r="U821" s="2613">
        <f t="shared" si="231"/>
        <v>0</v>
      </c>
      <c r="V821" s="2859" t="s">
        <v>2150</v>
      </c>
      <c r="W821" s="2611"/>
      <c r="X821" s="2665" t="str">
        <f t="shared" ref="X821:X829" si="234">$X$639</f>
        <v>Mediana</v>
      </c>
      <c r="Y821" s="1144">
        <f t="shared" si="232"/>
        <v>0</v>
      </c>
      <c r="Z821" s="2863"/>
      <c r="AA821" s="1955" t="s">
        <v>10302</v>
      </c>
      <c r="AC821" s="1025" t="s">
        <v>8299</v>
      </c>
      <c r="AD821" s="1369" t="str">
        <f t="shared" si="219"/>
        <v>Tablas!$AE$821:$AE$821</v>
      </c>
      <c r="AE821" s="1365" t="s">
        <v>2210</v>
      </c>
      <c r="AF821" s="2872" t="str">
        <f t="shared" si="223"/>
        <v/>
      </c>
      <c r="AG821" s="2872" t="str">
        <f t="shared" si="224"/>
        <v/>
      </c>
      <c r="AH821" s="2872" t="str">
        <f t="shared" si="225"/>
        <v/>
      </c>
      <c r="AI821" s="2335"/>
      <c r="AJ821" s="2335"/>
      <c r="AK821" s="2335"/>
      <c r="AL821" s="2335"/>
      <c r="AM821" s="2335"/>
      <c r="AN821" s="2335"/>
      <c r="AO821" s="2335"/>
      <c r="AP821" s="2335"/>
      <c r="AQ821" s="2335"/>
      <c r="AR821" s="2335"/>
      <c r="AS821" s="2335"/>
      <c r="AT821" s="2335"/>
      <c r="AU821" s="2335"/>
      <c r="AV821" s="617"/>
    </row>
    <row r="822" spans="1:53" ht="12.75" customHeight="1" x14ac:dyDescent="0.2">
      <c r="A822" s="227">
        <v>822</v>
      </c>
      <c r="B822" s="6042"/>
      <c r="C822" s="1141"/>
      <c r="D822" s="2614" t="str">
        <f t="shared" ca="1" si="226"/>
        <v/>
      </c>
      <c r="E822" s="2613" t="e">
        <f t="shared" ca="1" si="227"/>
        <v>#N/A</v>
      </c>
      <c r="F822" s="2613">
        <v>20</v>
      </c>
      <c r="G822" s="2613">
        <v>0</v>
      </c>
      <c r="H822" s="2613">
        <v>0</v>
      </c>
      <c r="I822" s="2613" t="str">
        <f t="shared" ca="1" si="228"/>
        <v>-</v>
      </c>
      <c r="J822" s="2613" t="str">
        <f t="shared" ca="1" si="229"/>
        <v>-</v>
      </c>
      <c r="K822" s="2859" t="s">
        <v>7277</v>
      </c>
      <c r="L822" s="2622" t="s">
        <v>1208</v>
      </c>
      <c r="M822" s="2619">
        <f t="shared" si="233"/>
        <v>4</v>
      </c>
      <c r="N822" s="2619" t="e">
        <f t="shared" ca="1" si="230"/>
        <v>#N/A</v>
      </c>
      <c r="O822" s="2619"/>
      <c r="P822" s="2613"/>
      <c r="Q822" s="2613"/>
      <c r="R822" s="2613"/>
      <c r="S822" s="2613"/>
      <c r="T822" s="2613" t="s">
        <v>1455</v>
      </c>
      <c r="U822" s="2613">
        <f t="shared" si="231"/>
        <v>0</v>
      </c>
      <c r="V822" s="2859" t="s">
        <v>2150</v>
      </c>
      <c r="W822" s="2611"/>
      <c r="X822" s="2665" t="str">
        <f t="shared" si="234"/>
        <v>Mediana</v>
      </c>
      <c r="Y822" s="1144">
        <f t="shared" si="232"/>
        <v>0</v>
      </c>
      <c r="Z822" s="2863"/>
      <c r="AA822" s="1955" t="s">
        <v>10302</v>
      </c>
      <c r="AC822" s="1025" t="s">
        <v>8579</v>
      </c>
      <c r="AD822" s="1369" t="str">
        <f t="shared" si="219"/>
        <v>Tablas!$AE$822:$AE$822</v>
      </c>
      <c r="AE822" s="1365" t="s">
        <v>8577</v>
      </c>
      <c r="AF822" s="2872" t="str">
        <f t="shared" si="223"/>
        <v/>
      </c>
      <c r="AG822" s="2872" t="str">
        <f t="shared" si="224"/>
        <v/>
      </c>
      <c r="AH822" s="2872" t="str">
        <f t="shared" si="225"/>
        <v/>
      </c>
      <c r="AI822" s="2335"/>
      <c r="AJ822" s="2335"/>
      <c r="AK822" s="2335"/>
      <c r="AL822" s="2335"/>
      <c r="AM822" s="2335"/>
      <c r="AN822" s="2335"/>
      <c r="AO822" s="2335"/>
      <c r="AP822" s="2335"/>
      <c r="AQ822" s="2335"/>
      <c r="AR822" s="2335"/>
      <c r="AS822" s="2335"/>
      <c r="AT822" s="2335"/>
      <c r="AU822" s="2335"/>
      <c r="AV822" s="617"/>
      <c r="AX822" s="6105" t="s">
        <v>10290</v>
      </c>
      <c r="AY822" s="6106"/>
      <c r="AZ822" s="6106"/>
      <c r="BA822" s="6211"/>
    </row>
    <row r="823" spans="1:53" ht="12.75" customHeight="1" x14ac:dyDescent="0.2">
      <c r="A823" s="227">
        <v>823</v>
      </c>
      <c r="B823" s="6042"/>
      <c r="C823" s="1141"/>
      <c r="D823" s="2614" t="str">
        <f t="shared" ca="1" si="226"/>
        <v/>
      </c>
      <c r="E823" s="2613" t="e">
        <f t="shared" ca="1" si="227"/>
        <v>#N/A</v>
      </c>
      <c r="F823" s="2613">
        <v>20</v>
      </c>
      <c r="G823" s="2613">
        <v>0</v>
      </c>
      <c r="H823" s="2613">
        <v>0</v>
      </c>
      <c r="I823" s="2613" t="str">
        <f t="shared" ca="1" si="228"/>
        <v>-</v>
      </c>
      <c r="J823" s="2613" t="str">
        <f t="shared" ca="1" si="229"/>
        <v>-</v>
      </c>
      <c r="K823" s="2859" t="s">
        <v>7277</v>
      </c>
      <c r="L823" s="2622" t="s">
        <v>1208</v>
      </c>
      <c r="M823" s="2619">
        <f t="shared" si="233"/>
        <v>4</v>
      </c>
      <c r="N823" s="2619" t="e">
        <f t="shared" ca="1" si="230"/>
        <v>#N/A</v>
      </c>
      <c r="O823" s="2619"/>
      <c r="P823" s="2613"/>
      <c r="Q823" s="2613"/>
      <c r="R823" s="2613"/>
      <c r="S823" s="2613"/>
      <c r="T823" s="2613" t="s">
        <v>1455</v>
      </c>
      <c r="U823" s="2613">
        <f t="shared" si="231"/>
        <v>0</v>
      </c>
      <c r="V823" s="2859" t="s">
        <v>2150</v>
      </c>
      <c r="W823" s="2611"/>
      <c r="X823" s="2665" t="str">
        <f t="shared" si="234"/>
        <v>Mediana</v>
      </c>
      <c r="Y823" s="1144">
        <f t="shared" si="232"/>
        <v>0</v>
      </c>
      <c r="Z823" s="2863"/>
      <c r="AA823" s="1955" t="s">
        <v>10302</v>
      </c>
      <c r="AC823" s="1025" t="s">
        <v>8580</v>
      </c>
      <c r="AD823" s="1369" t="str">
        <f t="shared" si="219"/>
        <v>Tablas!$AE$823:$AE$823</v>
      </c>
      <c r="AE823" s="1365" t="s">
        <v>8577</v>
      </c>
      <c r="AF823" s="2872" t="str">
        <f t="shared" si="223"/>
        <v/>
      </c>
      <c r="AG823" s="2872" t="str">
        <f t="shared" si="224"/>
        <v/>
      </c>
      <c r="AH823" s="2872"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17"/>
    </row>
    <row r="824" spans="1:53" ht="12.75" customHeight="1" thickBot="1" x14ac:dyDescent="0.25">
      <c r="A824" s="227">
        <v>824</v>
      </c>
      <c r="B824" s="6042"/>
      <c r="C824" s="1141"/>
      <c r="D824" s="2614" t="str">
        <f t="shared" ca="1" si="226"/>
        <v/>
      </c>
      <c r="E824" s="2613" t="e">
        <f t="shared" ca="1" si="227"/>
        <v>#N/A</v>
      </c>
      <c r="F824" s="2613">
        <v>20</v>
      </c>
      <c r="G824" s="2613">
        <v>0</v>
      </c>
      <c r="H824" s="2613">
        <v>0</v>
      </c>
      <c r="I824" s="2613" t="str">
        <f t="shared" ca="1" si="228"/>
        <v>-</v>
      </c>
      <c r="J824" s="2613" t="str">
        <f t="shared" ca="1" si="229"/>
        <v>-</v>
      </c>
      <c r="K824" s="2859" t="s">
        <v>7277</v>
      </c>
      <c r="L824" s="2622" t="s">
        <v>1208</v>
      </c>
      <c r="M824" s="2619">
        <f t="shared" si="233"/>
        <v>4</v>
      </c>
      <c r="N824" s="2619" t="e">
        <f t="shared" ca="1" si="230"/>
        <v>#N/A</v>
      </c>
      <c r="O824" s="2619"/>
      <c r="P824" s="2613"/>
      <c r="Q824" s="2613"/>
      <c r="R824" s="2613"/>
      <c r="S824" s="2613"/>
      <c r="T824" s="2613" t="s">
        <v>1455</v>
      </c>
      <c r="U824" s="2613">
        <f t="shared" si="231"/>
        <v>0</v>
      </c>
      <c r="V824" s="2859" t="s">
        <v>2150</v>
      </c>
      <c r="W824" s="2611"/>
      <c r="X824" s="2665" t="str">
        <f t="shared" si="234"/>
        <v>Mediana</v>
      </c>
      <c r="Y824" s="1144">
        <f t="shared" si="232"/>
        <v>0</v>
      </c>
      <c r="Z824" s="2863"/>
      <c r="AA824" s="1955" t="s">
        <v>10302</v>
      </c>
      <c r="AC824" s="1367" t="s">
        <v>8581</v>
      </c>
      <c r="AD824" s="2874" t="str">
        <f t="shared" si="219"/>
        <v>Tablas!$AE$824:$AE$824</v>
      </c>
      <c r="AE824" s="2875"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17"/>
    </row>
    <row r="825" spans="1:53" ht="12.75" customHeight="1" thickBot="1" x14ac:dyDescent="0.25">
      <c r="A825" s="227">
        <v>825</v>
      </c>
      <c r="B825" s="6042"/>
      <c r="C825" s="1141"/>
      <c r="D825" s="2614" t="str">
        <f t="shared" ca="1" si="226"/>
        <v/>
      </c>
      <c r="E825" s="2613" t="e">
        <f t="shared" ca="1" si="227"/>
        <v>#N/A</v>
      </c>
      <c r="F825" s="2613">
        <v>20</v>
      </c>
      <c r="G825" s="2613">
        <v>0</v>
      </c>
      <c r="H825" s="2613">
        <v>0</v>
      </c>
      <c r="I825" s="2613" t="str">
        <f t="shared" ca="1" si="228"/>
        <v>-</v>
      </c>
      <c r="J825" s="2613" t="str">
        <f t="shared" ca="1" si="229"/>
        <v>-</v>
      </c>
      <c r="K825" s="2859" t="s">
        <v>7277</v>
      </c>
      <c r="L825" s="2622" t="s">
        <v>1208</v>
      </c>
      <c r="M825" s="2619">
        <f t="shared" si="233"/>
        <v>4</v>
      </c>
      <c r="N825" s="2619" t="e">
        <f t="shared" ca="1" si="230"/>
        <v>#N/A</v>
      </c>
      <c r="O825" s="2619"/>
      <c r="P825" s="2613"/>
      <c r="Q825" s="2613"/>
      <c r="R825" s="2613"/>
      <c r="S825" s="2613"/>
      <c r="T825" s="2613" t="s">
        <v>1455</v>
      </c>
      <c r="U825" s="2613">
        <f t="shared" si="231"/>
        <v>0</v>
      </c>
      <c r="V825" s="2859" t="s">
        <v>2150</v>
      </c>
      <c r="W825" s="2611"/>
      <c r="X825" s="2665" t="str">
        <f t="shared" si="234"/>
        <v>Mediana</v>
      </c>
      <c r="Y825" s="1144">
        <f t="shared" si="232"/>
        <v>0</v>
      </c>
      <c r="Z825" s="2863"/>
      <c r="AA825" s="1955" t="s">
        <v>10302</v>
      </c>
      <c r="AX825" s="326" t="s">
        <v>1636</v>
      </c>
      <c r="AY825" s="2335"/>
      <c r="AZ825" s="2335"/>
      <c r="BA825" s="617"/>
    </row>
    <row r="826" spans="1:53" ht="12.75" customHeight="1" x14ac:dyDescent="0.2">
      <c r="A826" s="227">
        <v>826</v>
      </c>
      <c r="B826" s="6042"/>
      <c r="C826" s="1141"/>
      <c r="D826" s="2614" t="str">
        <f t="shared" ca="1" si="226"/>
        <v/>
      </c>
      <c r="E826" s="2613" t="e">
        <f t="shared" ca="1" si="227"/>
        <v>#N/A</v>
      </c>
      <c r="F826" s="2613">
        <v>20</v>
      </c>
      <c r="G826" s="2613">
        <v>0</v>
      </c>
      <c r="H826" s="2613">
        <v>0</v>
      </c>
      <c r="I826" s="2613" t="str">
        <f t="shared" ca="1" si="228"/>
        <v>-</v>
      </c>
      <c r="J826" s="2613" t="str">
        <f t="shared" ca="1" si="229"/>
        <v>-</v>
      </c>
      <c r="K826" s="2859" t="s">
        <v>7277</v>
      </c>
      <c r="L826" s="2622" t="s">
        <v>1208</v>
      </c>
      <c r="M826" s="2619">
        <f t="shared" si="233"/>
        <v>4</v>
      </c>
      <c r="N826" s="2619" t="e">
        <f t="shared" ca="1" si="230"/>
        <v>#N/A</v>
      </c>
      <c r="O826" s="2619"/>
      <c r="P826" s="2613"/>
      <c r="Q826" s="2613"/>
      <c r="R826" s="2613"/>
      <c r="S826" s="2613"/>
      <c r="T826" s="2613" t="s">
        <v>1455</v>
      </c>
      <c r="U826" s="2613">
        <f t="shared" si="231"/>
        <v>0</v>
      </c>
      <c r="V826" s="2859" t="s">
        <v>2150</v>
      </c>
      <c r="W826" s="2611"/>
      <c r="X826" s="2665" t="str">
        <f t="shared" si="234"/>
        <v>Mediana</v>
      </c>
      <c r="Y826" s="1144">
        <f t="shared" si="232"/>
        <v>0</v>
      </c>
      <c r="Z826" s="2863"/>
      <c r="AA826" s="1955" t="s">
        <v>10302</v>
      </c>
      <c r="AC826" s="6307" t="s">
        <v>10289</v>
      </c>
      <c r="AD826" s="6299"/>
      <c r="AE826" s="6299"/>
      <c r="AF826" s="6299"/>
      <c r="AG826" s="6299"/>
      <c r="AH826" s="6299"/>
      <c r="AI826" s="6299"/>
      <c r="AJ826" s="6299"/>
      <c r="AK826" s="6299"/>
      <c r="AL826" s="6299"/>
      <c r="AM826" s="6299"/>
      <c r="AN826" s="6299"/>
      <c r="AO826" s="6299"/>
      <c r="AP826" s="6299"/>
      <c r="AQ826" s="6299"/>
      <c r="AR826" s="6299"/>
      <c r="AS826" s="6299"/>
      <c r="AT826" s="6299"/>
      <c r="AU826" s="6300"/>
      <c r="AX826" s="326" t="s">
        <v>7329</v>
      </c>
      <c r="AY826" s="2335"/>
      <c r="AZ826" s="2335"/>
      <c r="BA826" s="617"/>
    </row>
    <row r="827" spans="1:53" ht="12.75" customHeight="1" x14ac:dyDescent="0.2">
      <c r="A827" s="227">
        <v>827</v>
      </c>
      <c r="B827" s="6042"/>
      <c r="C827" s="1141"/>
      <c r="D827" s="2614" t="str">
        <f t="shared" ca="1" si="226"/>
        <v/>
      </c>
      <c r="E827" s="2613" t="e">
        <f t="shared" ca="1" si="227"/>
        <v>#N/A</v>
      </c>
      <c r="F827" s="2613">
        <v>20</v>
      </c>
      <c r="G827" s="2613">
        <v>0</v>
      </c>
      <c r="H827" s="2613">
        <v>0</v>
      </c>
      <c r="I827" s="2613" t="str">
        <f t="shared" ca="1" si="228"/>
        <v>-</v>
      </c>
      <c r="J827" s="2613" t="str">
        <f t="shared" ca="1" si="229"/>
        <v>-</v>
      </c>
      <c r="K827" s="2859" t="s">
        <v>7277</v>
      </c>
      <c r="L827" s="2622" t="s">
        <v>1208</v>
      </c>
      <c r="M827" s="2619">
        <f t="shared" si="233"/>
        <v>4</v>
      </c>
      <c r="N827" s="2619" t="e">
        <f t="shared" ca="1" si="230"/>
        <v>#N/A</v>
      </c>
      <c r="O827" s="2619"/>
      <c r="P827" s="2613"/>
      <c r="Q827" s="2613"/>
      <c r="R827" s="2613"/>
      <c r="S827" s="2613"/>
      <c r="T827" s="2613" t="s">
        <v>1455</v>
      </c>
      <c r="U827" s="2613">
        <f t="shared" si="231"/>
        <v>0</v>
      </c>
      <c r="V827" s="2859" t="s">
        <v>2150</v>
      </c>
      <c r="W827" s="2611"/>
      <c r="X827" s="2665" t="str">
        <f t="shared" si="234"/>
        <v>Mediana</v>
      </c>
      <c r="Y827" s="1144">
        <f t="shared" si="232"/>
        <v>0</v>
      </c>
      <c r="Z827" s="2863"/>
      <c r="AA827" s="1955" t="s">
        <v>10302</v>
      </c>
      <c r="AC827" s="1058"/>
      <c r="AD827" s="2612"/>
      <c r="AE827" s="2612"/>
      <c r="AF827" s="2612"/>
      <c r="AG827" s="2612"/>
      <c r="AH827" s="2612"/>
      <c r="AI827" s="2612">
        <v>1</v>
      </c>
      <c r="AJ827" s="2612">
        <v>2</v>
      </c>
      <c r="AK827" s="2612">
        <v>3</v>
      </c>
      <c r="AL827" s="2612">
        <v>4</v>
      </c>
      <c r="AM827" s="2612">
        <v>5</v>
      </c>
      <c r="AN827" s="2612">
        <v>6</v>
      </c>
      <c r="AO827" s="2612">
        <v>7</v>
      </c>
      <c r="AP827" s="2612">
        <v>8</v>
      </c>
      <c r="AQ827" s="2612">
        <v>9</v>
      </c>
      <c r="AR827" s="2612">
        <v>10</v>
      </c>
      <c r="AS827" s="2612">
        <v>11</v>
      </c>
      <c r="AT827" s="2612">
        <v>12</v>
      </c>
      <c r="AU827" s="1059">
        <v>13</v>
      </c>
      <c r="AX827" s="326" t="s">
        <v>7350</v>
      </c>
      <c r="AY827" s="2335"/>
      <c r="AZ827" s="2335"/>
      <c r="BA827" s="617"/>
    </row>
    <row r="828" spans="1:53" ht="12.75" customHeight="1" thickBot="1" x14ac:dyDescent="0.25">
      <c r="A828" s="227">
        <v>828</v>
      </c>
      <c r="B828" s="6042"/>
      <c r="C828" s="1141"/>
      <c r="D828" s="2614" t="str">
        <f t="shared" ca="1" si="226"/>
        <v/>
      </c>
      <c r="E828" s="2613" t="e">
        <f t="shared" ca="1" si="227"/>
        <v>#N/A</v>
      </c>
      <c r="F828" s="2613">
        <v>20</v>
      </c>
      <c r="G828" s="2613">
        <v>0</v>
      </c>
      <c r="H828" s="2613">
        <v>0</v>
      </c>
      <c r="I828" s="2613" t="str">
        <f t="shared" ca="1" si="228"/>
        <v>-</v>
      </c>
      <c r="J828" s="2613" t="str">
        <f t="shared" ca="1" si="229"/>
        <v>-</v>
      </c>
      <c r="K828" s="2859" t="s">
        <v>7277</v>
      </c>
      <c r="L828" s="2622" t="s">
        <v>1208</v>
      </c>
      <c r="M828" s="2619">
        <f t="shared" si="233"/>
        <v>4</v>
      </c>
      <c r="N828" s="2619" t="e">
        <f t="shared" ca="1" si="230"/>
        <v>#N/A</v>
      </c>
      <c r="O828" s="2619"/>
      <c r="P828" s="2613"/>
      <c r="Q828" s="2613"/>
      <c r="R828" s="2613"/>
      <c r="S828" s="2613"/>
      <c r="T828" s="2613" t="s">
        <v>1455</v>
      </c>
      <c r="U828" s="2613">
        <f t="shared" si="231"/>
        <v>0</v>
      </c>
      <c r="V828" s="2859" t="s">
        <v>2150</v>
      </c>
      <c r="W828" s="2611"/>
      <c r="X828" s="2665" t="str">
        <f t="shared" si="234"/>
        <v>Mediana</v>
      </c>
      <c r="Y828" s="1144">
        <f t="shared" si="232"/>
        <v>0</v>
      </c>
      <c r="Z828" s="2863"/>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60" t="s">
        <v>8692</v>
      </c>
      <c r="AX828" s="326" t="s">
        <v>7331</v>
      </c>
      <c r="AY828" s="2335"/>
      <c r="AZ828" s="2335"/>
      <c r="BA828" s="617"/>
    </row>
    <row r="829" spans="1:53" ht="12.75" customHeight="1" x14ac:dyDescent="0.2">
      <c r="A829" s="227">
        <v>829</v>
      </c>
      <c r="B829" s="6042"/>
      <c r="C829" s="1141"/>
      <c r="D829" s="2614" t="str">
        <f t="shared" ca="1" si="226"/>
        <v/>
      </c>
      <c r="E829" s="2613" t="e">
        <f t="shared" ca="1" si="227"/>
        <v>#N/A</v>
      </c>
      <c r="F829" s="2613">
        <v>20</v>
      </c>
      <c r="G829" s="2613">
        <v>0</v>
      </c>
      <c r="H829" s="2613">
        <v>0</v>
      </c>
      <c r="I829" s="2613" t="str">
        <f t="shared" ca="1" si="228"/>
        <v>-</v>
      </c>
      <c r="J829" s="2613" t="str">
        <f t="shared" ca="1" si="229"/>
        <v>-</v>
      </c>
      <c r="K829" s="2859" t="s">
        <v>7277</v>
      </c>
      <c r="L829" s="2622" t="s">
        <v>1208</v>
      </c>
      <c r="M829" s="2619">
        <f t="shared" si="233"/>
        <v>4</v>
      </c>
      <c r="N829" s="2619" t="e">
        <f t="shared" ca="1" si="230"/>
        <v>#N/A</v>
      </c>
      <c r="O829" s="2619"/>
      <c r="P829" s="2613"/>
      <c r="Q829" s="2613"/>
      <c r="R829" s="2613"/>
      <c r="S829" s="2613"/>
      <c r="T829" s="2613" t="s">
        <v>1455</v>
      </c>
      <c r="U829" s="2613">
        <f t="shared" si="231"/>
        <v>0</v>
      </c>
      <c r="V829" s="2859" t="s">
        <v>2150</v>
      </c>
      <c r="W829" s="2611"/>
      <c r="X829" s="2665" t="str">
        <f t="shared" si="234"/>
        <v>Mediana</v>
      </c>
      <c r="Y829" s="1144">
        <f t="shared" si="232"/>
        <v>0</v>
      </c>
      <c r="Z829" s="2863"/>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617" t="b">
        <f t="shared" ref="AU829:AU838" ca="1" si="246">ISNA(MATCH($AX$835,INDIRECT(AJ829),0))</f>
        <v>1</v>
      </c>
      <c r="AX829" s="326" t="s">
        <v>7330</v>
      </c>
      <c r="AY829" s="2335"/>
      <c r="AZ829" s="2335"/>
      <c r="BA829" s="617"/>
    </row>
    <row r="830" spans="1:53" ht="12.75" customHeight="1" x14ac:dyDescent="0.2">
      <c r="A830" s="227">
        <v>830</v>
      </c>
      <c r="B830" s="6042"/>
      <c r="C830" s="1141"/>
      <c r="D830" s="2614" t="s">
        <v>10485</v>
      </c>
      <c r="E830" s="2613"/>
      <c r="F830" s="2613"/>
      <c r="G830" s="2613"/>
      <c r="H830" s="2613"/>
      <c r="I830" s="2613"/>
      <c r="J830" s="2613"/>
      <c r="K830" s="2859"/>
      <c r="L830" s="2620"/>
      <c r="M830" s="2619"/>
      <c r="N830" s="2619"/>
      <c r="O830" s="2619"/>
      <c r="P830" s="2613"/>
      <c r="Q830" s="2613"/>
      <c r="R830" s="2613"/>
      <c r="S830" s="2613"/>
      <c r="T830" s="2613"/>
      <c r="U830" s="2613"/>
      <c r="V830" s="2859"/>
      <c r="W830" s="2611"/>
      <c r="X830" s="3022"/>
      <c r="Y830" s="1144"/>
      <c r="Z830" s="2863"/>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617" t="b">
        <f t="shared" ca="1" si="246"/>
        <v>1</v>
      </c>
      <c r="AX830" s="326" t="s">
        <v>7095</v>
      </c>
      <c r="AY830" s="2335"/>
      <c r="AZ830" s="2335"/>
      <c r="BA830" s="617"/>
    </row>
    <row r="831" spans="1:53" ht="12.75" customHeight="1" x14ac:dyDescent="0.2">
      <c r="A831" s="227">
        <v>831</v>
      </c>
      <c r="B831" s="6042"/>
      <c r="C831" s="1141"/>
      <c r="D831" s="2614" t="str">
        <f t="shared" ref="D831:D840" ca="1" si="247">AF829</f>
        <v/>
      </c>
      <c r="E831" s="2613" t="e">
        <f t="shared" ref="E831:E840" ca="1" si="248">IFERROR(VLOOKUP(D831,$AI$829:$AS$838,6,0),0)+VLOOKUP(D831,$AI$829:$AS$838,7,0)</f>
        <v>#N/A</v>
      </c>
      <c r="F831" s="2613" t="s">
        <v>1455</v>
      </c>
      <c r="G831" s="2613">
        <v>0</v>
      </c>
      <c r="H831" s="2613">
        <v>0</v>
      </c>
      <c r="I831" s="2613" t="str">
        <f t="shared" ref="I831:I840" ca="1" si="249">IFERROR(VLOOKUP(D831,$AI$829:$AS$838,9,0),$I$639)</f>
        <v>-</v>
      </c>
      <c r="J831" s="2613" t="str">
        <f t="shared" ref="J831:J840" ca="1" si="250">IFERROR(VLOOKUP(D831,$AI$829:$AS$838,10,0),$J$639)</f>
        <v>-</v>
      </c>
      <c r="K831" s="2859" t="s">
        <v>7276</v>
      </c>
      <c r="L831" s="2622" t="s">
        <v>1208</v>
      </c>
      <c r="M831" s="2619">
        <f>$M$639</f>
        <v>4</v>
      </c>
      <c r="N831" s="2619" t="e">
        <f t="shared" ref="N831:N840" ca="1" si="251">$N$639+VLOOKUP(D831,$AI$829:$AS$838,11,0)</f>
        <v>#N/A</v>
      </c>
      <c r="O831" s="2619"/>
      <c r="P831" s="2613"/>
      <c r="Q831" s="2613"/>
      <c r="R831" s="2613" t="s">
        <v>1455</v>
      </c>
      <c r="S831" s="2613" t="s">
        <v>1455</v>
      </c>
      <c r="T831" s="2613" t="s">
        <v>1455</v>
      </c>
      <c r="U831" s="2613"/>
      <c r="V831" s="2859" t="s">
        <v>2150</v>
      </c>
      <c r="W831" s="2611"/>
      <c r="X831" s="3023"/>
      <c r="Y831" s="1144">
        <f t="shared" si="232"/>
        <v>0</v>
      </c>
      <c r="Z831" s="2863"/>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617" t="b">
        <f t="shared" ca="1" si="246"/>
        <v>1</v>
      </c>
      <c r="AX831" s="326" t="s">
        <v>12</v>
      </c>
      <c r="AY831" s="2335"/>
      <c r="AZ831" s="2335"/>
      <c r="BA831" s="617"/>
    </row>
    <row r="832" spans="1:53" ht="12.75" customHeight="1" x14ac:dyDescent="0.2">
      <c r="A832" s="227">
        <v>832</v>
      </c>
      <c r="B832" s="6042"/>
      <c r="C832" s="1141"/>
      <c r="D832" s="2614" t="str">
        <f t="shared" ca="1" si="247"/>
        <v/>
      </c>
      <c r="E832" s="2613" t="e">
        <f t="shared" ca="1" si="248"/>
        <v>#N/A</v>
      </c>
      <c r="F832" s="2613" t="s">
        <v>1455</v>
      </c>
      <c r="G832" s="2613">
        <v>0</v>
      </c>
      <c r="H832" s="2613">
        <v>0</v>
      </c>
      <c r="I832" s="2613" t="str">
        <f t="shared" ca="1" si="249"/>
        <v>-</v>
      </c>
      <c r="J832" s="2613" t="str">
        <f t="shared" ca="1" si="250"/>
        <v>-</v>
      </c>
      <c r="K832" s="2859" t="s">
        <v>7276</v>
      </c>
      <c r="L832" s="2620" t="s">
        <v>1208</v>
      </c>
      <c r="M832" s="2619">
        <f t="shared" ref="M832:M840" si="252">$M$639</f>
        <v>4</v>
      </c>
      <c r="N832" s="2619" t="e">
        <f t="shared" ca="1" si="251"/>
        <v>#N/A</v>
      </c>
      <c r="O832" s="2619"/>
      <c r="P832" s="2613"/>
      <c r="Q832" s="2613"/>
      <c r="R832" s="2613" t="s">
        <v>1455</v>
      </c>
      <c r="S832" s="2613" t="s">
        <v>1455</v>
      </c>
      <c r="T832" s="2613" t="s">
        <v>1455</v>
      </c>
      <c r="U832" s="2613"/>
      <c r="V832" s="2859" t="s">
        <v>2150</v>
      </c>
      <c r="W832" s="2611"/>
      <c r="X832" s="3022"/>
      <c r="Y832" s="1144">
        <f t="shared" si="232"/>
        <v>0</v>
      </c>
      <c r="Z832" s="2863"/>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617" t="b">
        <f t="shared" ca="1" si="246"/>
        <v>1</v>
      </c>
      <c r="AX832" s="326" t="s">
        <v>7357</v>
      </c>
      <c r="AY832" s="2335"/>
      <c r="AZ832" s="2335"/>
      <c r="BA832" s="617"/>
    </row>
    <row r="833" spans="1:64" ht="12.75" customHeight="1" x14ac:dyDescent="0.2">
      <c r="A833" s="227">
        <v>833</v>
      </c>
      <c r="B833" s="6042"/>
      <c r="C833" s="1141"/>
      <c r="D833" s="2614" t="str">
        <f t="shared" ca="1" si="247"/>
        <v/>
      </c>
      <c r="E833" s="2613" t="e">
        <f t="shared" ca="1" si="248"/>
        <v>#N/A</v>
      </c>
      <c r="F833" s="2613" t="s">
        <v>1455</v>
      </c>
      <c r="G833" s="2613">
        <v>0</v>
      </c>
      <c r="H833" s="2613">
        <v>0</v>
      </c>
      <c r="I833" s="2613" t="str">
        <f t="shared" ca="1" si="249"/>
        <v>-</v>
      </c>
      <c r="J833" s="2613" t="str">
        <f t="shared" ca="1" si="250"/>
        <v>-</v>
      </c>
      <c r="K833" s="2859" t="s">
        <v>7276</v>
      </c>
      <c r="L833" s="2620" t="s">
        <v>1208</v>
      </c>
      <c r="M833" s="2619">
        <f t="shared" si="252"/>
        <v>4</v>
      </c>
      <c r="N833" s="2619" t="e">
        <f t="shared" ca="1" si="251"/>
        <v>#N/A</v>
      </c>
      <c r="O833" s="2619"/>
      <c r="P833" s="2613"/>
      <c r="Q833" s="2613"/>
      <c r="R833" s="2613" t="s">
        <v>1455</v>
      </c>
      <c r="S833" s="2613" t="s">
        <v>1455</v>
      </c>
      <c r="T833" s="2613" t="s">
        <v>1455</v>
      </c>
      <c r="U833" s="2613"/>
      <c r="V833" s="2859" t="s">
        <v>2150</v>
      </c>
      <c r="W833" s="2611"/>
      <c r="X833" s="3022"/>
      <c r="Y833" s="1144">
        <f t="shared" si="232"/>
        <v>0</v>
      </c>
      <c r="Z833" s="2863"/>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617" t="b">
        <f t="shared" ca="1" si="246"/>
        <v>1</v>
      </c>
      <c r="AX833" s="326" t="s">
        <v>7358</v>
      </c>
      <c r="AY833" s="2335"/>
      <c r="AZ833" s="2335"/>
      <c r="BA833" s="617"/>
    </row>
    <row r="834" spans="1:64" ht="12.75" customHeight="1" x14ac:dyDescent="0.2">
      <c r="A834" s="227">
        <v>834</v>
      </c>
      <c r="B834" s="6042"/>
      <c r="C834" s="1141"/>
      <c r="D834" s="2614" t="str">
        <f t="shared" ca="1" si="247"/>
        <v/>
      </c>
      <c r="E834" s="2613" t="e">
        <f t="shared" ca="1" si="248"/>
        <v>#N/A</v>
      </c>
      <c r="F834" s="2613" t="s">
        <v>1455</v>
      </c>
      <c r="G834" s="2613">
        <v>0</v>
      </c>
      <c r="H834" s="2613">
        <v>0</v>
      </c>
      <c r="I834" s="2613" t="str">
        <f t="shared" ca="1" si="249"/>
        <v>-</v>
      </c>
      <c r="J834" s="2613" t="str">
        <f t="shared" ca="1" si="250"/>
        <v>-</v>
      </c>
      <c r="K834" s="2859" t="s">
        <v>7276</v>
      </c>
      <c r="L834" s="2620" t="s">
        <v>1208</v>
      </c>
      <c r="M834" s="2619">
        <f t="shared" si="252"/>
        <v>4</v>
      </c>
      <c r="N834" s="2619" t="e">
        <f t="shared" ca="1" si="251"/>
        <v>#N/A</v>
      </c>
      <c r="O834" s="2619"/>
      <c r="P834" s="2613"/>
      <c r="Q834" s="2613"/>
      <c r="R834" s="2613" t="s">
        <v>1455</v>
      </c>
      <c r="S834" s="2613" t="s">
        <v>1455</v>
      </c>
      <c r="T834" s="2613" t="s">
        <v>1455</v>
      </c>
      <c r="U834" s="2613"/>
      <c r="V834" s="2859" t="s">
        <v>2150</v>
      </c>
      <c r="W834" s="2611"/>
      <c r="X834" s="3022"/>
      <c r="Y834" s="1144">
        <f t="shared" si="232"/>
        <v>0</v>
      </c>
      <c r="Z834" s="2863"/>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617" t="b">
        <f t="shared" ca="1" si="246"/>
        <v>1</v>
      </c>
      <c r="AX834" s="326" t="s">
        <v>7359</v>
      </c>
      <c r="AY834" s="2335"/>
      <c r="AZ834" s="2335"/>
      <c r="BA834" s="617"/>
    </row>
    <row r="835" spans="1:64" ht="12.75" customHeight="1" x14ac:dyDescent="0.2">
      <c r="A835" s="227">
        <v>835</v>
      </c>
      <c r="B835" s="6042"/>
      <c r="C835" s="1141"/>
      <c r="D835" s="2614" t="str">
        <f t="shared" ca="1" si="247"/>
        <v/>
      </c>
      <c r="E835" s="2613" t="e">
        <f t="shared" ca="1" si="248"/>
        <v>#N/A</v>
      </c>
      <c r="F835" s="2613" t="s">
        <v>1455</v>
      </c>
      <c r="G835" s="2613">
        <v>0</v>
      </c>
      <c r="H835" s="2613">
        <v>0</v>
      </c>
      <c r="I835" s="2613" t="str">
        <f t="shared" ca="1" si="249"/>
        <v>-</v>
      </c>
      <c r="J835" s="2613" t="str">
        <f t="shared" ca="1" si="250"/>
        <v>-</v>
      </c>
      <c r="K835" s="2859" t="s">
        <v>7276</v>
      </c>
      <c r="L835" s="2620" t="s">
        <v>1208</v>
      </c>
      <c r="M835" s="2619">
        <f t="shared" si="252"/>
        <v>4</v>
      </c>
      <c r="N835" s="2619" t="e">
        <f t="shared" ca="1" si="251"/>
        <v>#N/A</v>
      </c>
      <c r="O835" s="2619"/>
      <c r="P835" s="2613"/>
      <c r="Q835" s="2613"/>
      <c r="R835" s="2613" t="s">
        <v>1455</v>
      </c>
      <c r="S835" s="2613" t="s">
        <v>1455</v>
      </c>
      <c r="T835" s="2613" t="s">
        <v>1455</v>
      </c>
      <c r="U835" s="2613"/>
      <c r="V835" s="2859" t="s">
        <v>2150</v>
      </c>
      <c r="W835" s="2611"/>
      <c r="X835" s="3022"/>
      <c r="Y835" s="1144">
        <f t="shared" si="232"/>
        <v>0</v>
      </c>
      <c r="Z835" s="2863"/>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617" t="b">
        <f t="shared" ca="1" si="246"/>
        <v>1</v>
      </c>
      <c r="AX835" s="326" t="s">
        <v>13</v>
      </c>
      <c r="AY835" s="2335"/>
      <c r="AZ835" s="2335"/>
      <c r="BA835" s="617"/>
    </row>
    <row r="836" spans="1:64" ht="12.75" customHeight="1" x14ac:dyDescent="0.2">
      <c r="A836" s="227">
        <v>836</v>
      </c>
      <c r="B836" s="6042"/>
      <c r="C836" s="1141"/>
      <c r="D836" s="2614" t="str">
        <f t="shared" ca="1" si="247"/>
        <v/>
      </c>
      <c r="E836" s="2613" t="e">
        <f t="shared" ca="1" si="248"/>
        <v>#N/A</v>
      </c>
      <c r="F836" s="2613" t="s">
        <v>1455</v>
      </c>
      <c r="G836" s="2613">
        <v>0</v>
      </c>
      <c r="H836" s="2613">
        <v>0</v>
      </c>
      <c r="I836" s="2613" t="str">
        <f t="shared" ca="1" si="249"/>
        <v>-</v>
      </c>
      <c r="J836" s="2613" t="str">
        <f t="shared" ca="1" si="250"/>
        <v>-</v>
      </c>
      <c r="K836" s="2859" t="s">
        <v>7276</v>
      </c>
      <c r="L836" s="2620" t="s">
        <v>1208</v>
      </c>
      <c r="M836" s="2619">
        <f t="shared" si="252"/>
        <v>4</v>
      </c>
      <c r="N836" s="2619" t="e">
        <f t="shared" ca="1" si="251"/>
        <v>#N/A</v>
      </c>
      <c r="O836" s="2619"/>
      <c r="P836" s="2613"/>
      <c r="Q836" s="2613"/>
      <c r="R836" s="2613" t="s">
        <v>1455</v>
      </c>
      <c r="S836" s="2613" t="s">
        <v>1455</v>
      </c>
      <c r="T836" s="2613" t="s">
        <v>1455</v>
      </c>
      <c r="U836" s="2613"/>
      <c r="V836" s="2859" t="s">
        <v>2150</v>
      </c>
      <c r="W836" s="2611"/>
      <c r="X836" s="3022"/>
      <c r="Y836" s="1144">
        <f t="shared" si="232"/>
        <v>0</v>
      </c>
      <c r="Z836" s="2863"/>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617" t="b">
        <f t="shared" ca="1" si="246"/>
        <v>1</v>
      </c>
      <c r="AX836" s="326" t="s">
        <v>9948</v>
      </c>
      <c r="AY836" s="2335"/>
      <c r="AZ836" s="2335"/>
      <c r="BA836" s="617"/>
    </row>
    <row r="837" spans="1:64" ht="12.75" customHeight="1" x14ac:dyDescent="0.2">
      <c r="A837" s="227">
        <v>837</v>
      </c>
      <c r="B837" s="6042"/>
      <c r="C837" s="1141"/>
      <c r="D837" s="2614" t="str">
        <f t="shared" ca="1" si="247"/>
        <v/>
      </c>
      <c r="E837" s="2613" t="e">
        <f t="shared" ca="1" si="248"/>
        <v>#N/A</v>
      </c>
      <c r="F837" s="2613" t="s">
        <v>1455</v>
      </c>
      <c r="G837" s="2613">
        <v>0</v>
      </c>
      <c r="H837" s="2613">
        <v>0</v>
      </c>
      <c r="I837" s="2613" t="str">
        <f t="shared" ca="1" si="249"/>
        <v>-</v>
      </c>
      <c r="J837" s="2613" t="str">
        <f t="shared" ca="1" si="250"/>
        <v>-</v>
      </c>
      <c r="K837" s="2859" t="s">
        <v>7276</v>
      </c>
      <c r="L837" s="2620" t="s">
        <v>1208</v>
      </c>
      <c r="M837" s="2619">
        <f t="shared" si="252"/>
        <v>4</v>
      </c>
      <c r="N837" s="2619" t="e">
        <f t="shared" ca="1" si="251"/>
        <v>#N/A</v>
      </c>
      <c r="O837" s="2619"/>
      <c r="P837" s="2613"/>
      <c r="Q837" s="2613"/>
      <c r="R837" s="2613" t="s">
        <v>1455</v>
      </c>
      <c r="S837" s="2613" t="s">
        <v>1455</v>
      </c>
      <c r="T837" s="2613" t="s">
        <v>1455</v>
      </c>
      <c r="U837" s="2613"/>
      <c r="V837" s="2859" t="s">
        <v>2150</v>
      </c>
      <c r="W837" s="2611"/>
      <c r="X837" s="3022"/>
      <c r="Y837" s="1144">
        <f t="shared" si="232"/>
        <v>0</v>
      </c>
      <c r="Z837" s="2863"/>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617" t="b">
        <f t="shared" ca="1" si="246"/>
        <v>1</v>
      </c>
      <c r="AX837" s="326" t="s">
        <v>1569</v>
      </c>
      <c r="AY837" s="2335"/>
      <c r="AZ837" s="2335"/>
      <c r="BA837" s="617"/>
    </row>
    <row r="838" spans="1:64" ht="12.75" customHeight="1" thickBot="1" x14ac:dyDescent="0.25">
      <c r="A838" s="227">
        <v>838</v>
      </c>
      <c r="B838" s="6042"/>
      <c r="C838" s="1141"/>
      <c r="D838" s="2614" t="str">
        <f t="shared" ca="1" si="247"/>
        <v/>
      </c>
      <c r="E838" s="2613" t="e">
        <f t="shared" ca="1" si="248"/>
        <v>#N/A</v>
      </c>
      <c r="F838" s="2613" t="s">
        <v>1455</v>
      </c>
      <c r="G838" s="2613">
        <v>0</v>
      </c>
      <c r="H838" s="2613">
        <v>0</v>
      </c>
      <c r="I838" s="2613" t="str">
        <f t="shared" ca="1" si="249"/>
        <v>-</v>
      </c>
      <c r="J838" s="2613" t="str">
        <f t="shared" ca="1" si="250"/>
        <v>-</v>
      </c>
      <c r="K838" s="2859" t="s">
        <v>7276</v>
      </c>
      <c r="L838" s="2620" t="s">
        <v>1208</v>
      </c>
      <c r="M838" s="2619">
        <f t="shared" si="252"/>
        <v>4</v>
      </c>
      <c r="N838" s="2619" t="e">
        <f t="shared" ca="1" si="251"/>
        <v>#N/A</v>
      </c>
      <c r="O838" s="2619"/>
      <c r="P838" s="2613"/>
      <c r="Q838" s="2613"/>
      <c r="R838" s="2613" t="s">
        <v>1455</v>
      </c>
      <c r="S838" s="2613" t="s">
        <v>1455</v>
      </c>
      <c r="T838" s="2613" t="s">
        <v>1455</v>
      </c>
      <c r="U838" s="2613"/>
      <c r="V838" s="2859" t="s">
        <v>2150</v>
      </c>
      <c r="W838" s="2611"/>
      <c r="X838" s="3022"/>
      <c r="Y838" s="1144">
        <f t="shared" si="232"/>
        <v>0</v>
      </c>
      <c r="Z838" s="2863"/>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7"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18" t="b">
        <f t="shared" ca="1" si="246"/>
        <v>1</v>
      </c>
      <c r="AX838" s="326" t="s">
        <v>7342</v>
      </c>
      <c r="AY838" s="2335"/>
      <c r="AZ838" s="2335"/>
      <c r="BA838" s="617"/>
    </row>
    <row r="839" spans="1:64" ht="12.75" customHeight="1" thickBot="1" x14ac:dyDescent="0.25">
      <c r="A839" s="227">
        <v>839</v>
      </c>
      <c r="B839" s="6042"/>
      <c r="C839" s="1141"/>
      <c r="D839" s="2614" t="str">
        <f t="shared" ca="1" si="247"/>
        <v/>
      </c>
      <c r="E839" s="2613" t="e">
        <f t="shared" ca="1" si="248"/>
        <v>#N/A</v>
      </c>
      <c r="F839" s="2613" t="s">
        <v>1455</v>
      </c>
      <c r="G839" s="2613">
        <v>0</v>
      </c>
      <c r="H839" s="2613">
        <v>0</v>
      </c>
      <c r="I839" s="2613" t="str">
        <f t="shared" ca="1" si="249"/>
        <v>-</v>
      </c>
      <c r="J839" s="2613" t="str">
        <f t="shared" ca="1" si="250"/>
        <v>-</v>
      </c>
      <c r="K839" s="2859" t="s">
        <v>7276</v>
      </c>
      <c r="L839" s="2620" t="s">
        <v>1208</v>
      </c>
      <c r="M839" s="2619">
        <f t="shared" si="252"/>
        <v>4</v>
      </c>
      <c r="N839" s="2619" t="e">
        <f t="shared" ca="1" si="251"/>
        <v>#N/A</v>
      </c>
      <c r="O839" s="2619"/>
      <c r="P839" s="2613"/>
      <c r="Q839" s="2613"/>
      <c r="R839" s="2613" t="s">
        <v>1455</v>
      </c>
      <c r="S839" s="2613" t="s">
        <v>1455</v>
      </c>
      <c r="T839" s="2613" t="s">
        <v>1455</v>
      </c>
      <c r="U839" s="2613"/>
      <c r="V839" s="2859" t="s">
        <v>2150</v>
      </c>
      <c r="W839" s="2611"/>
      <c r="X839" s="3022"/>
      <c r="Y839" s="1144">
        <f t="shared" si="232"/>
        <v>0</v>
      </c>
      <c r="Z839" s="2863"/>
      <c r="AA839" s="1955" t="s">
        <v>10302</v>
      </c>
      <c r="AB839" s="2861"/>
      <c r="AC839" s="3064"/>
      <c r="AD839" s="3060"/>
      <c r="AE839" s="3060"/>
      <c r="AF839" s="3060"/>
      <c r="AG839" s="3060"/>
      <c r="AH839" s="3060"/>
      <c r="AI839" s="3060"/>
      <c r="AJ839" s="3060"/>
      <c r="AK839" s="3060"/>
      <c r="AL839" s="3060"/>
      <c r="AM839" s="3060"/>
      <c r="AN839" s="3060"/>
      <c r="AO839" s="3060"/>
      <c r="AP839" s="3061"/>
      <c r="AQ839" s="3061"/>
      <c r="AR839" s="3061"/>
      <c r="AS839" s="3062"/>
      <c r="AT839" s="3062"/>
      <c r="AU839" s="3063"/>
      <c r="AV839" s="3062"/>
      <c r="AX839" s="326" t="s">
        <v>7344</v>
      </c>
      <c r="AY839" s="2335"/>
      <c r="AZ839" s="2335"/>
      <c r="BA839" s="617"/>
    </row>
    <row r="840" spans="1:64" ht="12.75" customHeight="1" thickBot="1" x14ac:dyDescent="0.25">
      <c r="A840" s="227">
        <v>840</v>
      </c>
      <c r="B840" s="6042"/>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si="252"/>
        <v>4</v>
      </c>
      <c r="N840" s="1149" t="e">
        <f t="shared" ca="1" si="251"/>
        <v>#N/A</v>
      </c>
      <c r="O840" s="1149"/>
      <c r="P840" s="1147"/>
      <c r="Q840" s="1147"/>
      <c r="R840" s="1147" t="s">
        <v>1455</v>
      </c>
      <c r="S840" s="1147" t="s">
        <v>1455</v>
      </c>
      <c r="T840" s="1147" t="s">
        <v>1455</v>
      </c>
      <c r="U840" s="1147"/>
      <c r="V840" s="1060" t="s">
        <v>2150</v>
      </c>
      <c r="W840" s="1150"/>
      <c r="X840" s="3024"/>
      <c r="Y840" s="2627">
        <f t="shared" si="232"/>
        <v>0</v>
      </c>
      <c r="Z840" s="2864"/>
      <c r="AA840" s="1956" t="s">
        <v>10302</v>
      </c>
      <c r="AB840" s="2861"/>
      <c r="AC840" s="6301" t="s">
        <v>10475</v>
      </c>
      <c r="AD840" s="6302"/>
      <c r="AE840" s="3057" t="s">
        <v>10461</v>
      </c>
      <c r="AF840" s="3058" t="s">
        <v>10462</v>
      </c>
      <c r="AG840" s="3058" t="s">
        <v>10463</v>
      </c>
      <c r="AH840" s="3058" t="s">
        <v>10464</v>
      </c>
      <c r="AI840" s="3058" t="s">
        <v>10465</v>
      </c>
      <c r="AJ840" s="3058" t="s">
        <v>10466</v>
      </c>
      <c r="AK840" s="3058" t="s">
        <v>10467</v>
      </c>
      <c r="AL840" s="3058" t="s">
        <v>10468</v>
      </c>
      <c r="AM840" s="3058" t="s">
        <v>10469</v>
      </c>
      <c r="AN840" s="3058" t="s">
        <v>10470</v>
      </c>
      <c r="AO840" s="3058" t="s">
        <v>10471</v>
      </c>
      <c r="AP840" s="3058" t="s">
        <v>10472</v>
      </c>
      <c r="AQ840" s="3058" t="s">
        <v>10473</v>
      </c>
      <c r="AR840" s="3059" t="s">
        <v>10474</v>
      </c>
      <c r="AX840" s="660" t="s">
        <v>7348</v>
      </c>
      <c r="AY840" s="328"/>
      <c r="AZ840" s="328"/>
      <c r="BA840" s="618"/>
    </row>
    <row r="841" spans="1:64" ht="12.75" customHeight="1" x14ac:dyDescent="0.2">
      <c r="A841" s="227">
        <v>841</v>
      </c>
      <c r="B841" s="6042"/>
      <c r="H841"/>
      <c r="I841" s="555"/>
      <c r="N841"/>
      <c r="O841" s="555"/>
    </row>
    <row r="842" spans="1:64" ht="12.75" customHeight="1" x14ac:dyDescent="0.2">
      <c r="A842" s="227">
        <v>842</v>
      </c>
      <c r="B842" s="6042"/>
      <c r="C842" s="6059" t="s">
        <v>7308</v>
      </c>
      <c r="D842" s="6059"/>
      <c r="E842" s="6059"/>
      <c r="F842" s="6059"/>
      <c r="G842" s="6059"/>
      <c r="H842" s="6059"/>
      <c r="I842" s="6059"/>
      <c r="J842" s="6059"/>
      <c r="K842" s="6059"/>
      <c r="L842" s="6059"/>
      <c r="M842" s="6059"/>
      <c r="N842" s="6059"/>
      <c r="O842" s="6059"/>
      <c r="P842" s="6059"/>
      <c r="Q842" s="6059"/>
      <c r="R842" s="6059"/>
      <c r="S842" s="6059"/>
      <c r="T842" s="6059"/>
      <c r="U842" s="6059"/>
      <c r="V842" s="6059"/>
      <c r="W842" s="6059"/>
      <c r="X842" s="6059"/>
      <c r="Y842" s="6059"/>
      <c r="Z842" s="6059"/>
      <c r="AA842" s="6059"/>
      <c r="AB842" s="6059"/>
      <c r="AC842" s="6059"/>
      <c r="AD842" s="6059"/>
      <c r="AE842" s="6059"/>
      <c r="AF842" s="6059"/>
      <c r="AG842" s="6059"/>
      <c r="AH842" s="6059"/>
      <c r="AI842" s="6059"/>
      <c r="AJ842" s="6059"/>
      <c r="AK842" s="6059"/>
      <c r="AL842" s="6059"/>
      <c r="AM842" s="6059"/>
      <c r="AN842" s="6059"/>
      <c r="AO842" s="6059"/>
      <c r="AP842" s="6059"/>
      <c r="AQ842" s="6059"/>
      <c r="AR842" s="6059"/>
      <c r="AS842" s="6059"/>
      <c r="AT842" s="6059"/>
      <c r="AU842" s="6059"/>
      <c r="AV842" s="6059"/>
      <c r="AW842" s="6059"/>
      <c r="AX842" s="6059"/>
      <c r="AY842" s="6059"/>
      <c r="AZ842" s="6059"/>
      <c r="BA842" s="6059"/>
      <c r="BB842" s="6059"/>
      <c r="BC842" s="6059"/>
      <c r="BD842" s="6059"/>
      <c r="BE842" s="6059"/>
      <c r="BF842" s="6059"/>
      <c r="BG842" s="6059"/>
      <c r="BH842" s="6059"/>
      <c r="BI842" s="6059"/>
      <c r="BJ842" s="6059"/>
      <c r="BK842" s="6059"/>
      <c r="BL842" s="6059"/>
    </row>
    <row r="843" spans="1:64" ht="12.75" customHeight="1" x14ac:dyDescent="0.2">
      <c r="A843" s="227">
        <v>843</v>
      </c>
      <c r="B843" s="6042"/>
      <c r="C843" s="6059"/>
      <c r="D843" s="6059"/>
      <c r="E843" s="6059"/>
      <c r="F843" s="6059"/>
      <c r="G843" s="6059"/>
      <c r="H843" s="6059"/>
      <c r="I843" s="6059"/>
      <c r="J843" s="6059"/>
      <c r="K843" s="6059"/>
      <c r="L843" s="6059"/>
      <c r="M843" s="6059"/>
      <c r="N843" s="6059"/>
      <c r="O843" s="6059"/>
      <c r="P843" s="6059"/>
      <c r="Q843" s="6059"/>
      <c r="R843" s="6059"/>
      <c r="S843" s="6059"/>
      <c r="T843" s="6059"/>
      <c r="U843" s="6059"/>
      <c r="V843" s="6059"/>
      <c r="W843" s="6059"/>
      <c r="X843" s="6059"/>
      <c r="Y843" s="6059"/>
      <c r="Z843" s="6059"/>
      <c r="AA843" s="6059"/>
      <c r="AB843" s="6059"/>
      <c r="AC843" s="6059"/>
      <c r="AD843" s="6059"/>
      <c r="AE843" s="6059"/>
      <c r="AF843" s="6059"/>
      <c r="AG843" s="6059"/>
      <c r="AH843" s="6059"/>
      <c r="AI843" s="6059"/>
      <c r="AJ843" s="6059"/>
      <c r="AK843" s="6059"/>
      <c r="AL843" s="6059"/>
      <c r="AM843" s="6059"/>
      <c r="AN843" s="6059"/>
      <c r="AO843" s="6059"/>
      <c r="AP843" s="6059"/>
      <c r="AQ843" s="6059"/>
      <c r="AR843" s="6059"/>
      <c r="AS843" s="6059"/>
      <c r="AT843" s="6059"/>
      <c r="AU843" s="6059"/>
      <c r="AV843" s="6059"/>
      <c r="AW843" s="6059"/>
      <c r="AX843" s="6059"/>
      <c r="AY843" s="6059"/>
      <c r="AZ843" s="6059"/>
      <c r="BA843" s="6059"/>
      <c r="BB843" s="6059"/>
      <c r="BC843" s="6059"/>
      <c r="BD843" s="6059"/>
      <c r="BE843" s="6059"/>
      <c r="BF843" s="6059"/>
      <c r="BG843" s="6059"/>
      <c r="BH843" s="6059"/>
      <c r="BI843" s="6059"/>
      <c r="BJ843" s="6059"/>
      <c r="BK843" s="6059"/>
      <c r="BL843" s="6059"/>
    </row>
    <row r="844" spans="1:64" ht="12.75" customHeight="1" x14ac:dyDescent="0.2">
      <c r="A844" s="227">
        <v>844</v>
      </c>
      <c r="B844" s="6042"/>
      <c r="C844" s="6059"/>
      <c r="D844" s="6059"/>
      <c r="E844" s="6059"/>
      <c r="F844" s="6059"/>
      <c r="G844" s="6059"/>
      <c r="H844" s="6059"/>
      <c r="I844" s="6059"/>
      <c r="J844" s="6059"/>
      <c r="K844" s="6059"/>
      <c r="L844" s="6059"/>
      <c r="M844" s="6059"/>
      <c r="N844" s="6059"/>
      <c r="O844" s="6059"/>
      <c r="P844" s="6059"/>
      <c r="Q844" s="6059"/>
      <c r="R844" s="6059"/>
      <c r="S844" s="6059"/>
      <c r="T844" s="6059"/>
      <c r="U844" s="6059"/>
      <c r="V844" s="6059"/>
      <c r="W844" s="6059"/>
      <c r="X844" s="6059"/>
      <c r="Y844" s="6059"/>
      <c r="Z844" s="6059"/>
      <c r="AA844" s="6059"/>
      <c r="AB844" s="6059"/>
      <c r="AC844" s="6059"/>
      <c r="AD844" s="6059"/>
      <c r="AE844" s="6059"/>
      <c r="AF844" s="6059"/>
      <c r="AG844" s="6059"/>
      <c r="AH844" s="6059"/>
      <c r="AI844" s="6059"/>
      <c r="AJ844" s="6059"/>
      <c r="AK844" s="6059"/>
      <c r="AL844" s="6059"/>
      <c r="AM844" s="6059"/>
      <c r="AN844" s="6059"/>
      <c r="AO844" s="6059"/>
      <c r="AP844" s="6059"/>
      <c r="AQ844" s="6059"/>
      <c r="AR844" s="6059"/>
      <c r="AS844" s="6059"/>
      <c r="AT844" s="6059"/>
      <c r="AU844" s="6059"/>
      <c r="AV844" s="6059"/>
      <c r="AW844" s="6059"/>
      <c r="AX844" s="6059"/>
      <c r="AY844" s="6059"/>
      <c r="AZ844" s="6059"/>
      <c r="BA844" s="6059"/>
      <c r="BB844" s="6059"/>
      <c r="BC844" s="6059"/>
      <c r="BD844" s="6059"/>
      <c r="BE844" s="6059"/>
      <c r="BF844" s="6059"/>
      <c r="BG844" s="6059"/>
      <c r="BH844" s="6059"/>
      <c r="BI844" s="6059"/>
      <c r="BJ844" s="6059"/>
      <c r="BK844" s="6059"/>
      <c r="BL844" s="6059"/>
    </row>
    <row r="845" spans="1:64" ht="12.75" customHeight="1" thickBot="1" x14ac:dyDescent="0.25">
      <c r="A845" s="227">
        <v>845</v>
      </c>
      <c r="B845" s="6042"/>
      <c r="C845" s="695"/>
      <c r="H845"/>
      <c r="N845"/>
    </row>
    <row r="846" spans="1:64" ht="12.75" customHeight="1" thickBot="1" x14ac:dyDescent="0.25">
      <c r="A846" s="227">
        <v>846</v>
      </c>
      <c r="B846" s="6042"/>
      <c r="C846" s="6265" t="s">
        <v>854</v>
      </c>
      <c r="D846" s="6266"/>
      <c r="E846" s="6266"/>
      <c r="F846" s="6266"/>
      <c r="G846" s="6266"/>
      <c r="H846" s="6266"/>
      <c r="I846" s="6266"/>
      <c r="J846" s="6266"/>
      <c r="K846" s="6266"/>
      <c r="L846" s="6266"/>
      <c r="M846" s="6266"/>
      <c r="N846" s="6266"/>
      <c r="O846" s="6266"/>
      <c r="P846" s="6266"/>
      <c r="Q846" s="6266"/>
      <c r="R846" s="6266"/>
      <c r="S846" s="6266"/>
      <c r="T846" s="6266"/>
      <c r="U846" s="6266"/>
      <c r="V846" s="6266"/>
      <c r="W846" s="6266"/>
      <c r="X846" s="6266"/>
      <c r="Y846" s="6266"/>
      <c r="Z846" s="6266"/>
      <c r="AA846" s="6266"/>
      <c r="AB846" s="6266"/>
      <c r="AC846" s="6267"/>
      <c r="AD846" s="2392"/>
      <c r="AE846" s="6208" t="s">
        <v>8740</v>
      </c>
      <c r="AF846" s="6209"/>
      <c r="AG846" s="6210"/>
      <c r="AI846" s="6208" t="s">
        <v>8752</v>
      </c>
      <c r="AJ846" s="6209"/>
      <c r="AK846" s="6209"/>
      <c r="AL846" s="6209"/>
      <c r="AM846" s="6209"/>
      <c r="AN846" s="6209"/>
      <c r="AO846" s="6209"/>
      <c r="AP846" s="6209"/>
      <c r="AQ846" s="6209"/>
      <c r="AR846" s="6209"/>
      <c r="AS846" s="6209"/>
      <c r="AT846" s="6209"/>
      <c r="AU846" s="6209"/>
      <c r="AV846" s="6209"/>
      <c r="AW846" s="6209"/>
      <c r="AX846" s="6209"/>
      <c r="AY846" s="6209"/>
      <c r="AZ846" s="6209"/>
      <c r="BA846" s="6209"/>
      <c r="BB846" s="6209"/>
      <c r="BC846" s="6209"/>
      <c r="BD846" s="6209"/>
      <c r="BE846" s="6209"/>
      <c r="BF846" s="6209"/>
      <c r="BG846" s="6209"/>
      <c r="BH846" s="6209"/>
      <c r="BI846" s="6209"/>
      <c r="BJ846" s="6209"/>
      <c r="BK846" s="6209"/>
      <c r="BL846" s="6210"/>
    </row>
    <row r="847" spans="1:64" ht="12.75" customHeight="1" thickBot="1" x14ac:dyDescent="0.25">
      <c r="A847" s="227">
        <v>847</v>
      </c>
      <c r="B847" s="6042"/>
      <c r="C847" s="6268"/>
      <c r="D847" s="6269"/>
      <c r="E847" s="6269"/>
      <c r="F847" s="6269"/>
      <c r="G847" s="6269"/>
      <c r="H847" s="6269"/>
      <c r="I847" s="6269"/>
      <c r="J847" s="6269"/>
      <c r="K847" s="6269"/>
      <c r="L847" s="6269"/>
      <c r="M847" s="6269"/>
      <c r="N847" s="6269"/>
      <c r="O847" s="6269"/>
      <c r="P847" s="6269"/>
      <c r="Q847" s="6269"/>
      <c r="R847" s="6269"/>
      <c r="S847" s="6269"/>
      <c r="T847" s="6269"/>
      <c r="U847" s="6269"/>
      <c r="V847" s="6269"/>
      <c r="W847" s="6269"/>
      <c r="X847" s="6269"/>
      <c r="Y847" s="6269"/>
      <c r="Z847" s="6269"/>
      <c r="AA847" s="6269"/>
      <c r="AB847" s="6269"/>
      <c r="AC847" s="6270"/>
      <c r="AD847" s="2392"/>
      <c r="AE847" s="1827" t="s">
        <v>6232</v>
      </c>
      <c r="AF847" s="1825" t="s">
        <v>2056</v>
      </c>
      <c r="AG847" s="1826" t="s">
        <v>8741</v>
      </c>
      <c r="AI847" s="6226" t="s">
        <v>8753</v>
      </c>
      <c r="AJ847" s="6228"/>
      <c r="AK847" s="6231" t="b">
        <f>Arma_Desarrollada="Desarmado"</f>
        <v>1</v>
      </c>
      <c r="AL847" s="6232"/>
      <c r="AM847" s="6293" t="str">
        <f>IF(Categoría_1="","",Categoría_1)</f>
        <v/>
      </c>
      <c r="AN847" s="6294"/>
      <c r="AO847" s="6294"/>
      <c r="AP847" s="6294"/>
      <c r="AQ847" s="6295"/>
      <c r="AR847" s="6226" t="str">
        <f>IF(Categoría_2="","",Categoría_2)</f>
        <v/>
      </c>
      <c r="AS847" s="6227"/>
      <c r="AT847" s="6227"/>
      <c r="AU847" s="6227"/>
      <c r="AV847" s="6228"/>
      <c r="AW847" s="6226" t="str">
        <f>IF(Categoría_3="","",Categoría_3)</f>
        <v/>
      </c>
      <c r="AX847" s="6227"/>
      <c r="AY847" s="6227"/>
      <c r="AZ847" s="6227"/>
      <c r="BA847" s="6228"/>
      <c r="BB847" s="6226" t="str">
        <f>IF(Categoría_4="","",Categoría_4)</f>
        <v/>
      </c>
      <c r="BC847" s="6227"/>
      <c r="BD847" s="6227"/>
      <c r="BE847" s="6227"/>
      <c r="BF847" s="6228"/>
      <c r="BG847" s="6226" t="str">
        <f>IF(Categoría_5="","",Categoría_5)</f>
        <v/>
      </c>
      <c r="BH847" s="6227"/>
      <c r="BI847" s="6227"/>
      <c r="BJ847" s="6227"/>
      <c r="BK847" s="6228"/>
      <c r="BL847" s="6296" t="s">
        <v>8754</v>
      </c>
    </row>
    <row r="848" spans="1:64" ht="12.75" customHeight="1" thickBot="1" x14ac:dyDescent="0.25">
      <c r="A848" s="227">
        <v>848</v>
      </c>
      <c r="B848" s="6042"/>
      <c r="C848" s="6253">
        <v>1</v>
      </c>
      <c r="D848" s="6254"/>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63" t="s">
        <v>8758</v>
      </c>
      <c r="AB848" s="6263"/>
      <c r="AC848" s="6264"/>
      <c r="AE848" s="1828" t="s">
        <v>8742</v>
      </c>
      <c r="AF848" s="304">
        <v>10</v>
      </c>
      <c r="AG848" s="926">
        <v>20</v>
      </c>
      <c r="AI848" s="6305" t="s">
        <v>8759</v>
      </c>
      <c r="AJ848" s="6306"/>
      <c r="AK848" s="6303" t="b">
        <f>OR(Categoría_2&lt;&gt;"",Categoría_3&lt;&gt;"",Categoría_4&lt;&gt;"",Categoría_5&lt;&gt;"")</f>
        <v>0</v>
      </c>
      <c r="AL848" s="6304"/>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297"/>
    </row>
    <row r="849" spans="1:64" ht="12.75" customHeight="1" thickBot="1" x14ac:dyDescent="0.25">
      <c r="A849" s="227">
        <v>849</v>
      </c>
      <c r="B849" s="6042"/>
      <c r="C849" s="6224" t="s">
        <v>855</v>
      </c>
      <c r="D849" s="6225"/>
      <c r="E849" s="2401" t="s">
        <v>856</v>
      </c>
      <c r="F849" s="2401" t="s">
        <v>857</v>
      </c>
      <c r="G849" s="2401" t="s">
        <v>8766</v>
      </c>
      <c r="H849" s="2401" t="s">
        <v>858</v>
      </c>
      <c r="I849" s="2401" t="s">
        <v>7189</v>
      </c>
      <c r="J849" s="2401" t="s">
        <v>7190</v>
      </c>
      <c r="K849" s="2401" t="s">
        <v>859</v>
      </c>
      <c r="L849" s="2410" t="s">
        <v>9987</v>
      </c>
      <c r="M849" s="2410" t="s">
        <v>9988</v>
      </c>
      <c r="N849" s="6184" t="s">
        <v>1476</v>
      </c>
      <c r="O849" s="6184"/>
      <c r="P849" s="6184"/>
      <c r="Q849" s="6184"/>
      <c r="R849" s="6184"/>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298"/>
    </row>
    <row r="850" spans="1:64" ht="12.75" customHeight="1" x14ac:dyDescent="0.2">
      <c r="A850" s="227">
        <v>850</v>
      </c>
      <c r="B850" s="6042"/>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3">LEN(N850)</f>
        <v>1</v>
      </c>
      <c r="T850" s="2404"/>
      <c r="U850" s="2404"/>
      <c r="V850" s="2404"/>
      <c r="W850" s="2404"/>
      <c r="X850" s="2404">
        <f t="shared" ref="X850:X881" si="254">Y850*E850</f>
        <v>0</v>
      </c>
      <c r="Y850" s="2404"/>
      <c r="Z850" s="2404" t="s">
        <v>1455</v>
      </c>
      <c r="AA850" s="1020"/>
      <c r="AB850" s="2406"/>
      <c r="AC850" s="1259"/>
      <c r="AE850" s="1828" t="s">
        <v>8744</v>
      </c>
      <c r="AF850" s="304">
        <v>20</v>
      </c>
      <c r="AG850" s="926">
        <v>50</v>
      </c>
      <c r="AI850" s="2634" t="str">
        <f>IF(PDs!E59="","",PDs!E59)</f>
        <v/>
      </c>
      <c r="AJ850" s="2635" t="str">
        <f>IF(PDs!J59="","",PDs!J59)</f>
        <v/>
      </c>
      <c r="AK850" s="2635" t="str">
        <f t="shared" ref="AK850:AK868" si="255">IF(ISNUMBER(MATCH(AI850,$AE$855:$AE$873,0)),"Básica",IF(ISNUMBER(MATCH(AI850,$AE$874:$AE$891,0)),"Avanzada",""))</f>
        <v/>
      </c>
      <c r="AL850" s="2635" t="str">
        <f t="shared" ref="AL850:AL868" si="256">IF(AK850="Básica",MATCH(AJ850,Grado_AM_Básicas,0),IF(AK850="Avanzada",MATCH(AJ850,Grado_AM_Avanzadas,0),""))</f>
        <v/>
      </c>
      <c r="AM850" s="2636" t="str">
        <f>IFERROR("Tablas!"&amp;IF($AK$848,ADDRESS(ROW(),COLUMN(AN850)),ADDRESS(ROW(),COLUMN(INDEX(AN850:AP850,1,$AL850))))&amp;":"&amp;ADDRESS(ROW(),COLUMN(INDEX(AN850:AP850,1,$AL850))),"")</f>
        <v/>
      </c>
      <c r="AN850" s="2637">
        <f>IF(AM$847&lt;&gt;"",IF(AM$847="Tao",VLOOKUP($AK850&amp;AN$848,$AE$848:$AG$852,2,0)*IF($AK$847,0.5,1),VLOOKUP($AK850&amp;AN$848,$AE$848:$AG$852,3,0)*IF($AK$847,0.5,1)),0)</f>
        <v>0</v>
      </c>
      <c r="AO850" s="2637">
        <f>IF(AM$847&lt;&gt;"",AN850+IF(AM$847="Tao",VLOOKUP($AK850&amp;AO$848,$AE$848:$AG$852,2,0)*IF($AK$847,0.5,1),VLOOKUP($AK850&amp;AO$848,$AE$848:$AG$852,3,0)*IF($AK$847,0.5,1)),0)</f>
        <v>0</v>
      </c>
      <c r="AP850" s="2637">
        <f>IF(AM$847&lt;&gt;"",AO850+IF(AM$847="Tao",VLOOKUP($AK850&amp;AP$848,$AE$848:$AG$852,2,0)*IF($AK$847,0.5,1),VLOOKUP($AK850&amp;AP$848,$AE$848:$AG$852,3,0)*IF($AK$847,0.5,1)),0)</f>
        <v>0</v>
      </c>
      <c r="AQ850" s="2638">
        <f>IFERROR(MATCH(PDs!M59,AN850:AP850,0),0)</f>
        <v>1</v>
      </c>
      <c r="AR850" s="2636" t="str">
        <f>IFERROR(IF(AND(AQ850&lt;$AL850,AR$847&lt;&gt;""),"Tablas!"&amp;ADDRESS(ROW(),COLUMN(INDEX(AS850:AU850,1,AQ850+1)))&amp;":"&amp;ADDRESS(ROW(),COLUMN(INDEX(AS850:AU850,1,$AL850))),""),"")</f>
        <v/>
      </c>
      <c r="AS850" s="2637">
        <f>IF(AND(AR$847&lt;&gt;"",AS$848&gt;AQ850),IF(AR$847="Tao",VLOOKUP($AK850&amp;AS$848,$AE$848:$AG$852,2,0)*IF($AK$847,0.5,1),VLOOKUP($AK850&amp;AS$848,$AE$848:$AG$852,3,0)*IF($AK$847,0.5,1)),0)</f>
        <v>0</v>
      </c>
      <c r="AT850" s="2637">
        <f>IF(AND(AR$847&lt;&gt;"",AT$848&gt;AQ850),AS850+IF(AR$847="Tao",VLOOKUP($AK850&amp;AT$848,$AE$848:$AG$852,2,0)*IF($AK$847,0.5,1),VLOOKUP($AK850&amp;AT$848,$AE$848:$AG$852,3,0)*IF($AK$847,0.5,1)),0)</f>
        <v>0</v>
      </c>
      <c r="AU850" s="2637">
        <f>IF(AND(AR$847&lt;&gt;"",AU$848&gt;AQ850),AT850+IF(AR$847="Tao",VLOOKUP($AK850&amp;AU$848,$AE$848:$AG$852,2,0)*IF($AK$847,0.5,1),VLOOKUP($AK850&amp;AU$848,$AE$848:$AG$852,3,0)*IF($AK$847,0.5,1)),0)</f>
        <v>0</v>
      </c>
      <c r="AV850" s="2638">
        <f>IF(AR850="",AQ850,MAX(IFERROR(MATCH(PDs!O59,AS850:AU850,0),0),AQ850))</f>
        <v>1</v>
      </c>
      <c r="AW850" s="2636" t="str">
        <f>IFERROR(IF(AND(AV850&lt;$AL850,AW$847&lt;&gt;""),"Tablas!"&amp;ADDRESS(ROW(),COLUMN(INDEX(AX850:AZ850,1,AV850+1)))&amp;":"&amp;ADDRESS(ROW(),COLUMN(INDEX(AX850:AZ850,1,$AL850))),""),"")</f>
        <v/>
      </c>
      <c r="AX850" s="2637">
        <f>IF(AND(AW$847&lt;&gt;"",AX$848&gt;AV850),IF(AW$847="Tao",VLOOKUP($AK850&amp;AX$848,$AE$848:$AG$852,2,0)*IF($AK$847,0.5,1),VLOOKUP($AK850&amp;AX$848,$AE$848:$AG$852,3,0)*IF($AK$847,0.5,1)),0)</f>
        <v>0</v>
      </c>
      <c r="AY850" s="2637">
        <f>IF(AND(AW$847&lt;&gt;"",AY$848&gt;AV850),AX850+IF(AW$847="Tao",VLOOKUP($AK850&amp;AY$848,$AE$848:$AG$852,2,0)*IF($AK$847,0.5,1),VLOOKUP($AK850&amp;AY$848,$AE$848:$AG$852,3,0)*IF($AK$847,0.5,1)),0)</f>
        <v>0</v>
      </c>
      <c r="AZ850" s="2637">
        <f>IF(AND(AW$847&lt;&gt;"",AZ$848&gt;AV850),AY850+IF(AW$847="Tao",VLOOKUP($AK850&amp;AZ$848,$AE$848:$AG$852,2,0)*IF($AK$847,0.5,1),VLOOKUP($AK850&amp;AZ$848,$AE$848:$AG$852,3,0)*IF($AK$847,0.5,1)),0)</f>
        <v>0</v>
      </c>
      <c r="BA850" s="2638">
        <f>IF(AW850="",AV850,MAX(IFERROR(MATCH(PDs!Q59,AX850:AZ850,0),0),AV850))</f>
        <v>1</v>
      </c>
      <c r="BB850" s="2636" t="str">
        <f>IFERROR(IF(AND(BA850&lt;$AL850,BB$847&lt;&gt;""),"Tablas!"&amp;ADDRESS(ROW(),COLUMN(INDEX(BC850:BE850,1,BA850+1)))&amp;":"&amp;ADDRESS(ROW(),COLUMN(INDEX(BC850:BE850,1,$AL850))),""),"")</f>
        <v/>
      </c>
      <c r="BC850" s="2637">
        <f>IF(AND(BB$847&lt;&gt;"",BC$848&gt;BA850),IF(BB$847="Tao",VLOOKUP($AK850&amp;BC$848,$AE$848:$AG$852,2,0)*IF($AK$847,0.5,1),VLOOKUP($AK850&amp;BC$848,$AE$848:$AG$852,3,0)*IF($AK$847,0.5,1)),0)</f>
        <v>0</v>
      </c>
      <c r="BD850" s="2637">
        <f>IF(AND(BB$847&lt;&gt;"",BD$848&gt;BA850),BC850+IF(BB$847="Tao",VLOOKUP($AK850&amp;BD$848,$AE$848:$AG$852,2,0)*IF($AK$847,0.5,1),VLOOKUP($AK850&amp;BD$848,$AE$848:$AG$852,3,0)*IF($AK$847,0.5,1)),0)</f>
        <v>0</v>
      </c>
      <c r="BE850" s="2637">
        <f>IF(AND(BB$847&lt;&gt;"",BE$848&gt;BA850),BD850+IF(BB$847="Tao",VLOOKUP($AK850&amp;BE$848,$AE$848:$AG$852,2,0)*IF($AK$847,0.5,1),VLOOKUP($AK850&amp;BE$848,$AE$848:$AG$852,3,0)*IF($AK$847,0.5,1)),0)</f>
        <v>0</v>
      </c>
      <c r="BF850" s="2638">
        <f>IF(BB850="",BA850,MAX(IFERROR(MATCH(PDs!S59,BC850:BE850,0),0),BA850))</f>
        <v>1</v>
      </c>
      <c r="BG850" s="2636" t="str">
        <f>IFERROR(IF(AND(BF850&lt;$AL850,BG$847&lt;&gt;""),"Tablas!"&amp;ADDRESS(ROW(),COLUMN(INDEX(BH850:BJ850,1,BF850+1)))&amp;":"&amp;ADDRESS(ROW(),COLUMN(INDEX(BH850:BJ850,1,$AL850))),""),"")</f>
        <v/>
      </c>
      <c r="BH850" s="2637">
        <f>IF(AND(BG$847&lt;&gt;"",BH$848&gt;BF850),IF(BG$847="Tao",VLOOKUP($AK850&amp;BH$848,$AE$848:$AG$852,2,0)*IF($AK$847,0.5,1),VLOOKUP($AK850&amp;BH$848,$AE$848:$AG$852,3,0)*IF($AK$847,0.5,1)),0)</f>
        <v>0</v>
      </c>
      <c r="BI850" s="2637">
        <f>IF(AND(BG$847&lt;&gt;"",BI$848&gt;BF850),BH850+IF(BG$847="Tao",VLOOKUP($AK850&amp;BI$848,$AE$848:$AG$852,2,0)*IF($AK$847,0.5,1),VLOOKUP($AK850&amp;BI$848,$AE$848:$AG$852,3,0)*IF($AK$847,0.5,1)),0)</f>
        <v>0</v>
      </c>
      <c r="BJ850" s="2637">
        <f>IF(AND(BG$847&lt;&gt;"",BJ$848&gt;BF850),BI850+IF(BG$847="Tao",VLOOKUP($AK850&amp;BJ$848,$AE$848:$AG$852,2,0)*IF($AK$847,0.5,1),VLOOKUP($AK850&amp;BJ$848,$AE$848:$AG$852,3,0)*IF($AK$847,0.5,1)),0)</f>
        <v>0</v>
      </c>
      <c r="BK850" s="2638">
        <f>IF(BG850="",BF850,MAX(IFERROR(MATCH(PDs!U59,BH850:BJ850,0),0),BF850))</f>
        <v>1</v>
      </c>
      <c r="BL850" s="2639">
        <f>IF(BK850=AL850,1,0)</f>
        <v>0</v>
      </c>
    </row>
    <row r="851" spans="1:64" ht="12.75" customHeight="1" x14ac:dyDescent="0.2">
      <c r="A851" s="227">
        <v>851</v>
      </c>
      <c r="B851" s="6042"/>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3"/>
        <v>45</v>
      </c>
      <c r="T851" s="2404"/>
      <c r="U851" s="2404"/>
      <c r="V851" s="2404"/>
      <c r="W851" s="2404"/>
      <c r="X851" s="2404">
        <f t="shared" si="254"/>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5"/>
        <v/>
      </c>
      <c r="AL851" s="754" t="str">
        <f t="shared" si="256"/>
        <v/>
      </c>
      <c r="AM851" s="1020" t="str">
        <f t="shared" ref="AM851:AM868" si="257">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8">IF(AM$847&lt;&gt;"",AN851+IF(AM$847="Tao",VLOOKUP($AK851&amp;AO$848,$AE$848:$AG$852,2,0),VLOOKUP($AK851&amp;AO$848,$AE$848:$AG$852,3,0)),0)</f>
        <v>0</v>
      </c>
      <c r="AP851" s="754">
        <f t="shared" ref="AP851:AP868" si="259">IF(AM$847&lt;&gt;"",AO851+IF(AM$847="Tao",VLOOKUP($AK851&amp;AP$848,$AE$848:$AG$852,2,0),VLOOKUP($AK851&amp;AP$848,$AE$848:$AG$852,3,0)),0)</f>
        <v>0</v>
      </c>
      <c r="AQ851" s="323">
        <f>IFERROR(MATCH(PDs!M60,AN851:AP851,0),0)</f>
        <v>1</v>
      </c>
      <c r="AR851" s="1020" t="str">
        <f t="shared" ref="AR851:AR868" si="260">IFERROR(IF(AND(AQ851&lt;$AL851,AR$847&lt;&gt;""),"Tablas!"&amp;ADDRESS(ROW(),COLUMN(INDEX(AS851:AU851,1,AQ851+1)))&amp;":"&amp;ADDRESS(ROW(),COLUMN(INDEX(AS851:AU851,1,$AL851))),""),"")</f>
        <v/>
      </c>
      <c r="AS851" s="754">
        <f t="shared" ref="AS851:AS868" si="261">IF(AND(AR$847&lt;&gt;"",AS$848&gt;AQ851),IF(AR$847="Tao",VLOOKUP($AK851&amp;AS$848,$AE$848:$AG$852,2,0),VLOOKUP($AK851&amp;AS$848,$AE$848:$AG$852,3,0)),0)</f>
        <v>0</v>
      </c>
      <c r="AT851" s="754">
        <f t="shared" ref="AT851:AT868" si="262">IF(AND(AR$847&lt;&gt;"",AT$848&gt;AQ851),AS851+IF(AR$847="Tao",VLOOKUP($AK851&amp;AT$848,$AE$848:$AG$852,2,0),VLOOKUP($AK851&amp;AT$848,$AE$848:$AG$852,3,0)),0)</f>
        <v>0</v>
      </c>
      <c r="AU851" s="754">
        <f t="shared" ref="AU851:AU868" si="263">IF(AND(AR$847&lt;&gt;"",AU$848&gt;AQ851),AT851+IF(AR$847="Tao",VLOOKUP($AK851&amp;AU$848,$AE$848:$AG$852,2,0),VLOOKUP($AK851&amp;AU$848,$AE$848:$AG$852,3,0)),0)</f>
        <v>0</v>
      </c>
      <c r="AV851" s="323">
        <f>IF(AR851="",AQ851,MAX(IFERROR(MATCH(PDs!O60,AS851:AU851,0),0),AQ851))</f>
        <v>1</v>
      </c>
      <c r="AW851" s="2632" t="str">
        <f t="shared" ref="AW851:AW868" si="264">IFERROR(IF(AND(AV851&lt;$AL851,AW$847&lt;&gt;""),"Tablas!"&amp;ADDRESS(ROW(),COLUMN(INDEX(AX851:AZ851,1,AV851+1)))&amp;":"&amp;ADDRESS(ROW(),COLUMN(INDEX(AX851:AZ851,1,$AL851))),""),"")</f>
        <v/>
      </c>
      <c r="AX851" s="754">
        <f t="shared" ref="AX851:AX868" si="265">IF(AND(AW$847&lt;&gt;"",AX$848&gt;AV851),IF(AW$847="Tao",VLOOKUP($AK851&amp;AX$848,$AE$848:$AG$852,2,0),VLOOKUP($AK851&amp;AX$848,$AE$848:$AG$852,3,0)),0)</f>
        <v>0</v>
      </c>
      <c r="AY851" s="754">
        <f t="shared" ref="AY851:AY868" si="266">IF(AND(AW$847&lt;&gt;"",AY$848&gt;AV851),AX851+IF(AW$847="Tao",VLOOKUP($AK851&amp;AY$848,$AE$848:$AG$852,2,0),VLOOKUP($AK851&amp;AY$848,$AE$848:$AG$852,3,0)),0)</f>
        <v>0</v>
      </c>
      <c r="AZ851" s="754">
        <f t="shared" ref="AZ851:AZ868" si="267">IF(AND(AW$847&lt;&gt;"",AZ$848&gt;AV851),AY851+IF(AW$847="Tao",VLOOKUP($AK851&amp;AZ$848,$AE$848:$AG$852,2,0),VLOOKUP($AK851&amp;AZ$848,$AE$848:$AG$852,3,0)),0)</f>
        <v>0</v>
      </c>
      <c r="BA851" s="323">
        <f>IF(AW851="",AV851,MAX(IFERROR(MATCH(PDs!Q60,AX851:AZ851,0),0),AV851))</f>
        <v>1</v>
      </c>
      <c r="BB851" s="2632" t="str">
        <f t="shared" ref="BB851:BB868" si="268">IFERROR(IF(AND(BA851&lt;$AL851,BB$847&lt;&gt;""),"Tablas!"&amp;ADDRESS(ROW(),COLUMN(INDEX(BC851:BE851,1,BA851+1)))&amp;":"&amp;ADDRESS(ROW(),COLUMN(INDEX(BC851:BE851,1,$AL851))),""),"")</f>
        <v/>
      </c>
      <c r="BC851" s="754">
        <f t="shared" ref="BC851:BC868" si="269">IF(AND(BB$847&lt;&gt;"",BC$848&gt;BA851),IF(BB$847="Tao",VLOOKUP($AK851&amp;BC$848,$AE$848:$AG$852,2,0),VLOOKUP($AK851&amp;BC$848,$AE$848:$AG$852,3,0)),0)</f>
        <v>0</v>
      </c>
      <c r="BD851" s="754">
        <f t="shared" ref="BD851:BD868" si="270">IF(AND(BB$847&lt;&gt;"",BD$848&gt;BA851),BC851+IF(BB$847="Tao",VLOOKUP($AK851&amp;BD$848,$AE$848:$AG$852,2,0),VLOOKUP($AK851&amp;BD$848,$AE$848:$AG$852,3,0)),0)</f>
        <v>0</v>
      </c>
      <c r="BE851" s="754">
        <f t="shared" ref="BE851:BE868" si="271">IF(AND(BB$847&lt;&gt;"",BE$848&gt;BA851),BD851+IF(BB$847="Tao",VLOOKUP($AK851&amp;BE$848,$AE$848:$AG$852,2,0),VLOOKUP($AK851&amp;BE$848,$AE$848:$AG$852,3,0)),0)</f>
        <v>0</v>
      </c>
      <c r="BF851" s="323">
        <f>IF(BB851="",BA851,MAX(IFERROR(MATCH(PDs!S60,BC851:BE851,0),0),BA851))</f>
        <v>1</v>
      </c>
      <c r="BG851" s="2632" t="str">
        <f t="shared" ref="BG851:BG868" si="272">IFERROR(IF(AND(BF851&lt;$AL851,BG$847&lt;&gt;""),"Tablas!"&amp;ADDRESS(ROW(),COLUMN(INDEX(BH851:BJ851,1,BF851+1)))&amp;":"&amp;ADDRESS(ROW(),COLUMN(INDEX(BH851:BJ851,1,$AL851))),""),"")</f>
        <v/>
      </c>
      <c r="BH851" s="754">
        <f t="shared" ref="BH851:BH868" si="273">IF(AND(BG$847&lt;&gt;"",BH$848&gt;BF851),IF(BG$847="Tao",VLOOKUP($AK851&amp;BH$848,$AE$848:$AG$852,2,0),VLOOKUP($AK851&amp;BH$848,$AE$848:$AG$852,3,0)),0)</f>
        <v>0</v>
      </c>
      <c r="BI851" s="754">
        <f t="shared" ref="BI851:BI868" si="274">IF(AND(BG$847&lt;&gt;"",BI$848&gt;BF851),BH851+IF(BG$847="Tao",VLOOKUP($AK851&amp;BI$848,$AE$848:$AG$852,2,0),VLOOKUP($AK851&amp;BI$848,$AE$848:$AG$852,3,0)),0)</f>
        <v>0</v>
      </c>
      <c r="BJ851" s="754">
        <f t="shared" ref="BJ851:BJ868" si="275">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042"/>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3"/>
        <v>69</v>
      </c>
      <c r="T852" s="2404"/>
      <c r="U852" s="2404"/>
      <c r="V852" s="2404"/>
      <c r="W852" s="2404"/>
      <c r="X852" s="2404">
        <f t="shared" si="254"/>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5"/>
        <v/>
      </c>
      <c r="AL852" s="754" t="str">
        <f t="shared" si="256"/>
        <v/>
      </c>
      <c r="AM852" s="1020" t="str">
        <f t="shared" si="257"/>
        <v/>
      </c>
      <c r="AN852" s="754">
        <f>IF(AM$847&lt;&gt;"",IF(AM$847="Tao",VLOOKUP($AK852&amp;AN$848,$AE$848:$AG$852,2,0),VLOOKUP($AK852&amp;AN$848,$AE$848:$AG$852,3,0)),0)</f>
        <v>0</v>
      </c>
      <c r="AO852" s="754">
        <f t="shared" si="258"/>
        <v>0</v>
      </c>
      <c r="AP852" s="754">
        <f t="shared" si="259"/>
        <v>0</v>
      </c>
      <c r="AQ852" s="323">
        <f>IFERROR(MATCH(PDs!M61,AN852:AP852,0),0)</f>
        <v>1</v>
      </c>
      <c r="AR852" s="1020" t="str">
        <f t="shared" si="260"/>
        <v/>
      </c>
      <c r="AS852" s="754">
        <f t="shared" si="261"/>
        <v>0</v>
      </c>
      <c r="AT852" s="754">
        <f t="shared" si="262"/>
        <v>0</v>
      </c>
      <c r="AU852" s="754">
        <f t="shared" si="263"/>
        <v>0</v>
      </c>
      <c r="AV852" s="323">
        <f>IF(AR852="",AQ852,MAX(IFERROR(MATCH(PDs!O61,AS852:AU852,0),0),AQ852))</f>
        <v>1</v>
      </c>
      <c r="AW852" s="2632" t="str">
        <f t="shared" si="264"/>
        <v/>
      </c>
      <c r="AX852" s="754">
        <f t="shared" si="265"/>
        <v>0</v>
      </c>
      <c r="AY852" s="754">
        <f t="shared" si="266"/>
        <v>0</v>
      </c>
      <c r="AZ852" s="754">
        <f t="shared" si="267"/>
        <v>0</v>
      </c>
      <c r="BA852" s="323">
        <f>IF(AW852="",AV852,MAX(IFERROR(MATCH(PDs!Q61,AX852:AZ852,0),0),AV852))</f>
        <v>1</v>
      </c>
      <c r="BB852" s="2632" t="str">
        <f t="shared" si="268"/>
        <v/>
      </c>
      <c r="BC852" s="754">
        <f t="shared" si="269"/>
        <v>0</v>
      </c>
      <c r="BD852" s="754">
        <f t="shared" si="270"/>
        <v>0</v>
      </c>
      <c r="BE852" s="754">
        <f t="shared" si="271"/>
        <v>0</v>
      </c>
      <c r="BF852" s="323">
        <f>IF(BB852="",BA852,MAX(IFERROR(MATCH(PDs!S61,BC852:BE852,0),0),BA852))</f>
        <v>1</v>
      </c>
      <c r="BG852" s="2632" t="str">
        <f t="shared" si="272"/>
        <v/>
      </c>
      <c r="BH852" s="754">
        <f t="shared" si="273"/>
        <v>0</v>
      </c>
      <c r="BI852" s="754">
        <f t="shared" si="274"/>
        <v>0</v>
      </c>
      <c r="BJ852" s="754">
        <f t="shared" si="275"/>
        <v>0</v>
      </c>
      <c r="BK852" s="323">
        <f>IF(BG852="",BF852,MAX(IFERROR(MATCH(PDs!U61,BH852:BJ852,0),0),BF852))</f>
        <v>1</v>
      </c>
      <c r="BL852" s="650">
        <f t="shared" ref="BL852:BL868" si="276">IF(BK852=AL852,1,0)</f>
        <v>0</v>
      </c>
    </row>
    <row r="853" spans="1:64" ht="12.75" customHeight="1" thickBot="1" x14ac:dyDescent="0.25">
      <c r="A853" s="227">
        <v>853</v>
      </c>
      <c r="B853" s="6042"/>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3"/>
        <v>79</v>
      </c>
      <c r="T853" s="2404"/>
      <c r="U853" s="2404"/>
      <c r="V853" s="2404"/>
      <c r="W853" s="2404"/>
      <c r="X853" s="2404">
        <f t="shared" si="254"/>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5"/>
        <v/>
      </c>
      <c r="AL853" s="754" t="str">
        <f t="shared" si="256"/>
        <v/>
      </c>
      <c r="AM853" s="1020" t="str">
        <f t="shared" si="257"/>
        <v/>
      </c>
      <c r="AN853" s="754">
        <f t="shared" ref="AN853:AN868" si="277">IF(AM$847&lt;&gt;"",IF(AM$847="Tao",VLOOKUP($AK853&amp;AN$848,$AE$848:$AG$852,2,0),VLOOKUP($AK853&amp;AN$848,$AE$848:$AG$852,3,0)),0)</f>
        <v>0</v>
      </c>
      <c r="AO853" s="754">
        <f t="shared" si="258"/>
        <v>0</v>
      </c>
      <c r="AP853" s="754">
        <f t="shared" si="259"/>
        <v>0</v>
      </c>
      <c r="AQ853" s="323">
        <f>IFERROR(MATCH(PDs!M62,AN853:AP853,0),0)</f>
        <v>1</v>
      </c>
      <c r="AR853" s="1020" t="str">
        <f t="shared" si="260"/>
        <v/>
      </c>
      <c r="AS853" s="754">
        <f t="shared" si="261"/>
        <v>0</v>
      </c>
      <c r="AT853" s="754">
        <f t="shared" si="262"/>
        <v>0</v>
      </c>
      <c r="AU853" s="754">
        <f t="shared" si="263"/>
        <v>0</v>
      </c>
      <c r="AV853" s="323">
        <f>IF(AR853="",AQ853,MAX(IFERROR(MATCH(PDs!O62,AS853:AU853,0),0),AQ853))</f>
        <v>1</v>
      </c>
      <c r="AW853" s="2632" t="str">
        <f t="shared" si="264"/>
        <v/>
      </c>
      <c r="AX853" s="754">
        <f t="shared" si="265"/>
        <v>0</v>
      </c>
      <c r="AY853" s="754">
        <f t="shared" si="266"/>
        <v>0</v>
      </c>
      <c r="AZ853" s="754">
        <f t="shared" si="267"/>
        <v>0</v>
      </c>
      <c r="BA853" s="323">
        <f>IF(AW853="",AV853,MAX(IFERROR(MATCH(PDs!Q62,AX853:AZ853,0),0),AV853))</f>
        <v>1</v>
      </c>
      <c r="BB853" s="2632" t="str">
        <f t="shared" si="268"/>
        <v/>
      </c>
      <c r="BC853" s="754">
        <f t="shared" si="269"/>
        <v>0</v>
      </c>
      <c r="BD853" s="754">
        <f t="shared" si="270"/>
        <v>0</v>
      </c>
      <c r="BE853" s="754">
        <f t="shared" si="271"/>
        <v>0</v>
      </c>
      <c r="BF853" s="323">
        <f>IF(BB853="",BA853,MAX(IFERROR(MATCH(PDs!S62,BC853:BE853,0),0),BA853))</f>
        <v>1</v>
      </c>
      <c r="BG853" s="2632" t="str">
        <f t="shared" si="272"/>
        <v/>
      </c>
      <c r="BH853" s="754">
        <f t="shared" si="273"/>
        <v>0</v>
      </c>
      <c r="BI853" s="754">
        <f t="shared" si="274"/>
        <v>0</v>
      </c>
      <c r="BJ853" s="754">
        <f t="shared" si="275"/>
        <v>0</v>
      </c>
      <c r="BK853" s="323">
        <f>IF(BG853="",BF853,MAX(IFERROR(MATCH(PDs!U62,BH853:BJ853,0),0),BF853))</f>
        <v>1</v>
      </c>
      <c r="BL853" s="650">
        <f t="shared" si="276"/>
        <v>0</v>
      </c>
    </row>
    <row r="854" spans="1:64" ht="12.75" customHeight="1" thickBot="1" x14ac:dyDescent="0.25">
      <c r="A854" s="227">
        <v>854</v>
      </c>
      <c r="B854" s="6042"/>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3"/>
        <v>1</v>
      </c>
      <c r="T854" s="2404"/>
      <c r="U854" s="2404"/>
      <c r="V854" s="2404"/>
      <c r="W854" s="2404"/>
      <c r="X854" s="2404">
        <f t="shared" si="254"/>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5"/>
        <v/>
      </c>
      <c r="AL854" s="754" t="str">
        <f t="shared" si="256"/>
        <v/>
      </c>
      <c r="AM854" s="1020" t="str">
        <f t="shared" si="257"/>
        <v/>
      </c>
      <c r="AN854" s="754">
        <f t="shared" si="277"/>
        <v>0</v>
      </c>
      <c r="AO854" s="754">
        <f t="shared" si="258"/>
        <v>0</v>
      </c>
      <c r="AP854" s="754">
        <f t="shared" si="259"/>
        <v>0</v>
      </c>
      <c r="AQ854" s="323">
        <f>IFERROR(MATCH(PDs!M63,AN854:AP854,0),0)</f>
        <v>1</v>
      </c>
      <c r="AR854" s="1020" t="str">
        <f t="shared" si="260"/>
        <v/>
      </c>
      <c r="AS854" s="754">
        <f t="shared" si="261"/>
        <v>0</v>
      </c>
      <c r="AT854" s="754">
        <f t="shared" si="262"/>
        <v>0</v>
      </c>
      <c r="AU854" s="754">
        <f t="shared" si="263"/>
        <v>0</v>
      </c>
      <c r="AV854" s="323">
        <f>IF(AR854="",AQ854,MAX(IFERROR(MATCH(PDs!O63,AS854:AU854,0),0),AQ854))</f>
        <v>1</v>
      </c>
      <c r="AW854" s="2632" t="str">
        <f t="shared" si="264"/>
        <v/>
      </c>
      <c r="AX854" s="754">
        <f t="shared" si="265"/>
        <v>0</v>
      </c>
      <c r="AY854" s="754">
        <f t="shared" si="266"/>
        <v>0</v>
      </c>
      <c r="AZ854" s="754">
        <f t="shared" si="267"/>
        <v>0</v>
      </c>
      <c r="BA854" s="323">
        <f>IF(AW854="",AV854,MAX(IFERROR(MATCH(PDs!Q63,AX854:AZ854,0),0),AV854))</f>
        <v>1</v>
      </c>
      <c r="BB854" s="2632" t="str">
        <f t="shared" si="268"/>
        <v/>
      </c>
      <c r="BC854" s="754">
        <f t="shared" si="269"/>
        <v>0</v>
      </c>
      <c r="BD854" s="754">
        <f t="shared" si="270"/>
        <v>0</v>
      </c>
      <c r="BE854" s="754">
        <f t="shared" si="271"/>
        <v>0</v>
      </c>
      <c r="BF854" s="323">
        <f>IF(BB854="",BA854,MAX(IFERROR(MATCH(PDs!S63,BC854:BE854,0),0),BA854))</f>
        <v>1</v>
      </c>
      <c r="BG854" s="2632" t="str">
        <f t="shared" si="272"/>
        <v/>
      </c>
      <c r="BH854" s="754">
        <f t="shared" si="273"/>
        <v>0</v>
      </c>
      <c r="BI854" s="754">
        <f t="shared" si="274"/>
        <v>0</v>
      </c>
      <c r="BJ854" s="754">
        <f t="shared" si="275"/>
        <v>0</v>
      </c>
      <c r="BK854" s="323">
        <f>IF(BG854="",BF854,MAX(IFERROR(MATCH(PDs!U63,BH854:BJ854,0),0),BF854))</f>
        <v>1</v>
      </c>
      <c r="BL854" s="650">
        <f t="shared" si="276"/>
        <v>0</v>
      </c>
    </row>
    <row r="855" spans="1:64" ht="12.75" customHeight="1" x14ac:dyDescent="0.2">
      <c r="A855" s="227">
        <v>855</v>
      </c>
      <c r="B855" s="6042"/>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3"/>
        <v>36</v>
      </c>
      <c r="T855" s="2404"/>
      <c r="U855" s="2404"/>
      <c r="V855" s="2404"/>
      <c r="W855" s="2404"/>
      <c r="X855" s="2404">
        <f t="shared" si="254"/>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5"/>
        <v/>
      </c>
      <c r="AL855" s="754" t="str">
        <f t="shared" si="256"/>
        <v/>
      </c>
      <c r="AM855" s="1020" t="str">
        <f t="shared" si="257"/>
        <v/>
      </c>
      <c r="AN855" s="754">
        <f t="shared" si="277"/>
        <v>0</v>
      </c>
      <c r="AO855" s="754">
        <f t="shared" si="258"/>
        <v>0</v>
      </c>
      <c r="AP855" s="754">
        <f t="shared" si="259"/>
        <v>0</v>
      </c>
      <c r="AQ855" s="323">
        <f>IFERROR(MATCH(PDs!M64,AN855:AP855,0),0)</f>
        <v>1</v>
      </c>
      <c r="AR855" s="1020" t="str">
        <f t="shared" si="260"/>
        <v/>
      </c>
      <c r="AS855" s="754">
        <f t="shared" si="261"/>
        <v>0</v>
      </c>
      <c r="AT855" s="754">
        <f t="shared" si="262"/>
        <v>0</v>
      </c>
      <c r="AU855" s="754">
        <f t="shared" si="263"/>
        <v>0</v>
      </c>
      <c r="AV855" s="323">
        <f>IF(AR855="",AQ855,MAX(IFERROR(MATCH(PDs!O64,AS855:AU855,0),0),AQ855))</f>
        <v>1</v>
      </c>
      <c r="AW855" s="2632" t="str">
        <f t="shared" si="264"/>
        <v/>
      </c>
      <c r="AX855" s="754">
        <f t="shared" si="265"/>
        <v>0</v>
      </c>
      <c r="AY855" s="754">
        <f t="shared" si="266"/>
        <v>0</v>
      </c>
      <c r="AZ855" s="754">
        <f t="shared" si="267"/>
        <v>0</v>
      </c>
      <c r="BA855" s="323">
        <f>IF(AW855="",AV855,MAX(IFERROR(MATCH(PDs!Q64,AX855:AZ855,0),0),AV855))</f>
        <v>1</v>
      </c>
      <c r="BB855" s="2632" t="str">
        <f t="shared" si="268"/>
        <v/>
      </c>
      <c r="BC855" s="754">
        <f t="shared" si="269"/>
        <v>0</v>
      </c>
      <c r="BD855" s="754">
        <f t="shared" si="270"/>
        <v>0</v>
      </c>
      <c r="BE855" s="754">
        <f t="shared" si="271"/>
        <v>0</v>
      </c>
      <c r="BF855" s="323">
        <f>IF(BB855="",BA855,MAX(IFERROR(MATCH(PDs!S64,BC855:BE855,0),0),BA855))</f>
        <v>1</v>
      </c>
      <c r="BG855" s="2632" t="str">
        <f t="shared" si="272"/>
        <v/>
      </c>
      <c r="BH855" s="754">
        <f t="shared" si="273"/>
        <v>0</v>
      </c>
      <c r="BI855" s="754">
        <f t="shared" si="274"/>
        <v>0</v>
      </c>
      <c r="BJ855" s="754">
        <f t="shared" si="275"/>
        <v>0</v>
      </c>
      <c r="BK855" s="323">
        <f>IF(BG855="",BF855,MAX(IFERROR(MATCH(PDs!U64,BH855:BJ855,0),0),BF855))</f>
        <v>1</v>
      </c>
      <c r="BL855" s="650">
        <f t="shared" si="276"/>
        <v>0</v>
      </c>
    </row>
    <row r="856" spans="1:64" ht="12.75" customHeight="1" thickBot="1" x14ac:dyDescent="0.25">
      <c r="A856" s="227">
        <v>856</v>
      </c>
      <c r="B856" s="6042"/>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3"/>
        <v>36</v>
      </c>
      <c r="T856" s="2404"/>
      <c r="U856" s="2404"/>
      <c r="V856" s="2404"/>
      <c r="W856" s="2404"/>
      <c r="X856" s="2404">
        <f t="shared" si="254"/>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5"/>
        <v/>
      </c>
      <c r="AL856" s="754" t="str">
        <f t="shared" si="256"/>
        <v/>
      </c>
      <c r="AM856" s="1020" t="str">
        <f t="shared" si="257"/>
        <v/>
      </c>
      <c r="AN856" s="754">
        <f t="shared" si="277"/>
        <v>0</v>
      </c>
      <c r="AO856" s="754">
        <f t="shared" si="258"/>
        <v>0</v>
      </c>
      <c r="AP856" s="754">
        <f t="shared" si="259"/>
        <v>0</v>
      </c>
      <c r="AQ856" s="323">
        <f>IFERROR(MATCH(PDs!M65,AN856:AP856,0),0)</f>
        <v>1</v>
      </c>
      <c r="AR856" s="1020" t="str">
        <f t="shared" si="260"/>
        <v/>
      </c>
      <c r="AS856" s="754">
        <f t="shared" si="261"/>
        <v>0</v>
      </c>
      <c r="AT856" s="754">
        <f t="shared" si="262"/>
        <v>0</v>
      </c>
      <c r="AU856" s="754">
        <f t="shared" si="263"/>
        <v>0</v>
      </c>
      <c r="AV856" s="323">
        <f>IF(AR856="",AQ856,MAX(IFERROR(MATCH(PDs!O65,AS856:AU856,0),0),AQ856))</f>
        <v>1</v>
      </c>
      <c r="AW856" s="2632" t="str">
        <f t="shared" si="264"/>
        <v/>
      </c>
      <c r="AX856" s="754">
        <f t="shared" si="265"/>
        <v>0</v>
      </c>
      <c r="AY856" s="754">
        <f t="shared" si="266"/>
        <v>0</v>
      </c>
      <c r="AZ856" s="754">
        <f t="shared" si="267"/>
        <v>0</v>
      </c>
      <c r="BA856" s="323">
        <f>IF(AW856="",AV856,MAX(IFERROR(MATCH(PDs!Q65,AX856:AZ856,0),0),AV856))</f>
        <v>1</v>
      </c>
      <c r="BB856" s="2632" t="str">
        <f t="shared" si="268"/>
        <v/>
      </c>
      <c r="BC856" s="754">
        <f t="shared" si="269"/>
        <v>0</v>
      </c>
      <c r="BD856" s="754">
        <f t="shared" si="270"/>
        <v>0</v>
      </c>
      <c r="BE856" s="754">
        <f t="shared" si="271"/>
        <v>0</v>
      </c>
      <c r="BF856" s="323">
        <f>IF(BB856="",BA856,MAX(IFERROR(MATCH(PDs!S65,BC856:BE856,0),0),BA856))</f>
        <v>1</v>
      </c>
      <c r="BG856" s="2632" t="str">
        <f t="shared" si="272"/>
        <v/>
      </c>
      <c r="BH856" s="754">
        <f t="shared" si="273"/>
        <v>0</v>
      </c>
      <c r="BI856" s="754">
        <f t="shared" si="274"/>
        <v>0</v>
      </c>
      <c r="BJ856" s="754">
        <f t="shared" si="275"/>
        <v>0</v>
      </c>
      <c r="BK856" s="323">
        <f>IF(BG856="",BF856,MAX(IFERROR(MATCH(PDs!U65,BH856:BJ856,0),0),BF856))</f>
        <v>1</v>
      </c>
      <c r="BL856" s="650">
        <f t="shared" si="276"/>
        <v>0</v>
      </c>
    </row>
    <row r="857" spans="1:64" ht="12.75" customHeight="1" thickBot="1" x14ac:dyDescent="0.25">
      <c r="A857" s="227">
        <v>857</v>
      </c>
      <c r="B857" s="6042"/>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3"/>
        <v>30</v>
      </c>
      <c r="T857" s="2404"/>
      <c r="U857" s="2404"/>
      <c r="V857" s="2404"/>
      <c r="W857" s="2404"/>
      <c r="X857" s="2404">
        <f t="shared" si="254"/>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5"/>
        <v/>
      </c>
      <c r="AL857" s="754" t="str">
        <f t="shared" si="256"/>
        <v/>
      </c>
      <c r="AM857" s="1020" t="str">
        <f t="shared" si="257"/>
        <v/>
      </c>
      <c r="AN857" s="754">
        <f t="shared" si="277"/>
        <v>0</v>
      </c>
      <c r="AO857" s="754">
        <f t="shared" si="258"/>
        <v>0</v>
      </c>
      <c r="AP857" s="754">
        <f t="shared" si="259"/>
        <v>0</v>
      </c>
      <c r="AQ857" s="323">
        <f>IFERROR(MATCH(PDs!M66,AN857:AP857,0),0)</f>
        <v>1</v>
      </c>
      <c r="AR857" s="1020" t="str">
        <f t="shared" si="260"/>
        <v/>
      </c>
      <c r="AS857" s="754">
        <f t="shared" si="261"/>
        <v>0</v>
      </c>
      <c r="AT857" s="754">
        <f t="shared" si="262"/>
        <v>0</v>
      </c>
      <c r="AU857" s="754">
        <f t="shared" si="263"/>
        <v>0</v>
      </c>
      <c r="AV857" s="323">
        <f>IF(AR857="",AQ857,MAX(IFERROR(MATCH(PDs!O66,AS857:AU857,0),0),AQ857))</f>
        <v>1</v>
      </c>
      <c r="AW857" s="2632" t="str">
        <f t="shared" si="264"/>
        <v/>
      </c>
      <c r="AX857" s="754">
        <f t="shared" si="265"/>
        <v>0</v>
      </c>
      <c r="AY857" s="754">
        <f t="shared" si="266"/>
        <v>0</v>
      </c>
      <c r="AZ857" s="754">
        <f t="shared" si="267"/>
        <v>0</v>
      </c>
      <c r="BA857" s="323">
        <f>IF(AW857="",AV857,MAX(IFERROR(MATCH(PDs!Q66,AX857:AZ857,0),0),AV857))</f>
        <v>1</v>
      </c>
      <c r="BB857" s="2632" t="str">
        <f t="shared" si="268"/>
        <v/>
      </c>
      <c r="BC857" s="754">
        <f t="shared" si="269"/>
        <v>0</v>
      </c>
      <c r="BD857" s="754">
        <f t="shared" si="270"/>
        <v>0</v>
      </c>
      <c r="BE857" s="754">
        <f t="shared" si="271"/>
        <v>0</v>
      </c>
      <c r="BF857" s="323">
        <f>IF(BB857="",BA857,MAX(IFERROR(MATCH(PDs!S66,BC857:BE857,0),0),BA857))</f>
        <v>1</v>
      </c>
      <c r="BG857" s="2632" t="str">
        <f t="shared" si="272"/>
        <v/>
      </c>
      <c r="BH857" s="754">
        <f t="shared" si="273"/>
        <v>0</v>
      </c>
      <c r="BI857" s="754">
        <f t="shared" si="274"/>
        <v>0</v>
      </c>
      <c r="BJ857" s="754">
        <f t="shared" si="275"/>
        <v>0</v>
      </c>
      <c r="BK857" s="323">
        <f>IF(BG857="",BF857,MAX(IFERROR(MATCH(PDs!U66,BH857:BJ857,0),0),BF857))</f>
        <v>1</v>
      </c>
      <c r="BL857" s="650">
        <f t="shared" si="276"/>
        <v>0</v>
      </c>
    </row>
    <row r="858" spans="1:64" ht="12.75" customHeight="1" thickBot="1" x14ac:dyDescent="0.25">
      <c r="A858" s="227">
        <v>858</v>
      </c>
      <c r="B858" s="6042"/>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3"/>
        <v>31</v>
      </c>
      <c r="T858" s="2404"/>
      <c r="U858" s="2404"/>
      <c r="V858" s="2404"/>
      <c r="W858" s="2404"/>
      <c r="X858" s="2404">
        <f t="shared" si="254"/>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5"/>
        <v/>
      </c>
      <c r="AL858" s="754" t="str">
        <f t="shared" si="256"/>
        <v/>
      </c>
      <c r="AM858" s="1020" t="str">
        <f t="shared" si="257"/>
        <v/>
      </c>
      <c r="AN858" s="754">
        <f t="shared" si="277"/>
        <v>0</v>
      </c>
      <c r="AO858" s="754">
        <f t="shared" si="258"/>
        <v>0</v>
      </c>
      <c r="AP858" s="754">
        <f t="shared" si="259"/>
        <v>0</v>
      </c>
      <c r="AQ858" s="323">
        <f>IFERROR(MATCH(PDs!M67,AN858:AP858,0),0)</f>
        <v>1</v>
      </c>
      <c r="AR858" s="1020" t="str">
        <f t="shared" si="260"/>
        <v/>
      </c>
      <c r="AS858" s="754">
        <f t="shared" si="261"/>
        <v>0</v>
      </c>
      <c r="AT858" s="754">
        <f t="shared" si="262"/>
        <v>0</v>
      </c>
      <c r="AU858" s="754">
        <f t="shared" si="263"/>
        <v>0</v>
      </c>
      <c r="AV858" s="323">
        <f>IF(AR858="",AQ858,MAX(IFERROR(MATCH(PDs!O67,AS858:AU858,0),0),AQ858))</f>
        <v>1</v>
      </c>
      <c r="AW858" s="2632" t="str">
        <f t="shared" si="264"/>
        <v/>
      </c>
      <c r="AX858" s="754">
        <f t="shared" si="265"/>
        <v>0</v>
      </c>
      <c r="AY858" s="754">
        <f t="shared" si="266"/>
        <v>0</v>
      </c>
      <c r="AZ858" s="754">
        <f t="shared" si="267"/>
        <v>0</v>
      </c>
      <c r="BA858" s="323">
        <f>IF(AW858="",AV858,MAX(IFERROR(MATCH(PDs!Q67,AX858:AZ858,0),0),AV858))</f>
        <v>1</v>
      </c>
      <c r="BB858" s="2632" t="str">
        <f t="shared" si="268"/>
        <v/>
      </c>
      <c r="BC858" s="754">
        <f t="shared" si="269"/>
        <v>0</v>
      </c>
      <c r="BD858" s="754">
        <f t="shared" si="270"/>
        <v>0</v>
      </c>
      <c r="BE858" s="754">
        <f t="shared" si="271"/>
        <v>0</v>
      </c>
      <c r="BF858" s="323">
        <f>IF(BB858="",BA858,MAX(IFERROR(MATCH(PDs!S67,BC858:BE858,0),0),BA858))</f>
        <v>1</v>
      </c>
      <c r="BG858" s="2632" t="str">
        <f t="shared" si="272"/>
        <v/>
      </c>
      <c r="BH858" s="754">
        <f t="shared" si="273"/>
        <v>0</v>
      </c>
      <c r="BI858" s="754">
        <f t="shared" si="274"/>
        <v>0</v>
      </c>
      <c r="BJ858" s="754">
        <f t="shared" si="275"/>
        <v>0</v>
      </c>
      <c r="BK858" s="323">
        <f>IF(BG858="",BF858,MAX(IFERROR(MATCH(PDs!U67,BH858:BJ858,0),0),BF858))</f>
        <v>1</v>
      </c>
      <c r="BL858" s="650">
        <f t="shared" si="276"/>
        <v>0</v>
      </c>
    </row>
    <row r="859" spans="1:64" ht="12.75" customHeight="1" thickBot="1" x14ac:dyDescent="0.25">
      <c r="A859" s="227">
        <v>859</v>
      </c>
      <c r="B859" s="6042"/>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3"/>
        <v>64</v>
      </c>
      <c r="T859" s="2404"/>
      <c r="U859" s="2404"/>
      <c r="V859" s="2404"/>
      <c r="W859" s="2404"/>
      <c r="X859" s="2404">
        <f t="shared" si="254"/>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5"/>
        <v/>
      </c>
      <c r="AL859" s="754" t="str">
        <f t="shared" si="256"/>
        <v/>
      </c>
      <c r="AM859" s="1020" t="str">
        <f t="shared" si="257"/>
        <v/>
      </c>
      <c r="AN859" s="754">
        <f t="shared" si="277"/>
        <v>0</v>
      </c>
      <c r="AO859" s="754">
        <f t="shared" si="258"/>
        <v>0</v>
      </c>
      <c r="AP859" s="754">
        <f t="shared" si="259"/>
        <v>0</v>
      </c>
      <c r="AQ859" s="323">
        <f>IFERROR(MATCH(PDs!M68,AN859:AP859,0),0)</f>
        <v>1</v>
      </c>
      <c r="AR859" s="1020" t="str">
        <f t="shared" si="260"/>
        <v/>
      </c>
      <c r="AS859" s="754">
        <f t="shared" si="261"/>
        <v>0</v>
      </c>
      <c r="AT859" s="754">
        <f t="shared" si="262"/>
        <v>0</v>
      </c>
      <c r="AU859" s="754">
        <f t="shared" si="263"/>
        <v>0</v>
      </c>
      <c r="AV859" s="323">
        <f>IF(AR859="",AQ859,MAX(IFERROR(MATCH(PDs!O68,AS859:AU859,0),0),AQ859))</f>
        <v>1</v>
      </c>
      <c r="AW859" s="2632" t="str">
        <f t="shared" si="264"/>
        <v/>
      </c>
      <c r="AX859" s="754">
        <f t="shared" si="265"/>
        <v>0</v>
      </c>
      <c r="AY859" s="754">
        <f t="shared" si="266"/>
        <v>0</v>
      </c>
      <c r="AZ859" s="754">
        <f t="shared" si="267"/>
        <v>0</v>
      </c>
      <c r="BA859" s="323">
        <f>IF(AW859="",AV859,MAX(IFERROR(MATCH(PDs!Q68,AX859:AZ859,0),0),AV859))</f>
        <v>1</v>
      </c>
      <c r="BB859" s="2632" t="str">
        <f t="shared" si="268"/>
        <v/>
      </c>
      <c r="BC859" s="754">
        <f t="shared" si="269"/>
        <v>0</v>
      </c>
      <c r="BD859" s="754">
        <f t="shared" si="270"/>
        <v>0</v>
      </c>
      <c r="BE859" s="754">
        <f t="shared" si="271"/>
        <v>0</v>
      </c>
      <c r="BF859" s="323">
        <f>IF(BB859="",BA859,MAX(IFERROR(MATCH(PDs!S68,BC859:BE859,0),0),BA859))</f>
        <v>1</v>
      </c>
      <c r="BG859" s="2632" t="str">
        <f t="shared" si="272"/>
        <v/>
      </c>
      <c r="BH859" s="754">
        <f t="shared" si="273"/>
        <v>0</v>
      </c>
      <c r="BI859" s="754">
        <f t="shared" si="274"/>
        <v>0</v>
      </c>
      <c r="BJ859" s="754">
        <f t="shared" si="275"/>
        <v>0</v>
      </c>
      <c r="BK859" s="323">
        <f>IF(BG859="",BF859,MAX(IFERROR(MATCH(PDs!U68,BH859:BJ859,0),0),BF859))</f>
        <v>1</v>
      </c>
      <c r="BL859" s="650">
        <f t="shared" si="276"/>
        <v>0</v>
      </c>
    </row>
    <row r="860" spans="1:64" ht="12.75" customHeight="1" x14ac:dyDescent="0.2">
      <c r="A860" s="227">
        <v>860</v>
      </c>
      <c r="B860" s="6042"/>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3"/>
        <v>42</v>
      </c>
      <c r="T860" s="2404"/>
      <c r="U860" s="2404"/>
      <c r="V860" s="2404"/>
      <c r="W860" s="2404"/>
      <c r="X860" s="2404">
        <f t="shared" si="254"/>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5"/>
        <v/>
      </c>
      <c r="AL860" s="754" t="str">
        <f t="shared" si="256"/>
        <v/>
      </c>
      <c r="AM860" s="1020" t="str">
        <f t="shared" si="257"/>
        <v/>
      </c>
      <c r="AN860" s="754">
        <f t="shared" si="277"/>
        <v>0</v>
      </c>
      <c r="AO860" s="754">
        <f t="shared" si="258"/>
        <v>0</v>
      </c>
      <c r="AP860" s="754">
        <f t="shared" si="259"/>
        <v>0</v>
      </c>
      <c r="AQ860" s="323">
        <f>IFERROR(MATCH(PDs!M69,AN860:AP860,0),0)</f>
        <v>1</v>
      </c>
      <c r="AR860" s="1020" t="str">
        <f t="shared" si="260"/>
        <v/>
      </c>
      <c r="AS860" s="754">
        <f t="shared" si="261"/>
        <v>0</v>
      </c>
      <c r="AT860" s="754">
        <f t="shared" si="262"/>
        <v>0</v>
      </c>
      <c r="AU860" s="754">
        <f t="shared" si="263"/>
        <v>0</v>
      </c>
      <c r="AV860" s="323">
        <f>IF(AR860="",AQ860,MAX(IFERROR(MATCH(PDs!O69,AS860:AU860,0),0),AQ860))</f>
        <v>1</v>
      </c>
      <c r="AW860" s="2632" t="str">
        <f t="shared" si="264"/>
        <v/>
      </c>
      <c r="AX860" s="754">
        <f t="shared" si="265"/>
        <v>0</v>
      </c>
      <c r="AY860" s="754">
        <f t="shared" si="266"/>
        <v>0</v>
      </c>
      <c r="AZ860" s="754">
        <f t="shared" si="267"/>
        <v>0</v>
      </c>
      <c r="BA860" s="323">
        <f>IF(AW860="",AV860,MAX(IFERROR(MATCH(PDs!Q69,AX860:AZ860,0),0),AV860))</f>
        <v>1</v>
      </c>
      <c r="BB860" s="2632" t="str">
        <f t="shared" si="268"/>
        <v/>
      </c>
      <c r="BC860" s="754">
        <f t="shared" si="269"/>
        <v>0</v>
      </c>
      <c r="BD860" s="754">
        <f t="shared" si="270"/>
        <v>0</v>
      </c>
      <c r="BE860" s="754">
        <f t="shared" si="271"/>
        <v>0</v>
      </c>
      <c r="BF860" s="323">
        <f>IF(BB860="",BA860,MAX(IFERROR(MATCH(PDs!S69,BC860:BE860,0),0),BA860))</f>
        <v>1</v>
      </c>
      <c r="BG860" s="2632" t="str">
        <f t="shared" si="272"/>
        <v/>
      </c>
      <c r="BH860" s="754">
        <f t="shared" si="273"/>
        <v>0</v>
      </c>
      <c r="BI860" s="754">
        <f t="shared" si="274"/>
        <v>0</v>
      </c>
      <c r="BJ860" s="754">
        <f t="shared" si="275"/>
        <v>0</v>
      </c>
      <c r="BK860" s="323">
        <f>IF(BG860="",BF860,MAX(IFERROR(MATCH(PDs!U69,BH860:BJ860,0),0),BF860))</f>
        <v>1</v>
      </c>
      <c r="BL860" s="650">
        <f t="shared" si="276"/>
        <v>0</v>
      </c>
    </row>
    <row r="861" spans="1:64" ht="12.75" customHeight="1" thickBot="1" x14ac:dyDescent="0.25">
      <c r="A861" s="227">
        <v>861</v>
      </c>
      <c r="B861" s="6042"/>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3"/>
        <v>33</v>
      </c>
      <c r="T861" s="2404"/>
      <c r="U861" s="2404"/>
      <c r="V861" s="2404"/>
      <c r="W861" s="2404"/>
      <c r="X861" s="2404">
        <f t="shared" si="254"/>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5"/>
        <v/>
      </c>
      <c r="AL861" s="754" t="str">
        <f t="shared" si="256"/>
        <v/>
      </c>
      <c r="AM861" s="1020" t="str">
        <f t="shared" si="257"/>
        <v/>
      </c>
      <c r="AN861" s="754">
        <f t="shared" si="277"/>
        <v>0</v>
      </c>
      <c r="AO861" s="754">
        <f t="shared" si="258"/>
        <v>0</v>
      </c>
      <c r="AP861" s="754">
        <f t="shared" si="259"/>
        <v>0</v>
      </c>
      <c r="AQ861" s="323">
        <f>IFERROR(MATCH(PDs!M70,AN861:AP861,0),0)</f>
        <v>1</v>
      </c>
      <c r="AR861" s="1020" t="str">
        <f t="shared" si="260"/>
        <v/>
      </c>
      <c r="AS861" s="754">
        <f t="shared" si="261"/>
        <v>0</v>
      </c>
      <c r="AT861" s="754">
        <f t="shared" si="262"/>
        <v>0</v>
      </c>
      <c r="AU861" s="754">
        <f t="shared" si="263"/>
        <v>0</v>
      </c>
      <c r="AV861" s="323">
        <f>IF(AR861="",AQ861,MAX(IFERROR(MATCH(PDs!O70,AS861:AU861,0),0),AQ861))</f>
        <v>1</v>
      </c>
      <c r="AW861" s="2632" t="str">
        <f t="shared" si="264"/>
        <v/>
      </c>
      <c r="AX861" s="754">
        <f t="shared" si="265"/>
        <v>0</v>
      </c>
      <c r="AY861" s="754">
        <f t="shared" si="266"/>
        <v>0</v>
      </c>
      <c r="AZ861" s="754">
        <f t="shared" si="267"/>
        <v>0</v>
      </c>
      <c r="BA861" s="323">
        <f>IF(AW861="",AV861,MAX(IFERROR(MATCH(PDs!Q70,AX861:AZ861,0),0),AV861))</f>
        <v>1</v>
      </c>
      <c r="BB861" s="2632" t="str">
        <f t="shared" si="268"/>
        <v/>
      </c>
      <c r="BC861" s="754">
        <f t="shared" si="269"/>
        <v>0</v>
      </c>
      <c r="BD861" s="754">
        <f t="shared" si="270"/>
        <v>0</v>
      </c>
      <c r="BE861" s="754">
        <f t="shared" si="271"/>
        <v>0</v>
      </c>
      <c r="BF861" s="323">
        <f>IF(BB861="",BA861,MAX(IFERROR(MATCH(PDs!S70,BC861:BE861,0),0),BA861))</f>
        <v>1</v>
      </c>
      <c r="BG861" s="2632" t="str">
        <f t="shared" si="272"/>
        <v/>
      </c>
      <c r="BH861" s="754">
        <f t="shared" si="273"/>
        <v>0</v>
      </c>
      <c r="BI861" s="754">
        <f t="shared" si="274"/>
        <v>0</v>
      </c>
      <c r="BJ861" s="754">
        <f t="shared" si="275"/>
        <v>0</v>
      </c>
      <c r="BK861" s="323">
        <f>IF(BG861="",BF861,MAX(IFERROR(MATCH(PDs!U70,BH861:BJ861,0),0),BF861))</f>
        <v>1</v>
      </c>
      <c r="BL861" s="650">
        <f t="shared" si="276"/>
        <v>0</v>
      </c>
    </row>
    <row r="862" spans="1:64" ht="12.75" customHeight="1" thickBot="1" x14ac:dyDescent="0.25">
      <c r="A862" s="227">
        <v>862</v>
      </c>
      <c r="B862" s="6042"/>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3"/>
        <v>82</v>
      </c>
      <c r="T862" s="2404"/>
      <c r="U862" s="2404"/>
      <c r="V862" s="2404"/>
      <c r="W862" s="2404"/>
      <c r="X862" s="2404">
        <f t="shared" si="254"/>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5"/>
        <v/>
      </c>
      <c r="AL862" s="754" t="str">
        <f t="shared" si="256"/>
        <v/>
      </c>
      <c r="AM862" s="1020" t="str">
        <f t="shared" si="257"/>
        <v/>
      </c>
      <c r="AN862" s="754">
        <f t="shared" si="277"/>
        <v>0</v>
      </c>
      <c r="AO862" s="754">
        <f t="shared" si="258"/>
        <v>0</v>
      </c>
      <c r="AP862" s="754">
        <f t="shared" si="259"/>
        <v>0</v>
      </c>
      <c r="AQ862" s="323">
        <f>IFERROR(MATCH(PDs!M71,AN862:AP862,0),0)</f>
        <v>1</v>
      </c>
      <c r="AR862" s="1020" t="str">
        <f t="shared" si="260"/>
        <v/>
      </c>
      <c r="AS862" s="754">
        <f t="shared" si="261"/>
        <v>0</v>
      </c>
      <c r="AT862" s="754">
        <f t="shared" si="262"/>
        <v>0</v>
      </c>
      <c r="AU862" s="754">
        <f t="shared" si="263"/>
        <v>0</v>
      </c>
      <c r="AV862" s="323">
        <f>IF(AR862="",AQ862,MAX(IFERROR(MATCH(PDs!O71,AS862:AU862,0),0),AQ862))</f>
        <v>1</v>
      </c>
      <c r="AW862" s="2632" t="str">
        <f t="shared" si="264"/>
        <v/>
      </c>
      <c r="AX862" s="754">
        <f t="shared" si="265"/>
        <v>0</v>
      </c>
      <c r="AY862" s="754">
        <f t="shared" si="266"/>
        <v>0</v>
      </c>
      <c r="AZ862" s="754">
        <f t="shared" si="267"/>
        <v>0</v>
      </c>
      <c r="BA862" s="323">
        <f>IF(AW862="",AV862,MAX(IFERROR(MATCH(PDs!Q71,AX862:AZ862,0),0),AV862))</f>
        <v>1</v>
      </c>
      <c r="BB862" s="2632" t="str">
        <f t="shared" si="268"/>
        <v/>
      </c>
      <c r="BC862" s="754">
        <f t="shared" si="269"/>
        <v>0</v>
      </c>
      <c r="BD862" s="754">
        <f t="shared" si="270"/>
        <v>0</v>
      </c>
      <c r="BE862" s="754">
        <f t="shared" si="271"/>
        <v>0</v>
      </c>
      <c r="BF862" s="323">
        <f>IF(BB862="",BA862,MAX(IFERROR(MATCH(PDs!S71,BC862:BE862,0),0),BA862))</f>
        <v>1</v>
      </c>
      <c r="BG862" s="2632" t="str">
        <f t="shared" si="272"/>
        <v/>
      </c>
      <c r="BH862" s="754">
        <f t="shared" si="273"/>
        <v>0</v>
      </c>
      <c r="BI862" s="754">
        <f t="shared" si="274"/>
        <v>0</v>
      </c>
      <c r="BJ862" s="754">
        <f t="shared" si="275"/>
        <v>0</v>
      </c>
      <c r="BK862" s="323">
        <f>IF(BG862="",BF862,MAX(IFERROR(MATCH(PDs!U71,BH862:BJ862,0),0),BF862))</f>
        <v>1</v>
      </c>
      <c r="BL862" s="650">
        <f t="shared" si="276"/>
        <v>0</v>
      </c>
    </row>
    <row r="863" spans="1:64" ht="12.75" customHeight="1" x14ac:dyDescent="0.2">
      <c r="A863" s="227">
        <v>863</v>
      </c>
      <c r="B863" s="6042"/>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3"/>
        <v>61</v>
      </c>
      <c r="T863" s="2404"/>
      <c r="U863" s="2404"/>
      <c r="V863" s="2404"/>
      <c r="W863" s="2404"/>
      <c r="X863" s="2404">
        <f t="shared" si="254"/>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5"/>
        <v/>
      </c>
      <c r="AL863" s="754" t="str">
        <f t="shared" si="256"/>
        <v/>
      </c>
      <c r="AM863" s="1020" t="str">
        <f t="shared" si="257"/>
        <v/>
      </c>
      <c r="AN863" s="754">
        <f t="shared" si="277"/>
        <v>0</v>
      </c>
      <c r="AO863" s="754">
        <f t="shared" si="258"/>
        <v>0</v>
      </c>
      <c r="AP863" s="754">
        <f t="shared" si="259"/>
        <v>0</v>
      </c>
      <c r="AQ863" s="323">
        <f>IFERROR(MATCH(PDs!M72,AN863:AP863,0),0)</f>
        <v>1</v>
      </c>
      <c r="AR863" s="1020" t="str">
        <f t="shared" si="260"/>
        <v/>
      </c>
      <c r="AS863" s="754">
        <f t="shared" si="261"/>
        <v>0</v>
      </c>
      <c r="AT863" s="754">
        <f t="shared" si="262"/>
        <v>0</v>
      </c>
      <c r="AU863" s="754">
        <f t="shared" si="263"/>
        <v>0</v>
      </c>
      <c r="AV863" s="323">
        <f>IF(AR863="",AQ863,MAX(IFERROR(MATCH(PDs!O72,AS863:AU863,0),0),AQ863))</f>
        <v>1</v>
      </c>
      <c r="AW863" s="2632" t="str">
        <f t="shared" si="264"/>
        <v/>
      </c>
      <c r="AX863" s="754">
        <f t="shared" si="265"/>
        <v>0</v>
      </c>
      <c r="AY863" s="754">
        <f t="shared" si="266"/>
        <v>0</v>
      </c>
      <c r="AZ863" s="754">
        <f t="shared" si="267"/>
        <v>0</v>
      </c>
      <c r="BA863" s="323">
        <f>IF(AW863="",AV863,MAX(IFERROR(MATCH(PDs!Q72,AX863:AZ863,0),0),AV863))</f>
        <v>1</v>
      </c>
      <c r="BB863" s="2632" t="str">
        <f t="shared" si="268"/>
        <v/>
      </c>
      <c r="BC863" s="754">
        <f t="shared" si="269"/>
        <v>0</v>
      </c>
      <c r="BD863" s="754">
        <f t="shared" si="270"/>
        <v>0</v>
      </c>
      <c r="BE863" s="754">
        <f t="shared" si="271"/>
        <v>0</v>
      </c>
      <c r="BF863" s="323">
        <f>IF(BB863="",BA863,MAX(IFERROR(MATCH(PDs!S72,BC863:BE863,0),0),BA863))</f>
        <v>1</v>
      </c>
      <c r="BG863" s="2632" t="str">
        <f t="shared" si="272"/>
        <v/>
      </c>
      <c r="BH863" s="754">
        <f t="shared" si="273"/>
        <v>0</v>
      </c>
      <c r="BI863" s="754">
        <f t="shared" si="274"/>
        <v>0</v>
      </c>
      <c r="BJ863" s="754">
        <f t="shared" si="275"/>
        <v>0</v>
      </c>
      <c r="BK863" s="323">
        <f>IF(BG863="",BF863,MAX(IFERROR(MATCH(PDs!U72,BH863:BJ863,0),0),BF863))</f>
        <v>1</v>
      </c>
      <c r="BL863" s="650">
        <f t="shared" si="276"/>
        <v>0</v>
      </c>
    </row>
    <row r="864" spans="1:64" ht="12.75" customHeight="1" x14ac:dyDescent="0.2">
      <c r="A864" s="227">
        <v>864</v>
      </c>
      <c r="B864" s="6042"/>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3"/>
        <v>61</v>
      </c>
      <c r="T864" s="2404"/>
      <c r="U864" s="2404"/>
      <c r="V864" s="2404"/>
      <c r="W864" s="2404"/>
      <c r="X864" s="2404">
        <f t="shared" si="254"/>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5"/>
        <v/>
      </c>
      <c r="AL864" s="754" t="str">
        <f t="shared" si="256"/>
        <v/>
      </c>
      <c r="AM864" s="1020" t="str">
        <f t="shared" si="257"/>
        <v/>
      </c>
      <c r="AN864" s="754">
        <f t="shared" si="277"/>
        <v>0</v>
      </c>
      <c r="AO864" s="754">
        <f t="shared" si="258"/>
        <v>0</v>
      </c>
      <c r="AP864" s="754">
        <f t="shared" si="259"/>
        <v>0</v>
      </c>
      <c r="AQ864" s="323">
        <f>IFERROR(MATCH(PDs!M73,AN864:AP864,0),0)</f>
        <v>1</v>
      </c>
      <c r="AR864" s="1020" t="str">
        <f t="shared" si="260"/>
        <v/>
      </c>
      <c r="AS864" s="754">
        <f t="shared" si="261"/>
        <v>0</v>
      </c>
      <c r="AT864" s="754">
        <f t="shared" si="262"/>
        <v>0</v>
      </c>
      <c r="AU864" s="754">
        <f t="shared" si="263"/>
        <v>0</v>
      </c>
      <c r="AV864" s="323">
        <f>IF(AR864="",AQ864,MAX(IFERROR(MATCH(PDs!O73,AS864:AU864,0),0),AQ864))</f>
        <v>1</v>
      </c>
      <c r="AW864" s="2632" t="str">
        <f t="shared" si="264"/>
        <v/>
      </c>
      <c r="AX864" s="754">
        <f t="shared" si="265"/>
        <v>0</v>
      </c>
      <c r="AY864" s="754">
        <f t="shared" si="266"/>
        <v>0</v>
      </c>
      <c r="AZ864" s="754">
        <f t="shared" si="267"/>
        <v>0</v>
      </c>
      <c r="BA864" s="323">
        <f>IF(AW864="",AV864,MAX(IFERROR(MATCH(PDs!Q73,AX864:AZ864,0),0),AV864))</f>
        <v>1</v>
      </c>
      <c r="BB864" s="2632" t="str">
        <f t="shared" si="268"/>
        <v/>
      </c>
      <c r="BC864" s="754">
        <f t="shared" si="269"/>
        <v>0</v>
      </c>
      <c r="BD864" s="754">
        <f t="shared" si="270"/>
        <v>0</v>
      </c>
      <c r="BE864" s="754">
        <f t="shared" si="271"/>
        <v>0</v>
      </c>
      <c r="BF864" s="323">
        <f>IF(BB864="",BA864,MAX(IFERROR(MATCH(PDs!S73,BC864:BE864,0),0),BA864))</f>
        <v>1</v>
      </c>
      <c r="BG864" s="2632" t="str">
        <f t="shared" si="272"/>
        <v/>
      </c>
      <c r="BH864" s="754">
        <f t="shared" si="273"/>
        <v>0</v>
      </c>
      <c r="BI864" s="754">
        <f t="shared" si="274"/>
        <v>0</v>
      </c>
      <c r="BJ864" s="754">
        <f t="shared" si="275"/>
        <v>0</v>
      </c>
      <c r="BK864" s="323">
        <f>IF(BG864="",BF864,MAX(IFERROR(MATCH(PDs!U73,BH864:BJ864,0),0),BF864))</f>
        <v>1</v>
      </c>
      <c r="BL864" s="650">
        <f t="shared" si="276"/>
        <v>0</v>
      </c>
    </row>
    <row r="865" spans="1:64" ht="12.75" customHeight="1" x14ac:dyDescent="0.2">
      <c r="A865" s="227">
        <v>865</v>
      </c>
      <c r="B865" s="6042"/>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3"/>
        <v>85</v>
      </c>
      <c r="T865" s="2404"/>
      <c r="U865" s="2404"/>
      <c r="V865" s="2404"/>
      <c r="W865" s="2404"/>
      <c r="X865" s="2404">
        <f t="shared" si="254"/>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5"/>
        <v/>
      </c>
      <c r="AL865" s="754" t="str">
        <f t="shared" si="256"/>
        <v/>
      </c>
      <c r="AM865" s="1020" t="str">
        <f t="shared" si="257"/>
        <v/>
      </c>
      <c r="AN865" s="754">
        <f t="shared" si="277"/>
        <v>0</v>
      </c>
      <c r="AO865" s="754">
        <f t="shared" si="258"/>
        <v>0</v>
      </c>
      <c r="AP865" s="754">
        <f t="shared" si="259"/>
        <v>0</v>
      </c>
      <c r="AQ865" s="323">
        <f>IFERROR(MATCH(PDs!M74,AN865:AP865,0),0)</f>
        <v>1</v>
      </c>
      <c r="AR865" s="1020" t="str">
        <f t="shared" si="260"/>
        <v/>
      </c>
      <c r="AS865" s="754">
        <f t="shared" si="261"/>
        <v>0</v>
      </c>
      <c r="AT865" s="754">
        <f t="shared" si="262"/>
        <v>0</v>
      </c>
      <c r="AU865" s="754">
        <f t="shared" si="263"/>
        <v>0</v>
      </c>
      <c r="AV865" s="323">
        <f>IF(AR865="",AQ865,MAX(IFERROR(MATCH(PDs!O74,AS865:AU865,0),0),AQ865))</f>
        <v>1</v>
      </c>
      <c r="AW865" s="2632" t="str">
        <f t="shared" si="264"/>
        <v/>
      </c>
      <c r="AX865" s="754">
        <f t="shared" si="265"/>
        <v>0</v>
      </c>
      <c r="AY865" s="754">
        <f t="shared" si="266"/>
        <v>0</v>
      </c>
      <c r="AZ865" s="754">
        <f t="shared" si="267"/>
        <v>0</v>
      </c>
      <c r="BA865" s="323">
        <f>IF(AW865="",AV865,MAX(IFERROR(MATCH(PDs!Q74,AX865:AZ865,0),0),AV865))</f>
        <v>1</v>
      </c>
      <c r="BB865" s="2632" t="str">
        <f t="shared" si="268"/>
        <v/>
      </c>
      <c r="BC865" s="754">
        <f t="shared" si="269"/>
        <v>0</v>
      </c>
      <c r="BD865" s="754">
        <f t="shared" si="270"/>
        <v>0</v>
      </c>
      <c r="BE865" s="754">
        <f t="shared" si="271"/>
        <v>0</v>
      </c>
      <c r="BF865" s="323">
        <f>IF(BB865="",BA865,MAX(IFERROR(MATCH(PDs!S74,BC865:BE865,0),0),BA865))</f>
        <v>1</v>
      </c>
      <c r="BG865" s="2632" t="str">
        <f t="shared" si="272"/>
        <v/>
      </c>
      <c r="BH865" s="754">
        <f t="shared" si="273"/>
        <v>0</v>
      </c>
      <c r="BI865" s="754">
        <f t="shared" si="274"/>
        <v>0</v>
      </c>
      <c r="BJ865" s="754">
        <f t="shared" si="275"/>
        <v>0</v>
      </c>
      <c r="BK865" s="323">
        <f>IF(BG865="",BF865,MAX(IFERROR(MATCH(PDs!U74,BH865:BJ865,0),0),BF865))</f>
        <v>1</v>
      </c>
      <c r="BL865" s="650">
        <f t="shared" si="276"/>
        <v>0</v>
      </c>
    </row>
    <row r="866" spans="1:64" ht="12.75" customHeight="1" x14ac:dyDescent="0.2">
      <c r="A866" s="227">
        <v>866</v>
      </c>
      <c r="B866" s="6042"/>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3"/>
        <v>50</v>
      </c>
      <c r="T866" s="2404"/>
      <c r="U866" s="2404"/>
      <c r="V866" s="2404"/>
      <c r="W866" s="2404"/>
      <c r="X866" s="2404">
        <f t="shared" si="254"/>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5"/>
        <v/>
      </c>
      <c r="AL866" s="754" t="str">
        <f t="shared" si="256"/>
        <v/>
      </c>
      <c r="AM866" s="1020" t="str">
        <f t="shared" si="257"/>
        <v/>
      </c>
      <c r="AN866" s="754">
        <f t="shared" si="277"/>
        <v>0</v>
      </c>
      <c r="AO866" s="754">
        <f t="shared" si="258"/>
        <v>0</v>
      </c>
      <c r="AP866" s="754">
        <f t="shared" si="259"/>
        <v>0</v>
      </c>
      <c r="AQ866" s="323">
        <f>IFERROR(MATCH(PDs!M75,AN866:AP866,0),0)</f>
        <v>1</v>
      </c>
      <c r="AR866" s="1020" t="str">
        <f t="shared" si="260"/>
        <v/>
      </c>
      <c r="AS866" s="754">
        <f t="shared" si="261"/>
        <v>0</v>
      </c>
      <c r="AT866" s="754">
        <f t="shared" si="262"/>
        <v>0</v>
      </c>
      <c r="AU866" s="754">
        <f t="shared" si="263"/>
        <v>0</v>
      </c>
      <c r="AV866" s="323">
        <f>IF(AR866="",AQ866,MAX(IFERROR(MATCH(PDs!O75,AS866:AU866,0),0),AQ866))</f>
        <v>1</v>
      </c>
      <c r="AW866" s="2632" t="str">
        <f t="shared" si="264"/>
        <v/>
      </c>
      <c r="AX866" s="754">
        <f t="shared" si="265"/>
        <v>0</v>
      </c>
      <c r="AY866" s="754">
        <f t="shared" si="266"/>
        <v>0</v>
      </c>
      <c r="AZ866" s="754">
        <f t="shared" si="267"/>
        <v>0</v>
      </c>
      <c r="BA866" s="323">
        <f>IF(AW866="",AV866,MAX(IFERROR(MATCH(PDs!Q75,AX866:AZ866,0),0),AV866))</f>
        <v>1</v>
      </c>
      <c r="BB866" s="2632" t="str">
        <f t="shared" si="268"/>
        <v/>
      </c>
      <c r="BC866" s="754">
        <f t="shared" si="269"/>
        <v>0</v>
      </c>
      <c r="BD866" s="754">
        <f t="shared" si="270"/>
        <v>0</v>
      </c>
      <c r="BE866" s="754">
        <f t="shared" si="271"/>
        <v>0</v>
      </c>
      <c r="BF866" s="323">
        <f>IF(BB866="",BA866,MAX(IFERROR(MATCH(PDs!S75,BC866:BE866,0),0),BA866))</f>
        <v>1</v>
      </c>
      <c r="BG866" s="2632" t="str">
        <f t="shared" si="272"/>
        <v/>
      </c>
      <c r="BH866" s="754">
        <f t="shared" si="273"/>
        <v>0</v>
      </c>
      <c r="BI866" s="754">
        <f t="shared" si="274"/>
        <v>0</v>
      </c>
      <c r="BJ866" s="754">
        <f t="shared" si="275"/>
        <v>0</v>
      </c>
      <c r="BK866" s="323">
        <f>IF(BG866="",BF866,MAX(IFERROR(MATCH(PDs!U75,BH866:BJ866,0),0),BF866))</f>
        <v>1</v>
      </c>
      <c r="BL866" s="650">
        <f t="shared" si="276"/>
        <v>0</v>
      </c>
    </row>
    <row r="867" spans="1:64" ht="12.75" customHeight="1" x14ac:dyDescent="0.2">
      <c r="A867" s="227">
        <v>867</v>
      </c>
      <c r="B867" s="6042"/>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3"/>
        <v>50</v>
      </c>
      <c r="T867" s="2404"/>
      <c r="U867" s="2404"/>
      <c r="V867" s="2404"/>
      <c r="W867" s="2404"/>
      <c r="X867" s="2404">
        <f t="shared" si="254"/>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5"/>
        <v/>
      </c>
      <c r="AL867" s="754" t="str">
        <f t="shared" si="256"/>
        <v/>
      </c>
      <c r="AM867" s="1020" t="str">
        <f t="shared" si="257"/>
        <v/>
      </c>
      <c r="AN867" s="754">
        <f t="shared" si="277"/>
        <v>0</v>
      </c>
      <c r="AO867" s="754">
        <f t="shared" si="258"/>
        <v>0</v>
      </c>
      <c r="AP867" s="754">
        <f t="shared" si="259"/>
        <v>0</v>
      </c>
      <c r="AQ867" s="323">
        <f>IFERROR(MATCH(PDs!M76,AN867:AP867,0),0)</f>
        <v>1</v>
      </c>
      <c r="AR867" s="1020" t="str">
        <f t="shared" si="260"/>
        <v/>
      </c>
      <c r="AS867" s="754">
        <f t="shared" si="261"/>
        <v>0</v>
      </c>
      <c r="AT867" s="754">
        <f t="shared" si="262"/>
        <v>0</v>
      </c>
      <c r="AU867" s="754">
        <f t="shared" si="263"/>
        <v>0</v>
      </c>
      <c r="AV867" s="323">
        <f>IF(AR867="",AQ867,MAX(IFERROR(MATCH(PDs!O76,AS867:AU867,0),0),AQ867))</f>
        <v>1</v>
      </c>
      <c r="AW867" s="2632" t="str">
        <f t="shared" si="264"/>
        <v/>
      </c>
      <c r="AX867" s="754">
        <f t="shared" si="265"/>
        <v>0</v>
      </c>
      <c r="AY867" s="754">
        <f t="shared" si="266"/>
        <v>0</v>
      </c>
      <c r="AZ867" s="754">
        <f t="shared" si="267"/>
        <v>0</v>
      </c>
      <c r="BA867" s="323">
        <f>IF(AW867="",AV867,MAX(IFERROR(MATCH(PDs!Q76,AX867:AZ867,0),0),AV867))</f>
        <v>1</v>
      </c>
      <c r="BB867" s="2632" t="str">
        <f t="shared" si="268"/>
        <v/>
      </c>
      <c r="BC867" s="754">
        <f t="shared" si="269"/>
        <v>0</v>
      </c>
      <c r="BD867" s="754">
        <f t="shared" si="270"/>
        <v>0</v>
      </c>
      <c r="BE867" s="754">
        <f t="shared" si="271"/>
        <v>0</v>
      </c>
      <c r="BF867" s="323">
        <f>IF(BB867="",BA867,MAX(IFERROR(MATCH(PDs!S76,BC867:BE867,0),0),BA867))</f>
        <v>1</v>
      </c>
      <c r="BG867" s="2632" t="str">
        <f t="shared" si="272"/>
        <v/>
      </c>
      <c r="BH867" s="754">
        <f t="shared" si="273"/>
        <v>0</v>
      </c>
      <c r="BI867" s="754">
        <f t="shared" si="274"/>
        <v>0</v>
      </c>
      <c r="BJ867" s="754">
        <f t="shared" si="275"/>
        <v>0</v>
      </c>
      <c r="BK867" s="323">
        <f>IF(BG867="",BF867,MAX(IFERROR(MATCH(PDs!U76,BH867:BJ867,0),0),BF867))</f>
        <v>1</v>
      </c>
      <c r="BL867" s="650">
        <f t="shared" si="276"/>
        <v>0</v>
      </c>
    </row>
    <row r="868" spans="1:64" ht="12.75" customHeight="1" thickBot="1" x14ac:dyDescent="0.25">
      <c r="A868" s="227">
        <v>868</v>
      </c>
      <c r="B868" s="6042"/>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3"/>
        <v>81</v>
      </c>
      <c r="T868" s="2404"/>
      <c r="U868" s="2404"/>
      <c r="V868" s="2404"/>
      <c r="W868" s="2404"/>
      <c r="X868" s="2404">
        <f t="shared" si="254"/>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5"/>
        <v/>
      </c>
      <c r="AL868" s="1230" t="str">
        <f t="shared" si="256"/>
        <v/>
      </c>
      <c r="AM868" s="1229" t="str">
        <f t="shared" si="257"/>
        <v/>
      </c>
      <c r="AN868" s="1230">
        <f t="shared" si="277"/>
        <v>0</v>
      </c>
      <c r="AO868" s="1230">
        <f t="shared" si="258"/>
        <v>0</v>
      </c>
      <c r="AP868" s="1230">
        <f t="shared" si="259"/>
        <v>0</v>
      </c>
      <c r="AQ868" s="328">
        <f>IFERROR(MATCH(PDs!M77,AN868:AP868,0),0)</f>
        <v>1</v>
      </c>
      <c r="AR868" s="1229" t="str">
        <f t="shared" si="260"/>
        <v/>
      </c>
      <c r="AS868" s="1230">
        <f t="shared" si="261"/>
        <v>0</v>
      </c>
      <c r="AT868" s="1230">
        <f t="shared" si="262"/>
        <v>0</v>
      </c>
      <c r="AU868" s="1230">
        <f t="shared" si="263"/>
        <v>0</v>
      </c>
      <c r="AV868" s="328">
        <f>IF(AR868="",AQ868,MAX(IFERROR(MATCH(PDs!O77,AS868:AU868,0),0),AQ868))</f>
        <v>1</v>
      </c>
      <c r="AW868" s="1229" t="str">
        <f t="shared" si="264"/>
        <v/>
      </c>
      <c r="AX868" s="1230">
        <f t="shared" si="265"/>
        <v>0</v>
      </c>
      <c r="AY868" s="1230">
        <f t="shared" si="266"/>
        <v>0</v>
      </c>
      <c r="AZ868" s="1230">
        <f t="shared" si="267"/>
        <v>0</v>
      </c>
      <c r="BA868" s="328">
        <f>IF(AW868="",AV868,MAX(IFERROR(MATCH(PDs!Q77,AX868:AZ868,0),0),AV868))</f>
        <v>1</v>
      </c>
      <c r="BB868" s="1229" t="str">
        <f t="shared" si="268"/>
        <v/>
      </c>
      <c r="BC868" s="1230">
        <f t="shared" si="269"/>
        <v>0</v>
      </c>
      <c r="BD868" s="1230">
        <f t="shared" si="270"/>
        <v>0</v>
      </c>
      <c r="BE868" s="1230">
        <f t="shared" si="271"/>
        <v>0</v>
      </c>
      <c r="BF868" s="328">
        <f>IF(BB868="",BA868,MAX(IFERROR(MATCH(PDs!S77,BC868:BE868,0),0),BA868))</f>
        <v>1</v>
      </c>
      <c r="BG868" s="1229" t="str">
        <f t="shared" si="272"/>
        <v/>
      </c>
      <c r="BH868" s="1230">
        <f t="shared" si="273"/>
        <v>0</v>
      </c>
      <c r="BI868" s="1230">
        <f t="shared" si="274"/>
        <v>0</v>
      </c>
      <c r="BJ868" s="1230">
        <f t="shared" si="275"/>
        <v>0</v>
      </c>
      <c r="BK868" s="328">
        <f>IF(BG868="",BF868,MAX(IFERROR(MATCH(PDs!U77,BH868:BJ868,0),0),BF868))</f>
        <v>1</v>
      </c>
      <c r="BL868" s="1824">
        <f t="shared" si="276"/>
        <v>0</v>
      </c>
    </row>
    <row r="869" spans="1:64" ht="12.75" customHeight="1" x14ac:dyDescent="0.2">
      <c r="A869" s="227">
        <v>869</v>
      </c>
      <c r="B869" s="6042"/>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3"/>
        <v>52</v>
      </c>
      <c r="T869" s="2404"/>
      <c r="U869" s="2404"/>
      <c r="V869" s="2404"/>
      <c r="W869" s="2404"/>
      <c r="X869" s="2404">
        <f t="shared" si="254"/>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042"/>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3"/>
        <v>67</v>
      </c>
      <c r="T870" s="2404"/>
      <c r="U870" s="2404"/>
      <c r="V870" s="2404"/>
      <c r="W870" s="2404"/>
      <c r="X870" s="2404">
        <f t="shared" si="254"/>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042"/>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3"/>
        <v>61</v>
      </c>
      <c r="T871" s="2404"/>
      <c r="U871" s="2404"/>
      <c r="V871" s="2404"/>
      <c r="W871" s="2404"/>
      <c r="X871" s="2404">
        <f t="shared" si="254"/>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042"/>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3"/>
        <v>1</v>
      </c>
      <c r="T872" s="2404"/>
      <c r="U872" s="2404"/>
      <c r="V872" s="2404"/>
      <c r="W872" s="2404"/>
      <c r="X872" s="2404">
        <f t="shared" si="254"/>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042"/>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3"/>
        <v>58</v>
      </c>
      <c r="T873" s="2404"/>
      <c r="U873" s="2404"/>
      <c r="V873" s="2404"/>
      <c r="W873" s="2404"/>
      <c r="X873" s="2404">
        <f t="shared" si="254"/>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042"/>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3"/>
        <v>58</v>
      </c>
      <c r="T874" s="2404"/>
      <c r="U874" s="2404" t="s">
        <v>1551</v>
      </c>
      <c r="V874" s="2404"/>
      <c r="W874" s="2404"/>
      <c r="X874" s="2404">
        <f t="shared" si="254"/>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042"/>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3"/>
        <v>1</v>
      </c>
      <c r="T875" s="2404"/>
      <c r="U875" s="2404"/>
      <c r="V875" s="2404"/>
      <c r="W875" s="2404"/>
      <c r="X875" s="2404">
        <f t="shared" si="254"/>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042"/>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3"/>
        <v>45</v>
      </c>
      <c r="T876" s="2404"/>
      <c r="U876" s="2404"/>
      <c r="V876" s="2404"/>
      <c r="W876" s="2404"/>
      <c r="X876" s="2404">
        <f t="shared" si="254"/>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042"/>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3"/>
        <v>48</v>
      </c>
      <c r="T877" s="2404"/>
      <c r="U877" s="2404"/>
      <c r="V877" s="2404"/>
      <c r="W877" s="2404"/>
      <c r="X877" s="2404">
        <f t="shared" si="254"/>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042"/>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3"/>
        <v>67</v>
      </c>
      <c r="T878" s="2404"/>
      <c r="U878" s="2404"/>
      <c r="V878" s="2404"/>
      <c r="W878" s="2404"/>
      <c r="X878" s="2404">
        <f t="shared" si="254"/>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042"/>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3"/>
        <v>46</v>
      </c>
      <c r="T879" s="2404"/>
      <c r="U879" s="2404"/>
      <c r="V879" s="2404"/>
      <c r="W879" s="2404"/>
      <c r="X879" s="2404">
        <f t="shared" si="254"/>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042"/>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3"/>
        <v>40</v>
      </c>
      <c r="T880" s="2404"/>
      <c r="U880" s="2404"/>
      <c r="V880" s="2404"/>
      <c r="W880" s="2404"/>
      <c r="X880" s="2404">
        <f t="shared" si="254"/>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042"/>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3"/>
        <v>1</v>
      </c>
      <c r="T881" s="2404"/>
      <c r="U881" s="2404"/>
      <c r="V881" s="2404"/>
      <c r="W881" s="2404"/>
      <c r="X881" s="2404">
        <f t="shared" si="254"/>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042"/>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8">LEN(N882)</f>
        <v>1</v>
      </c>
      <c r="T882" s="2404"/>
      <c r="U882" s="2404"/>
      <c r="V882" s="2404"/>
      <c r="W882" s="2404"/>
      <c r="X882" s="2404">
        <f t="shared" ref="X882:X913" si="279">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042"/>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8"/>
        <v>39</v>
      </c>
      <c r="T883" s="2404"/>
      <c r="U883" s="2404"/>
      <c r="V883" s="2404"/>
      <c r="W883" s="2404"/>
      <c r="X883" s="2404">
        <f t="shared" si="279"/>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042"/>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8"/>
        <v>31</v>
      </c>
      <c r="T884" s="2404"/>
      <c r="U884" s="2404"/>
      <c r="V884" s="2404"/>
      <c r="W884" s="2404"/>
      <c r="X884" s="2404">
        <f t="shared" si="279"/>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042"/>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8"/>
        <v>82</v>
      </c>
      <c r="T885" s="2404"/>
      <c r="U885" s="2404"/>
      <c r="V885" s="2404"/>
      <c r="W885" s="2404"/>
      <c r="X885" s="2404">
        <f t="shared" si="279"/>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042"/>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8"/>
        <v>82</v>
      </c>
      <c r="T886" s="2404"/>
      <c r="U886" s="2404"/>
      <c r="V886" s="2404"/>
      <c r="W886" s="2404"/>
      <c r="X886" s="2404">
        <f t="shared" si="279"/>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042"/>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8"/>
        <v>40</v>
      </c>
      <c r="T887" s="2404"/>
      <c r="U887" s="2404"/>
      <c r="V887" s="2404"/>
      <c r="W887" s="2404"/>
      <c r="X887" s="2404">
        <f t="shared" si="279"/>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042"/>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8"/>
        <v>63</v>
      </c>
      <c r="T888" s="2404"/>
      <c r="U888" s="2404"/>
      <c r="V888" s="2404"/>
      <c r="W888" s="2404"/>
      <c r="X888" s="2404">
        <f t="shared" si="279"/>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042"/>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8"/>
        <v>82</v>
      </c>
      <c r="T889" s="2404"/>
      <c r="U889" s="2404"/>
      <c r="V889" s="2404"/>
      <c r="W889" s="2404"/>
      <c r="X889" s="2404">
        <f t="shared" si="279"/>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042"/>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8"/>
        <v>1</v>
      </c>
      <c r="T890" s="2404"/>
      <c r="U890" s="2404"/>
      <c r="V890" s="2404"/>
      <c r="W890" s="2404"/>
      <c r="X890" s="2404">
        <f t="shared" si="279"/>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042"/>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8"/>
        <v>1</v>
      </c>
      <c r="T891" s="2404"/>
      <c r="U891" s="2404"/>
      <c r="V891" s="2404"/>
      <c r="W891" s="2404"/>
      <c r="X891" s="2404">
        <f t="shared" si="279"/>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042"/>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8"/>
        <v>1</v>
      </c>
      <c r="T892" s="2404"/>
      <c r="U892" s="2404"/>
      <c r="V892" s="2404"/>
      <c r="W892" s="2404"/>
      <c r="X892" s="2404">
        <f t="shared" si="279"/>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042"/>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8"/>
        <v>31</v>
      </c>
      <c r="T893" s="2404"/>
      <c r="U893" s="2404"/>
      <c r="V893" s="2404"/>
      <c r="W893" s="2404"/>
      <c r="X893" s="2404">
        <f t="shared" si="279"/>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042"/>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8"/>
        <v>26</v>
      </c>
      <c r="T894" s="2404"/>
      <c r="U894" s="2404"/>
      <c r="V894" s="2404"/>
      <c r="W894" s="2404"/>
      <c r="X894" s="2404">
        <f t="shared" si="279"/>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042"/>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8"/>
        <v>38</v>
      </c>
      <c r="T895" s="2404"/>
      <c r="U895" s="2404"/>
      <c r="V895" s="2404"/>
      <c r="W895" s="2404"/>
      <c r="X895" s="2404">
        <f t="shared" si="279"/>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042"/>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8"/>
        <v>54</v>
      </c>
      <c r="T896" s="2404"/>
      <c r="U896" s="2404"/>
      <c r="V896" s="2404"/>
      <c r="W896" s="2404"/>
      <c r="X896" s="2404">
        <f t="shared" si="279"/>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042"/>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8"/>
        <v>54</v>
      </c>
      <c r="T897" s="2404"/>
      <c r="U897" s="2404"/>
      <c r="V897" s="2404"/>
      <c r="W897" s="2404"/>
      <c r="X897" s="2404">
        <f t="shared" si="279"/>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042"/>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8"/>
        <v>64</v>
      </c>
      <c r="T898" s="2404"/>
      <c r="U898" s="2404"/>
      <c r="V898" s="2404"/>
      <c r="W898" s="2404"/>
      <c r="X898" s="2404">
        <f t="shared" si="279"/>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042"/>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8"/>
        <v>1</v>
      </c>
      <c r="T899" s="2404"/>
      <c r="U899" s="2404"/>
      <c r="V899" s="2404"/>
      <c r="W899" s="2404"/>
      <c r="X899" s="2404">
        <f t="shared" si="279"/>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042"/>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8"/>
        <v>1</v>
      </c>
      <c r="T900" s="2404"/>
      <c r="U900" s="2404"/>
      <c r="V900" s="2404"/>
      <c r="W900" s="2404"/>
      <c r="X900" s="2404">
        <f t="shared" si="279"/>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042"/>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8"/>
        <v>1</v>
      </c>
      <c r="T901" s="2404"/>
      <c r="U901" s="2404"/>
      <c r="V901" s="2404"/>
      <c r="W901" s="2404"/>
      <c r="X901" s="2404">
        <f t="shared" si="279"/>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042"/>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8"/>
        <v>62</v>
      </c>
      <c r="T902" s="2404"/>
      <c r="U902" s="2404"/>
      <c r="V902" s="2404"/>
      <c r="W902" s="2404"/>
      <c r="X902" s="2404">
        <f t="shared" si="279"/>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042"/>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8"/>
        <v>62</v>
      </c>
      <c r="T903" s="2404"/>
      <c r="U903" s="2404"/>
      <c r="V903" s="2404"/>
      <c r="W903" s="2404"/>
      <c r="X903" s="2404">
        <f t="shared" si="279"/>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042"/>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8"/>
        <v>62</v>
      </c>
      <c r="T904" s="2404"/>
      <c r="U904" s="2404"/>
      <c r="V904" s="2404"/>
      <c r="W904" s="2404"/>
      <c r="X904" s="2404">
        <f t="shared" si="279"/>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042"/>
      <c r="C905" s="485"/>
      <c r="D905" s="2403" t="s">
        <v>946</v>
      </c>
      <c r="E905" s="2404"/>
      <c r="F905" s="2404"/>
      <c r="G905" s="2404"/>
      <c r="H905" s="2404"/>
      <c r="I905" s="2404"/>
      <c r="J905" s="2404"/>
      <c r="K905" s="2404"/>
      <c r="L905" s="2404"/>
      <c r="M905" s="2409"/>
      <c r="N905" s="2409" t="s">
        <v>1455</v>
      </c>
      <c r="O905" s="2409"/>
      <c r="P905" s="2409"/>
      <c r="Q905" s="2409"/>
      <c r="R905" s="2409"/>
      <c r="S905" s="2405">
        <f t="shared" si="278"/>
        <v>1</v>
      </c>
      <c r="T905" s="2404"/>
      <c r="U905" s="2404"/>
      <c r="V905" s="2404"/>
      <c r="W905" s="2404"/>
      <c r="X905" s="2404">
        <f t="shared" si="279"/>
        <v>0</v>
      </c>
      <c r="Y905" s="2404">
        <f>IF(OR(Y906&gt;0,COUNTIF(PDs!$AD$59:$AD$77,Tablas!D905)&gt;0),1,0)</f>
        <v>0</v>
      </c>
      <c r="Z905" s="2404" t="s">
        <v>1455</v>
      </c>
      <c r="AA905" s="1020"/>
      <c r="AB905" s="2406"/>
      <c r="AC905" s="1259"/>
      <c r="AP905" s="555"/>
      <c r="AQ905" s="555"/>
    </row>
    <row r="906" spans="1:43" ht="12.75" customHeight="1" x14ac:dyDescent="0.2">
      <c r="A906" s="227">
        <v>906</v>
      </c>
      <c r="B906" s="6042"/>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8"/>
        <v>1</v>
      </c>
      <c r="T906" s="2404"/>
      <c r="U906" s="2404"/>
      <c r="V906" s="2404"/>
      <c r="W906" s="2404"/>
      <c r="X906" s="2404">
        <f t="shared" si="279"/>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042"/>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8"/>
        <v>61</v>
      </c>
      <c r="T907" s="2404"/>
      <c r="U907" s="2404"/>
      <c r="V907" s="2404">
        <v>10</v>
      </c>
      <c r="W907" s="2404">
        <v>10</v>
      </c>
      <c r="X907" s="2404">
        <f t="shared" si="279"/>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042"/>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8"/>
        <v>43</v>
      </c>
      <c r="T908" s="2404" t="s">
        <v>1550</v>
      </c>
      <c r="U908" s="2404" t="s">
        <v>1551</v>
      </c>
      <c r="V908" s="2404"/>
      <c r="W908" s="2404"/>
      <c r="X908" s="2404">
        <f t="shared" si="279"/>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042"/>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8"/>
        <v>67</v>
      </c>
      <c r="T909" s="2404"/>
      <c r="U909" s="2404"/>
      <c r="V909" s="2404">
        <v>20</v>
      </c>
      <c r="W909" s="2404"/>
      <c r="X909" s="2404">
        <f t="shared" si="279"/>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042"/>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8"/>
        <v>61</v>
      </c>
      <c r="T910" s="2404"/>
      <c r="U910" s="2404"/>
      <c r="V910" s="2404"/>
      <c r="W910" s="2404"/>
      <c r="X910" s="2404">
        <f t="shared" si="279"/>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042"/>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8"/>
        <v>80</v>
      </c>
      <c r="T911" s="2404"/>
      <c r="U911" s="2404"/>
      <c r="V911" s="2404">
        <v>20</v>
      </c>
      <c r="W911" s="2404"/>
      <c r="X911" s="2404">
        <f t="shared" si="279"/>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042"/>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8"/>
        <v>62</v>
      </c>
      <c r="T912" s="2404"/>
      <c r="U912" s="2404"/>
      <c r="V912" s="2404"/>
      <c r="W912" s="2404"/>
      <c r="X912" s="2404">
        <f t="shared" si="279"/>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042"/>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8"/>
        <v>84</v>
      </c>
      <c r="T913" s="2404"/>
      <c r="U913" s="2404"/>
      <c r="V913" s="2404">
        <v>15</v>
      </c>
      <c r="W913" s="2404">
        <v>15</v>
      </c>
      <c r="X913" s="2404">
        <f t="shared" si="279"/>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042"/>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80">LEN(N914)</f>
        <v>37</v>
      </c>
      <c r="T914" s="2404"/>
      <c r="U914" s="2404"/>
      <c r="V914" s="2404"/>
      <c r="W914" s="2404"/>
      <c r="X914" s="2404">
        <f t="shared" ref="X914:X939" si="281">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042"/>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80"/>
        <v>37</v>
      </c>
      <c r="T915" s="2404"/>
      <c r="U915" s="2404"/>
      <c r="V915" s="2404">
        <v>25</v>
      </c>
      <c r="W915" s="2404"/>
      <c r="X915" s="2404">
        <f t="shared" si="281"/>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042"/>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80"/>
        <v>64</v>
      </c>
      <c r="T916" s="2404"/>
      <c r="U916" s="2404"/>
      <c r="V916" s="2404"/>
      <c r="W916" s="2404"/>
      <c r="X916" s="2404">
        <f t="shared" si="281"/>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042"/>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80"/>
        <v>65</v>
      </c>
      <c r="T917" s="2404"/>
      <c r="U917" s="2404"/>
      <c r="V917" s="2404">
        <v>15</v>
      </c>
      <c r="W917" s="2404"/>
      <c r="X917" s="2404">
        <f t="shared" si="281"/>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042"/>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80"/>
        <v>66</v>
      </c>
      <c r="T918" s="2404"/>
      <c r="U918" s="2404"/>
      <c r="V918" s="2404"/>
      <c r="W918" s="2404"/>
      <c r="X918" s="2404">
        <f t="shared" si="281"/>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042"/>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80"/>
        <v>53</v>
      </c>
      <c r="T919" s="2404"/>
      <c r="U919" s="2404"/>
      <c r="V919" s="2404">
        <v>20</v>
      </c>
      <c r="W919" s="2404"/>
      <c r="X919" s="2404">
        <f t="shared" si="281"/>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042"/>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80"/>
        <v>46</v>
      </c>
      <c r="T920" s="2404"/>
      <c r="U920" s="2404"/>
      <c r="V920" s="2404"/>
      <c r="W920" s="2404"/>
      <c r="X920" s="2404">
        <f t="shared" si="281"/>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042"/>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80"/>
        <v>84</v>
      </c>
      <c r="T921" s="2404"/>
      <c r="U921" s="2404"/>
      <c r="V921" s="2404">
        <v>20</v>
      </c>
      <c r="W921" s="2404"/>
      <c r="X921" s="2404">
        <f t="shared" si="281"/>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042"/>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80"/>
        <v>44</v>
      </c>
      <c r="T922" s="2404"/>
      <c r="U922" s="2404"/>
      <c r="V922" s="2404"/>
      <c r="W922" s="2404"/>
      <c r="X922" s="2404">
        <f t="shared" si="281"/>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042"/>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80"/>
        <v>49</v>
      </c>
      <c r="T923" s="2404"/>
      <c r="U923" s="2404"/>
      <c r="V923" s="2404"/>
      <c r="W923" s="2404">
        <v>20</v>
      </c>
      <c r="X923" s="2404">
        <f t="shared" si="281"/>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042"/>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80"/>
        <v>52</v>
      </c>
      <c r="T924" s="2404"/>
      <c r="U924" s="2404"/>
      <c r="V924" s="2404"/>
      <c r="W924" s="2404"/>
      <c r="X924" s="2404">
        <f t="shared" si="281"/>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042"/>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80"/>
        <v>83</v>
      </c>
      <c r="T925" s="2404"/>
      <c r="U925" s="2404"/>
      <c r="V925" s="2404">
        <v>10</v>
      </c>
      <c r="W925" s="2404">
        <v>10</v>
      </c>
      <c r="X925" s="2404">
        <f t="shared" si="281"/>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042"/>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80"/>
        <v>66</v>
      </c>
      <c r="T926" s="2404"/>
      <c r="U926" s="2404"/>
      <c r="V926" s="2404"/>
      <c r="W926" s="2404"/>
      <c r="X926" s="2404">
        <f t="shared" si="281"/>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042"/>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80"/>
        <v>80</v>
      </c>
      <c r="T927" s="2404"/>
      <c r="U927" s="2404"/>
      <c r="V927" s="2404">
        <v>20</v>
      </c>
      <c r="W927" s="2404"/>
      <c r="X927" s="2404">
        <f t="shared" si="281"/>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042"/>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80"/>
        <v>36</v>
      </c>
      <c r="T928" s="2404"/>
      <c r="U928" s="2404"/>
      <c r="V928" s="2404"/>
      <c r="W928" s="2404"/>
      <c r="X928" s="2404">
        <f t="shared" si="281"/>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042"/>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80"/>
        <v>37</v>
      </c>
      <c r="T929" s="2404"/>
      <c r="U929" s="2404"/>
      <c r="V929" s="2404"/>
      <c r="W929" s="2404">
        <v>20</v>
      </c>
      <c r="X929" s="2404">
        <f t="shared" si="281"/>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042"/>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80"/>
        <v>49</v>
      </c>
      <c r="T930" s="2404"/>
      <c r="U930" s="2404"/>
      <c r="V930" s="2404"/>
      <c r="W930" s="2404"/>
      <c r="X930" s="2404">
        <f t="shared" si="281"/>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042"/>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80"/>
        <v>69</v>
      </c>
      <c r="T931" s="2404"/>
      <c r="U931" s="2404"/>
      <c r="V931" s="2404"/>
      <c r="W931" s="2404">
        <v>20</v>
      </c>
      <c r="X931" s="2404">
        <f t="shared" si="281"/>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042"/>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80"/>
        <v>45</v>
      </c>
      <c r="T932" s="2404"/>
      <c r="U932" s="2404"/>
      <c r="V932" s="2404"/>
      <c r="W932" s="2404"/>
      <c r="X932" s="2404">
        <f t="shared" si="281"/>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042"/>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80"/>
        <v>63</v>
      </c>
      <c r="T933" s="2404"/>
      <c r="U933" s="2404"/>
      <c r="V933" s="2404">
        <v>20</v>
      </c>
      <c r="W933" s="2404"/>
      <c r="X933" s="2404">
        <f t="shared" si="281"/>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042"/>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80"/>
        <v>36</v>
      </c>
      <c r="T934" s="2404"/>
      <c r="U934" s="2404"/>
      <c r="V934" s="2404"/>
      <c r="W934" s="2404"/>
      <c r="X934" s="2404">
        <f t="shared" si="281"/>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042"/>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80"/>
        <v>37</v>
      </c>
      <c r="T935" s="2404"/>
      <c r="U935" s="2404"/>
      <c r="V935" s="2404"/>
      <c r="W935" s="2404">
        <v>20</v>
      </c>
      <c r="X935" s="2404">
        <f t="shared" si="281"/>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042"/>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80"/>
        <v>59</v>
      </c>
      <c r="T936" s="2404"/>
      <c r="U936" s="2404"/>
      <c r="V936" s="2404"/>
      <c r="W936" s="2404"/>
      <c r="X936" s="2404">
        <f t="shared" si="281"/>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042"/>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80"/>
        <v>40</v>
      </c>
      <c r="T937" s="2404"/>
      <c r="U937" s="2404"/>
      <c r="V937" s="2404">
        <v>15</v>
      </c>
      <c r="W937" s="2404"/>
      <c r="X937" s="2404">
        <f t="shared" si="281"/>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042"/>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80"/>
        <v>1</v>
      </c>
      <c r="T938" s="2404" t="s">
        <v>1555</v>
      </c>
      <c r="U938" s="2404"/>
      <c r="V938" s="2404"/>
      <c r="W938" s="2404"/>
      <c r="X938" s="2404">
        <f t="shared" si="281"/>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042"/>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80"/>
        <v>62</v>
      </c>
      <c r="T939" s="2393" t="s">
        <v>1555</v>
      </c>
      <c r="U939" s="2393"/>
      <c r="V939" s="2393"/>
      <c r="W939" s="2393">
        <v>15</v>
      </c>
      <c r="X939" s="2393">
        <f t="shared" si="281"/>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042"/>
      <c r="F940" s="6219">
        <f>SUMPRODUCT($F$851:$F$939,$Y$851:$Y$939)</f>
        <v>0</v>
      </c>
      <c r="G940" s="6319" t="s">
        <v>998</v>
      </c>
      <c r="H940" s="6180">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80">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80">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80">
        <f>Tablas!$K$906*Tablas!$Y$906+Tablas!K855*Tablas!$Y$855+Tablas!K854*Tablas!$Y$854+Tablas!K856*Tablas!$Y$856+Tablas!K911*Tablas!$Y$911+Tablas!K910*Tablas!$Y$910+Tablas!K919*Tablas!$Y$919+Tablas!K918*Tablas!$Y$918</f>
        <v>0</v>
      </c>
      <c r="L940" s="6180">
        <f>Tablas!$L$878*Tablas!$Y$878</f>
        <v>0</v>
      </c>
      <c r="M940" s="6310">
        <f>Tablas!$M$908*Tablas!$Y$908+Tablas!$M$909*Tablas!$Y$909</f>
        <v>0</v>
      </c>
      <c r="N940" s="6316" t="s">
        <v>999</v>
      </c>
      <c r="O940" s="6198">
        <f>+MAX(Tablas!V907*Tablas!Y907,Tablas!V909*Tablas!Y909,Tablas!V911*Tablas!Y911,Tablas!V913*Tablas!Y913,Tablas!V915*Tablas!Y915,Tablas!V917*Tablas!Y917,Tablas!V919*Tablas!Y919,Tablas!V921*Tablas!Y921,Tablas!V925*Tablas!Y925,Tablas!V927*Tablas!Y927,Tablas!V933*Tablas!Y933,Tablas!V937*Tablas!Y937)</f>
        <v>0</v>
      </c>
      <c r="P940" s="6330">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042"/>
      <c r="F941" s="6220"/>
      <c r="G941" s="6320"/>
      <c r="H941" s="6181"/>
      <c r="I941" s="6181"/>
      <c r="J941" s="6181"/>
      <c r="K941" s="6181"/>
      <c r="L941" s="6181"/>
      <c r="M941" s="6311"/>
      <c r="N941" s="6317"/>
      <c r="O941" s="6199"/>
      <c r="P941" s="6331"/>
      <c r="Q941" s="893">
        <f>MAX(Tablas!$X$850:$X$939)</f>
        <v>0</v>
      </c>
    </row>
    <row r="942" spans="1:43" ht="12.75" customHeight="1" x14ac:dyDescent="0.2">
      <c r="A942" s="227">
        <v>942</v>
      </c>
      <c r="B942" s="6042"/>
      <c r="H942"/>
      <c r="I942" s="555"/>
      <c r="N942"/>
      <c r="O942" s="555"/>
    </row>
    <row r="943" spans="1:43" ht="12.75" customHeight="1" thickBot="1" x14ac:dyDescent="0.25">
      <c r="A943" s="227">
        <v>943</v>
      </c>
      <c r="B943" s="6042"/>
      <c r="H943"/>
      <c r="I943" s="555"/>
      <c r="N943"/>
      <c r="O943" s="555"/>
    </row>
    <row r="944" spans="1:43" ht="12.75" customHeight="1" x14ac:dyDescent="0.2">
      <c r="A944" s="227">
        <v>944</v>
      </c>
      <c r="B944" s="6042"/>
      <c r="C944" s="6069" t="s">
        <v>7223</v>
      </c>
      <c r="D944" s="6130"/>
      <c r="E944" s="6130"/>
      <c r="F944" s="6130"/>
      <c r="G944" s="6130"/>
      <c r="H944" s="6130"/>
      <c r="I944" s="6130"/>
      <c r="J944" s="6130"/>
      <c r="K944" s="6130"/>
      <c r="L944" s="6130"/>
      <c r="M944" s="6130"/>
      <c r="N944" s="6070"/>
      <c r="P944" s="6069" t="s">
        <v>2556</v>
      </c>
      <c r="Q944" s="6130"/>
      <c r="R944" s="6130"/>
      <c r="S944" s="6130"/>
      <c r="T944" s="6130"/>
      <c r="U944" s="6130"/>
      <c r="V944" s="6130"/>
      <c r="W944" s="6130"/>
      <c r="X944" s="6130"/>
      <c r="Y944" s="6130"/>
      <c r="Z944" s="6130"/>
      <c r="AA944" s="6130"/>
      <c r="AB944" s="6130"/>
      <c r="AC944" s="6070"/>
    </row>
    <row r="945" spans="1:29" ht="12.75" customHeight="1" x14ac:dyDescent="0.2">
      <c r="A945" s="227">
        <v>945</v>
      </c>
      <c r="B945" s="6042"/>
      <c r="C945" s="947"/>
      <c r="D945" s="914"/>
      <c r="E945" s="914">
        <v>1</v>
      </c>
      <c r="F945" s="914">
        <v>2</v>
      </c>
      <c r="G945" s="914">
        <v>3</v>
      </c>
      <c r="H945" s="914">
        <v>4</v>
      </c>
      <c r="I945" s="914">
        <v>5</v>
      </c>
      <c r="J945" s="914">
        <v>6</v>
      </c>
      <c r="K945" s="914">
        <v>7</v>
      </c>
      <c r="L945" s="914">
        <v>8</v>
      </c>
      <c r="M945" s="914">
        <v>9</v>
      </c>
      <c r="N945" s="948">
        <v>10</v>
      </c>
      <c r="P945" s="6071"/>
      <c r="Q945" s="6131"/>
      <c r="R945" s="6131"/>
      <c r="S945" s="6131"/>
      <c r="T945" s="6131"/>
      <c r="U945" s="6131"/>
      <c r="V945" s="6131"/>
      <c r="W945" s="6131"/>
      <c r="X945" s="6131"/>
      <c r="Y945" s="6131"/>
      <c r="Z945" s="6131"/>
      <c r="AA945" s="6131"/>
      <c r="AB945" s="6131"/>
      <c r="AC945" s="6072"/>
    </row>
    <row r="946" spans="1:29" ht="12.75" customHeight="1" thickBot="1" x14ac:dyDescent="0.25">
      <c r="A946" s="227">
        <v>946</v>
      </c>
      <c r="B946" s="6042"/>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042"/>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042"/>
      <c r="C948" s="976"/>
      <c r="D948" s="21"/>
      <c r="E948" s="217" t="s">
        <v>1000</v>
      </c>
      <c r="F948" s="77">
        <v>40</v>
      </c>
      <c r="G948" s="77">
        <f>IF(COUNTIF(PDs!$E$78:$E$80,Tablas!E948)&gt;0,1,0)</f>
        <v>0</v>
      </c>
      <c r="H948" s="77" t="str">
        <f>IF(Tablas!Y851=0,"NO","-")</f>
        <v>NO</v>
      </c>
      <c r="I948" s="21" t="s">
        <v>7229</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042"/>
      <c r="C949" s="976"/>
      <c r="D949" s="21"/>
      <c r="E949" s="217" t="s">
        <v>1001</v>
      </c>
      <c r="F949" s="77">
        <v>10</v>
      </c>
      <c r="G949" s="77">
        <f>IF(COUNTIF(PDs!$E$78:$E$80,Tablas!E949)&gt;0,1,0)</f>
        <v>0</v>
      </c>
      <c r="H949" s="77" t="str">
        <f>IF(Tablas!Y854=0,"NO","-")</f>
        <v>NO</v>
      </c>
      <c r="I949" s="21" t="s">
        <v>7230</v>
      </c>
      <c r="J949" s="21"/>
      <c r="K949" s="77">
        <f t="shared" si="282"/>
        <v>0</v>
      </c>
      <c r="L949" s="77">
        <f t="shared" si="283"/>
        <v>0</v>
      </c>
      <c r="M949" s="77">
        <f t="shared" si="284"/>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042"/>
      <c r="C950" s="976"/>
      <c r="D950" s="21"/>
      <c r="E950" s="217" t="s">
        <v>1002</v>
      </c>
      <c r="F950" s="77">
        <v>30</v>
      </c>
      <c r="G950" s="77">
        <f>IF(COUNTIF(PDs!$E$78:$E$80,Tablas!E950)&gt;0,1,0)</f>
        <v>0</v>
      </c>
      <c r="H950" s="77" t="str">
        <f>IF(Tablas!Y857=0,"NO","-")</f>
        <v>NO</v>
      </c>
      <c r="I950" s="21" t="s">
        <v>7231</v>
      </c>
      <c r="J950" s="21"/>
      <c r="K950" s="77">
        <f t="shared" si="282"/>
        <v>0</v>
      </c>
      <c r="L950" s="77">
        <f t="shared" si="283"/>
        <v>0</v>
      </c>
      <c r="M950" s="77">
        <f t="shared" si="284"/>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042"/>
      <c r="C951" s="976"/>
      <c r="D951" s="21"/>
      <c r="E951" s="217" t="s">
        <v>1003</v>
      </c>
      <c r="F951" s="77">
        <v>10</v>
      </c>
      <c r="G951" s="77">
        <f>IF(COUNTIF(PDs!$E$78:$E$80,Tablas!E951)&gt;0,1,0)</f>
        <v>0</v>
      </c>
      <c r="H951" s="77" t="str">
        <f>IF(Tablas!Y860=0,"NO","-")</f>
        <v>NO</v>
      </c>
      <c r="I951" s="21" t="s">
        <v>7232</v>
      </c>
      <c r="J951" s="21"/>
      <c r="K951" s="77">
        <f t="shared" si="282"/>
        <v>0</v>
      </c>
      <c r="L951" s="77">
        <f t="shared" si="283"/>
        <v>0</v>
      </c>
      <c r="M951" s="77">
        <f t="shared" si="284"/>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042"/>
      <c r="C952" s="976"/>
      <c r="D952" s="21"/>
      <c r="E952" s="217" t="s">
        <v>1004</v>
      </c>
      <c r="F952" s="77">
        <v>40</v>
      </c>
      <c r="G952" s="77">
        <f>IF(COUNTIF(PDs!$E$78:$E$80,Tablas!E952)&gt;0,1,0)</f>
        <v>0</v>
      </c>
      <c r="H952" s="77" t="str">
        <f>IF(Tablas!Y863=0,"NO","-")</f>
        <v>NO</v>
      </c>
      <c r="I952" s="21" t="s">
        <v>7233</v>
      </c>
      <c r="J952" s="21"/>
      <c r="K952" s="77">
        <f t="shared" si="282"/>
        <v>0</v>
      </c>
      <c r="L952" s="77">
        <f t="shared" si="283"/>
        <v>0</v>
      </c>
      <c r="M952" s="77">
        <f t="shared" si="284"/>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042"/>
      <c r="C953" s="976"/>
      <c r="D953" s="21"/>
      <c r="E953" s="217" t="s">
        <v>1005</v>
      </c>
      <c r="F953" s="77">
        <v>10</v>
      </c>
      <c r="G953" s="77">
        <f>IF(COUNTIF(PDs!$E$78:$E$80,Tablas!E953)&gt;0,1,0)</f>
        <v>0</v>
      </c>
      <c r="H953" s="77" t="str">
        <f>IF(Tablas!Y866=0,"NO","-")</f>
        <v>NO</v>
      </c>
      <c r="I953" s="21" t="s">
        <v>7234</v>
      </c>
      <c r="J953" s="21"/>
      <c r="K953" s="77">
        <f t="shared" si="282"/>
        <v>0</v>
      </c>
      <c r="L953" s="77">
        <f t="shared" si="283"/>
        <v>0</v>
      </c>
      <c r="M953" s="77">
        <f t="shared" si="284"/>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042"/>
      <c r="C954" s="976"/>
      <c r="D954" s="21"/>
      <c r="E954" s="217" t="s">
        <v>1006</v>
      </c>
      <c r="F954" s="77">
        <v>30</v>
      </c>
      <c r="G954" s="77">
        <f>IF(COUNTIF(PDs!$E$78:$E$80,Tablas!E954)&gt;0,1,0)</f>
        <v>0</v>
      </c>
      <c r="H954" s="77" t="str">
        <f>IF(Tablas!Y869=0,"NO","-")</f>
        <v>NO</v>
      </c>
      <c r="I954" s="21" t="s">
        <v>7235</v>
      </c>
      <c r="J954" s="21"/>
      <c r="K954" s="77">
        <f t="shared" si="282"/>
        <v>0</v>
      </c>
      <c r="L954" s="77">
        <f t="shared" si="283"/>
        <v>0</v>
      </c>
      <c r="M954" s="77">
        <f t="shared" si="284"/>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042"/>
      <c r="C955" s="976"/>
      <c r="D955" s="21"/>
      <c r="E955" s="217" t="s">
        <v>1007</v>
      </c>
      <c r="F955" s="77">
        <v>60</v>
      </c>
      <c r="G955" s="77">
        <f>IF(COUNTIF(PDs!$E$78:$E$80,Tablas!E955)&gt;0,1,0)</f>
        <v>0</v>
      </c>
      <c r="H955" s="77" t="str">
        <f>IF(Tablas!Y872=0,"NO","-")</f>
        <v>NO</v>
      </c>
      <c r="I955" s="21" t="s">
        <v>9993</v>
      </c>
      <c r="J955" s="21"/>
      <c r="K955" s="77">
        <f t="shared" si="282"/>
        <v>0</v>
      </c>
      <c r="L955" s="77">
        <f t="shared" si="283"/>
        <v>0</v>
      </c>
      <c r="M955" s="77">
        <f t="shared" si="284"/>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042"/>
      <c r="C956" s="976"/>
      <c r="D956" s="21"/>
      <c r="E956" s="217" t="s">
        <v>1008</v>
      </c>
      <c r="F956" s="77">
        <v>10</v>
      </c>
      <c r="G956" s="77">
        <f>IF(COUNTIF(PDs!$E$78:$E$80,Tablas!E956)&gt;0,1,0)</f>
        <v>0</v>
      </c>
      <c r="H956" s="77" t="str">
        <f>IF(Tablas!Y875=0,"NO","-")</f>
        <v>NO</v>
      </c>
      <c r="I956" s="21" t="s">
        <v>7236</v>
      </c>
      <c r="J956" s="21"/>
      <c r="K956" s="77">
        <f t="shared" si="282"/>
        <v>0</v>
      </c>
      <c r="L956" s="77">
        <f t="shared" si="283"/>
        <v>0</v>
      </c>
      <c r="M956" s="77">
        <f t="shared" si="284"/>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042"/>
      <c r="C957" s="976"/>
      <c r="D957" s="21"/>
      <c r="E957" s="217" t="s">
        <v>1009</v>
      </c>
      <c r="F957" s="77">
        <v>20</v>
      </c>
      <c r="G957" s="77">
        <f>IF(COUNTIF(PDs!$E$78:$E$80,Tablas!E957)&gt;0,1,0)</f>
        <v>0</v>
      </c>
      <c r="H957" s="77" t="str">
        <f>IF(Tablas!Y878=0,"NO","-")</f>
        <v>NO</v>
      </c>
      <c r="I957" s="21" t="s">
        <v>7237</v>
      </c>
      <c r="J957" s="21"/>
      <c r="K957" s="77">
        <f t="shared" si="282"/>
        <v>0</v>
      </c>
      <c r="L957" s="77">
        <f t="shared" si="283"/>
        <v>0</v>
      </c>
      <c r="M957" s="77">
        <f t="shared" si="284"/>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042"/>
      <c r="C958" s="976"/>
      <c r="D958" s="21"/>
      <c r="E958" s="217" t="s">
        <v>1010</v>
      </c>
      <c r="F958" s="77">
        <v>20</v>
      </c>
      <c r="G958" s="77">
        <f>IF(COUNTIF(PDs!$E$78:$E$80,Tablas!E958)&gt;0,1,0)</f>
        <v>0</v>
      </c>
      <c r="H958" s="77" t="str">
        <f>IF(Tablas!Y881=0,"NO","-")</f>
        <v>NO</v>
      </c>
      <c r="I958" s="21" t="s">
        <v>10383</v>
      </c>
      <c r="J958" s="21"/>
      <c r="K958" s="77">
        <f t="shared" si="282"/>
        <v>0</v>
      </c>
      <c r="L958" s="77">
        <f t="shared" si="283"/>
        <v>0</v>
      </c>
      <c r="M958" s="77">
        <f t="shared" si="284"/>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042"/>
      <c r="C959" s="976"/>
      <c r="D959" s="21"/>
      <c r="E959" s="217" t="s">
        <v>1011</v>
      </c>
      <c r="F959" s="77">
        <v>20</v>
      </c>
      <c r="G959" s="77">
        <f>IF(COUNTIF(PDs!$E$78:$E$80,Tablas!E959)&gt;0,1,0)</f>
        <v>0</v>
      </c>
      <c r="H959" s="77" t="str">
        <f>IF(Tablas!Y884=0,"NO","-")</f>
        <v>NO</v>
      </c>
      <c r="I959" s="21" t="s">
        <v>7238</v>
      </c>
      <c r="J959" s="21"/>
      <c r="K959" s="77">
        <f t="shared" si="282"/>
        <v>0</v>
      </c>
      <c r="L959" s="77">
        <f t="shared" si="283"/>
        <v>0</v>
      </c>
      <c r="M959" s="77">
        <f t="shared" si="284"/>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042"/>
      <c r="C960" s="976"/>
      <c r="D960" s="21"/>
      <c r="E960" s="217" t="s">
        <v>1012</v>
      </c>
      <c r="F960" s="77">
        <v>30</v>
      </c>
      <c r="G960" s="77">
        <f>IF(COUNTIF(PDs!$E$78:$E$80,Tablas!E960)&gt;0,1,0)</f>
        <v>0</v>
      </c>
      <c r="H960" s="77" t="str">
        <f>IF(Tablas!Y887=0,"NO","-")</f>
        <v>NO</v>
      </c>
      <c r="I960" s="21" t="s">
        <v>7239</v>
      </c>
      <c r="J960" s="21"/>
      <c r="K960" s="77">
        <f t="shared" si="282"/>
        <v>0</v>
      </c>
      <c r="L960" s="77">
        <f t="shared" si="283"/>
        <v>0</v>
      </c>
      <c r="M960" s="77">
        <f t="shared" si="284"/>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042"/>
      <c r="C961" s="976"/>
      <c r="D961" s="21"/>
      <c r="E961" s="217" t="s">
        <v>1013</v>
      </c>
      <c r="F961" s="77">
        <v>20</v>
      </c>
      <c r="G961" s="77">
        <f>IF(COUNTIF(PDs!$E$78:$E$80,Tablas!E961)&gt;0,1,0)</f>
        <v>0</v>
      </c>
      <c r="H961" s="77" t="str">
        <f>IF(Tablas!Y890=0,"NO","-")</f>
        <v>NO</v>
      </c>
      <c r="I961" s="21" t="s">
        <v>8614</v>
      </c>
      <c r="J961" s="21"/>
      <c r="K961" s="77">
        <f t="shared" si="282"/>
        <v>0</v>
      </c>
      <c r="L961" s="77">
        <f t="shared" si="283"/>
        <v>0</v>
      </c>
      <c r="M961" s="77">
        <f t="shared" si="284"/>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042"/>
      <c r="C962" s="976"/>
      <c r="D962" s="21"/>
      <c r="E962" s="217" t="s">
        <v>1014</v>
      </c>
      <c r="F962" s="77">
        <v>10</v>
      </c>
      <c r="G962" s="77">
        <f>IF(COUNTIF(PDs!$E$78:$E$80,Tablas!E962)&gt;0,1,0)</f>
        <v>0</v>
      </c>
      <c r="H962" s="77" t="str">
        <f>IF(Tablas!Y893=0,"NO","-")</f>
        <v>NO</v>
      </c>
      <c r="I962" s="21" t="s">
        <v>7240</v>
      </c>
      <c r="J962" s="21"/>
      <c r="K962" s="77">
        <f t="shared" si="282"/>
        <v>0</v>
      </c>
      <c r="L962" s="77">
        <f t="shared" si="283"/>
        <v>0</v>
      </c>
      <c r="M962" s="77">
        <f t="shared" si="284"/>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042"/>
      <c r="C963" s="976"/>
      <c r="D963" s="21"/>
      <c r="E963" s="217" t="s">
        <v>1015</v>
      </c>
      <c r="F963" s="77">
        <v>40</v>
      </c>
      <c r="G963" s="77">
        <f>IF(COUNTIF(PDs!$E$78:$E$80,Tablas!E963)&gt;0,1,0)</f>
        <v>0</v>
      </c>
      <c r="H963" s="77" t="str">
        <f>IF(Tablas!Y896=0,"NO","-")</f>
        <v>NO</v>
      </c>
      <c r="I963" s="21" t="s">
        <v>7241</v>
      </c>
      <c r="J963" s="21"/>
      <c r="K963" s="77">
        <f t="shared" si="282"/>
        <v>0</v>
      </c>
      <c r="L963" s="77">
        <f t="shared" si="283"/>
        <v>0</v>
      </c>
      <c r="M963" s="77">
        <f t="shared" si="284"/>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042"/>
      <c r="C964" s="976"/>
      <c r="D964" s="21"/>
      <c r="E964" s="217" t="s">
        <v>1016</v>
      </c>
      <c r="F964" s="77">
        <v>30</v>
      </c>
      <c r="G964" s="77">
        <f>IF(COUNTIF(PDs!$E$78:$E$80,Tablas!E964)&gt;0,1,0)</f>
        <v>0</v>
      </c>
      <c r="H964" s="77" t="str">
        <f>IF(Tablas!Y899=0,"NO","-")</f>
        <v>NO</v>
      </c>
      <c r="I964" s="21" t="s">
        <v>7242</v>
      </c>
      <c r="J964" s="21"/>
      <c r="K964" s="77">
        <f t="shared" si="282"/>
        <v>0</v>
      </c>
      <c r="L964" s="77">
        <f t="shared" si="283"/>
        <v>0</v>
      </c>
      <c r="M964" s="77">
        <f t="shared" si="284"/>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042"/>
      <c r="C965" s="976"/>
      <c r="D965" s="21"/>
      <c r="E965" s="217" t="s">
        <v>1017</v>
      </c>
      <c r="F965" s="77">
        <v>40</v>
      </c>
      <c r="G965" s="77">
        <f>IF(COUNTIF(PDs!$E$78:$E$80,Tablas!E965)&gt;0,1,0)</f>
        <v>0</v>
      </c>
      <c r="H965" s="77" t="str">
        <f>IF(Tablas!Y902=0,"NO","-")</f>
        <v>NO</v>
      </c>
      <c r="I965" s="21" t="s">
        <v>7243</v>
      </c>
      <c r="J965" s="21"/>
      <c r="K965" s="77">
        <f t="shared" si="282"/>
        <v>0</v>
      </c>
      <c r="L965" s="77">
        <f t="shared" si="283"/>
        <v>0</v>
      </c>
      <c r="M965" s="77">
        <f t="shared" si="284"/>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042"/>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042"/>
      <c r="C967" s="976"/>
      <c r="D967" s="21"/>
      <c r="E967" s="217" t="s">
        <v>1018</v>
      </c>
      <c r="F967" s="77">
        <v>40</v>
      </c>
      <c r="G967" s="77">
        <f>IF(COUNTIF(PDs!$E$78:$E$80,Tablas!E967)&gt;0,1,0)</f>
        <v>0</v>
      </c>
      <c r="H967" s="77" t="str">
        <f>IF(Tablas!Y910=0,"NO","-")</f>
        <v>NO</v>
      </c>
      <c r="I967" s="21" t="s">
        <v>7244</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042"/>
      <c r="C968" s="976"/>
      <c r="D968" s="21"/>
      <c r="E968" s="217" t="s">
        <v>1019</v>
      </c>
      <c r="F968" s="77">
        <v>10</v>
      </c>
      <c r="G968" s="77">
        <f>IF(COUNTIF(PDs!$E$78:$E$80,Tablas!E968)&gt;0,1,0)</f>
        <v>0</v>
      </c>
      <c r="H968" s="77" t="str">
        <f>IF(Tablas!Y912=0,"NO","-")</f>
        <v>NO</v>
      </c>
      <c r="I968" s="21" t="s">
        <v>7245</v>
      </c>
      <c r="J968" s="21"/>
      <c r="K968" s="77">
        <f t="shared" si="285"/>
        <v>0</v>
      </c>
      <c r="L968" s="77">
        <f t="shared" si="286"/>
        <v>0</v>
      </c>
      <c r="M968" s="77">
        <f t="shared" si="287"/>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042"/>
      <c r="C969" s="976"/>
      <c r="D969" s="21"/>
      <c r="E969" s="217" t="s">
        <v>1020</v>
      </c>
      <c r="F969" s="77">
        <v>20</v>
      </c>
      <c r="G969" s="77">
        <f>IF(COUNTIF(PDs!$E$78:$E$80,Tablas!E969)&gt;0,1,0)</f>
        <v>0</v>
      </c>
      <c r="H969" s="77" t="str">
        <f>IF(Tablas!Y918=0,"NO","-")</f>
        <v>NO</v>
      </c>
      <c r="I969" s="21" t="s">
        <v>7246</v>
      </c>
      <c r="J969" s="21"/>
      <c r="K969" s="77">
        <f t="shared" si="285"/>
        <v>0</v>
      </c>
      <c r="L969" s="77">
        <f t="shared" si="286"/>
        <v>0</v>
      </c>
      <c r="M969" s="77">
        <f t="shared" si="287"/>
        <v>0</v>
      </c>
      <c r="N969" s="977" t="s">
        <v>7140</v>
      </c>
    </row>
    <row r="970" spans="1:29" ht="12.75" customHeight="1" x14ac:dyDescent="0.2">
      <c r="A970" s="227">
        <v>970</v>
      </c>
      <c r="B970" s="6042"/>
      <c r="C970" s="976"/>
      <c r="D970" s="21"/>
      <c r="E970" s="217" t="s">
        <v>1021</v>
      </c>
      <c r="F970" s="77">
        <v>20</v>
      </c>
      <c r="G970" s="77">
        <f>IF(COUNTIF(PDs!$E$78:$E$80,Tablas!E970)&gt;0,1,0)</f>
        <v>0</v>
      </c>
      <c r="H970" s="77" t="str">
        <f>IF(Tablas!Y920=0,"NO","-")</f>
        <v>NO</v>
      </c>
      <c r="I970" s="21" t="s">
        <v>7247</v>
      </c>
      <c r="J970" s="21"/>
      <c r="K970" s="77">
        <f t="shared" si="285"/>
        <v>0</v>
      </c>
      <c r="L970" s="77">
        <f t="shared" si="286"/>
        <v>0</v>
      </c>
      <c r="M970" s="77">
        <f t="shared" si="287"/>
        <v>0</v>
      </c>
      <c r="N970" s="977" t="s">
        <v>7141</v>
      </c>
    </row>
    <row r="971" spans="1:29" ht="12.75" customHeight="1" x14ac:dyDescent="0.2">
      <c r="A971" s="227">
        <v>971</v>
      </c>
      <c r="B971" s="6042"/>
      <c r="C971" s="976"/>
      <c r="D971" s="21"/>
      <c r="E971" s="217" t="s">
        <v>1022</v>
      </c>
      <c r="F971" s="77">
        <v>20</v>
      </c>
      <c r="G971" s="77">
        <f>IF(COUNTIF(PDs!$E$78:$E$80,Tablas!E971)&gt;0,1,0)</f>
        <v>0</v>
      </c>
      <c r="H971" s="77" t="str">
        <f>IF(Tablas!Y924=0,"NO","-")</f>
        <v>NO</v>
      </c>
      <c r="I971" s="21" t="s">
        <v>7248</v>
      </c>
      <c r="J971" s="21"/>
      <c r="K971" s="77">
        <f t="shared" si="285"/>
        <v>0</v>
      </c>
      <c r="L971" s="77">
        <f t="shared" si="286"/>
        <v>0</v>
      </c>
      <c r="M971" s="77">
        <f t="shared" si="287"/>
        <v>0</v>
      </c>
      <c r="N971" s="977" t="s">
        <v>7143</v>
      </c>
    </row>
    <row r="972" spans="1:29" ht="12.75" customHeight="1" x14ac:dyDescent="0.2">
      <c r="A972" s="227">
        <v>972</v>
      </c>
      <c r="B972" s="6042"/>
      <c r="C972" s="976"/>
      <c r="D972" s="21"/>
      <c r="E972" s="217" t="s">
        <v>1023</v>
      </c>
      <c r="F972" s="77">
        <v>10</v>
      </c>
      <c r="G972" s="77">
        <f>IF(COUNTIF(PDs!$E$78:$E$80,Tablas!E972)&gt;0,1,0)</f>
        <v>0</v>
      </c>
      <c r="H972" s="77" t="str">
        <f>IF(Tablas!Y926=0,"NO","-")</f>
        <v>NO</v>
      </c>
      <c r="I972" s="21" t="s">
        <v>7249</v>
      </c>
      <c r="J972" s="21"/>
      <c r="K972" s="77">
        <f t="shared" si="285"/>
        <v>0</v>
      </c>
      <c r="L972" s="77">
        <f t="shared" si="286"/>
        <v>0</v>
      </c>
      <c r="M972" s="77">
        <f t="shared" si="287"/>
        <v>0</v>
      </c>
      <c r="N972" s="977" t="s">
        <v>7144</v>
      </c>
    </row>
    <row r="973" spans="1:29" ht="12.75" customHeight="1" x14ac:dyDescent="0.2">
      <c r="A973" s="227">
        <v>973</v>
      </c>
      <c r="B973" s="6042"/>
      <c r="C973" s="976"/>
      <c r="D973" s="21"/>
      <c r="E973" s="217" t="s">
        <v>1024</v>
      </c>
      <c r="F973" s="77">
        <v>40</v>
      </c>
      <c r="G973" s="77">
        <f>IF(COUNTIF(PDs!$E$78:$E$80,Tablas!E973)&gt;0,1,0)</f>
        <v>0</v>
      </c>
      <c r="H973" s="77" t="str">
        <f>IF(Tablas!Y928=0,"NO","-")</f>
        <v>NO</v>
      </c>
      <c r="I973" s="21" t="s">
        <v>10117</v>
      </c>
      <c r="J973" s="21"/>
      <c r="K973" s="77">
        <f t="shared" si="285"/>
        <v>0</v>
      </c>
      <c r="L973" s="77">
        <f t="shared" si="286"/>
        <v>0</v>
      </c>
      <c r="M973" s="77">
        <f t="shared" si="287"/>
        <v>0</v>
      </c>
      <c r="N973" s="977" t="s">
        <v>7145</v>
      </c>
    </row>
    <row r="974" spans="1:29" ht="12.75" customHeight="1" x14ac:dyDescent="0.2">
      <c r="A974" s="227">
        <v>974</v>
      </c>
      <c r="B974" s="6042"/>
      <c r="C974" s="976"/>
      <c r="D974" s="21"/>
      <c r="E974" s="217" t="s">
        <v>1025</v>
      </c>
      <c r="F974" s="77">
        <v>40</v>
      </c>
      <c r="G974" s="77">
        <f>IF(COUNTIF(PDs!$E$78:$E$80,Tablas!E974)&gt;0,1,0)</f>
        <v>0</v>
      </c>
      <c r="H974" s="77" t="str">
        <f>IF(Tablas!Y930=0,"NO","-")</f>
        <v>NO</v>
      </c>
      <c r="I974" s="21" t="s">
        <v>7250</v>
      </c>
      <c r="J974" s="21"/>
      <c r="K974" s="77">
        <f t="shared" si="285"/>
        <v>0</v>
      </c>
      <c r="L974" s="77">
        <f t="shared" si="286"/>
        <v>0</v>
      </c>
      <c r="M974" s="77">
        <f t="shared" si="287"/>
        <v>0</v>
      </c>
      <c r="N974" s="977" t="s">
        <v>7146</v>
      </c>
    </row>
    <row r="975" spans="1:29" ht="12.75" customHeight="1" x14ac:dyDescent="0.2">
      <c r="A975" s="227">
        <v>975</v>
      </c>
      <c r="B975" s="6042"/>
      <c r="C975" s="976"/>
      <c r="D975" s="21"/>
      <c r="E975" s="217" t="s">
        <v>1026</v>
      </c>
      <c r="F975" s="77">
        <v>30</v>
      </c>
      <c r="G975" s="77">
        <f>IF(COUNTIF(PDs!$E$78:$E$80,Tablas!E975)&gt;0,1,0)</f>
        <v>0</v>
      </c>
      <c r="H975" s="77" t="str">
        <f>IF(Tablas!Y932=0,"NO","-")</f>
        <v>NO</v>
      </c>
      <c r="I975" s="21" t="s">
        <v>7251</v>
      </c>
      <c r="J975" s="21"/>
      <c r="K975" s="77">
        <f t="shared" si="285"/>
        <v>0</v>
      </c>
      <c r="L975" s="77">
        <f t="shared" si="286"/>
        <v>0</v>
      </c>
      <c r="M975" s="77">
        <f t="shared" si="287"/>
        <v>0</v>
      </c>
      <c r="N975" s="977" t="s">
        <v>7147</v>
      </c>
    </row>
    <row r="976" spans="1:29" ht="12.75" customHeight="1" x14ac:dyDescent="0.2">
      <c r="A976" s="227">
        <v>976</v>
      </c>
      <c r="B976" s="6042"/>
      <c r="C976" s="976"/>
      <c r="D976" s="21"/>
      <c r="E976" s="217" t="s">
        <v>1027</v>
      </c>
      <c r="F976" s="77">
        <v>20</v>
      </c>
      <c r="G976" s="77">
        <f>IF(COUNTIF(PDs!$E$78:$E$80,Tablas!E976)&gt;0,1,0)</f>
        <v>0</v>
      </c>
      <c r="H976" s="77" t="str">
        <f>IF(Tablas!Y934=0,"NO","-")</f>
        <v>NO</v>
      </c>
      <c r="I976" s="21" t="s">
        <v>7252</v>
      </c>
      <c r="J976" s="21"/>
      <c r="K976" s="77">
        <f t="shared" si="285"/>
        <v>0</v>
      </c>
      <c r="L976" s="77">
        <f t="shared" si="286"/>
        <v>0</v>
      </c>
      <c r="M976" s="77">
        <f t="shared" si="287"/>
        <v>0</v>
      </c>
      <c r="N976" s="977" t="s">
        <v>7148</v>
      </c>
    </row>
    <row r="977" spans="1:18" ht="12.75" customHeight="1" thickBot="1" x14ac:dyDescent="0.25">
      <c r="A977" s="227">
        <v>977</v>
      </c>
      <c r="B977" s="6042"/>
      <c r="C977" s="978"/>
      <c r="D977" s="573"/>
      <c r="E977" s="979" t="s">
        <v>1028</v>
      </c>
      <c r="F977" s="980">
        <v>20</v>
      </c>
      <c r="G977" s="980">
        <f>IF(COUNTIF(PDs!$E$78:$E$80,Tablas!E977)&gt;0,1,0)</f>
        <v>0</v>
      </c>
      <c r="H977" s="980" t="str">
        <f>IF(Tablas!Y936=0,"NO","-")</f>
        <v>NO</v>
      </c>
      <c r="I977" s="573" t="s">
        <v>7253</v>
      </c>
      <c r="J977" s="573"/>
      <c r="K977" s="980">
        <f t="shared" si="285"/>
        <v>0</v>
      </c>
      <c r="L977" s="980">
        <f t="shared" si="286"/>
        <v>0</v>
      </c>
      <c r="M977" s="980">
        <f t="shared" si="287"/>
        <v>0</v>
      </c>
      <c r="N977" s="981" t="s">
        <v>7149</v>
      </c>
    </row>
    <row r="978" spans="1:18" ht="12.75" customHeight="1" x14ac:dyDescent="0.2">
      <c r="A978" s="227">
        <v>978</v>
      </c>
      <c r="B978" s="6042"/>
      <c r="H978"/>
      <c r="N978"/>
    </row>
    <row r="979" spans="1:18" ht="12.75" customHeight="1" x14ac:dyDescent="0.2">
      <c r="A979" s="227">
        <v>979</v>
      </c>
      <c r="B979" s="6042"/>
      <c r="H979"/>
      <c r="N979"/>
    </row>
    <row r="980" spans="1:18" ht="12.75" customHeight="1" x14ac:dyDescent="0.2">
      <c r="A980" s="227">
        <v>980</v>
      </c>
      <c r="B980" s="6042"/>
      <c r="H980"/>
      <c r="N980"/>
    </row>
    <row r="981" spans="1:18" ht="12.75" customHeight="1" thickBot="1" x14ac:dyDescent="0.25">
      <c r="A981" s="227">
        <v>981</v>
      </c>
      <c r="B981" s="6042"/>
      <c r="H981"/>
      <c r="N981"/>
    </row>
    <row r="982" spans="1:18" ht="12.75" customHeight="1" thickBot="1" x14ac:dyDescent="0.25">
      <c r="A982" s="227">
        <v>982</v>
      </c>
      <c r="B982" s="6042"/>
      <c r="C982" s="6332" t="s">
        <v>1029</v>
      </c>
      <c r="D982" s="6332"/>
      <c r="E982" s="6332"/>
      <c r="F982" s="6332"/>
      <c r="G982" s="6332"/>
      <c r="H982" s="6332"/>
      <c r="I982" s="6332"/>
      <c r="J982" s="6332"/>
      <c r="K982" s="6332"/>
      <c r="L982" s="6332"/>
      <c r="M982" s="6332"/>
      <c r="N982" s="6332"/>
      <c r="O982" s="6332"/>
      <c r="P982" s="6332"/>
      <c r="Q982" s="6332"/>
      <c r="R982" s="6332"/>
    </row>
    <row r="983" spans="1:18" ht="12.75" customHeight="1" x14ac:dyDescent="0.2">
      <c r="A983" s="227">
        <v>983</v>
      </c>
      <c r="B983" s="6042"/>
      <c r="C983" s="6332"/>
      <c r="D983" s="6332"/>
      <c r="E983" s="6332"/>
      <c r="F983" s="6332"/>
      <c r="G983" s="6332"/>
      <c r="H983" s="6332"/>
      <c r="I983" s="6332"/>
      <c r="J983" s="6332"/>
      <c r="K983" s="6332"/>
      <c r="L983" s="6332"/>
      <c r="M983" s="6332"/>
      <c r="N983" s="6332"/>
      <c r="O983" s="6332"/>
      <c r="P983" s="6332"/>
      <c r="Q983" s="6332"/>
      <c r="R983" s="6332"/>
    </row>
    <row r="984" spans="1:18" ht="12.75" customHeight="1" thickBot="1" x14ac:dyDescent="0.25">
      <c r="A984" s="227">
        <v>984</v>
      </c>
      <c r="B984" s="6042"/>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042"/>
      <c r="C985" s="560" t="str">
        <f t="shared" ref="C985:C991" si="288">VLOOKUP(A1,$D$985:$E$991,2,0)</f>
        <v>&gt; ARS MAGNUS MENORES</v>
      </c>
      <c r="D985" s="873">
        <f t="shared" ref="D985:D991" si="289">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042"/>
      <c r="C986" s="560" t="str">
        <f t="shared" si="288"/>
        <v>Ataque Final</v>
      </c>
      <c r="D986" s="873">
        <f t="shared" si="289"/>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042"/>
      <c r="C987" s="560" t="str">
        <f t="shared" si="288"/>
        <v>Berserker</v>
      </c>
      <c r="D987" s="873">
        <f t="shared" si="289"/>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042"/>
      <c r="C988" s="560" t="str">
        <f t="shared" si="288"/>
        <v>Guardián</v>
      </c>
      <c r="D988" s="873">
        <f t="shared" si="289"/>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042"/>
      <c r="C989" s="560" t="str">
        <f t="shared" si="288"/>
        <v>Kiai</v>
      </c>
      <c r="D989" s="873">
        <f t="shared" si="289"/>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042"/>
      <c r="C990" s="560" t="str">
        <f t="shared" si="288"/>
        <v>Maniobra Especial</v>
      </c>
      <c r="D990" s="873">
        <f t="shared" si="289"/>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042"/>
      <c r="C991" s="560" t="str">
        <f t="shared" si="288"/>
        <v>Yuuse Batojutsu</v>
      </c>
      <c r="D991" s="873">
        <f t="shared" si="289"/>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042"/>
      <c r="C992" s="560" t="str">
        <f t="shared" ref="C992:C1012" si="290">VLOOKUP(A1,$D$992:$E$1012,2,0)</f>
        <v>&gt; ARS MAGNUS MAYORES</v>
      </c>
      <c r="D992" s="873">
        <f t="shared" ref="D992:D1012" si="291">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042"/>
      <c r="C993" s="560" t="str">
        <f t="shared" si="290"/>
        <v>Agnitum: Ojo Absoluto</v>
      </c>
      <c r="D993" s="873">
        <f t="shared" si="291"/>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042"/>
      <c r="C994" s="560" t="str">
        <f t="shared" si="290"/>
        <v>Ashuriam: Asalto Dimensional</v>
      </c>
      <c r="D994" s="873">
        <f t="shared" si="291"/>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042"/>
      <c r="C995" s="560" t="str">
        <f t="shared" si="290"/>
        <v>Caos Meister: Control del Caos</v>
      </c>
      <c r="D995" s="873">
        <f t="shared" si="291"/>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042"/>
      <c r="C996" s="560" t="str">
        <f t="shared" si="290"/>
        <v>Etherial: Ataques Infinitos</v>
      </c>
      <c r="D996" s="873">
        <f t="shared" si="291"/>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042"/>
      <c r="C997" s="560" t="str">
        <f t="shared" si="290"/>
        <v>Haima: Sombra de Sangre</v>
      </c>
      <c r="D997" s="873">
        <f t="shared" si="291"/>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042"/>
      <c r="C998" s="560" t="str">
        <f t="shared" si="290"/>
        <v>Infinium: Fluctuación del Espacio</v>
      </c>
      <c r="D998" s="873">
        <f t="shared" si="291"/>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042"/>
      <c r="C999" s="560" t="str">
        <f t="shared" si="290"/>
        <v>Magnum: Liberación de Poder</v>
      </c>
      <c r="D999" s="873">
        <f t="shared" si="291"/>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042"/>
      <c r="C1000" s="560" t="str">
        <f t="shared" si="290"/>
        <v>Matrix: División Existencial</v>
      </c>
      <c r="D1000" s="873">
        <f t="shared" si="291"/>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042"/>
      <c r="C1001" s="560" t="str">
        <f t="shared" si="290"/>
        <v>Mundus: Control del Entorno</v>
      </c>
      <c r="D1001" s="873">
        <f t="shared" si="291"/>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042"/>
      <c r="C1002" s="560" t="str">
        <f t="shared" si="290"/>
        <v>Raikou: Hoja Relámpago</v>
      </c>
      <c r="D1002" s="873">
        <f t="shared" si="291"/>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042"/>
      <c r="C1003" s="560" t="str">
        <f t="shared" si="290"/>
        <v>Rem: Los Ojos del Destino</v>
      </c>
      <c r="D1003" s="873">
        <f t="shared" si="291"/>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042"/>
      <c r="C1004" s="560" t="str">
        <f t="shared" si="290"/>
        <v>Samiel: Retribución Final</v>
      </c>
      <c r="D1004" s="873">
        <f t="shared" si="291"/>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042"/>
      <c r="C1005" s="560" t="str">
        <f t="shared" si="290"/>
        <v>Shinkyou: La Posición Espejo</v>
      </c>
      <c r="D1005" s="873">
        <f t="shared" si="291"/>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042"/>
      <c r="C1006" s="560" t="str">
        <f t="shared" si="290"/>
        <v>Summun: Acumulación de Energía</v>
      </c>
      <c r="D1006" s="873">
        <f t="shared" si="291"/>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042"/>
      <c r="C1007" s="560" t="str">
        <f t="shared" si="290"/>
        <v>Transformación: El Despertar</v>
      </c>
      <c r="D1007" s="873">
        <f t="shared" si="291"/>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042"/>
      <c r="C1008" s="560" t="str">
        <f t="shared" si="290"/>
        <v>Transformación: Eliodón</v>
      </c>
      <c r="D1008" s="873">
        <f t="shared" si="291"/>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042"/>
      <c r="C1009" s="560" t="str">
        <f t="shared" si="290"/>
        <v>Transformación: Los Sellos del Dragón</v>
      </c>
      <c r="D1009" s="873">
        <f t="shared" si="291"/>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042"/>
      <c r="C1010" s="560" t="str">
        <f t="shared" si="290"/>
        <v>Transformación: Poder Físico</v>
      </c>
      <c r="D1010" s="873">
        <f t="shared" si="291"/>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042"/>
      <c r="C1011" s="560" t="str">
        <f t="shared" si="290"/>
        <v>Transformación: Ruptura del Destino</v>
      </c>
      <c r="D1011" s="873">
        <f t="shared" si="291"/>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042"/>
      <c r="C1012" s="560" t="str">
        <f t="shared" si="290"/>
        <v>Umbra: Ataque de Sombras</v>
      </c>
      <c r="D1012" s="873">
        <f t="shared" si="291"/>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042"/>
      <c r="C1013" s="560" t="str">
        <f t="shared" ref="C1013:C1032" si="292">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042"/>
      <c r="C1014" s="560" t="str">
        <f t="shared" si="292"/>
        <v>Aquarius: Capas y prendas de vestir</v>
      </c>
      <c r="D1014" s="873">
        <f t="shared" ref="D1014:D1032" si="293">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042"/>
      <c r="C1015" s="560" t="str">
        <f t="shared" si="292"/>
        <v>Aries: Masificación armas y cadenas</v>
      </c>
      <c r="D1015" s="873">
        <f t="shared" si="293"/>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042"/>
      <c r="C1016" s="560" t="str">
        <f t="shared" si="292"/>
        <v>Cáncer Magister: Monofilos</v>
      </c>
      <c r="D1016" s="873">
        <f t="shared" si="293"/>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042"/>
      <c r="C1017" s="560" t="str">
        <f t="shared" si="292"/>
        <v>Cáncer: Monofilos</v>
      </c>
      <c r="D1017" s="873">
        <f t="shared" si="293"/>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042"/>
      <c r="C1018" s="560" t="str">
        <f t="shared" si="292"/>
        <v>Capricornius: Agujas</v>
      </c>
      <c r="D1018" s="873">
        <f t="shared" si="293"/>
        <v>4</v>
      </c>
      <c r="E1018" s="134" t="s">
        <v>1093</v>
      </c>
      <c r="F1018" s="2604">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042"/>
      <c r="C1019" s="560" t="str">
        <f t="shared" si="292"/>
        <v>Gémini: Marionetas</v>
      </c>
      <c r="D1019" s="873">
        <f t="shared" si="293"/>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042"/>
      <c r="C1020" s="560" t="str">
        <f t="shared" si="292"/>
        <v>Leo: Armas-pistola</v>
      </c>
      <c r="D1020" s="873">
        <f t="shared" si="293"/>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042"/>
      <c r="C1021" s="560" t="str">
        <f t="shared" si="292"/>
        <v>Libra: Arma variable</v>
      </c>
      <c r="D1021" s="873">
        <f t="shared" si="293"/>
        <v>19</v>
      </c>
      <c r="E1021" s="134" t="s">
        <v>10066</v>
      </c>
      <c r="F1021" s="2604">
        <v>50</v>
      </c>
      <c r="G1021" s="2604">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5"/>
      <c r="Z1021" s="2605"/>
      <c r="AA1021" s="2605"/>
      <c r="AB1021" s="2605"/>
      <c r="AC1021" s="2605"/>
      <c r="AD1021" s="2605"/>
      <c r="AE1021" s="2605"/>
      <c r="AF1021" s="2605"/>
      <c r="AG1021" s="2605"/>
      <c r="AH1021" s="2605"/>
      <c r="AI1021" s="2605"/>
      <c r="AJ1021" s="2605"/>
      <c r="AK1021" s="2605"/>
      <c r="AL1021" s="2605"/>
      <c r="AM1021" s="2605"/>
      <c r="AN1021" s="2605"/>
      <c r="AO1021" s="2605"/>
    </row>
    <row r="1022" spans="1:41" ht="12.75" customHeight="1" x14ac:dyDescent="0.2">
      <c r="A1022" s="227">
        <v>1022</v>
      </c>
      <c r="B1022" s="6042"/>
      <c r="C1022" s="560" t="str">
        <f t="shared" si="292"/>
        <v>Ophiucos Sigma</v>
      </c>
      <c r="D1022" s="873">
        <f t="shared" si="293"/>
        <v>17</v>
      </c>
      <c r="E1022" s="134" t="s">
        <v>10067</v>
      </c>
      <c r="F1022" s="2604">
        <v>50</v>
      </c>
      <c r="G1022" s="2604">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5"/>
      <c r="Z1022" s="2605"/>
      <c r="AA1022" s="2605"/>
      <c r="AB1022" s="2605"/>
      <c r="AC1022" s="2605"/>
      <c r="AD1022" s="2605"/>
      <c r="AE1022" s="2605"/>
      <c r="AF1022" s="2605"/>
      <c r="AG1022" s="2605"/>
      <c r="AH1022" s="2605"/>
      <c r="AI1022" s="2605"/>
      <c r="AJ1022" s="2605"/>
      <c r="AK1022" s="2605"/>
      <c r="AL1022" s="2605"/>
      <c r="AM1022" s="2605"/>
      <c r="AN1022" s="2605"/>
      <c r="AO1022" s="2605"/>
    </row>
    <row r="1023" spans="1:41" ht="12.75" customHeight="1" x14ac:dyDescent="0.2">
      <c r="A1023" s="227">
        <v>1023</v>
      </c>
      <c r="B1023" s="6042"/>
      <c r="C1023" s="560" t="str">
        <f t="shared" si="292"/>
        <v>Ophiucos: Señor de Espadas Infinitas</v>
      </c>
      <c r="D1023" s="873">
        <f t="shared" si="293"/>
        <v>18</v>
      </c>
      <c r="E1023" s="134" t="s">
        <v>10068</v>
      </c>
      <c r="F1023" s="2604">
        <v>50</v>
      </c>
      <c r="G1023" s="2604">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5"/>
      <c r="Z1023" s="2605"/>
      <c r="AA1023" s="2605"/>
      <c r="AB1023" s="2605"/>
      <c r="AC1023" s="2605"/>
      <c r="AD1023" s="2605"/>
      <c r="AE1023" s="2605"/>
      <c r="AF1023" s="2605"/>
      <c r="AG1023" s="2605"/>
      <c r="AH1023" s="2605"/>
      <c r="AI1023" s="2605"/>
      <c r="AJ1023" s="2605"/>
      <c r="AK1023" s="2605"/>
      <c r="AL1023" s="2605"/>
      <c r="AM1023" s="2605"/>
      <c r="AN1023" s="2605"/>
      <c r="AO1023" s="2605"/>
    </row>
    <row r="1024" spans="1:41" ht="12.75" customHeight="1" x14ac:dyDescent="0.2">
      <c r="A1024" s="227">
        <v>1024</v>
      </c>
      <c r="B1024" s="6042"/>
      <c r="C1024" s="560" t="str">
        <f t="shared" si="292"/>
        <v>Piscis: Yoyó</v>
      </c>
      <c r="D1024" s="873">
        <f t="shared" si="293"/>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042"/>
      <c r="C1025" s="560" t="str">
        <f t="shared" si="292"/>
        <v>Sagittarius Magister: Obj. arrojadizos</v>
      </c>
      <c r="D1025" s="873">
        <f t="shared" si="293"/>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042"/>
      <c r="C1026" s="560" t="str">
        <f t="shared" si="292"/>
        <v>Sagittarius: Objetos arrojadizos</v>
      </c>
      <c r="D1026" s="873">
        <f t="shared" si="293"/>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042"/>
      <c r="C1027" s="560" t="str">
        <f t="shared" si="292"/>
        <v>Scorpio: Espada-látigo</v>
      </c>
      <c r="D1027" s="873">
        <f t="shared" si="293"/>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042"/>
      <c r="C1028" s="560" t="str">
        <f t="shared" si="292"/>
        <v>Taurus: Enormes armas dobles</v>
      </c>
      <c r="D1028" s="873">
        <f t="shared" si="293"/>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042"/>
      <c r="C1029" s="560" t="str">
        <f t="shared" si="292"/>
        <v>Virgo: Instrumentos de cuerda</v>
      </c>
      <c r="D1029" s="873">
        <f t="shared" si="293"/>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042"/>
      <c r="C1030" s="560" t="str">
        <f t="shared" si="292"/>
        <v>Virgo: Instrumentos de percusión</v>
      </c>
      <c r="D1030" s="873">
        <f t="shared" si="293"/>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042"/>
      <c r="C1031" s="560" t="str">
        <f t="shared" si="292"/>
        <v>Virgo: Instrumentos grandes de viento</v>
      </c>
      <c r="D1031" s="873">
        <f t="shared" si="293"/>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042"/>
      <c r="C1032" s="560" t="str">
        <f t="shared" si="292"/>
        <v>Virgo: Instrumentos pequeños de viento</v>
      </c>
      <c r="D1032" s="873">
        <f t="shared" si="293"/>
        <v>10</v>
      </c>
      <c r="E1032" s="134" t="s">
        <v>10111</v>
      </c>
      <c r="F1032" s="2650">
        <f>MAX(80-10*U1046,10)</f>
        <v>80</v>
      </c>
      <c r="G1032" s="2650">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49"/>
      <c r="Z1032" s="2649"/>
      <c r="AA1032" s="2649"/>
      <c r="AB1032" s="2649"/>
      <c r="AC1032" s="2649"/>
      <c r="AD1032" s="2649"/>
      <c r="AE1032" s="2649"/>
      <c r="AF1032" s="2649"/>
      <c r="AG1032" s="2649"/>
      <c r="AH1032" s="2649"/>
      <c r="AI1032" s="2649"/>
      <c r="AJ1032" s="2649"/>
      <c r="AK1032" s="2649"/>
      <c r="AL1032" s="2649"/>
      <c r="AM1032" s="2649"/>
      <c r="AN1032" s="2649"/>
      <c r="AO1032" s="2649"/>
    </row>
    <row r="1033" spans="1:41" ht="12.75" customHeight="1" x14ac:dyDescent="0.2">
      <c r="A1033" s="227">
        <v>1033</v>
      </c>
      <c r="B1033" s="6042"/>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042"/>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042"/>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167" t="s">
        <v>10109</v>
      </c>
      <c r="U1035" s="6168"/>
    </row>
    <row r="1036" spans="1:41" ht="12.75" customHeight="1" thickBot="1" x14ac:dyDescent="0.25">
      <c r="A1036" s="227">
        <v>1036</v>
      </c>
      <c r="B1036" s="6042"/>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169"/>
      <c r="U1036" s="6170"/>
    </row>
    <row r="1037" spans="1:41" ht="12.75" customHeight="1" x14ac:dyDescent="0.2">
      <c r="A1037" s="227">
        <v>1037</v>
      </c>
      <c r="B1037" s="6042"/>
      <c r="C1037" s="560" t="str">
        <f t="shared" ref="C1037:C1046" si="294">VLOOKUP(A1,$D$1037:$E$1046,2,0)</f>
        <v>&gt; TABLAS DE COMBATE SOBRENATURAL</v>
      </c>
      <c r="D1037" s="873">
        <f t="shared" ref="D1037:D1046" si="295">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6">IFERROR(FIND(T1037,Tipologías_Conocidas),0)</f>
        <v>0</v>
      </c>
    </row>
    <row r="1038" spans="1:41" ht="12.75" customHeight="1" x14ac:dyDescent="0.2">
      <c r="A1038" s="227">
        <v>1038</v>
      </c>
      <c r="B1038" s="6042"/>
      <c r="C1038" s="560" t="str">
        <f t="shared" si="294"/>
        <v>Ataque a distancia</v>
      </c>
      <c r="D1038" s="873">
        <f t="shared" si="295"/>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6"/>
        <v>0</v>
      </c>
    </row>
    <row r="1039" spans="1:41" ht="12.75" customHeight="1" x14ac:dyDescent="0.2">
      <c r="A1039" s="227">
        <v>1039</v>
      </c>
      <c r="B1039" s="6042"/>
      <c r="C1039" s="560" t="str">
        <f t="shared" si="294"/>
        <v>Atrapar</v>
      </c>
      <c r="D1039" s="873">
        <f t="shared" si="295"/>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6"/>
        <v>0</v>
      </c>
    </row>
    <row r="1040" spans="1:41" ht="12.75" customHeight="1" x14ac:dyDescent="0.2">
      <c r="A1040" s="227">
        <v>1040</v>
      </c>
      <c r="B1040" s="6042"/>
      <c r="C1040" s="560" t="str">
        <f t="shared" si="294"/>
        <v>Controlar a distancia</v>
      </c>
      <c r="D1040" s="873">
        <f t="shared" si="295"/>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6"/>
        <v>0</v>
      </c>
    </row>
    <row r="1041" spans="1:29" ht="12.75" customHeight="1" x14ac:dyDescent="0.2">
      <c r="A1041" s="227">
        <v>1041</v>
      </c>
      <c r="B1041" s="6042"/>
      <c r="C1041" s="560" t="str">
        <f t="shared" si="294"/>
        <v>Escudo protector</v>
      </c>
      <c r="D1041" s="873">
        <f t="shared" si="295"/>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6"/>
        <v>0</v>
      </c>
    </row>
    <row r="1042" spans="1:29" ht="12.75" customHeight="1" x14ac:dyDescent="0.2">
      <c r="A1042" s="227">
        <v>1042</v>
      </c>
      <c r="B1042" s="6042"/>
      <c r="C1042" s="560" t="str">
        <f t="shared" si="294"/>
        <v>Incremento de daño</v>
      </c>
      <c r="D1042" s="873">
        <f t="shared" si="295"/>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6"/>
        <v>0</v>
      </c>
    </row>
    <row r="1043" spans="1:29" ht="12.75" customHeight="1" x14ac:dyDescent="0.2">
      <c r="A1043" s="227">
        <v>1043</v>
      </c>
      <c r="B1043" s="6042"/>
      <c r="C1043" s="560" t="str">
        <f t="shared" si="294"/>
        <v>Movimiento acelerado</v>
      </c>
      <c r="D1043" s="873">
        <f t="shared" si="295"/>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6"/>
        <v>0</v>
      </c>
    </row>
    <row r="1044" spans="1:29" ht="12.75" customHeight="1" x14ac:dyDescent="0.2">
      <c r="A1044" s="227">
        <v>1044</v>
      </c>
      <c r="B1044" s="6042"/>
      <c r="C1044" s="560" t="str">
        <f t="shared" si="294"/>
        <v>Refuerzo físico</v>
      </c>
      <c r="D1044" s="873">
        <f t="shared" si="295"/>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6"/>
        <v>0</v>
      </c>
    </row>
    <row r="1045" spans="1:29" ht="12.75" customHeight="1" x14ac:dyDescent="0.2">
      <c r="A1045" s="227">
        <v>1045</v>
      </c>
      <c r="B1045" s="6042"/>
      <c r="C1045" s="560" t="str">
        <f t="shared" si="294"/>
        <v>Técnica característica</v>
      </c>
      <c r="D1045" s="873">
        <f t="shared" si="295"/>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6"/>
        <v>0</v>
      </c>
    </row>
    <row r="1046" spans="1:29" ht="12.75" customHeight="1" thickBot="1" x14ac:dyDescent="0.25">
      <c r="A1046" s="227">
        <v>1046</v>
      </c>
      <c r="B1046" s="6042"/>
      <c r="C1046" s="229" t="str">
        <f t="shared" si="294"/>
        <v>Técnica mayor</v>
      </c>
      <c r="D1046" s="228">
        <f t="shared" si="295"/>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2" t="s">
        <v>10110</v>
      </c>
      <c r="U1046" s="2653">
        <f>COUNTIF(U1037:U1045,"&gt;0")</f>
        <v>0</v>
      </c>
    </row>
    <row r="1047" spans="1:29" ht="12.75" customHeight="1" thickBot="1" x14ac:dyDescent="0.25">
      <c r="A1047" s="227">
        <v>1047</v>
      </c>
      <c r="B1047" s="6042"/>
      <c r="H1047"/>
      <c r="N1047"/>
    </row>
    <row r="1048" spans="1:29" ht="12.75" customHeight="1" thickBot="1" x14ac:dyDescent="0.25">
      <c r="A1048" s="227">
        <v>1048</v>
      </c>
      <c r="B1048" s="6042"/>
      <c r="C1048" s="6111" t="s">
        <v>1132</v>
      </c>
      <c r="D1048" s="6111"/>
      <c r="E1048" s="6111"/>
      <c r="F1048" s="6111"/>
      <c r="G1048" s="6111"/>
      <c r="H1048" s="6111"/>
      <c r="I1048" s="6111"/>
      <c r="J1048" s="6111"/>
      <c r="K1048" s="6111"/>
      <c r="L1048" s="6111"/>
      <c r="N1048"/>
    </row>
    <row r="1049" spans="1:29" ht="12.75" customHeight="1" x14ac:dyDescent="0.2">
      <c r="A1049" s="227">
        <v>1049</v>
      </c>
      <c r="B1049" s="6042"/>
      <c r="C1049" s="6111"/>
      <c r="D1049" s="6111"/>
      <c r="E1049" s="6111"/>
      <c r="F1049" s="6111"/>
      <c r="G1049" s="6111"/>
      <c r="H1049" s="6111"/>
      <c r="I1049" s="6111"/>
      <c r="J1049" s="6111"/>
      <c r="K1049" s="6111"/>
      <c r="L1049" s="6111"/>
      <c r="N1049"/>
    </row>
    <row r="1050" spans="1:29" ht="12.75" customHeight="1" thickBot="1" x14ac:dyDescent="0.25">
      <c r="A1050" s="227">
        <v>1050</v>
      </c>
      <c r="B1050" s="6042"/>
      <c r="C1050" s="6333" t="s">
        <v>2525</v>
      </c>
      <c r="D1050" s="6333"/>
      <c r="E1050" s="6333"/>
      <c r="F1050" s="174" t="s">
        <v>1489</v>
      </c>
      <c r="G1050" s="6318" t="s">
        <v>1548</v>
      </c>
      <c r="H1050" s="6318"/>
      <c r="I1050" s="6318"/>
      <c r="J1050" s="6318"/>
      <c r="K1050" s="6318"/>
      <c r="L1050" s="6318"/>
      <c r="N1050"/>
    </row>
    <row r="1051" spans="1:29" ht="12.75" customHeight="1" x14ac:dyDescent="0.2">
      <c r="A1051" s="227">
        <v>1051</v>
      </c>
      <c r="B1051" s="6042"/>
      <c r="C1051" s="82"/>
      <c r="D1051" s="46"/>
      <c r="E1051" s="238" t="s">
        <v>1133</v>
      </c>
      <c r="F1051" s="192">
        <v>75</v>
      </c>
      <c r="G1051" s="239" t="s">
        <v>1134</v>
      </c>
      <c r="H1051" s="46"/>
      <c r="I1051" s="605"/>
      <c r="J1051" s="46"/>
      <c r="K1051" s="46"/>
      <c r="L1051" s="83"/>
      <c r="N1051"/>
    </row>
    <row r="1052" spans="1:29" ht="12.75" customHeight="1" x14ac:dyDescent="0.2">
      <c r="A1052" s="227">
        <v>1052</v>
      </c>
      <c r="B1052" s="6042"/>
      <c r="C1052" s="35"/>
      <c r="D1052" s="21"/>
      <c r="E1052" s="220" t="s">
        <v>1135</v>
      </c>
      <c r="F1052" s="86">
        <v>75</v>
      </c>
      <c r="G1052" s="39" t="s">
        <v>1136</v>
      </c>
      <c r="H1052" s="21"/>
      <c r="I1052" s="47"/>
      <c r="J1052" s="21"/>
      <c r="K1052" s="21"/>
      <c r="L1052" s="36"/>
      <c r="N1052"/>
    </row>
    <row r="1053" spans="1:29" ht="12.75" customHeight="1" thickBot="1" x14ac:dyDescent="0.25">
      <c r="A1053" s="227">
        <v>1053</v>
      </c>
      <c r="B1053" s="6042"/>
      <c r="C1053" s="67"/>
      <c r="D1053" s="68"/>
      <c r="E1053" s="221" t="s">
        <v>1137</v>
      </c>
      <c r="F1053" s="190">
        <v>100</v>
      </c>
      <c r="G1053" s="240" t="s">
        <v>1138</v>
      </c>
      <c r="H1053" s="228"/>
      <c r="I1053" s="228"/>
      <c r="J1053" s="228"/>
      <c r="K1053" s="228"/>
      <c r="L1053" s="69"/>
      <c r="N1053"/>
    </row>
    <row r="1054" spans="1:29" ht="12.75" customHeight="1" x14ac:dyDescent="0.2">
      <c r="A1054" s="227">
        <v>1054</v>
      </c>
      <c r="B1054" s="6042"/>
      <c r="H1054"/>
      <c r="I1054" s="555"/>
      <c r="N1054"/>
      <c r="O1054" s="555"/>
    </row>
    <row r="1055" spans="1:29" ht="12.75" customHeight="1" x14ac:dyDescent="0.2">
      <c r="A1055" s="227">
        <v>1055</v>
      </c>
      <c r="B1055" s="6042"/>
      <c r="H1055"/>
      <c r="I1055" s="555"/>
      <c r="N1055"/>
      <c r="O1055" s="555"/>
    </row>
    <row r="1056" spans="1:29" ht="12.75" customHeight="1" x14ac:dyDescent="0.2">
      <c r="A1056" s="227">
        <v>1056</v>
      </c>
      <c r="B1056" s="6042"/>
      <c r="H1056"/>
      <c r="I1056" s="555"/>
      <c r="N1056"/>
      <c r="O1056" s="555"/>
      <c r="AC1056" s="695"/>
    </row>
    <row r="1057" spans="1:30" ht="12.75" customHeight="1" x14ac:dyDescent="0.2">
      <c r="A1057" s="227">
        <v>1057</v>
      </c>
      <c r="B1057" s="6042"/>
      <c r="H1057"/>
      <c r="I1057" s="555"/>
      <c r="N1057"/>
      <c r="O1057" s="555"/>
      <c r="AC1057" s="695"/>
    </row>
    <row r="1058" spans="1:30" ht="12.75" customHeight="1" x14ac:dyDescent="0.2">
      <c r="A1058" s="227">
        <v>1058</v>
      </c>
      <c r="B1058" s="6292"/>
      <c r="C1058" s="6059" t="s">
        <v>7309</v>
      </c>
      <c r="D1058" s="6059"/>
      <c r="E1058" s="6059"/>
      <c r="F1058" s="6059"/>
      <c r="G1058" s="6059"/>
      <c r="H1058" s="6059"/>
      <c r="I1058" s="6059"/>
      <c r="J1058" s="6059"/>
      <c r="K1058" s="6059"/>
      <c r="L1058" s="6059"/>
      <c r="M1058" s="6059"/>
      <c r="N1058" s="6059"/>
      <c r="O1058" s="6059"/>
      <c r="P1058" s="6059"/>
      <c r="Q1058" s="6059"/>
      <c r="R1058" s="6059"/>
      <c r="S1058" s="6059"/>
      <c r="T1058" s="6059"/>
      <c r="U1058" s="6059"/>
      <c r="V1058" s="6059"/>
      <c r="W1058" s="6059"/>
      <c r="X1058" s="6059"/>
      <c r="Y1058" s="6059"/>
      <c r="Z1058" s="6059"/>
      <c r="AA1058" s="6059"/>
      <c r="AB1058" s="6059"/>
      <c r="AC1058" s="6059"/>
      <c r="AD1058" s="6059"/>
    </row>
    <row r="1059" spans="1:30" ht="12.75" customHeight="1" x14ac:dyDescent="0.2">
      <c r="A1059" s="227">
        <v>1059</v>
      </c>
      <c r="B1059" s="6292"/>
      <c r="C1059" s="6059"/>
      <c r="D1059" s="6059"/>
      <c r="E1059" s="6059"/>
      <c r="F1059" s="6059"/>
      <c r="G1059" s="6059"/>
      <c r="H1059" s="6059"/>
      <c r="I1059" s="6059"/>
      <c r="J1059" s="6059"/>
      <c r="K1059" s="6059"/>
      <c r="L1059" s="6059"/>
      <c r="M1059" s="6059"/>
      <c r="N1059" s="6059"/>
      <c r="O1059" s="6059"/>
      <c r="P1059" s="6059"/>
      <c r="Q1059" s="6059"/>
      <c r="R1059" s="6059"/>
      <c r="S1059" s="6059"/>
      <c r="T1059" s="6059"/>
      <c r="U1059" s="6059"/>
      <c r="V1059" s="6059"/>
      <c r="W1059" s="6059"/>
      <c r="X1059" s="6059"/>
      <c r="Y1059" s="6059"/>
      <c r="Z1059" s="6059"/>
      <c r="AA1059" s="6059"/>
      <c r="AB1059" s="6059"/>
      <c r="AC1059" s="6059"/>
      <c r="AD1059" s="6059"/>
    </row>
    <row r="1060" spans="1:30" ht="12.75" customHeight="1" x14ac:dyDescent="0.2">
      <c r="A1060" s="227">
        <v>1060</v>
      </c>
      <c r="B1060" s="6292"/>
      <c r="C1060" s="6059"/>
      <c r="D1060" s="6059"/>
      <c r="E1060" s="6059"/>
      <c r="F1060" s="6059"/>
      <c r="G1060" s="6059"/>
      <c r="H1060" s="6059"/>
      <c r="I1060" s="6059"/>
      <c r="J1060" s="6059"/>
      <c r="K1060" s="6059"/>
      <c r="L1060" s="6059"/>
      <c r="M1060" s="6059"/>
      <c r="N1060" s="6059"/>
      <c r="O1060" s="6059"/>
      <c r="P1060" s="6059"/>
      <c r="Q1060" s="6059"/>
      <c r="R1060" s="6059"/>
      <c r="S1060" s="6059"/>
      <c r="T1060" s="6059"/>
      <c r="U1060" s="6059"/>
      <c r="V1060" s="6059"/>
      <c r="W1060" s="6059"/>
      <c r="X1060" s="6059"/>
      <c r="Y1060" s="6059"/>
      <c r="Z1060" s="6059"/>
      <c r="AA1060" s="6059"/>
      <c r="AB1060" s="6059"/>
      <c r="AC1060" s="6059"/>
      <c r="AD1060" s="6059"/>
    </row>
    <row r="1061" spans="1:30" ht="12.75" customHeight="1" thickBot="1" x14ac:dyDescent="0.25">
      <c r="A1061" s="227">
        <v>1061</v>
      </c>
      <c r="B1061" s="6292"/>
      <c r="H1061"/>
      <c r="I1061" s="555"/>
      <c r="N1061"/>
      <c r="O1061" s="555"/>
      <c r="AC1061" s="695"/>
    </row>
    <row r="1062" spans="1:30" ht="12.75" customHeight="1" thickBot="1" x14ac:dyDescent="0.25">
      <c r="A1062" s="227">
        <v>1062</v>
      </c>
      <c r="B1062" s="6292"/>
      <c r="C1062" s="6111" t="s">
        <v>1212</v>
      </c>
      <c r="D1062" s="6111"/>
      <c r="E1062" s="6111"/>
      <c r="F1062" s="6111"/>
      <c r="G1062" s="6111"/>
      <c r="H1062" s="6111"/>
      <c r="I1062" s="6111"/>
      <c r="J1062" s="6111"/>
      <c r="K1062" s="6111"/>
      <c r="L1062" s="6111"/>
      <c r="M1062" s="6111"/>
      <c r="N1062"/>
      <c r="O1062" s="555"/>
      <c r="P1062" s="4885" t="s">
        <v>1139</v>
      </c>
      <c r="Q1062" s="4885"/>
      <c r="S1062" s="4885" t="s">
        <v>94</v>
      </c>
      <c r="T1062" s="4885"/>
      <c r="U1062" s="4885"/>
      <c r="W1062" s="6112" t="s">
        <v>1242</v>
      </c>
      <c r="X1062" s="6112"/>
      <c r="Z1062" s="6192" t="s">
        <v>647</v>
      </c>
      <c r="AA1062" s="6193"/>
      <c r="AB1062" s="6193"/>
      <c r="AC1062" s="6193"/>
      <c r="AD1062" s="6194"/>
    </row>
    <row r="1063" spans="1:30" ht="12.75" customHeight="1" thickBot="1" x14ac:dyDescent="0.25">
      <c r="A1063" s="227">
        <v>1063</v>
      </c>
      <c r="B1063" s="6292"/>
      <c r="C1063" s="6111"/>
      <c r="D1063" s="6111"/>
      <c r="E1063" s="6111"/>
      <c r="F1063" s="6111"/>
      <c r="G1063" s="6111"/>
      <c r="H1063" s="6111"/>
      <c r="I1063" s="6111"/>
      <c r="J1063" s="6111"/>
      <c r="K1063" s="6111"/>
      <c r="L1063" s="6111"/>
      <c r="M1063" s="6111"/>
      <c r="N1063"/>
      <c r="O1063" s="555"/>
      <c r="P1063" s="4885"/>
      <c r="Q1063" s="4885"/>
      <c r="S1063" s="4885"/>
      <c r="T1063" s="4885"/>
      <c r="U1063" s="4885"/>
      <c r="W1063" s="173" t="s">
        <v>1391</v>
      </c>
      <c r="X1063" s="175" t="s">
        <v>1243</v>
      </c>
      <c r="Z1063" s="6195"/>
      <c r="AA1063" s="4977"/>
      <c r="AB1063" s="4977"/>
      <c r="AC1063" s="4977"/>
      <c r="AD1063" s="6196"/>
    </row>
    <row r="1064" spans="1:30" ht="12.75" customHeight="1" thickBot="1" x14ac:dyDescent="0.25">
      <c r="A1064" s="227">
        <v>1064</v>
      </c>
      <c r="B1064" s="6292"/>
      <c r="C1064" s="6217" t="s">
        <v>1637</v>
      </c>
      <c r="D1064" s="6217"/>
      <c r="E1064" s="201" t="s">
        <v>1489</v>
      </c>
      <c r="F1064" s="6197" t="s">
        <v>1548</v>
      </c>
      <c r="G1064" s="6197"/>
      <c r="H1064" s="6197"/>
      <c r="I1064" s="6197"/>
      <c r="J1064" s="6197"/>
      <c r="K1064" s="6197"/>
      <c r="L1064" s="6197"/>
      <c r="M1064" s="6197"/>
      <c r="N1064"/>
      <c r="O1064" s="555"/>
      <c r="P1064" s="173" t="s">
        <v>1385</v>
      </c>
      <c r="Q1064" s="175" t="s">
        <v>1140</v>
      </c>
      <c r="S1064" s="268" t="s">
        <v>95</v>
      </c>
      <c r="T1064" s="174" t="s">
        <v>96</v>
      </c>
      <c r="U1064" s="175" t="s">
        <v>97</v>
      </c>
      <c r="W1064" s="194">
        <v>1</v>
      </c>
      <c r="X1064" s="50">
        <v>0</v>
      </c>
      <c r="Z1064" s="6191" t="s">
        <v>1440</v>
      </c>
      <c r="AA1064" s="6117"/>
      <c r="AB1064" s="6117"/>
      <c r="AC1064" s="594" t="s">
        <v>1356</v>
      </c>
      <c r="AD1064" s="1265" t="s">
        <v>1508</v>
      </c>
    </row>
    <row r="1065" spans="1:30" ht="12.75" customHeight="1" x14ac:dyDescent="0.2">
      <c r="A1065" s="227">
        <v>1065</v>
      </c>
      <c r="B1065" s="6292"/>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7">VLOOKUP(A1,$AA$1065:$AB$1109,2,0)</f>
        <v>&gt; ARCANOS</v>
      </c>
      <c r="AA1065" s="873">
        <f>COUNTIF($AB$1065:$AB$1109,"&lt;="&amp;AB1065)</f>
        <v>1</v>
      </c>
      <c r="AB1065" s="1266" t="s">
        <v>648</v>
      </c>
      <c r="AC1065" s="1267"/>
      <c r="AD1065" s="1268"/>
    </row>
    <row r="1066" spans="1:30" ht="12.75" customHeight="1" x14ac:dyDescent="0.2">
      <c r="A1066" s="227">
        <v>1066</v>
      </c>
      <c r="B1066" s="6292"/>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7"/>
        <v>El Carro</v>
      </c>
      <c r="AA1066" s="873">
        <f t="shared" ref="AA1066:AA1109" si="298">COUNTIF($AB$1065:$AB$1109,"&lt;="&amp;AB1066)</f>
        <v>16</v>
      </c>
      <c r="AB1066" s="1269" t="s">
        <v>649</v>
      </c>
      <c r="AC1066" s="865">
        <v>120</v>
      </c>
      <c r="AD1066" s="1268">
        <v>100</v>
      </c>
    </row>
    <row r="1067" spans="1:30" ht="12.75" customHeight="1" x14ac:dyDescent="0.2">
      <c r="A1067" s="227">
        <v>1067</v>
      </c>
      <c r="B1067" s="6292"/>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7"/>
        <v>El Carro invertido</v>
      </c>
      <c r="AA1067" s="873">
        <f t="shared" si="298"/>
        <v>12</v>
      </c>
      <c r="AB1067" s="1270" t="s">
        <v>650</v>
      </c>
      <c r="AC1067" s="47">
        <v>130</v>
      </c>
      <c r="AD1067" s="135">
        <v>100</v>
      </c>
    </row>
    <row r="1068" spans="1:30" ht="12.75" customHeight="1" x14ac:dyDescent="0.2">
      <c r="A1068" s="227">
        <v>1068</v>
      </c>
      <c r="B1068" s="6292"/>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7"/>
        <v>El Colgado</v>
      </c>
      <c r="AA1068" s="873">
        <f t="shared" si="298"/>
        <v>38</v>
      </c>
      <c r="AB1068" s="1270" t="s">
        <v>651</v>
      </c>
      <c r="AC1068" s="47">
        <v>140</v>
      </c>
      <c r="AD1068" s="135">
        <v>150</v>
      </c>
    </row>
    <row r="1069" spans="1:30" ht="12.75" customHeight="1" x14ac:dyDescent="0.2">
      <c r="A1069" s="227">
        <v>1069</v>
      </c>
      <c r="B1069" s="6292"/>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7"/>
        <v>El Colgado invertido</v>
      </c>
      <c r="AA1069" s="873">
        <f t="shared" si="298"/>
        <v>24</v>
      </c>
      <c r="AB1069" s="1270" t="s">
        <v>652</v>
      </c>
      <c r="AC1069" s="47">
        <v>150</v>
      </c>
      <c r="AD1069" s="135">
        <v>200</v>
      </c>
    </row>
    <row r="1070" spans="1:30" ht="12.75" customHeight="1" x14ac:dyDescent="0.2">
      <c r="A1070" s="227">
        <v>1070</v>
      </c>
      <c r="B1070" s="6292"/>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7"/>
        <v>El Diablo</v>
      </c>
      <c r="AA1070" s="873">
        <f t="shared" si="298"/>
        <v>8</v>
      </c>
      <c r="AB1070" s="1270" t="s">
        <v>653</v>
      </c>
      <c r="AC1070" s="47">
        <v>160</v>
      </c>
      <c r="AD1070" s="135">
        <v>200</v>
      </c>
    </row>
    <row r="1071" spans="1:30" ht="12.75" customHeight="1" thickBot="1" x14ac:dyDescent="0.25">
      <c r="A1071" s="227">
        <v>1071</v>
      </c>
      <c r="B1071" s="6292"/>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7"/>
        <v>El Diablo invertido</v>
      </c>
      <c r="AA1071" s="873">
        <f t="shared" si="298"/>
        <v>22</v>
      </c>
      <c r="AB1071" s="1270" t="s">
        <v>654</v>
      </c>
      <c r="AC1071" s="47">
        <v>170</v>
      </c>
      <c r="AD1071" s="135">
        <v>250</v>
      </c>
    </row>
    <row r="1072" spans="1:30" ht="12.75" customHeight="1" thickBot="1" x14ac:dyDescent="0.25">
      <c r="A1072" s="227">
        <v>1072</v>
      </c>
      <c r="B1072" s="6292"/>
      <c r="H1072"/>
      <c r="I1072" s="555"/>
      <c r="L1072" s="251"/>
      <c r="N1072"/>
      <c r="O1072" s="555"/>
      <c r="P1072" s="88">
        <v>8</v>
      </c>
      <c r="Q1072" s="50">
        <v>30</v>
      </c>
      <c r="S1072" s="88">
        <v>38</v>
      </c>
      <c r="T1072" s="86">
        <v>4</v>
      </c>
      <c r="U1072" s="50">
        <v>8</v>
      </c>
      <c r="W1072" s="88">
        <v>9</v>
      </c>
      <c r="X1072" s="50">
        <v>50</v>
      </c>
      <c r="Z1072" s="560" t="str">
        <f t="shared" si="297"/>
        <v>El Emperador</v>
      </c>
      <c r="AA1072" s="873">
        <f t="shared" si="298"/>
        <v>44</v>
      </c>
      <c r="AB1072" s="1270" t="s">
        <v>655</v>
      </c>
      <c r="AC1072" s="47">
        <v>180</v>
      </c>
      <c r="AD1072" s="135">
        <v>250</v>
      </c>
    </row>
    <row r="1073" spans="1:30" ht="12.75" customHeight="1" thickBot="1" x14ac:dyDescent="0.25">
      <c r="A1073" s="227">
        <v>1073</v>
      </c>
      <c r="B1073" s="6292"/>
      <c r="C1073" s="6336" t="s">
        <v>1227</v>
      </c>
      <c r="E1073" s="6185" t="s">
        <v>6844</v>
      </c>
      <c r="G1073" s="6086" t="s">
        <v>6848</v>
      </c>
      <c r="H1073" s="6087"/>
      <c r="I1073" s="6337" t="s">
        <v>6278</v>
      </c>
      <c r="K1073" s="3676" t="s">
        <v>1231</v>
      </c>
      <c r="L1073" s="251"/>
      <c r="M1073" s="6173" t="s">
        <v>1146</v>
      </c>
      <c r="N1073" s="6173"/>
      <c r="O1073" s="555"/>
      <c r="P1073" s="88">
        <v>9</v>
      </c>
      <c r="Q1073" s="50">
        <v>40</v>
      </c>
      <c r="S1073" s="88">
        <v>44</v>
      </c>
      <c r="T1073" s="86">
        <v>5</v>
      </c>
      <c r="U1073" s="50">
        <v>9</v>
      </c>
      <c r="W1073" s="194">
        <v>10</v>
      </c>
      <c r="X1073" s="50">
        <v>60</v>
      </c>
      <c r="Z1073" s="560" t="str">
        <f t="shared" si="297"/>
        <v>El Emperador invertido</v>
      </c>
      <c r="AA1073" s="873">
        <f t="shared" si="298"/>
        <v>2</v>
      </c>
      <c r="AB1073" s="1270" t="s">
        <v>656</v>
      </c>
      <c r="AC1073" s="47">
        <v>190</v>
      </c>
      <c r="AD1073" s="135">
        <v>300</v>
      </c>
    </row>
    <row r="1074" spans="1:30" ht="12.75" customHeight="1" thickBot="1" x14ac:dyDescent="0.25">
      <c r="A1074" s="227">
        <v>1074</v>
      </c>
      <c r="B1074" s="6292"/>
      <c r="C1074" s="6336"/>
      <c r="E1074" s="6186"/>
      <c r="G1074" s="6143"/>
      <c r="H1074" s="6151"/>
      <c r="I1074" s="6338" t="s">
        <v>6278</v>
      </c>
      <c r="K1074" s="3676"/>
      <c r="M1074" s="6173"/>
      <c r="N1074" s="6173"/>
      <c r="O1074" s="555"/>
      <c r="P1074" s="194">
        <v>10</v>
      </c>
      <c r="Q1074" s="50">
        <v>50</v>
      </c>
      <c r="S1074" s="88">
        <v>48</v>
      </c>
      <c r="T1074" s="86">
        <v>5</v>
      </c>
      <c r="U1074" s="50">
        <v>10</v>
      </c>
      <c r="W1074" s="88">
        <v>11</v>
      </c>
      <c r="X1074" s="50">
        <v>70</v>
      </c>
      <c r="Z1074" s="560" t="str">
        <f t="shared" si="297"/>
        <v>El Ermitaño</v>
      </c>
      <c r="AA1074" s="873">
        <f t="shared" si="298"/>
        <v>28</v>
      </c>
      <c r="AB1074" s="1270" t="s">
        <v>657</v>
      </c>
      <c r="AC1074" s="47">
        <v>200</v>
      </c>
      <c r="AD1074" s="135">
        <v>350</v>
      </c>
    </row>
    <row r="1075" spans="1:30" ht="12.75" customHeight="1" thickBot="1" x14ac:dyDescent="0.25">
      <c r="A1075" s="227">
        <v>1075</v>
      </c>
      <c r="B1075" s="6292"/>
      <c r="C1075" s="256" t="s">
        <v>1698</v>
      </c>
      <c r="E1075" s="703" t="s">
        <v>6850</v>
      </c>
      <c r="G1075" s="6086" t="s">
        <v>6882</v>
      </c>
      <c r="H1075" s="6087"/>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7"/>
        <v>El Ermitaño invertido</v>
      </c>
      <c r="AA1075" s="873">
        <f t="shared" si="298"/>
        <v>10</v>
      </c>
      <c r="AB1075" s="1270" t="s">
        <v>658</v>
      </c>
      <c r="AC1075" s="47">
        <v>220</v>
      </c>
      <c r="AD1075" s="135">
        <v>400</v>
      </c>
    </row>
    <row r="1076" spans="1:30" ht="12.75" customHeight="1" x14ac:dyDescent="0.2">
      <c r="A1076" s="227">
        <v>1076</v>
      </c>
      <c r="B1076" s="6292"/>
      <c r="C1076" s="256" t="s">
        <v>1699</v>
      </c>
      <c r="E1076" s="703" t="s">
        <v>6845</v>
      </c>
      <c r="G1076" s="6089"/>
      <c r="H1076" s="4977"/>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7"/>
        <v>El Hierofante</v>
      </c>
      <c r="AA1076" s="873">
        <f t="shared" si="298"/>
        <v>36</v>
      </c>
      <c r="AB1076" s="1270" t="s">
        <v>659</v>
      </c>
      <c r="AC1076" s="47">
        <v>240</v>
      </c>
      <c r="AD1076" s="135">
        <v>450</v>
      </c>
    </row>
    <row r="1077" spans="1:30" ht="12.75" customHeight="1" thickBot="1" x14ac:dyDescent="0.25">
      <c r="A1077" s="227">
        <v>1077</v>
      </c>
      <c r="B1077" s="6292"/>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7"/>
        <v>El Hierofante invertido</v>
      </c>
      <c r="AA1077" s="873">
        <f t="shared" si="298"/>
        <v>30</v>
      </c>
      <c r="AB1077" s="1270" t="s">
        <v>660</v>
      </c>
      <c r="AC1077" s="47">
        <v>260</v>
      </c>
      <c r="AD1077" s="135">
        <v>500</v>
      </c>
    </row>
    <row r="1078" spans="1:30" ht="12.75" customHeight="1" x14ac:dyDescent="0.2">
      <c r="A1078" s="227">
        <v>1078</v>
      </c>
      <c r="B1078" s="6292"/>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7"/>
        <v>El Juicio</v>
      </c>
      <c r="AA1078" s="873">
        <f t="shared" si="298"/>
        <v>4</v>
      </c>
      <c r="AB1078" s="1270" t="s">
        <v>661</v>
      </c>
      <c r="AC1078" s="47">
        <v>280</v>
      </c>
      <c r="AD1078" s="135">
        <v>550</v>
      </c>
    </row>
    <row r="1079" spans="1:30" ht="12.75" customHeight="1" thickBot="1" x14ac:dyDescent="0.25">
      <c r="A1079" s="227">
        <v>1079</v>
      </c>
      <c r="B1079" s="6292"/>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7"/>
        <v>El Juicio invertido</v>
      </c>
      <c r="AA1079" s="873">
        <f t="shared" si="298"/>
        <v>34</v>
      </c>
      <c r="AB1079" s="1270" t="s">
        <v>662</v>
      </c>
      <c r="AC1079" s="47">
        <v>300</v>
      </c>
      <c r="AD1079" s="135">
        <v>600</v>
      </c>
    </row>
    <row r="1080" spans="1:30" ht="12.75" customHeight="1" thickBot="1" x14ac:dyDescent="0.25">
      <c r="A1080" s="227">
        <v>1080</v>
      </c>
      <c r="B1080" s="6292"/>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7"/>
        <v>El Loco</v>
      </c>
      <c r="AA1080" s="873">
        <f t="shared" si="298"/>
        <v>40</v>
      </c>
      <c r="AB1080" s="1270" t="s">
        <v>663</v>
      </c>
      <c r="AC1080" s="47">
        <v>320</v>
      </c>
      <c r="AD1080" s="135">
        <v>650</v>
      </c>
    </row>
    <row r="1081" spans="1:30" ht="12.75" customHeight="1" thickBot="1" x14ac:dyDescent="0.25">
      <c r="A1081" s="227">
        <v>1081</v>
      </c>
      <c r="B1081" s="6292"/>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7"/>
        <v>El Loco invertido</v>
      </c>
      <c r="AA1081" s="873">
        <f t="shared" si="298"/>
        <v>6</v>
      </c>
      <c r="AB1081" s="1270" t="s">
        <v>664</v>
      </c>
      <c r="AC1081" s="47">
        <v>340</v>
      </c>
      <c r="AD1081" s="135">
        <v>700</v>
      </c>
    </row>
    <row r="1082" spans="1:30" ht="12.75" customHeight="1" thickBot="1" x14ac:dyDescent="0.25">
      <c r="A1082" s="227">
        <v>1082</v>
      </c>
      <c r="B1082" s="6292"/>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7"/>
        <v>El Mundo</v>
      </c>
      <c r="AA1082" s="873">
        <f t="shared" si="298"/>
        <v>42</v>
      </c>
      <c r="AB1082" s="1270" t="s">
        <v>665</v>
      </c>
      <c r="AC1082" s="47">
        <v>360</v>
      </c>
      <c r="AD1082" s="135">
        <v>750</v>
      </c>
    </row>
    <row r="1083" spans="1:30" ht="12.75" customHeight="1" thickBot="1" x14ac:dyDescent="0.25">
      <c r="A1083" s="227">
        <v>1083</v>
      </c>
      <c r="B1083" s="6292"/>
      <c r="C1083" s="6185"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7"/>
        <v>El Mundo invertido</v>
      </c>
      <c r="AA1083" s="873">
        <f t="shared" si="298"/>
        <v>26</v>
      </c>
      <c r="AB1083" s="1270" t="s">
        <v>666</v>
      </c>
      <c r="AC1083" s="47">
        <v>380</v>
      </c>
      <c r="AD1083" s="135">
        <v>800</v>
      </c>
    </row>
    <row r="1084" spans="1:30" ht="12.75" customHeight="1" thickBot="1" x14ac:dyDescent="0.25">
      <c r="A1084" s="227">
        <v>1084</v>
      </c>
      <c r="B1084" s="6292"/>
      <c r="C1084" s="6186"/>
      <c r="H1084"/>
      <c r="I1084" s="986" t="s">
        <v>6892</v>
      </c>
      <c r="M1084" s="244">
        <v>82</v>
      </c>
      <c r="N1084" s="245">
        <v>18</v>
      </c>
      <c r="O1084" s="555"/>
      <c r="P1084" s="195">
        <v>20</v>
      </c>
      <c r="Q1084" s="182">
        <v>800</v>
      </c>
      <c r="S1084" s="189">
        <v>98</v>
      </c>
      <c r="T1084" s="190">
        <v>10</v>
      </c>
      <c r="U1084" s="182">
        <v>20</v>
      </c>
      <c r="Z1084" s="560" t="str">
        <f t="shared" si="297"/>
        <v>El Sol</v>
      </c>
      <c r="AA1084" s="873">
        <f t="shared" si="298"/>
        <v>32</v>
      </c>
      <c r="AB1084" s="1270" t="s">
        <v>667</v>
      </c>
      <c r="AC1084" s="47">
        <v>400</v>
      </c>
      <c r="AD1084" s="135">
        <v>850</v>
      </c>
    </row>
    <row r="1085" spans="1:30" ht="12.75" customHeight="1" thickBot="1" x14ac:dyDescent="0.25">
      <c r="A1085" s="227">
        <v>1085</v>
      </c>
      <c r="B1085" s="6292"/>
      <c r="C1085" s="836" t="s">
        <v>1698</v>
      </c>
      <c r="H1085"/>
      <c r="I1085" s="986" t="s">
        <v>6893</v>
      </c>
      <c r="M1085" s="246">
        <v>92</v>
      </c>
      <c r="N1085" s="241">
        <v>20</v>
      </c>
      <c r="O1085" s="555"/>
      <c r="Z1085" s="560" t="str">
        <f t="shared" si="297"/>
        <v>El Sol invertido</v>
      </c>
      <c r="AA1085" s="873">
        <f t="shared" si="298"/>
        <v>20</v>
      </c>
      <c r="AB1085" s="1270" t="s">
        <v>668</v>
      </c>
      <c r="AC1085" s="47">
        <v>420</v>
      </c>
      <c r="AD1085" s="135">
        <v>900</v>
      </c>
    </row>
    <row r="1086" spans="1:30" ht="12.75" customHeight="1" thickBot="1" x14ac:dyDescent="0.25">
      <c r="A1086" s="227">
        <v>1086</v>
      </c>
      <c r="B1086" s="6292"/>
      <c r="C1086" s="836" t="s">
        <v>1699</v>
      </c>
      <c r="H1086"/>
      <c r="I1086" s="987" t="s">
        <v>6894</v>
      </c>
      <c r="N1086"/>
      <c r="O1086" s="555"/>
      <c r="Z1086" s="560" t="str">
        <f t="shared" si="297"/>
        <v>El Sumo Sacerdote</v>
      </c>
      <c r="AA1086" s="873">
        <f t="shared" si="298"/>
        <v>14</v>
      </c>
      <c r="AB1086" s="1270" t="s">
        <v>669</v>
      </c>
      <c r="AC1086" s="47">
        <v>440</v>
      </c>
      <c r="AD1086" s="135">
        <v>950</v>
      </c>
    </row>
    <row r="1087" spans="1:30" ht="12.75" customHeight="1" x14ac:dyDescent="0.2">
      <c r="A1087" s="227">
        <v>1087</v>
      </c>
      <c r="B1087" s="6292"/>
      <c r="C1087" s="836" t="s">
        <v>1609</v>
      </c>
      <c r="E1087" s="6327" t="s">
        <v>1229</v>
      </c>
      <c r="G1087" s="223"/>
      <c r="H1087"/>
      <c r="O1087" s="555"/>
      <c r="U1087" s="6086" t="s">
        <v>8346</v>
      </c>
      <c r="V1087" s="6087"/>
      <c r="W1087" s="6088"/>
      <c r="Z1087" s="560" t="str">
        <f t="shared" si="297"/>
        <v>El Sumo Sacerdote invertido</v>
      </c>
      <c r="AA1087" s="873">
        <f t="shared" si="298"/>
        <v>18</v>
      </c>
      <c r="AB1087" s="1270" t="s">
        <v>670</v>
      </c>
      <c r="AC1087" s="47">
        <v>460</v>
      </c>
      <c r="AD1087" s="135">
        <v>1000</v>
      </c>
    </row>
    <row r="1088" spans="1:30" ht="12.75" customHeight="1" x14ac:dyDescent="0.2">
      <c r="A1088" s="227">
        <v>1088</v>
      </c>
      <c r="B1088" s="6292"/>
      <c r="C1088" s="836" t="s">
        <v>1605</v>
      </c>
      <c r="E1088" s="6328"/>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089"/>
      <c r="V1088" s="4977"/>
      <c r="W1088" s="6090"/>
      <c r="Z1088" s="560" t="str">
        <f t="shared" si="297"/>
        <v>La Emperatriz</v>
      </c>
      <c r="AA1088" s="873">
        <f t="shared" si="298"/>
        <v>17</v>
      </c>
      <c r="AB1088" s="1269" t="s">
        <v>671</v>
      </c>
      <c r="AC1088" s="47">
        <v>120</v>
      </c>
      <c r="AD1088" s="135">
        <v>100</v>
      </c>
    </row>
    <row r="1089" spans="1:30" ht="12.75" customHeight="1" x14ac:dyDescent="0.2">
      <c r="A1089" s="227">
        <v>1089</v>
      </c>
      <c r="B1089" s="6292"/>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7"/>
        <v>La Emperatriz invertida</v>
      </c>
      <c r="AA1089" s="873">
        <f t="shared" si="298"/>
        <v>13</v>
      </c>
      <c r="AB1089" s="1270" t="s">
        <v>672</v>
      </c>
      <c r="AC1089" s="47">
        <v>130</v>
      </c>
      <c r="AD1089" s="135">
        <v>100</v>
      </c>
    </row>
    <row r="1090" spans="1:30" ht="12.75" customHeight="1" x14ac:dyDescent="0.2">
      <c r="A1090" s="227">
        <v>1090</v>
      </c>
      <c r="B1090" s="6292"/>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7"/>
        <v>La Estrella</v>
      </c>
      <c r="AA1090" s="873">
        <f t="shared" si="298"/>
        <v>39</v>
      </c>
      <c r="AB1090" s="1270" t="s">
        <v>673</v>
      </c>
      <c r="AC1090" s="47">
        <v>140</v>
      </c>
      <c r="AD1090" s="135">
        <v>150</v>
      </c>
    </row>
    <row r="1091" spans="1:30" ht="12.75" customHeight="1" x14ac:dyDescent="0.2">
      <c r="A1091" s="227">
        <v>1091</v>
      </c>
      <c r="B1091" s="6292"/>
      <c r="C1091" s="836" t="s">
        <v>1705</v>
      </c>
      <c r="E1091" s="812" t="s">
        <v>1609</v>
      </c>
      <c r="F1091" s="889" t="s">
        <v>8348</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7"/>
        <v>La Estrella invertida</v>
      </c>
      <c r="AA1091" s="873">
        <f t="shared" si="298"/>
        <v>25</v>
      </c>
      <c r="AB1091" s="1270" t="s">
        <v>674</v>
      </c>
      <c r="AC1091" s="47">
        <v>150</v>
      </c>
      <c r="AD1091" s="135">
        <v>200</v>
      </c>
    </row>
    <row r="1092" spans="1:30" ht="12.75" customHeight="1" x14ac:dyDescent="0.2">
      <c r="A1092" s="227">
        <v>1092</v>
      </c>
      <c r="B1092" s="6292"/>
      <c r="C1092" s="836" t="s">
        <v>1706</v>
      </c>
      <c r="E1092" s="812" t="s">
        <v>1605</v>
      </c>
      <c r="F1092" s="889" t="s">
        <v>8348</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1" t="str">
        <f>IF(AND(N1092&lt;&gt;"",N1092&lt;Místicos!$L$12),N1092&amp;" "&amp;O1092,"")</f>
        <v/>
      </c>
      <c r="U1092" s="1188">
        <f t="shared" ref="U1092:U1099" si="302">10+U1091</f>
        <v>24</v>
      </c>
      <c r="V1092" s="1162">
        <f>10+V1090</f>
        <v>14</v>
      </c>
      <c r="W1092" s="1307">
        <f t="shared" ref="W1092:W1099" si="303">10+W1091</f>
        <v>28</v>
      </c>
      <c r="Z1092" s="560" t="str">
        <f t="shared" si="297"/>
        <v>La Fuerza</v>
      </c>
      <c r="AA1092" s="873">
        <f t="shared" si="298"/>
        <v>9</v>
      </c>
      <c r="AB1092" s="1270" t="s">
        <v>675</v>
      </c>
      <c r="AC1092" s="47">
        <v>160</v>
      </c>
      <c r="AD1092" s="135">
        <v>200</v>
      </c>
    </row>
    <row r="1093" spans="1:30" ht="12.75" customHeight="1" x14ac:dyDescent="0.2">
      <c r="A1093" s="227">
        <v>1093</v>
      </c>
      <c r="B1093" s="6292"/>
      <c r="C1093" s="836" t="s">
        <v>1708</v>
      </c>
      <c r="E1093" s="812" t="s">
        <v>1602</v>
      </c>
      <c r="F1093" s="889" t="s">
        <v>8348</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1" t="str">
        <f>IF(AND(N1093&lt;&gt;"",N1093&lt;Místicos!$L$12),N1093&amp;" "&amp;O1093,"")</f>
        <v/>
      </c>
      <c r="R1093" s="1343" t="s">
        <v>7285</v>
      </c>
      <c r="U1093" s="1188">
        <f t="shared" si="302"/>
        <v>34</v>
      </c>
      <c r="V1093" s="1162">
        <f>10+V1091</f>
        <v>18</v>
      </c>
      <c r="W1093" s="1307">
        <f t="shared" si="303"/>
        <v>38</v>
      </c>
      <c r="Z1093" s="560" t="str">
        <f t="shared" si="297"/>
        <v>La Fuerza invertida</v>
      </c>
      <c r="AA1093" s="873">
        <f t="shared" si="298"/>
        <v>23</v>
      </c>
      <c r="AB1093" s="1270" t="s">
        <v>676</v>
      </c>
      <c r="AC1093" s="47">
        <v>170</v>
      </c>
      <c r="AD1093" s="135">
        <v>250</v>
      </c>
    </row>
    <row r="1094" spans="1:30" ht="12.75" customHeight="1" x14ac:dyDescent="0.2">
      <c r="A1094" s="227">
        <v>1094</v>
      </c>
      <c r="B1094" s="6292"/>
      <c r="C1094" s="836" t="s">
        <v>1710</v>
      </c>
      <c r="E1094" s="812" t="s">
        <v>1703</v>
      </c>
      <c r="F1094" s="889" t="s">
        <v>8348</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1" t="str">
        <f>IF(AND(N1094&lt;&gt;"",N1094&lt;Místicos!$L$12),N1094&amp;" "&amp;O1094,"")</f>
        <v/>
      </c>
      <c r="R1094" s="1331" t="s">
        <v>7284</v>
      </c>
      <c r="U1094" s="1188">
        <f t="shared" si="302"/>
        <v>44</v>
      </c>
      <c r="V1094" s="1162">
        <f t="shared" ref="V1094:V1107" si="304">10+V1092</f>
        <v>24</v>
      </c>
      <c r="W1094" s="1307">
        <f t="shared" si="303"/>
        <v>48</v>
      </c>
      <c r="Z1094" s="560" t="str">
        <f t="shared" si="297"/>
        <v>La Justicia</v>
      </c>
      <c r="AA1094" s="873">
        <f t="shared" si="298"/>
        <v>45</v>
      </c>
      <c r="AB1094" s="1270" t="s">
        <v>677</v>
      </c>
      <c r="AC1094" s="47">
        <v>180</v>
      </c>
      <c r="AD1094" s="135">
        <v>250</v>
      </c>
    </row>
    <row r="1095" spans="1:30" ht="12.75" customHeight="1" x14ac:dyDescent="0.2">
      <c r="A1095" s="227">
        <v>1095</v>
      </c>
      <c r="B1095" s="6292"/>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2"/>
        <v>54</v>
      </c>
      <c r="V1095" s="1162">
        <f t="shared" si="304"/>
        <v>28</v>
      </c>
      <c r="W1095" s="1307">
        <f t="shared" si="303"/>
        <v>58</v>
      </c>
      <c r="Z1095" s="560" t="str">
        <f t="shared" si="297"/>
        <v>La Justicia invertida</v>
      </c>
      <c r="AA1095" s="873">
        <f t="shared" si="298"/>
        <v>3</v>
      </c>
      <c r="AB1095" s="1270" t="s">
        <v>678</v>
      </c>
      <c r="AC1095" s="47">
        <v>190</v>
      </c>
      <c r="AD1095" s="135">
        <v>300</v>
      </c>
    </row>
    <row r="1096" spans="1:30" ht="12.75" customHeight="1" thickBot="1" x14ac:dyDescent="0.25">
      <c r="A1096" s="227">
        <v>1096</v>
      </c>
      <c r="B1096" s="6292"/>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1" t="str">
        <f>IF(AND(N1096&lt;&gt;"",N1096&lt;Místicos!$L$12),N1096&amp;" "&amp;O1096,"")</f>
        <v/>
      </c>
      <c r="R1096" s="1331" t="s">
        <v>7283</v>
      </c>
      <c r="U1096" s="1188">
        <f t="shared" si="302"/>
        <v>64</v>
      </c>
      <c r="V1096" s="1162">
        <f t="shared" si="304"/>
        <v>34</v>
      </c>
      <c r="W1096" s="1307">
        <f t="shared" si="303"/>
        <v>68</v>
      </c>
      <c r="Z1096" s="560" t="str">
        <f t="shared" si="297"/>
        <v>La Luna</v>
      </c>
      <c r="AA1096" s="873">
        <f t="shared" si="298"/>
        <v>29</v>
      </c>
      <c r="AB1096" s="1270" t="s">
        <v>679</v>
      </c>
      <c r="AC1096" s="47">
        <v>200</v>
      </c>
      <c r="AD1096" s="135">
        <v>350</v>
      </c>
    </row>
    <row r="1097" spans="1:30" ht="12.75" customHeight="1" x14ac:dyDescent="0.2">
      <c r="A1097" s="227">
        <v>1097</v>
      </c>
      <c r="B1097" s="6292"/>
      <c r="C1097" s="838" t="s">
        <v>81</v>
      </c>
      <c r="E1097" s="812" t="s">
        <v>1708</v>
      </c>
      <c r="F1097" s="889" t="s">
        <v>8348</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2"/>
        <v>74</v>
      </c>
      <c r="V1097" s="1162">
        <f t="shared" si="304"/>
        <v>38</v>
      </c>
      <c r="W1097" s="1307">
        <f t="shared" si="303"/>
        <v>78</v>
      </c>
      <c r="Z1097" s="560" t="str">
        <f t="shared" si="297"/>
        <v>La Luna invertida</v>
      </c>
      <c r="AA1097" s="873">
        <f t="shared" si="298"/>
        <v>11</v>
      </c>
      <c r="AB1097" s="1270" t="s">
        <v>680</v>
      </c>
      <c r="AC1097" s="47">
        <v>240</v>
      </c>
      <c r="AD1097" s="135">
        <v>400</v>
      </c>
    </row>
    <row r="1098" spans="1:30" ht="12.75" customHeight="1" x14ac:dyDescent="0.2">
      <c r="A1098" s="227">
        <v>1098</v>
      </c>
      <c r="B1098" s="6292"/>
      <c r="C1098" s="839" t="s">
        <v>82</v>
      </c>
      <c r="E1098" s="812" t="s">
        <v>1710</v>
      </c>
      <c r="F1098" s="889" t="s">
        <v>8348</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1" t="str">
        <f>IF(AND(N1098&lt;&gt;"",N1098&lt;Místicos!$L$12),N1098&amp;" "&amp;O1098,"")</f>
        <v/>
      </c>
      <c r="R1098" s="1330" t="s">
        <v>7282</v>
      </c>
      <c r="U1098" s="1188">
        <f t="shared" si="302"/>
        <v>84</v>
      </c>
      <c r="V1098" s="1162">
        <f t="shared" si="304"/>
        <v>44</v>
      </c>
      <c r="W1098" s="1307">
        <f t="shared" si="303"/>
        <v>88</v>
      </c>
      <c r="Z1098" s="560" t="str">
        <f t="shared" si="297"/>
        <v>La Muerte</v>
      </c>
      <c r="AA1098" s="873">
        <f t="shared" si="298"/>
        <v>37</v>
      </c>
      <c r="AB1098" s="1270" t="s">
        <v>681</v>
      </c>
      <c r="AC1098" s="47">
        <v>240</v>
      </c>
      <c r="AD1098" s="135">
        <v>450</v>
      </c>
    </row>
    <row r="1099" spans="1:30" ht="12.75" customHeight="1" x14ac:dyDescent="0.2">
      <c r="A1099" s="227">
        <v>1099</v>
      </c>
      <c r="B1099" s="6292"/>
      <c r="C1099" s="839" t="s">
        <v>83</v>
      </c>
      <c r="E1099" s="812" t="s">
        <v>1712</v>
      </c>
      <c r="F1099" s="890" t="s">
        <v>8347</v>
      </c>
      <c r="G1099" s="1306" t="s">
        <v>7280</v>
      </c>
      <c r="H1099" s="1304"/>
      <c r="I1099" s="1304">
        <f>IF(SUMPRODUCT(--ISNUMBER(SEARCH(Tablas!$E1099,Tablas!$K$410:$K$420)),Tablas!$G$410:$G$420)&gt;0,40,0)+J1344</f>
        <v>0</v>
      </c>
      <c r="J1099" s="1304">
        <f t="shared" si="301"/>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9"/>
        <v/>
      </c>
      <c r="O1099" s="1304" t="str">
        <f t="shared" si="300"/>
        <v/>
      </c>
      <c r="P1099" s="1304" t="str">
        <f>IF(AND(N1099&lt;&gt;"",N1099&gt;Místicos!$L$12),N1099&amp;" "&amp;O1099,"")</f>
        <v/>
      </c>
      <c r="Q1099" s="984" t="str">
        <f>IF(AND(N1099&lt;&gt;"",N1099&lt;Místicos!$L$12),N1099&amp;" "&amp;O1099,"")</f>
        <v/>
      </c>
      <c r="R1099" s="1037" t="str">
        <f>IF(R1097&lt;&gt;R1095,"Todas excepto ","")&amp;MID(R1097,3,LEN(R1097))</f>
        <v/>
      </c>
      <c r="U1099" s="1188">
        <f t="shared" si="302"/>
        <v>94</v>
      </c>
      <c r="V1099" s="1162">
        <f t="shared" si="304"/>
        <v>48</v>
      </c>
      <c r="W1099" s="1307">
        <f t="shared" si="303"/>
        <v>98</v>
      </c>
      <c r="Z1099" s="560" t="str">
        <f t="shared" si="297"/>
        <v>La Muerte invertida</v>
      </c>
      <c r="AA1099" s="873">
        <f t="shared" si="298"/>
        <v>31</v>
      </c>
      <c r="AB1099" s="1270" t="s">
        <v>682</v>
      </c>
      <c r="AC1099" s="47">
        <v>260</v>
      </c>
      <c r="AD1099" s="135">
        <v>500</v>
      </c>
    </row>
    <row r="1100" spans="1:30" ht="12.75" customHeight="1" thickBot="1" x14ac:dyDescent="0.25">
      <c r="A1100" s="227">
        <v>1100</v>
      </c>
      <c r="B1100" s="6292"/>
      <c r="C1100" s="839" t="s">
        <v>84</v>
      </c>
      <c r="E1100" s="985" t="s">
        <v>1230</v>
      </c>
      <c r="G1100" s="1342" t="s">
        <v>8526</v>
      </c>
      <c r="H1100" s="6329">
        <f>IF(AND(P1100="",Q1100=""),Místicos!L12,P1100&amp;Q1100&amp;", "&amp;IF(AND(I1112=0,I1115=0),Místicos!L12,Místicos!L12-20)&amp;" Otros")</f>
        <v>0</v>
      </c>
      <c r="I1100" s="6329"/>
      <c r="J1100" s="6329"/>
      <c r="K1100" s="6329"/>
      <c r="L1100" s="6329"/>
      <c r="M1100" s="6329"/>
      <c r="N1100" s="6329"/>
      <c r="O1100" s="6329"/>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4"/>
        <v>54</v>
      </c>
      <c r="W1100" s="1307"/>
      <c r="Z1100" s="560" t="str">
        <f t="shared" si="297"/>
        <v>La Rueda</v>
      </c>
      <c r="AA1100" s="873">
        <f t="shared" si="298"/>
        <v>5</v>
      </c>
      <c r="AB1100" s="1270" t="s">
        <v>683</v>
      </c>
      <c r="AC1100" s="47">
        <v>280</v>
      </c>
      <c r="AD1100" s="135">
        <v>550</v>
      </c>
    </row>
    <row r="1101" spans="1:30" ht="12.75" customHeight="1" thickBot="1" x14ac:dyDescent="0.25">
      <c r="A1101" s="227">
        <v>1101</v>
      </c>
      <c r="B1101" s="6292"/>
      <c r="C1101" s="839" t="s">
        <v>85</v>
      </c>
      <c r="H1101"/>
      <c r="I1101" s="555"/>
      <c r="N1101"/>
      <c r="O1101" s="555"/>
      <c r="U1101" s="1188"/>
      <c r="V1101" s="1162">
        <f t="shared" si="304"/>
        <v>58</v>
      </c>
      <c r="W1101" s="1307"/>
      <c r="Z1101" s="560" t="str">
        <f t="shared" si="297"/>
        <v>La Rueda invertida</v>
      </c>
      <c r="AA1101" s="873">
        <f t="shared" si="298"/>
        <v>35</v>
      </c>
      <c r="AB1101" s="1270" t="s">
        <v>684</v>
      </c>
      <c r="AC1101" s="47">
        <v>300</v>
      </c>
      <c r="AD1101" s="135">
        <v>600</v>
      </c>
    </row>
    <row r="1102" spans="1:30" ht="12.75" customHeight="1" x14ac:dyDescent="0.2">
      <c r="A1102" s="227">
        <v>1102</v>
      </c>
      <c r="B1102" s="6292"/>
      <c r="C1102" s="839" t="s">
        <v>86</v>
      </c>
      <c r="E1102" s="6112" t="s">
        <v>1237</v>
      </c>
      <c r="F1102" s="6112"/>
      <c r="H1102" s="6221" t="s">
        <v>1239</v>
      </c>
      <c r="I1102" s="6222"/>
      <c r="J1102" s="6223"/>
      <c r="L1102" s="6236" t="s">
        <v>1244</v>
      </c>
      <c r="M1102" s="6237"/>
      <c r="N1102"/>
      <c r="O1102" s="555"/>
      <c r="U1102" s="1188"/>
      <c r="V1102" s="1162">
        <f t="shared" si="304"/>
        <v>64</v>
      </c>
      <c r="W1102" s="1307"/>
      <c r="Z1102" s="560" t="str">
        <f t="shared" si="297"/>
        <v>La Suma Sacerdotisa</v>
      </c>
      <c r="AA1102" s="873">
        <f t="shared" si="298"/>
        <v>41</v>
      </c>
      <c r="AB1102" s="1270" t="s">
        <v>685</v>
      </c>
      <c r="AC1102" s="47">
        <v>320</v>
      </c>
      <c r="AD1102" s="135">
        <v>650</v>
      </c>
    </row>
    <row r="1103" spans="1:30" ht="12.75" customHeight="1" thickBot="1" x14ac:dyDescent="0.25">
      <c r="A1103" s="227">
        <v>1103</v>
      </c>
      <c r="B1103" s="6292"/>
      <c r="C1103" s="839" t="s">
        <v>87</v>
      </c>
      <c r="E1103" s="173" t="s">
        <v>1509</v>
      </c>
      <c r="F1103" s="175" t="s">
        <v>1238</v>
      </c>
      <c r="H1103" s="974" t="s">
        <v>1694</v>
      </c>
      <c r="I1103" s="213" t="s">
        <v>1240</v>
      </c>
      <c r="J1103" s="925" t="s">
        <v>8527</v>
      </c>
      <c r="L1103" s="258" t="s">
        <v>1791</v>
      </c>
      <c r="M1103" s="218" t="s">
        <v>1245</v>
      </c>
      <c r="N1103"/>
      <c r="O1103" s="555"/>
      <c r="U1103" s="1188"/>
      <c r="V1103" s="1162">
        <f t="shared" si="304"/>
        <v>68</v>
      </c>
      <c r="W1103" s="1307"/>
      <c r="Z1103" s="560" t="str">
        <f t="shared" si="297"/>
        <v>La Suma Sacerdotisa invertida</v>
      </c>
      <c r="AA1103" s="873">
        <f t="shared" si="298"/>
        <v>7</v>
      </c>
      <c r="AB1103" s="1270" t="s">
        <v>686</v>
      </c>
      <c r="AC1103" s="47">
        <v>340</v>
      </c>
      <c r="AD1103" s="135">
        <v>700</v>
      </c>
    </row>
    <row r="1104" spans="1:30" ht="12.75" customHeight="1" x14ac:dyDescent="0.2">
      <c r="A1104" s="227">
        <v>1104</v>
      </c>
      <c r="B1104" s="6292"/>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4"/>
        <v>74</v>
      </c>
      <c r="W1104" s="1307"/>
      <c r="Z1104" s="560" t="str">
        <f t="shared" si="297"/>
        <v>La Templanza</v>
      </c>
      <c r="AA1104" s="873">
        <f t="shared" si="298"/>
        <v>43</v>
      </c>
      <c r="AB1104" s="1270" t="s">
        <v>687</v>
      </c>
      <c r="AC1104" s="47">
        <v>340</v>
      </c>
      <c r="AD1104" s="135">
        <v>750</v>
      </c>
    </row>
    <row r="1105" spans="1:30" ht="12.75" customHeight="1" x14ac:dyDescent="0.2">
      <c r="A1105" s="227">
        <v>1105</v>
      </c>
      <c r="B1105" s="6292"/>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4"/>
        <v>78</v>
      </c>
      <c r="W1105" s="1307"/>
      <c r="Z1105" s="560" t="str">
        <f t="shared" si="297"/>
        <v>La Templanza invertida</v>
      </c>
      <c r="AA1105" s="873">
        <f t="shared" si="298"/>
        <v>27</v>
      </c>
      <c r="AB1105" s="1270" t="s">
        <v>688</v>
      </c>
      <c r="AC1105" s="47">
        <v>380</v>
      </c>
      <c r="AD1105" s="135">
        <v>800</v>
      </c>
    </row>
    <row r="1106" spans="1:30" ht="12.75" customHeight="1" x14ac:dyDescent="0.2">
      <c r="A1106" s="227">
        <v>1106</v>
      </c>
      <c r="B1106" s="6292"/>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4"/>
        <v>84</v>
      </c>
      <c r="W1106" s="1307"/>
      <c r="Z1106" s="560" t="str">
        <f t="shared" si="297"/>
        <v>La Torre</v>
      </c>
      <c r="AA1106" s="873">
        <f t="shared" si="298"/>
        <v>33</v>
      </c>
      <c r="AB1106" s="1270" t="s">
        <v>689</v>
      </c>
      <c r="AC1106" s="47">
        <v>400</v>
      </c>
      <c r="AD1106" s="135">
        <v>850</v>
      </c>
    </row>
    <row r="1107" spans="1:30" ht="12.75" customHeight="1" x14ac:dyDescent="0.2">
      <c r="A1107" s="227">
        <v>1107</v>
      </c>
      <c r="B1107" s="6292"/>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4"/>
        <v>88</v>
      </c>
      <c r="W1107" s="1307"/>
      <c r="Z1107" s="560" t="str">
        <f t="shared" si="297"/>
        <v>La Torre invertida</v>
      </c>
      <c r="AA1107" s="873">
        <f t="shared" si="298"/>
        <v>21</v>
      </c>
      <c r="AB1107" s="1270" t="s">
        <v>690</v>
      </c>
      <c r="AC1107" s="47">
        <v>420</v>
      </c>
      <c r="AD1107" s="135">
        <v>900</v>
      </c>
    </row>
    <row r="1108" spans="1:30" ht="12.75" customHeight="1" thickBot="1" x14ac:dyDescent="0.25">
      <c r="A1108" s="227">
        <v>1108</v>
      </c>
      <c r="B1108" s="6292"/>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7"/>
        <v>Los Enamorados</v>
      </c>
      <c r="AA1108" s="873">
        <f t="shared" si="298"/>
        <v>15</v>
      </c>
      <c r="AB1108" s="1270" t="s">
        <v>691</v>
      </c>
      <c r="AC1108" s="47">
        <v>440</v>
      </c>
      <c r="AD1108" s="135">
        <v>950</v>
      </c>
    </row>
    <row r="1109" spans="1:30" ht="12.75" customHeight="1" thickBot="1" x14ac:dyDescent="0.25">
      <c r="A1109" s="227">
        <v>1109</v>
      </c>
      <c r="B1109" s="6292"/>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7"/>
        <v>Los Enamorados invertidos</v>
      </c>
      <c r="AA1109" s="873">
        <f t="shared" si="298"/>
        <v>19</v>
      </c>
      <c r="AB1109" s="1270" t="s">
        <v>692</v>
      </c>
      <c r="AC1109" s="47">
        <v>460</v>
      </c>
      <c r="AD1109" s="135">
        <v>1000</v>
      </c>
    </row>
    <row r="1110" spans="1:30" ht="12.75" customHeight="1" thickBot="1" x14ac:dyDescent="0.25">
      <c r="A1110" s="227">
        <v>1110</v>
      </c>
      <c r="B1110" s="6292"/>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5">VLOOKUP(A1,$AA$1110:$AB$1185,2,0)</f>
        <v>&gt; GRANDES BESTIAS</v>
      </c>
      <c r="AA1110" s="873">
        <f>COUNTIF($AB$1110:$AB$1185,"&lt;="&amp;AB1110)</f>
        <v>1</v>
      </c>
      <c r="AB1110" s="1270" t="s">
        <v>693</v>
      </c>
      <c r="AC1110" s="47"/>
      <c r="AD1110" s="135"/>
    </row>
    <row r="1111" spans="1:30" ht="12.75" customHeight="1" x14ac:dyDescent="0.2">
      <c r="A1111" s="227">
        <v>1111</v>
      </c>
      <c r="B1111" s="6292"/>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5"/>
        <v>Behemoth, Señor de la Tierra</v>
      </c>
      <c r="AA1111" s="873">
        <f t="shared" ref="AA1111:AA1174" si="306">COUNTIF($AB$1110:$AB$1185,"&lt;="&amp;AB1111)</f>
        <v>52</v>
      </c>
      <c r="AB1111" s="1270" t="s">
        <v>694</v>
      </c>
      <c r="AC1111" s="47">
        <v>280</v>
      </c>
      <c r="AD1111" s="135">
        <v>450</v>
      </c>
    </row>
    <row r="1112" spans="1:30" ht="12.75" customHeight="1" x14ac:dyDescent="0.2">
      <c r="A1112" s="227">
        <v>1112</v>
      </c>
      <c r="B1112" s="6292"/>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5"/>
        <v>Behemoth: Comunión con la tierra</v>
      </c>
      <c r="AA1112" s="873">
        <f t="shared" si="306"/>
        <v>51</v>
      </c>
      <c r="AB1112" s="1270" t="s">
        <v>695</v>
      </c>
      <c r="AC1112" s="47">
        <v>380</v>
      </c>
      <c r="AD1112" s="135">
        <v>800</v>
      </c>
    </row>
    <row r="1113" spans="1:30" ht="12.75" customHeight="1" thickBot="1" x14ac:dyDescent="0.25">
      <c r="A1113" s="227">
        <v>1113</v>
      </c>
      <c r="B1113" s="6292"/>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5"/>
        <v>Behemoth: Señor de la tierra</v>
      </c>
      <c r="AA1113" s="873">
        <f t="shared" si="306"/>
        <v>32</v>
      </c>
      <c r="AB1113" s="1270" t="s">
        <v>696</v>
      </c>
      <c r="AC1113" s="47">
        <v>150</v>
      </c>
      <c r="AD1113" s="135">
        <v>200</v>
      </c>
    </row>
    <row r="1114" spans="1:30" ht="12.75" customHeight="1" x14ac:dyDescent="0.2">
      <c r="A1114" s="227">
        <v>1114</v>
      </c>
      <c r="B1114" s="6292"/>
      <c r="E1114" s="295"/>
      <c r="H1114" s="1340" t="s">
        <v>1703</v>
      </c>
      <c r="I1114" s="86">
        <f>IF(I1115&gt;0,IF(AND(J1094&lt;999,K1094&lt;2),1,0),Tablas!G432)</f>
        <v>0</v>
      </c>
      <c r="J1114" s="486">
        <f>IF(OR(I1105&gt;0,I1112&gt;0),1,0)</f>
        <v>0</v>
      </c>
      <c r="O1114" s="35" t="s">
        <v>1698</v>
      </c>
      <c r="P1114" s="1250"/>
      <c r="Z1114" s="560" t="str">
        <f t="shared" si="305"/>
        <v>Byakko, el Tigre Blanco</v>
      </c>
      <c r="AA1114" s="873">
        <f t="shared" si="306"/>
        <v>18</v>
      </c>
      <c r="AB1114" s="1270" t="s">
        <v>697</v>
      </c>
      <c r="AC1114" s="47">
        <v>220</v>
      </c>
      <c r="AD1114" s="135">
        <v>500</v>
      </c>
    </row>
    <row r="1115" spans="1:30" ht="12.75" customHeight="1" thickBot="1" x14ac:dyDescent="0.25">
      <c r="A1115" s="227">
        <v>1115</v>
      </c>
      <c r="B1115" s="6292"/>
      <c r="H1115" s="1341" t="s">
        <v>1241</v>
      </c>
      <c r="I1115" s="488">
        <f>Tablas!G438</f>
        <v>0</v>
      </c>
      <c r="J1115" s="681" t="s">
        <v>1455</v>
      </c>
      <c r="O1115" s="67" t="s">
        <v>1699</v>
      </c>
      <c r="P1115" s="1317"/>
      <c r="Z1115" s="560" t="str">
        <f t="shared" si="305"/>
        <v>Byakko: La bestia definitiva</v>
      </c>
      <c r="AA1115" s="873">
        <f t="shared" si="306"/>
        <v>48</v>
      </c>
      <c r="AB1115" s="1270" t="s">
        <v>698</v>
      </c>
      <c r="AC1115" s="47">
        <v>140</v>
      </c>
      <c r="AD1115" s="135">
        <v>200</v>
      </c>
    </row>
    <row r="1116" spans="1:30" ht="12.75" customHeight="1" thickBot="1" x14ac:dyDescent="0.25">
      <c r="A1116" s="227">
        <v>1116</v>
      </c>
      <c r="B1116" s="6292"/>
      <c r="N1116"/>
      <c r="O1116" s="555"/>
      <c r="Z1116" s="560" t="str">
        <f t="shared" si="305"/>
        <v>Byakko: La garra del rey de las bestias</v>
      </c>
      <c r="AA1116" s="873">
        <f t="shared" si="306"/>
        <v>33</v>
      </c>
      <c r="AB1116" s="1270" t="s">
        <v>699</v>
      </c>
      <c r="AC1116" s="47">
        <v>180</v>
      </c>
      <c r="AD1116" s="135">
        <v>200</v>
      </c>
    </row>
    <row r="1117" spans="1:30" ht="12.75" customHeight="1" x14ac:dyDescent="0.2">
      <c r="A1117" s="227">
        <v>1117</v>
      </c>
      <c r="B1117" s="6292"/>
      <c r="C1117" s="6241" t="s">
        <v>80</v>
      </c>
      <c r="D1117" s="6242"/>
      <c r="E1117" s="6242"/>
      <c r="F1117" s="6242"/>
      <c r="G1117" s="6242"/>
      <c r="H1117" s="6242"/>
      <c r="I1117" s="6242"/>
      <c r="J1117" s="6243"/>
      <c r="K1117" s="6218" t="s">
        <v>6956</v>
      </c>
      <c r="M1117" s="3158" t="s">
        <v>6957</v>
      </c>
      <c r="N1117" s="3159"/>
      <c r="O1117" s="3159"/>
      <c r="P1117" s="3159"/>
      <c r="Q1117" s="3159"/>
      <c r="R1117" s="3159"/>
      <c r="S1117" s="3159"/>
      <c r="T1117" s="3159"/>
      <c r="U1117" s="3159"/>
      <c r="V1117" s="3159"/>
      <c r="W1117" s="3160"/>
      <c r="Z1117" s="560" t="str">
        <f t="shared" si="305"/>
        <v>Byakko: Protección</v>
      </c>
      <c r="AA1117" s="873">
        <f t="shared" si="306"/>
        <v>35</v>
      </c>
      <c r="AB1117" s="1270" t="s">
        <v>700</v>
      </c>
      <c r="AC1117" s="47">
        <v>140</v>
      </c>
      <c r="AD1117" s="135">
        <v>120</v>
      </c>
    </row>
    <row r="1118" spans="1:30" ht="12.75" customHeight="1" thickBot="1" x14ac:dyDescent="0.25">
      <c r="A1118" s="227">
        <v>1118</v>
      </c>
      <c r="B1118" s="6292"/>
      <c r="C1118" s="6245" t="s">
        <v>6958</v>
      </c>
      <c r="D1118" s="6246"/>
      <c r="E1118" s="6246"/>
      <c r="F1118" s="6246"/>
      <c r="G1118" s="6246"/>
      <c r="H1118" s="6246"/>
      <c r="I1118" s="6246"/>
      <c r="J1118" s="6247"/>
      <c r="K1118" s="6218"/>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5"/>
        <v>Byakko: Señor del oeste</v>
      </c>
      <c r="AA1118" s="873">
        <f t="shared" si="306"/>
        <v>34</v>
      </c>
      <c r="AB1118" s="1270" t="s">
        <v>701</v>
      </c>
      <c r="AC1118" s="47">
        <v>200</v>
      </c>
      <c r="AD1118" s="135">
        <v>240</v>
      </c>
    </row>
    <row r="1119" spans="1:30" ht="12.75" customHeight="1" x14ac:dyDescent="0.2">
      <c r="A1119" s="227">
        <v>1119</v>
      </c>
      <c r="B1119" s="6292"/>
      <c r="C1119" s="263" t="s">
        <v>81</v>
      </c>
      <c r="D1119" s="264" t="s">
        <v>1712</v>
      </c>
      <c r="E1119" s="264" t="s">
        <v>1710</v>
      </c>
      <c r="F1119" s="264" t="s">
        <v>1708</v>
      </c>
      <c r="G1119" s="264" t="s">
        <v>1609</v>
      </c>
      <c r="H1119" s="264" t="s">
        <v>1703</v>
      </c>
      <c r="I1119" s="226" t="s">
        <v>1605</v>
      </c>
      <c r="J1119" s="196"/>
      <c r="K1119" s="741" t="str">
        <f t="shared" ref="K1119:K1132" si="307">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5"/>
        <v>Caronte, Titiritero de Almas</v>
      </c>
      <c r="AA1119" s="873">
        <f t="shared" si="306"/>
        <v>36</v>
      </c>
      <c r="AB1119" s="1270" t="s">
        <v>702</v>
      </c>
      <c r="AC1119" s="47">
        <v>240</v>
      </c>
      <c r="AD1119" s="135">
        <v>400</v>
      </c>
    </row>
    <row r="1120" spans="1:30" ht="12.75" customHeight="1" x14ac:dyDescent="0.2">
      <c r="A1120" s="227">
        <v>1120</v>
      </c>
      <c r="B1120" s="6292"/>
      <c r="C1120" s="265" t="s">
        <v>89</v>
      </c>
      <c r="D1120" s="264" t="s">
        <v>1706</v>
      </c>
      <c r="E1120" s="264" t="s">
        <v>1703</v>
      </c>
      <c r="F1120" s="264" t="s">
        <v>1609</v>
      </c>
      <c r="G1120" s="264" t="s">
        <v>1710</v>
      </c>
      <c r="H1120" s="264"/>
      <c r="I1120" s="226"/>
      <c r="J1120" s="196"/>
      <c r="K1120" s="741" t="str">
        <f t="shared" si="307"/>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5"/>
        <v>Druaga</v>
      </c>
      <c r="AA1120" s="873">
        <f t="shared" si="306"/>
        <v>25</v>
      </c>
      <c r="AB1120" s="1270" t="s">
        <v>703</v>
      </c>
      <c r="AC1120" s="47">
        <v>260</v>
      </c>
      <c r="AD1120" s="135">
        <v>400</v>
      </c>
    </row>
    <row r="1121" spans="1:30" ht="12.75" customHeight="1" x14ac:dyDescent="0.2">
      <c r="A1121" s="227">
        <v>1121</v>
      </c>
      <c r="B1121" s="6292"/>
      <c r="C1121" s="265" t="s">
        <v>82</v>
      </c>
      <c r="D1121" s="264" t="s">
        <v>1708</v>
      </c>
      <c r="E1121" s="264" t="s">
        <v>1602</v>
      </c>
      <c r="F1121" s="264" t="s">
        <v>1698</v>
      </c>
      <c r="G1121" s="264" t="s">
        <v>1605</v>
      </c>
      <c r="H1121" s="264" t="s">
        <v>1710</v>
      </c>
      <c r="I1121" s="226" t="s">
        <v>1705</v>
      </c>
      <c r="J1121" s="196"/>
      <c r="K1121" s="741" t="str">
        <f t="shared" si="307"/>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5"/>
        <v>Druaga: Destructora de demonios</v>
      </c>
      <c r="AA1121" s="873">
        <f t="shared" si="306"/>
        <v>47</v>
      </c>
      <c r="AB1121" s="1270" t="s">
        <v>704</v>
      </c>
      <c r="AC1121" s="47">
        <v>180</v>
      </c>
      <c r="AD1121" s="135">
        <v>200</v>
      </c>
    </row>
    <row r="1122" spans="1:30" ht="12.75" customHeight="1" x14ac:dyDescent="0.2">
      <c r="A1122" s="227">
        <v>1122</v>
      </c>
      <c r="B1122" s="6292"/>
      <c r="C1122" s="265" t="s">
        <v>83</v>
      </c>
      <c r="D1122" s="264" t="s">
        <v>1712</v>
      </c>
      <c r="E1122" s="264" t="s">
        <v>1706</v>
      </c>
      <c r="F1122" s="264" t="s">
        <v>1708</v>
      </c>
      <c r="G1122" s="264" t="s">
        <v>1609</v>
      </c>
      <c r="H1122" s="264" t="s">
        <v>1602</v>
      </c>
      <c r="I1122" s="226" t="s">
        <v>1703</v>
      </c>
      <c r="J1122" s="196"/>
      <c r="K1122" s="741" t="str">
        <f t="shared" si="307"/>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5"/>
        <v>Druaga: Kali</v>
      </c>
      <c r="AA1122" s="873">
        <f t="shared" si="306"/>
        <v>26</v>
      </c>
      <c r="AB1122" s="1270" t="s">
        <v>705</v>
      </c>
      <c r="AC1122" s="47">
        <v>220</v>
      </c>
      <c r="AD1122" s="135">
        <v>350</v>
      </c>
    </row>
    <row r="1123" spans="1:30" ht="12.75" customHeight="1" x14ac:dyDescent="0.2">
      <c r="A1123" s="227">
        <v>1123</v>
      </c>
      <c r="B1123" s="6292"/>
      <c r="C1123" s="265" t="s">
        <v>84</v>
      </c>
      <c r="D1123" s="264" t="s">
        <v>1705</v>
      </c>
      <c r="E1123" s="264" t="s">
        <v>1698</v>
      </c>
      <c r="F1123" s="264" t="s">
        <v>1708</v>
      </c>
      <c r="G1123" s="264" t="s">
        <v>1703</v>
      </c>
      <c r="H1123" s="264" t="s">
        <v>1605</v>
      </c>
      <c r="I1123" s="226" t="s">
        <v>1602</v>
      </c>
      <c r="J1123" s="196" t="s">
        <v>1710</v>
      </c>
      <c r="K1123" s="741" t="str">
        <f t="shared" si="307"/>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5"/>
        <v>Eir, la Primera Valkyria</v>
      </c>
      <c r="AA1123" s="873">
        <f t="shared" si="306"/>
        <v>50</v>
      </c>
      <c r="AB1123" s="1270" t="s">
        <v>706</v>
      </c>
      <c r="AC1123" s="47">
        <v>220</v>
      </c>
      <c r="AD1123" s="135">
        <v>400</v>
      </c>
    </row>
    <row r="1124" spans="1:30" ht="12.75" customHeight="1" x14ac:dyDescent="0.2">
      <c r="A1124" s="227">
        <v>1124</v>
      </c>
      <c r="B1124" s="6292"/>
      <c r="C1124" s="265" t="s">
        <v>85</v>
      </c>
      <c r="D1124" s="264" t="s">
        <v>1706</v>
      </c>
      <c r="E1124" s="264" t="s">
        <v>1609</v>
      </c>
      <c r="F1124" s="264" t="s">
        <v>1703</v>
      </c>
      <c r="G1124" s="264" t="s">
        <v>1712</v>
      </c>
      <c r="H1124" s="264"/>
      <c r="I1124" s="226"/>
      <c r="J1124" s="196"/>
      <c r="K1124" s="741" t="str">
        <f t="shared" si="307"/>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5"/>
        <v>Eir: Einjear</v>
      </c>
      <c r="AA1124" s="873">
        <f t="shared" si="306"/>
        <v>37</v>
      </c>
      <c r="AB1124" s="1270" t="s">
        <v>707</v>
      </c>
      <c r="AC1124" s="47">
        <v>280</v>
      </c>
      <c r="AD1124" s="135">
        <v>500</v>
      </c>
    </row>
    <row r="1125" spans="1:30" ht="12.75" customHeight="1" x14ac:dyDescent="0.2">
      <c r="A1125" s="227">
        <v>1125</v>
      </c>
      <c r="B1125" s="6292"/>
      <c r="C1125" s="265" t="s">
        <v>86</v>
      </c>
      <c r="D1125" s="264" t="s">
        <v>1705</v>
      </c>
      <c r="E1125" s="264" t="s">
        <v>1706</v>
      </c>
      <c r="F1125" s="264" t="s">
        <v>1708</v>
      </c>
      <c r="G1125" s="264" t="s">
        <v>1609</v>
      </c>
      <c r="H1125" s="264" t="s">
        <v>1712</v>
      </c>
      <c r="I1125" s="226"/>
      <c r="J1125" s="196"/>
      <c r="K1125" s="741" t="str">
        <f t="shared" si="307"/>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5"/>
        <v>Eir: El ojo de la muerte</v>
      </c>
      <c r="AA1125" s="873">
        <f t="shared" si="306"/>
        <v>39</v>
      </c>
      <c r="AB1125" s="1270" t="s">
        <v>708</v>
      </c>
      <c r="AC1125" s="47">
        <v>240</v>
      </c>
      <c r="AD1125" s="135">
        <v>400</v>
      </c>
    </row>
    <row r="1126" spans="1:30" ht="12.75" customHeight="1" x14ac:dyDescent="0.2">
      <c r="A1126" s="227">
        <v>1126</v>
      </c>
      <c r="B1126" s="6292"/>
      <c r="C1126" s="265" t="s">
        <v>87</v>
      </c>
      <c r="D1126" s="264" t="s">
        <v>1706</v>
      </c>
      <c r="E1126" s="264" t="s">
        <v>1699</v>
      </c>
      <c r="F1126" s="264" t="s">
        <v>1609</v>
      </c>
      <c r="G1126" s="264" t="s">
        <v>1712</v>
      </c>
      <c r="H1126" s="264" t="s">
        <v>1710</v>
      </c>
      <c r="I1126" s="226"/>
      <c r="J1126" s="196"/>
      <c r="K1126" s="741" t="str">
        <f t="shared" si="307"/>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5"/>
        <v>El Vendedor</v>
      </c>
      <c r="AA1126" s="873">
        <f t="shared" si="306"/>
        <v>38</v>
      </c>
      <c r="AB1126" s="1270" t="s">
        <v>709</v>
      </c>
      <c r="AC1126" s="47">
        <v>280</v>
      </c>
      <c r="AD1126" s="135">
        <v>500</v>
      </c>
    </row>
    <row r="1127" spans="1:30" ht="12.75" customHeight="1" x14ac:dyDescent="0.2">
      <c r="A1127" s="227">
        <v>1127</v>
      </c>
      <c r="B1127" s="6292"/>
      <c r="C1127" s="265" t="s">
        <v>88</v>
      </c>
      <c r="D1127" s="264" t="s">
        <v>1698</v>
      </c>
      <c r="E1127" s="264" t="s">
        <v>1708</v>
      </c>
      <c r="F1127" s="264" t="s">
        <v>1710</v>
      </c>
      <c r="G1127" s="264" t="s">
        <v>1703</v>
      </c>
      <c r="H1127" s="264" t="s">
        <v>1605</v>
      </c>
      <c r="I1127" s="226"/>
      <c r="J1127" s="196"/>
      <c r="K1127" s="741" t="str">
        <f t="shared" si="307"/>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5"/>
        <v>Enamon</v>
      </c>
      <c r="AA1127" s="873">
        <f t="shared" si="306"/>
        <v>19</v>
      </c>
      <c r="AB1127" s="1270" t="s">
        <v>710</v>
      </c>
      <c r="AC1127" s="47">
        <v>280</v>
      </c>
      <c r="AD1127" s="135">
        <v>400</v>
      </c>
    </row>
    <row r="1128" spans="1:30" ht="12.75" customHeight="1" x14ac:dyDescent="0.2">
      <c r="A1128" s="227">
        <v>1128</v>
      </c>
      <c r="B1128" s="6292"/>
      <c r="C1128" s="265" t="s">
        <v>90</v>
      </c>
      <c r="D1128" s="264" t="s">
        <v>1698</v>
      </c>
      <c r="E1128" s="264" t="s">
        <v>1710</v>
      </c>
      <c r="F1128" s="264" t="s">
        <v>1609</v>
      </c>
      <c r="G1128" s="264" t="s">
        <v>1602</v>
      </c>
      <c r="H1128" s="264" t="s">
        <v>1703</v>
      </c>
      <c r="I1128" s="226"/>
      <c r="J1128" s="196"/>
      <c r="K1128" s="741" t="str">
        <f t="shared" si="307"/>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5"/>
        <v>Ethelthryth, Señora de los Nombres</v>
      </c>
      <c r="AA1128" s="873">
        <f t="shared" si="306"/>
        <v>20</v>
      </c>
      <c r="AB1128" s="1270" t="s">
        <v>711</v>
      </c>
      <c r="AC1128" s="47">
        <v>240</v>
      </c>
      <c r="AD1128" s="135">
        <v>350</v>
      </c>
    </row>
    <row r="1129" spans="1:30" ht="12.75" customHeight="1" x14ac:dyDescent="0.2">
      <c r="A1129" s="227">
        <v>1129</v>
      </c>
      <c r="B1129" s="6292"/>
      <c r="C1129" s="265" t="s">
        <v>91</v>
      </c>
      <c r="D1129" s="264" t="s">
        <v>1705</v>
      </c>
      <c r="E1129" s="264" t="s">
        <v>1706</v>
      </c>
      <c r="F1129" s="264" t="s">
        <v>1605</v>
      </c>
      <c r="G1129" s="264" t="s">
        <v>1703</v>
      </c>
      <c r="H1129" s="264" t="s">
        <v>1609</v>
      </c>
      <c r="I1129" s="226"/>
      <c r="J1129" s="196"/>
      <c r="K1129" s="741" t="str">
        <f t="shared" si="307"/>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5"/>
        <v>Ethelthryth: In Nomine</v>
      </c>
      <c r="AA1129" s="873">
        <f t="shared" si="306"/>
        <v>21</v>
      </c>
      <c r="AB1129" s="1270" t="s">
        <v>712</v>
      </c>
      <c r="AC1129" s="47">
        <v>320</v>
      </c>
      <c r="AD1129" s="135">
        <v>450</v>
      </c>
    </row>
    <row r="1130" spans="1:30" ht="12.75" customHeight="1" x14ac:dyDescent="0.2">
      <c r="A1130" s="227">
        <v>1130</v>
      </c>
      <c r="B1130" s="6292"/>
      <c r="C1130" s="265" t="s">
        <v>92</v>
      </c>
      <c r="D1130" s="264" t="s">
        <v>1712</v>
      </c>
      <c r="E1130" s="264" t="s">
        <v>1605</v>
      </c>
      <c r="F1130" s="264" t="s">
        <v>1703</v>
      </c>
      <c r="G1130" s="264" t="s">
        <v>1609</v>
      </c>
      <c r="H1130" s="264" t="s">
        <v>1602</v>
      </c>
      <c r="I1130" s="226" t="s">
        <v>1708</v>
      </c>
      <c r="J1130" s="196" t="s">
        <v>1710</v>
      </c>
      <c r="K1130" s="741" t="str">
        <f t="shared" si="307"/>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5"/>
        <v>Ethelthryth: Ordinare</v>
      </c>
      <c r="AA1130" s="873">
        <f t="shared" si="306"/>
        <v>14</v>
      </c>
      <c r="AB1130" s="1270" t="s">
        <v>713</v>
      </c>
      <c r="AC1130" s="47">
        <v>280</v>
      </c>
      <c r="AD1130" s="135">
        <v>400</v>
      </c>
    </row>
    <row r="1131" spans="1:30" ht="12.75" customHeight="1" x14ac:dyDescent="0.2">
      <c r="A1131" s="227">
        <v>1131</v>
      </c>
      <c r="B1131" s="6292"/>
      <c r="C1131" s="265" t="s">
        <v>2074</v>
      </c>
      <c r="D1131" s="264" t="s">
        <v>1698</v>
      </c>
      <c r="E1131" s="264" t="s">
        <v>1708</v>
      </c>
      <c r="F1131" s="264" t="s">
        <v>1605</v>
      </c>
      <c r="G1131" s="264" t="s">
        <v>1705</v>
      </c>
      <c r="H1131" s="264" t="s">
        <v>1706</v>
      </c>
      <c r="I1131" s="226"/>
      <c r="J1131" s="196"/>
      <c r="K1131" s="741" t="str">
        <f t="shared" si="307"/>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5"/>
        <v>Forseti, Señor del Equilibrio</v>
      </c>
      <c r="AA1131" s="873">
        <f t="shared" si="306"/>
        <v>16</v>
      </c>
      <c r="AB1131" s="1270" t="s">
        <v>714</v>
      </c>
      <c r="AC1131" s="47">
        <v>200</v>
      </c>
      <c r="AD1131" s="135">
        <v>240</v>
      </c>
    </row>
    <row r="1132" spans="1:30" ht="12.75" customHeight="1" thickBot="1" x14ac:dyDescent="0.25">
      <c r="A1132" s="227">
        <v>1132</v>
      </c>
      <c r="B1132" s="6292"/>
      <c r="C1132" s="266" t="s">
        <v>93</v>
      </c>
      <c r="D1132" s="267" t="s">
        <v>1698</v>
      </c>
      <c r="E1132" s="267" t="s">
        <v>1705</v>
      </c>
      <c r="F1132" s="267" t="s">
        <v>1703</v>
      </c>
      <c r="G1132" s="267" t="s">
        <v>1609</v>
      </c>
      <c r="H1132" s="267" t="s">
        <v>1708</v>
      </c>
      <c r="I1132" s="228" t="s">
        <v>1710</v>
      </c>
      <c r="J1132" s="198"/>
      <c r="K1132" s="742" t="str">
        <f t="shared" si="307"/>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5"/>
        <v>Forseti: Equilibirum</v>
      </c>
      <c r="AA1132" s="873">
        <f t="shared" si="306"/>
        <v>15</v>
      </c>
      <c r="AB1132" s="1270" t="s">
        <v>715</v>
      </c>
      <c r="AC1132" s="47">
        <v>380</v>
      </c>
      <c r="AD1132" s="135">
        <v>800</v>
      </c>
    </row>
    <row r="1133" spans="1:30" ht="12.75" customHeight="1" x14ac:dyDescent="0.2">
      <c r="A1133" s="227">
        <v>1133</v>
      </c>
      <c r="B1133" s="6292"/>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5"/>
        <v>Forseti: Equilibirum mundi</v>
      </c>
      <c r="AA1133" s="873">
        <f t="shared" si="306"/>
        <v>68</v>
      </c>
      <c r="AB1133" s="1270" t="s">
        <v>716</v>
      </c>
      <c r="AC1133" s="47">
        <v>240</v>
      </c>
      <c r="AD1133" s="135">
        <v>350</v>
      </c>
    </row>
    <row r="1134" spans="1:30" ht="12.75" customHeight="1" thickBot="1" x14ac:dyDescent="0.25">
      <c r="A1134" s="227">
        <v>1134</v>
      </c>
      <c r="B1134" s="6292"/>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5"/>
        <v>Galgaliel, Ángel de los Dones</v>
      </c>
      <c r="AA1134" s="873">
        <f t="shared" si="306"/>
        <v>67</v>
      </c>
      <c r="AB1134" s="1270" t="s">
        <v>717</v>
      </c>
      <c r="AC1134" s="47">
        <v>240</v>
      </c>
      <c r="AD1134" s="135">
        <v>400</v>
      </c>
    </row>
    <row r="1135" spans="1:30" ht="12.75" customHeight="1" thickBot="1" x14ac:dyDescent="0.25">
      <c r="A1135" s="227">
        <v>1135</v>
      </c>
      <c r="B1135" s="6292"/>
      <c r="Z1135" s="560" t="str">
        <f t="shared" si="305"/>
        <v>Garuda, Alas de Fuego</v>
      </c>
      <c r="AA1135" s="873">
        <f t="shared" si="306"/>
        <v>10</v>
      </c>
      <c r="AB1135" s="1270" t="s">
        <v>718</v>
      </c>
      <c r="AC1135" s="47">
        <v>340</v>
      </c>
      <c r="AD1135" s="135">
        <v>700</v>
      </c>
    </row>
    <row r="1136" spans="1:30" ht="12.75" customHeight="1" thickBot="1" x14ac:dyDescent="0.25">
      <c r="A1136" s="227">
        <v>1136</v>
      </c>
      <c r="B1136" s="6292"/>
      <c r="C1136" s="6086" t="s">
        <v>10423</v>
      </c>
      <c r="D1136" s="6087"/>
      <c r="E1136" s="6087"/>
      <c r="F1136" s="6087"/>
      <c r="G1136" s="6087"/>
      <c r="H1136" s="6087"/>
      <c r="I1136" s="6087"/>
      <c r="J1136" s="6087"/>
      <c r="K1136" s="6087"/>
      <c r="L1136" s="6087"/>
      <c r="M1136" s="6088"/>
      <c r="N1136" s="655"/>
      <c r="O1136" s="755"/>
      <c r="P1136" s="3676" t="s">
        <v>98</v>
      </c>
      <c r="Q1136" s="3676"/>
      <c r="R1136" s="3676"/>
      <c r="S1136" s="3676"/>
      <c r="T1136" s="3676"/>
      <c r="U1136" s="3676"/>
      <c r="V1136" s="3676"/>
      <c r="W1136" s="3676"/>
      <c r="Z1136" s="560" t="str">
        <f t="shared" si="305"/>
        <v>Genbu, la Tortuga Negra</v>
      </c>
      <c r="AA1136" s="873">
        <f t="shared" si="306"/>
        <v>49</v>
      </c>
      <c r="AB1136" s="1270" t="s">
        <v>719</v>
      </c>
      <c r="AC1136" s="47">
        <v>280</v>
      </c>
      <c r="AD1136" s="135">
        <v>500</v>
      </c>
    </row>
    <row r="1137" spans="1:30" ht="12.75" customHeight="1" thickBot="1" x14ac:dyDescent="0.25">
      <c r="A1137" s="227">
        <v>1137</v>
      </c>
      <c r="B1137" s="6292"/>
      <c r="C1137" s="6143"/>
      <c r="D1137" s="6151"/>
      <c r="E1137" s="6151"/>
      <c r="F1137" s="6151"/>
      <c r="G1137" s="6151"/>
      <c r="H1137" s="6151"/>
      <c r="I1137" s="6151"/>
      <c r="J1137" s="6151"/>
      <c r="K1137" s="6151"/>
      <c r="L1137" s="6151"/>
      <c r="M1137" s="6144"/>
      <c r="O1137" s="555"/>
      <c r="P1137" s="3676"/>
      <c r="Q1137" s="3676"/>
      <c r="R1137" s="3676"/>
      <c r="S1137" s="3676"/>
      <c r="T1137" s="3676"/>
      <c r="U1137" s="3676"/>
      <c r="V1137" s="3676"/>
      <c r="W1137" s="3676"/>
      <c r="Z1137" s="560" t="str">
        <f t="shared" si="305"/>
        <v>Genbu: Amo de las entrañas de la tierra</v>
      </c>
      <c r="AA1137" s="873">
        <f t="shared" si="306"/>
        <v>40</v>
      </c>
      <c r="AB1137" s="1270" t="s">
        <v>720</v>
      </c>
      <c r="AC1137" s="47">
        <v>200</v>
      </c>
      <c r="AD1137" s="135">
        <v>350</v>
      </c>
    </row>
    <row r="1138" spans="1:30" ht="12.75" customHeight="1" thickBot="1" x14ac:dyDescent="0.25">
      <c r="A1138" s="227">
        <v>1138</v>
      </c>
      <c r="B1138" s="6292"/>
      <c r="C1138" s="2942" t="s">
        <v>1605</v>
      </c>
      <c r="D1138" s="2943" t="s">
        <v>1602</v>
      </c>
      <c r="E1138" s="2943" t="s">
        <v>1705</v>
      </c>
      <c r="F1138" s="2944" t="s">
        <v>1706</v>
      </c>
      <c r="G1138" s="2943" t="s">
        <v>1708</v>
      </c>
      <c r="H1138" s="2943" t="s">
        <v>1609</v>
      </c>
      <c r="I1138" s="2943" t="s">
        <v>1710</v>
      </c>
      <c r="J1138" s="2943" t="s">
        <v>1698</v>
      </c>
      <c r="K1138" s="2943" t="s">
        <v>1712</v>
      </c>
      <c r="L1138" s="2923" t="s">
        <v>1699</v>
      </c>
      <c r="M1138" s="2945"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5"/>
        <v>Genbu: Clarividencia</v>
      </c>
      <c r="AA1138" s="873">
        <f t="shared" si="306"/>
        <v>41</v>
      </c>
      <c r="AB1138" s="1270" t="s">
        <v>721</v>
      </c>
      <c r="AC1138" s="47">
        <v>360</v>
      </c>
      <c r="AD1138" s="135">
        <v>650</v>
      </c>
    </row>
    <row r="1139" spans="1:30" ht="12.75" customHeight="1" x14ac:dyDescent="0.2">
      <c r="A1139" s="227">
        <v>1139</v>
      </c>
      <c r="B1139" s="6292"/>
      <c r="C1139" s="2946" t="str">
        <f>IFERROR(VLOOKUP(C$1138,Místicos!$C$15:$F$25,3,0),"")</f>
        <v/>
      </c>
      <c r="D1139" s="2757" t="str">
        <f>IFERROR(VLOOKUP(D$1138,Místicos!$C$15:$F$25,3,0),"")</f>
        <v/>
      </c>
      <c r="E1139" s="2757" t="str">
        <f>IFERROR(VLOOKUP(E$1138,Místicos!$C$15:$F$25,3,0),"")</f>
        <v/>
      </c>
      <c r="F1139" s="2757" t="str">
        <f>IFERROR(VLOOKUP(F$1138,Místicos!$C$15:$F$25,3,0),"")</f>
        <v/>
      </c>
      <c r="G1139" s="2757" t="str">
        <f>IFERROR(VLOOKUP(G$1138,Místicos!$C$15:$F$25,3,0),"")</f>
        <v/>
      </c>
      <c r="H1139" s="2757" t="str">
        <f>IFERROR(VLOOKUP(H$1138,Místicos!$C$15:$F$25,3,0),"")</f>
        <v/>
      </c>
      <c r="I1139" s="2757" t="str">
        <f>IFERROR(VLOOKUP(I$1138,Místicos!$C$15:$F$25,3,0),"")</f>
        <v/>
      </c>
      <c r="J1139" s="2757" t="str">
        <f>IFERROR(VLOOKUP(J$1138,Místicos!$C$15:$F$25,3,0),"")</f>
        <v/>
      </c>
      <c r="K1139" s="2757" t="str">
        <f>IFERROR(VLOOKUP(K$1138,Místicos!$C$15:$F$25,3,0),"")</f>
        <v/>
      </c>
      <c r="L1139" s="2757" t="str">
        <f>IFERROR(VLOOKUP(L$1138,Místicos!$C$15:$F$25,3,0),"")</f>
        <v/>
      </c>
      <c r="M1139" s="2758"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5"/>
        <v>Genbu: El escudo definitivo</v>
      </c>
      <c r="AA1139" s="873">
        <f t="shared" si="306"/>
        <v>22</v>
      </c>
      <c r="AB1139" s="1270" t="s">
        <v>722</v>
      </c>
      <c r="AC1139" s="47">
        <v>320</v>
      </c>
      <c r="AD1139" s="135">
        <v>600</v>
      </c>
    </row>
    <row r="1140" spans="1:30" ht="12.75" customHeight="1" x14ac:dyDescent="0.2">
      <c r="A1140" s="227">
        <v>1140</v>
      </c>
      <c r="B1140" s="6292"/>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8"/>
      <c r="O1140" s="555"/>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5"/>
        <v>Genbu: Señor del norte</v>
      </c>
      <c r="AA1140" s="873">
        <f t="shared" si="306"/>
        <v>23</v>
      </c>
      <c r="AB1140" s="1270" t="s">
        <v>723</v>
      </c>
      <c r="AC1140" s="47">
        <v>280</v>
      </c>
      <c r="AD1140" s="135">
        <v>500</v>
      </c>
    </row>
    <row r="1141" spans="1:30" ht="12.75" customHeight="1" x14ac:dyDescent="0.2">
      <c r="A1141" s="227">
        <v>1141</v>
      </c>
      <c r="B1141" s="6292"/>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8"/>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5"/>
        <v>Hermod, el Mensajero de los Dioses</v>
      </c>
      <c r="AA1141" s="873">
        <f t="shared" si="306"/>
        <v>24</v>
      </c>
      <c r="AB1141" s="1270" t="s">
        <v>724</v>
      </c>
      <c r="AC1141" s="47">
        <v>340</v>
      </c>
      <c r="AD1141" s="135">
        <v>700</v>
      </c>
    </row>
    <row r="1142" spans="1:30" ht="12.75" customHeight="1" x14ac:dyDescent="0.2">
      <c r="A1142" s="227">
        <v>1142</v>
      </c>
      <c r="B1142" s="6292"/>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8"/>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9">VLOOKUP(A33,$AA$1110:$AB$1185,2,0)</f>
        <v>Huginn y Muninn, Ojos de Cuervo</v>
      </c>
      <c r="AA1142" s="873">
        <f t="shared" si="306"/>
        <v>11</v>
      </c>
      <c r="AB1142" s="1270" t="s">
        <v>725</v>
      </c>
      <c r="AC1142" s="47">
        <v>320</v>
      </c>
      <c r="AD1142" s="135">
        <v>550</v>
      </c>
    </row>
    <row r="1143" spans="1:30" ht="12.75" customHeight="1" x14ac:dyDescent="0.2">
      <c r="A1143" s="227">
        <v>1143</v>
      </c>
      <c r="B1143" s="6292"/>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8"/>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9"/>
        <v>Huginn y Muninn: Ojo del mundo</v>
      </c>
      <c r="AA1143" s="873">
        <f t="shared" si="306"/>
        <v>12</v>
      </c>
      <c r="AB1143" s="1270" t="s">
        <v>726</v>
      </c>
      <c r="AC1143" s="47">
        <v>280</v>
      </c>
      <c r="AD1143" s="135">
        <v>400</v>
      </c>
    </row>
    <row r="1144" spans="1:30" ht="12.75" customHeight="1" x14ac:dyDescent="0.2">
      <c r="A1144" s="227">
        <v>1144</v>
      </c>
      <c r="B1144" s="6292"/>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8"/>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9"/>
        <v>Huginn y Muninn: Visión verdadera</v>
      </c>
      <c r="AA1144" s="873">
        <f t="shared" si="306"/>
        <v>13</v>
      </c>
      <c r="AB1144" s="1270" t="s">
        <v>727</v>
      </c>
      <c r="AC1144" s="47">
        <v>340</v>
      </c>
      <c r="AD1144" s="135">
        <v>700</v>
      </c>
    </row>
    <row r="1145" spans="1:30" ht="12.75" customHeight="1" x14ac:dyDescent="0.2">
      <c r="A1145" s="227">
        <v>1145</v>
      </c>
      <c r="B1145" s="6292"/>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8"/>
      <c r="P1145" s="269">
        <f t="shared" si="308"/>
        <v>0</v>
      </c>
      <c r="Q1145" s="14" t="str">
        <f>IF(Metamagia!$F$37=1,"Metamagister: Doble daño","")</f>
        <v/>
      </c>
      <c r="R1145" s="14"/>
      <c r="S1145" s="14" t="str">
        <f>IF(Metamagia!$F$37=1,"El Daño Base de los conjuros ofensivos se dobla","")</f>
        <v/>
      </c>
      <c r="T1145" s="14"/>
      <c r="U1145" s="14"/>
      <c r="V1145" s="226"/>
      <c r="W1145" s="8"/>
      <c r="Z1145" s="560" t="str">
        <f t="shared" si="309"/>
        <v>Idea, Musa de la Locura</v>
      </c>
      <c r="AA1145" s="873">
        <f t="shared" si="306"/>
        <v>2</v>
      </c>
      <c r="AB1145" s="1270" t="s">
        <v>728</v>
      </c>
      <c r="AC1145" s="47">
        <v>280</v>
      </c>
      <c r="AD1145" s="135">
        <v>500</v>
      </c>
    </row>
    <row r="1146" spans="1:30" ht="12.75" customHeight="1" x14ac:dyDescent="0.2">
      <c r="A1146" s="227">
        <v>1146</v>
      </c>
      <c r="B1146" s="6292"/>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8"/>
      <c r="P1146" s="269">
        <f t="shared" si="308"/>
        <v>0</v>
      </c>
      <c r="Q1146" s="14" t="str">
        <f>IF(Metamagia!$X$54=1,"Magia combinada","")</f>
        <v/>
      </c>
      <c r="R1146" s="21"/>
      <c r="S1146" s="14" t="str">
        <f>IF(Metamagia!$X$54=1,"Permite a varios hechiceros combinarse para lanzar un conjuro. Ver","")</f>
        <v/>
      </c>
      <c r="T1146" s="21"/>
      <c r="U1146" s="21"/>
      <c r="V1146" s="47"/>
      <c r="W1146" s="36"/>
      <c r="Z1146" s="560" t="str">
        <f t="shared" si="309"/>
        <v>Idún, Señora de la Juventud Eterna</v>
      </c>
      <c r="AA1146" s="873">
        <f t="shared" si="306"/>
        <v>3</v>
      </c>
      <c r="AB1146" s="1270" t="s">
        <v>729</v>
      </c>
      <c r="AC1146" s="47">
        <v>240</v>
      </c>
      <c r="AD1146" s="135">
        <v>350</v>
      </c>
    </row>
    <row r="1147" spans="1:30" ht="12.75" customHeight="1" x14ac:dyDescent="0.2">
      <c r="A1147" s="227">
        <v>1147</v>
      </c>
      <c r="B1147" s="6292"/>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8"/>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0" t="str">
        <f t="shared" si="309"/>
        <v>Idún: Envejecer</v>
      </c>
      <c r="AA1147" s="873">
        <f t="shared" si="306"/>
        <v>4</v>
      </c>
      <c r="AB1147" s="1270" t="s">
        <v>730</v>
      </c>
      <c r="AC1147" s="47">
        <v>380</v>
      </c>
      <c r="AD1147" s="135">
        <v>800</v>
      </c>
    </row>
    <row r="1148" spans="1:30" ht="12.75" customHeight="1" x14ac:dyDescent="0.2">
      <c r="A1148" s="227">
        <v>1148</v>
      </c>
      <c r="B1148" s="6292"/>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8"/>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9"/>
        <v>Idún: Rejuvenecer</v>
      </c>
      <c r="AA1148" s="873">
        <f t="shared" si="306"/>
        <v>44</v>
      </c>
      <c r="AB1148" s="1270" t="s">
        <v>731</v>
      </c>
      <c r="AC1148" s="47">
        <v>280</v>
      </c>
      <c r="AD1148" s="135">
        <v>500</v>
      </c>
    </row>
    <row r="1149" spans="1:30" ht="12.75" customHeight="1" x14ac:dyDescent="0.2">
      <c r="A1149" s="227">
        <v>1149</v>
      </c>
      <c r="B1149" s="6292"/>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8"/>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9"/>
        <v>Kagutsuchi: Hi no kodomo</v>
      </c>
      <c r="AA1149" s="873">
        <f t="shared" si="306"/>
        <v>45</v>
      </c>
      <c r="AB1149" s="1270" t="s">
        <v>732</v>
      </c>
      <c r="AC1149" s="47">
        <v>240</v>
      </c>
      <c r="AD1149" s="135">
        <v>350</v>
      </c>
    </row>
    <row r="1150" spans="1:30" ht="12.75" customHeight="1" x14ac:dyDescent="0.2">
      <c r="A1150" s="227">
        <v>1150</v>
      </c>
      <c r="B1150" s="6292"/>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8"/>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9"/>
        <v>Kagutsuchi: Hi no tsubasa</v>
      </c>
      <c r="AA1150" s="873">
        <f t="shared" si="306"/>
        <v>46</v>
      </c>
      <c r="AB1150" s="1270" t="s">
        <v>733</v>
      </c>
      <c r="AC1150" s="47">
        <v>380</v>
      </c>
      <c r="AD1150" s="135">
        <v>800</v>
      </c>
    </row>
    <row r="1151" spans="1:30" ht="12.75" customHeight="1" x14ac:dyDescent="0.2">
      <c r="A1151" s="227">
        <v>1151</v>
      </c>
      <c r="B1151" s="6292"/>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8"/>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0" t="str">
        <f t="shared" si="309"/>
        <v>Kirin, el Centro</v>
      </c>
      <c r="AA1151" s="873">
        <f t="shared" si="306"/>
        <v>72</v>
      </c>
      <c r="AB1151" s="1270" t="s">
        <v>734</v>
      </c>
      <c r="AC1151" s="47">
        <v>280</v>
      </c>
      <c r="AD1151" s="135">
        <v>500</v>
      </c>
    </row>
    <row r="1152" spans="1:30" ht="12.75" customHeight="1" x14ac:dyDescent="0.2">
      <c r="A1152" s="227">
        <v>1152</v>
      </c>
      <c r="B1152" s="6292"/>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8"/>
      <c r="P1152" s="269">
        <f t="shared" si="308"/>
        <v>0</v>
      </c>
      <c r="Q1152" s="14" t="str">
        <f>IF(Metamagia!$AA$44=1,"Avatar","")</f>
        <v/>
      </c>
      <c r="R1152" s="21"/>
      <c r="S1152" s="14" t="str">
        <f>IF(Metamagia!$AA$44=1,"El personaje puede convertirse en un Avatar de Magia. Ver","")</f>
        <v/>
      </c>
      <c r="T1152" s="21"/>
      <c r="U1152" s="21"/>
      <c r="V1152" s="47"/>
      <c r="W1152" s="36"/>
      <c r="Z1152" s="560" t="str">
        <f t="shared" si="309"/>
        <v>Kirin: Feng Shui</v>
      </c>
      <c r="AA1152" s="873">
        <f t="shared" si="306"/>
        <v>73</v>
      </c>
      <c r="AB1152" s="1270" t="s">
        <v>735</v>
      </c>
      <c r="AC1152" s="47">
        <v>240</v>
      </c>
      <c r="AD1152" s="135">
        <v>350</v>
      </c>
    </row>
    <row r="1153" spans="1:30" ht="12.75" customHeight="1" x14ac:dyDescent="0.2">
      <c r="A1153" s="227">
        <v>1153</v>
      </c>
      <c r="B1153" s="6292"/>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8"/>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9"/>
        <v>Leviathan, Señor de los Océanos</v>
      </c>
      <c r="AA1153" s="873">
        <f t="shared" si="306"/>
        <v>74</v>
      </c>
      <c r="AB1153" s="1270" t="s">
        <v>736</v>
      </c>
      <c r="AC1153" s="47">
        <v>380</v>
      </c>
      <c r="AD1153" s="135">
        <v>800</v>
      </c>
    </row>
    <row r="1154" spans="1:30" ht="12.75" customHeight="1" x14ac:dyDescent="0.2">
      <c r="A1154" s="227">
        <v>1154</v>
      </c>
      <c r="B1154" s="6292"/>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8"/>
      <c r="P1154" s="269">
        <f t="shared" si="308"/>
        <v>0</v>
      </c>
      <c r="Q1154" s="14" t="str">
        <f>IF(Metamagia!$F$63=1,"Seguridad defensiva","")</f>
        <v/>
      </c>
      <c r="R1154" s="21"/>
      <c r="S1154" s="14" t="str">
        <f>IF(Metamagia!$F$63=1,"Con Pifia al proyectar un escudo se sigue activando el conjuro","")</f>
        <v/>
      </c>
      <c r="T1154" s="21"/>
      <c r="U1154" s="21"/>
      <c r="V1154" s="47"/>
      <c r="W1154" s="36"/>
      <c r="Z1154" s="560" t="str">
        <f t="shared" si="309"/>
        <v>Leviathan: Comunión con el agua</v>
      </c>
      <c r="AA1154" s="873">
        <f t="shared" si="306"/>
        <v>53</v>
      </c>
      <c r="AB1154" s="1270" t="s">
        <v>737</v>
      </c>
      <c r="AC1154" s="47">
        <v>400</v>
      </c>
      <c r="AD1154" s="135">
        <v>800</v>
      </c>
    </row>
    <row r="1155" spans="1:30" ht="12.75" customHeight="1" x14ac:dyDescent="0.2">
      <c r="A1155" s="227">
        <v>1155</v>
      </c>
      <c r="B1155" s="6292"/>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8"/>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9"/>
        <v>Leviathan: Señor de las aguas</v>
      </c>
      <c r="AA1155" s="873">
        <f t="shared" si="306"/>
        <v>57</v>
      </c>
      <c r="AB1155" s="1270" t="s">
        <v>738</v>
      </c>
      <c r="AC1155" s="47">
        <v>220</v>
      </c>
      <c r="AD1155" s="135">
        <v>300</v>
      </c>
    </row>
    <row r="1156" spans="1:30" ht="12.75" customHeight="1" x14ac:dyDescent="0.2">
      <c r="A1156" s="227">
        <v>1156</v>
      </c>
      <c r="B1156" s="6292"/>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8"/>
      <c r="P1156" s="269">
        <f t="shared" si="308"/>
        <v>0</v>
      </c>
      <c r="Q1156" s="14" t="str">
        <f>IF(Metamagia!$C$54=1,"Sentir la magia","")</f>
        <v/>
      </c>
      <c r="R1156" s="21"/>
      <c r="S1156" s="14" t="str">
        <f>IF(Metamagia!$C$54=1,"Mejora un Grado los resultados en Valoración Mágica. Ver","")</f>
        <v/>
      </c>
      <c r="T1156" s="21"/>
      <c r="U1156" s="21"/>
      <c r="V1156" s="47"/>
      <c r="W1156" s="36"/>
      <c r="Z1156" s="560" t="str">
        <f t="shared" si="309"/>
        <v>Lix Tetrax</v>
      </c>
      <c r="AA1156" s="873">
        <f t="shared" si="306"/>
        <v>55</v>
      </c>
      <c r="AB1156" s="1270" t="s">
        <v>739</v>
      </c>
      <c r="AC1156" s="47">
        <v>280</v>
      </c>
      <c r="AD1156" s="135">
        <v>500</v>
      </c>
    </row>
    <row r="1157" spans="1:30" ht="12.75" customHeight="1" x14ac:dyDescent="0.2">
      <c r="A1157" s="227">
        <v>1157</v>
      </c>
      <c r="B1157" s="6292"/>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8"/>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9"/>
        <v>Naaga, Madre de los Venenos</v>
      </c>
      <c r="AA1157" s="873">
        <f t="shared" si="306"/>
        <v>56</v>
      </c>
      <c r="AB1157" s="1270" t="s">
        <v>740</v>
      </c>
      <c r="AC1157" s="47">
        <v>340</v>
      </c>
      <c r="AD1157" s="135">
        <v>660</v>
      </c>
    </row>
    <row r="1158" spans="1:30" ht="12.75" customHeight="1" x14ac:dyDescent="0.2">
      <c r="A1158" s="227">
        <v>1158</v>
      </c>
      <c r="B1158" s="6292"/>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8"/>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9"/>
        <v>Pandora, el Castigo Divino</v>
      </c>
      <c r="AA1158" s="873">
        <f t="shared" si="306"/>
        <v>54</v>
      </c>
      <c r="AB1158" s="1270" t="s">
        <v>741</v>
      </c>
      <c r="AC1158" s="47">
        <v>400</v>
      </c>
      <c r="AD1158" s="135">
        <v>880</v>
      </c>
    </row>
    <row r="1159" spans="1:30" ht="12.75" customHeight="1" x14ac:dyDescent="0.2">
      <c r="A1159" s="227">
        <v>1159</v>
      </c>
      <c r="B1159" s="6292"/>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8"/>
      <c r="P1159" s="269">
        <f t="shared" si="308"/>
        <v>0</v>
      </c>
      <c r="Q1159" s="14" t="str">
        <f>IF(Metamagia!$F$48=1,"Control del espacio","")</f>
        <v/>
      </c>
      <c r="R1159" s="21"/>
      <c r="S1159" s="14" t="str">
        <f>IF(Metamagia!$F$48=1,"Permite seleccionar blancos en todos los conjuros de área","")</f>
        <v/>
      </c>
      <c r="T1159" s="21"/>
      <c r="U1159" s="21"/>
      <c r="V1159" s="47"/>
      <c r="W1159" s="36"/>
      <c r="Z1159" s="560" t="str">
        <f t="shared" si="309"/>
        <v>Raksasha</v>
      </c>
      <c r="AA1159" s="873">
        <f t="shared" si="306"/>
        <v>27</v>
      </c>
      <c r="AB1159" s="1270" t="s">
        <v>742</v>
      </c>
      <c r="AC1159" s="47">
        <v>400</v>
      </c>
      <c r="AD1159" s="135">
        <v>800</v>
      </c>
    </row>
    <row r="1160" spans="1:30" ht="12.75" customHeight="1" thickBot="1" x14ac:dyDescent="0.25">
      <c r="A1160" s="227">
        <v>1160</v>
      </c>
      <c r="B1160" s="6292"/>
      <c r="C1160" s="2939" t="str">
        <f>IF(AND(C1139&lt;&gt;0,C1139&lt;&gt;""),C1139&amp;", ","")&amp;IF(AND(Resumen!$AP$50="Sí"),C1140&amp;C1141&amp;C1142&amp;C1143&amp;C1144&amp;C1145&amp;C1146&amp;C1147&amp;C1148&amp;C1149&amp;C1150&amp;C1151&amp;C1152&amp;C1153&amp;C1154&amp;C1155&amp;C1156&amp;C1157&amp;C1158&amp;C1159,"")</f>
        <v/>
      </c>
      <c r="D1160" s="2940" t="str">
        <f>IF(AND(D1139&lt;&gt;0,D1139&lt;&gt;""),D1139&amp;", ","")&amp;IF(AND(Resumen!$AP$50="Sí"),D1140&amp;D1141&amp;D1142&amp;D1143&amp;D1144&amp;D1145&amp;D1146&amp;D1147&amp;D1148&amp;D1149&amp;D1150&amp;D1151&amp;D1152&amp;D1153&amp;D1154&amp;D1155&amp;D1156&amp;D1157&amp;D1158&amp;D1159,"")</f>
        <v/>
      </c>
      <c r="E1160" s="2940" t="str">
        <f>IF(AND(E1139&lt;&gt;0,E1139&lt;&gt;""),E1139&amp;", ","")&amp;IF(AND(Resumen!$AP$50="Sí"),E1140&amp;E1141&amp;E1142&amp;E1143&amp;E1144&amp;E1145&amp;E1146&amp;E1147&amp;E1148&amp;E1149&amp;E1150&amp;E1151&amp;E1152&amp;E1153&amp;E1154&amp;E1155&amp;E1156&amp;E1157&amp;E1158&amp;E1159,"")</f>
        <v/>
      </c>
      <c r="F1160" s="2940" t="str">
        <f>IF(AND(F1139&lt;&gt;0,F1139&lt;&gt;""),F1139&amp;", ","")&amp;IF(AND(Resumen!$AP$50="Sí"),F1140&amp;F1141&amp;F1142&amp;F1143&amp;F1144&amp;F1145&amp;F1146&amp;F1147&amp;F1148&amp;F1149&amp;F1150&amp;F1151&amp;F1152&amp;F1153&amp;F1154&amp;F1155&amp;F1156&amp;F1157&amp;F1158&amp;F1159,"")</f>
        <v/>
      </c>
      <c r="G1160" s="2940" t="str">
        <f>IF(AND(G1139&lt;&gt;0,G1139&lt;&gt;""),G1139&amp;", ","")&amp;IF(AND(Resumen!$AP$50="Sí"),G1140&amp;G1141&amp;G1142&amp;G1143&amp;G1144&amp;G1145&amp;G1146&amp;G1147&amp;G1148&amp;G1149&amp;G1150&amp;G1151&amp;G1152&amp;G1153&amp;G1154&amp;G1155&amp;G1156&amp;G1157&amp;G1158&amp;G1159,"")</f>
        <v/>
      </c>
      <c r="H1160" s="2940" t="str">
        <f>IF(AND(H1139&lt;&gt;0,H1139&lt;&gt;""),H1139&amp;", ","")&amp;IF(AND(Resumen!$AP$50="Sí"),H1140&amp;H1141&amp;H1142&amp;H1143&amp;H1144&amp;H1145&amp;H1146&amp;H1147&amp;H1148&amp;H1149&amp;H1150&amp;H1151&amp;H1152&amp;H1153&amp;H1154&amp;H1155&amp;H1156&amp;H1157&amp;H1158&amp;H1159,"")</f>
        <v/>
      </c>
      <c r="I1160" s="2940" t="str">
        <f>IF(AND(I1139&lt;&gt;0,I1139&lt;&gt;""),I1139&amp;", ","")&amp;IF(AND(Resumen!$AP$50="Sí"),I1140&amp;I1141&amp;I1142&amp;I1143&amp;I1144&amp;I1145&amp;I1146&amp;I1147&amp;I1148&amp;I1149&amp;I1150&amp;I1151&amp;I1152&amp;I1153&amp;I1154&amp;I1155&amp;I1156&amp;I1157&amp;I1158&amp;I1159,"")</f>
        <v/>
      </c>
      <c r="J1160" s="2940" t="str">
        <f>IF(AND(J1139&lt;&gt;0,J1139&lt;&gt;""),J1139&amp;", ","")&amp;IF(AND(Resumen!$AP$50="Sí"),J1140&amp;J1141&amp;J1142&amp;J1143&amp;J1144&amp;J1145&amp;J1146&amp;J1147&amp;J1148&amp;J1149&amp;J1150&amp;J1151&amp;J1152&amp;J1153&amp;J1154&amp;J1155&amp;J1156&amp;J1157&amp;J1158&amp;J1159,"")</f>
        <v/>
      </c>
      <c r="K1160" s="2940" t="str">
        <f>IF(AND(K1139&lt;&gt;0,K1139&lt;&gt;""),K1139&amp;", ","")&amp;IF(AND(Resumen!$AP$50="Sí"),K1140&amp;K1141&amp;K1142&amp;K1143&amp;K1144&amp;K1145&amp;K1146&amp;K1147&amp;K1148&amp;K1149&amp;K1150&amp;K1151&amp;K1152&amp;K1153&amp;K1154&amp;K1155&amp;K1156&amp;K1157&amp;K1158&amp;K1159,"")</f>
        <v/>
      </c>
      <c r="L1160" s="2940" t="str">
        <f>IF(AND(L1139&lt;&gt;0,L1139&lt;&gt;""),L1139&amp;", ","")&amp;IF(AND(Resumen!$AP$50="Sí"),L1140&amp;L1141&amp;L1142&amp;L1143&amp;L1144&amp;L1145&amp;L1146&amp;L1147&amp;L1148&amp;L1149&amp;L1150&amp;L1151&amp;L1152&amp;L1153&amp;L1154&amp;L1155&amp;L1156&amp;L1157&amp;L1158&amp;L1159,"")</f>
        <v/>
      </c>
      <c r="M1160" s="2941" t="str">
        <f>IF(AND(M1139&lt;&gt;0,M1139&lt;&gt;""),M1139&amp;", ","")&amp;IF(AND(Resumen!$AP$50="Sí"),M1140&amp;M1141&amp;M1142&amp;M1143&amp;M1144&amp;M1145&amp;M1146&amp;M1147&amp;M1148&amp;M1149&amp;M1150&amp;M1151&amp;M1152&amp;M1153&amp;M1154&amp;M1155&amp;M1156&amp;M1157&amp;M1158&amp;M1159,"")</f>
        <v/>
      </c>
      <c r="N1160" s="2958"/>
      <c r="O1160" s="555"/>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9"/>
        <v>Rudraskha: Exodus void nova</v>
      </c>
      <c r="AA1160" s="873">
        <f t="shared" si="306"/>
        <v>29</v>
      </c>
      <c r="AB1160" s="1270" t="s">
        <v>743</v>
      </c>
      <c r="AC1160" s="47">
        <v>220</v>
      </c>
      <c r="AD1160" s="135">
        <v>300</v>
      </c>
    </row>
    <row r="1161" spans="1:30" ht="12.75" customHeight="1" x14ac:dyDescent="0.2">
      <c r="A1161" s="227">
        <v>1161</v>
      </c>
      <c r="B1161" s="6292"/>
      <c r="N1161" s="2958"/>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0" t="str">
        <f t="shared" si="309"/>
        <v>Rudraskha: Void nova</v>
      </c>
      <c r="AA1161" s="873">
        <f t="shared" si="306"/>
        <v>30</v>
      </c>
      <c r="AB1161" s="1270" t="s">
        <v>744</v>
      </c>
      <c r="AC1161" s="47">
        <v>280</v>
      </c>
      <c r="AD1161" s="135">
        <v>500</v>
      </c>
    </row>
    <row r="1162" spans="1:30" ht="12.75" customHeight="1" x14ac:dyDescent="0.2">
      <c r="A1162" s="227">
        <v>1162</v>
      </c>
      <c r="B1162" s="6292"/>
      <c r="N1162" s="2958"/>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0" t="str">
        <f t="shared" si="309"/>
        <v>Seiryu, el Dragón Celeste</v>
      </c>
      <c r="AA1162" s="873">
        <f t="shared" si="306"/>
        <v>31</v>
      </c>
      <c r="AB1162" s="1270" t="s">
        <v>745</v>
      </c>
      <c r="AC1162" s="47">
        <v>340</v>
      </c>
      <c r="AD1162" s="135">
        <v>660</v>
      </c>
    </row>
    <row r="1163" spans="1:30" ht="12.75" customHeight="1" x14ac:dyDescent="0.2">
      <c r="A1163" s="227">
        <v>1163</v>
      </c>
      <c r="B1163" s="6292"/>
      <c r="N1163" s="2958"/>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9"/>
        <v>Seiryu: La furia de la última tormenta</v>
      </c>
      <c r="AA1163" s="873">
        <f t="shared" si="306"/>
        <v>28</v>
      </c>
      <c r="AB1163" s="1270" t="s">
        <v>746</v>
      </c>
      <c r="AC1163" s="47">
        <v>400</v>
      </c>
      <c r="AD1163" s="135">
        <v>880</v>
      </c>
    </row>
    <row r="1164" spans="1:30" ht="12.75" customHeight="1" x14ac:dyDescent="0.2">
      <c r="A1164" s="227">
        <v>1164</v>
      </c>
      <c r="B1164" s="6292"/>
      <c r="N1164" s="2958"/>
      <c r="P1164" s="269">
        <f t="shared" si="308"/>
        <v>0</v>
      </c>
      <c r="Q1164" s="14" t="str">
        <f>IF(Metamagia!$I$44=1,"Doble conjuro innato","")</f>
        <v/>
      </c>
      <c r="R1164" s="21"/>
      <c r="S1164" s="14" t="str">
        <f>IF(Metamagia!$I$44=1,"Permite realizar 2 conjuros innatos distintos por asalto","")</f>
        <v/>
      </c>
      <c r="T1164" s="21"/>
      <c r="U1164" s="21"/>
      <c r="V1164" s="47"/>
      <c r="W1164" s="36"/>
      <c r="Z1164" s="560" t="str">
        <f t="shared" si="309"/>
        <v>Seiryu: Rayo</v>
      </c>
      <c r="AA1164" s="873">
        <f t="shared" si="306"/>
        <v>58</v>
      </c>
      <c r="AB1164" s="1270" t="s">
        <v>747</v>
      </c>
      <c r="AC1164" s="47">
        <v>400</v>
      </c>
      <c r="AD1164" s="135">
        <v>800</v>
      </c>
    </row>
    <row r="1165" spans="1:30" ht="12.75" customHeight="1" x14ac:dyDescent="0.2">
      <c r="A1165" s="227">
        <v>1165</v>
      </c>
      <c r="B1165" s="6292"/>
      <c r="N1165" s="2958"/>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9"/>
        <v>Seiryu: Señor del este</v>
      </c>
      <c r="AA1165" s="873">
        <f t="shared" si="306"/>
        <v>59</v>
      </c>
      <c r="AB1165" s="1270" t="s">
        <v>8794</v>
      </c>
      <c r="AC1165" s="47">
        <v>220</v>
      </c>
      <c r="AD1165" s="135">
        <v>300</v>
      </c>
    </row>
    <row r="1166" spans="1:30" ht="12.75" customHeight="1" x14ac:dyDescent="0.2">
      <c r="A1166" s="227">
        <v>1166</v>
      </c>
      <c r="B1166" s="6292"/>
      <c r="N1166" s="2958"/>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0" t="str">
        <f t="shared" si="309"/>
        <v>Seiryu: Tormenta</v>
      </c>
      <c r="AA1166" s="873">
        <f t="shared" si="306"/>
        <v>60</v>
      </c>
      <c r="AB1166" s="1270" t="s">
        <v>748</v>
      </c>
      <c r="AC1166" s="47">
        <v>280</v>
      </c>
      <c r="AD1166" s="135">
        <v>500</v>
      </c>
    </row>
    <row r="1167" spans="1:30" ht="12.75" customHeight="1" x14ac:dyDescent="0.2">
      <c r="A1167" s="227">
        <v>1167</v>
      </c>
      <c r="B1167" s="6292"/>
      <c r="N1167" s="2958"/>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8">
        <f>IF(OR(T1167&lt;&gt;"",T1168&lt;&gt;""),IF(T1167=T1168,2,1),0)</f>
        <v>0</v>
      </c>
      <c r="Z1167" s="560" t="str">
        <f t="shared" si="309"/>
        <v>Suzaku, el Fénix</v>
      </c>
      <c r="AA1167" s="873">
        <f t="shared" si="306"/>
        <v>62</v>
      </c>
      <c r="AB1167" s="1270" t="s">
        <v>749</v>
      </c>
      <c r="AC1167" s="47">
        <v>340</v>
      </c>
      <c r="AD1167" s="135">
        <v>660</v>
      </c>
    </row>
    <row r="1168" spans="1:30" ht="12.75" customHeight="1" x14ac:dyDescent="0.2">
      <c r="A1168" s="227">
        <v>1168</v>
      </c>
      <c r="B1168" s="6292"/>
      <c r="N1168" s="2958"/>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9"/>
        <v>Suzaku: Buena fortuna</v>
      </c>
      <c r="AA1168" s="873">
        <f t="shared" si="306"/>
        <v>61</v>
      </c>
      <c r="AB1168" s="1270" t="s">
        <v>750</v>
      </c>
      <c r="AC1168" s="47">
        <v>400</v>
      </c>
      <c r="AD1168" s="135">
        <v>880</v>
      </c>
    </row>
    <row r="1169" spans="1:30" ht="12.75" customHeight="1" x14ac:dyDescent="0.2">
      <c r="A1169" s="227">
        <v>1169</v>
      </c>
      <c r="B1169" s="6292"/>
      <c r="N1169" s="2958"/>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9"/>
        <v>Suzaku: Calamidad</v>
      </c>
      <c r="AA1169" s="873">
        <f t="shared" si="306"/>
        <v>5</v>
      </c>
      <c r="AB1169" s="1270" t="s">
        <v>751</v>
      </c>
      <c r="AC1169" s="47">
        <v>400</v>
      </c>
      <c r="AD1169" s="135">
        <v>800</v>
      </c>
    </row>
    <row r="1170" spans="1:30" ht="12.75" customHeight="1" x14ac:dyDescent="0.2">
      <c r="A1170" s="227">
        <v>1170</v>
      </c>
      <c r="B1170" s="6292"/>
      <c r="N1170" s="2958"/>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8">
        <f>IF(OR(T1170&lt;&gt;"",T1171&lt;&gt;""),IF(T1170=T1171,2,1),0)</f>
        <v>0</v>
      </c>
      <c r="Z1170" s="560" t="str">
        <f t="shared" si="309"/>
        <v>Suzaku: El elegido del sol</v>
      </c>
      <c r="AA1170" s="873">
        <f t="shared" si="306"/>
        <v>8</v>
      </c>
      <c r="AB1170" s="1270" t="s">
        <v>752</v>
      </c>
      <c r="AC1170" s="47">
        <v>220</v>
      </c>
      <c r="AD1170" s="135">
        <v>300</v>
      </c>
    </row>
    <row r="1171" spans="1:30" ht="12.75" customHeight="1" x14ac:dyDescent="0.2">
      <c r="A1171" s="227">
        <v>1171</v>
      </c>
      <c r="B1171" s="6292"/>
      <c r="N1171" s="2958"/>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9"/>
        <v>Suzaku: Señor del sur</v>
      </c>
      <c r="AA1171" s="873">
        <f t="shared" si="306"/>
        <v>7</v>
      </c>
      <c r="AB1171" s="1270" t="s">
        <v>753</v>
      </c>
      <c r="AC1171" s="47">
        <v>280</v>
      </c>
      <c r="AD1171" s="135">
        <v>500</v>
      </c>
    </row>
    <row r="1172" spans="1:30" ht="12.75" customHeight="1" x14ac:dyDescent="0.2">
      <c r="A1172" s="227">
        <v>1172</v>
      </c>
      <c r="B1172" s="6292"/>
      <c r="N1172" s="2958"/>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9"/>
        <v>Tawil At-U'mr, Señor de las Puertas</v>
      </c>
      <c r="AA1172" s="873">
        <f t="shared" si="306"/>
        <v>9</v>
      </c>
      <c r="AB1172" s="1270" t="s">
        <v>754</v>
      </c>
      <c r="AC1172" s="47">
        <v>340</v>
      </c>
      <c r="AD1172" s="135">
        <v>660</v>
      </c>
    </row>
    <row r="1173" spans="1:30" ht="12.75" customHeight="1" x14ac:dyDescent="0.2">
      <c r="A1173" s="227">
        <v>1173</v>
      </c>
      <c r="B1173" s="6292"/>
      <c r="N1173" s="2958"/>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9"/>
        <v>Tawil At-U'mr: Compresión del tiempo</v>
      </c>
      <c r="AA1173" s="873">
        <f t="shared" si="306"/>
        <v>6</v>
      </c>
      <c r="AB1173" s="1270" t="s">
        <v>755</v>
      </c>
      <c r="AC1173" s="47">
        <v>400</v>
      </c>
      <c r="AD1173" s="135">
        <v>880</v>
      </c>
    </row>
    <row r="1174" spans="1:30" ht="12.75" customHeight="1" x14ac:dyDescent="0.2">
      <c r="A1174" s="227">
        <v>1174</v>
      </c>
      <c r="B1174" s="6292"/>
      <c r="N1174" s="2958"/>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10">VLOOKUP(A65,$AA$1110:$AB$1185,2,0)</f>
        <v>Tawil At-U'mr: La puerta</v>
      </c>
      <c r="AA1174" s="873">
        <f t="shared" si="306"/>
        <v>42</v>
      </c>
      <c r="AB1174" s="1270" t="s">
        <v>756</v>
      </c>
      <c r="AC1174" s="47">
        <v>440</v>
      </c>
      <c r="AD1174" s="135">
        <v>800</v>
      </c>
    </row>
    <row r="1175" spans="1:30" ht="12.75" customHeight="1" x14ac:dyDescent="0.2">
      <c r="A1175" s="227">
        <v>1175</v>
      </c>
      <c r="B1175" s="6292"/>
      <c r="N1175" s="2958"/>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10"/>
        <v>Tawil At-U'mr: Más allá del tiempo y el espacio</v>
      </c>
      <c r="AA1175" s="873">
        <f t="shared" ref="AA1175:AA1185" si="311">COUNTIF($AB$1110:$AB$1185,"&lt;="&amp;AB1175)</f>
        <v>43</v>
      </c>
      <c r="AB1175" s="1270" t="s">
        <v>757</v>
      </c>
      <c r="AC1175" s="47">
        <v>440</v>
      </c>
      <c r="AD1175" s="135">
        <v>1000</v>
      </c>
    </row>
    <row r="1176" spans="1:30" ht="12.75" customHeight="1" x14ac:dyDescent="0.2">
      <c r="A1176" s="227">
        <v>1176</v>
      </c>
      <c r="B1176" s="6292"/>
      <c r="N1176" s="2958"/>
      <c r="P1176" s="269">
        <f t="shared" si="308"/>
        <v>0</v>
      </c>
      <c r="Q1176" s="14" t="str">
        <f>IF(Metamagia!$AD$30=1,"Enlazar conjuros","")</f>
        <v/>
      </c>
      <c r="R1176" s="21"/>
      <c r="S1176" s="14" t="str">
        <f>IF(Metamagia!$AD$30=1,"Permite mezclar dos conjuros en uno solo. Ver","")</f>
        <v/>
      </c>
      <c r="T1176" s="21"/>
      <c r="U1176" s="21"/>
      <c r="V1176" s="47"/>
      <c r="W1176" s="36"/>
      <c r="Z1176" s="560" t="str">
        <f t="shared" si="310"/>
        <v>Thanathos</v>
      </c>
      <c r="AA1176" s="873">
        <f t="shared" si="311"/>
        <v>17</v>
      </c>
      <c r="AB1176" s="1270" t="s">
        <v>758</v>
      </c>
      <c r="AC1176" s="47">
        <v>240</v>
      </c>
      <c r="AD1176" s="135">
        <v>800</v>
      </c>
    </row>
    <row r="1177" spans="1:30" ht="12.75" customHeight="1" x14ac:dyDescent="0.2">
      <c r="A1177" s="227">
        <v>1177</v>
      </c>
      <c r="B1177" s="6292"/>
      <c r="N1177" s="2958"/>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10"/>
        <v>Veles, el Poder de la Magia</v>
      </c>
      <c r="AA1177" s="873">
        <f t="shared" si="311"/>
        <v>63</v>
      </c>
      <c r="AB1177" s="1270" t="s">
        <v>759</v>
      </c>
      <c r="AC1177" s="47">
        <v>400</v>
      </c>
      <c r="AD1177" s="135">
        <v>800</v>
      </c>
    </row>
    <row r="1178" spans="1:30" ht="12.75" customHeight="1" x14ac:dyDescent="0.2">
      <c r="A1178" s="227">
        <v>1178</v>
      </c>
      <c r="B1178" s="6292"/>
      <c r="K1178" s="1153"/>
      <c r="L1178" s="1153"/>
      <c r="M1178" s="1153"/>
      <c r="N1178" s="2958"/>
      <c r="P1178" s="269">
        <f t="shared" si="308"/>
        <v>0</v>
      </c>
      <c r="Q1178" s="14" t="str">
        <f>IF(Metamagia!$X$30=1,"Doble conjuro","")</f>
        <v/>
      </c>
      <c r="R1178" s="21"/>
      <c r="S1178" s="14" t="str">
        <f>IF(Metamagia!$X$30=1,"Permite lanzar dos conjuros con la ACT doblada. Ver","")</f>
        <v/>
      </c>
      <c r="T1178" s="21"/>
      <c r="U1178" s="21"/>
      <c r="V1178" s="47"/>
      <c r="W1178" s="36"/>
      <c r="Z1178" s="560" t="str">
        <f t="shared" si="310"/>
        <v>Vilfain</v>
      </c>
      <c r="AA1178" s="873">
        <f t="shared" si="311"/>
        <v>64</v>
      </c>
      <c r="AB1178" s="1270" t="s">
        <v>760</v>
      </c>
      <c r="AC1178" s="47">
        <v>280</v>
      </c>
      <c r="AD1178" s="135">
        <v>500</v>
      </c>
    </row>
    <row r="1179" spans="1:30" ht="12.75" customHeight="1" x14ac:dyDescent="0.2">
      <c r="A1179" s="227">
        <v>1179</v>
      </c>
      <c r="B1179" s="6292"/>
      <c r="K1179" s="1153"/>
      <c r="L1179" s="1153"/>
      <c r="M1179" s="1153"/>
      <c r="N1179" s="2958"/>
      <c r="P1179" s="269">
        <f t="shared" si="308"/>
        <v>0</v>
      </c>
      <c r="Q1179" s="14" t="str">
        <f>IF(Metamagia!$AA$34=1,"Conjuro innato superior","")</f>
        <v/>
      </c>
      <c r="R1179" s="21"/>
      <c r="S1179" s="14" t="str">
        <f>IF(Metamagia!$AA$34=1,"Permite acumular magia mientras se lanzan conjuros innatos","")</f>
        <v/>
      </c>
      <c r="T1179" s="21"/>
      <c r="U1179" s="21"/>
      <c r="V1179" s="47"/>
      <c r="W1179" s="36"/>
      <c r="Z1179" s="560" t="str">
        <f t="shared" si="310"/>
        <v>Vilfain: Norfiav</v>
      </c>
      <c r="AA1179" s="873">
        <f t="shared" si="311"/>
        <v>65</v>
      </c>
      <c r="AB1179" s="1270" t="s">
        <v>761</v>
      </c>
      <c r="AC1179" s="47">
        <v>400</v>
      </c>
      <c r="AD1179" s="135">
        <v>900</v>
      </c>
    </row>
    <row r="1180" spans="1:30" ht="12.75" customHeight="1" thickBot="1" x14ac:dyDescent="0.25">
      <c r="A1180" s="227">
        <v>1180</v>
      </c>
      <c r="B1180" s="6292"/>
      <c r="C1180" s="1153"/>
      <c r="D1180" s="1153"/>
      <c r="E1180" s="1153"/>
      <c r="F1180" s="1153"/>
      <c r="G1180" s="1153"/>
      <c r="H1180"/>
      <c r="I1180" s="365"/>
      <c r="J1180" s="365"/>
      <c r="K1180" s="365"/>
      <c r="L1180" s="364"/>
      <c r="M1180" s="364"/>
      <c r="N1180" s="2958"/>
      <c r="P1180" s="270">
        <f t="shared" si="308"/>
        <v>0</v>
      </c>
      <c r="Q1180" s="19" t="str">
        <f>IF(Metamagia!$X$37=1,"Metamagister: Alta Magia","")</f>
        <v/>
      </c>
      <c r="R1180" s="68"/>
      <c r="S1180" s="19" t="str">
        <f>IF(Metamagia!$X$37=1,"Permite lanzar conjuros de Alta Magia sin Gnosis 25. Ver","")</f>
        <v/>
      </c>
      <c r="T1180" s="68"/>
      <c r="U1180" s="68"/>
      <c r="V1180" s="601"/>
      <c r="W1180" s="69"/>
      <c r="Z1180" s="560" t="str">
        <f t="shared" si="310"/>
        <v>Vilfain: Vaifron</v>
      </c>
      <c r="AA1180" s="873">
        <f t="shared" si="311"/>
        <v>66</v>
      </c>
      <c r="AB1180" s="1270" t="s">
        <v>762</v>
      </c>
      <c r="AC1180" s="47">
        <v>500</v>
      </c>
      <c r="AD1180" s="135">
        <v>1200</v>
      </c>
    </row>
    <row r="1181" spans="1:30" ht="12.75" customHeight="1" x14ac:dyDescent="0.2">
      <c r="A1181" s="227">
        <v>1181</v>
      </c>
      <c r="B1181" s="6292"/>
      <c r="C1181" s="1153"/>
      <c r="D1181" s="1153"/>
      <c r="E1181" s="1153"/>
      <c r="F1181" s="1153"/>
      <c r="G1181" s="1153"/>
      <c r="H1181"/>
      <c r="L1181" s="1154"/>
      <c r="M1181" s="273"/>
      <c r="N1181" s="2958"/>
      <c r="Z1181" s="560" t="str">
        <f t="shared" si="310"/>
        <v>Ziz, Señor de los Cielos</v>
      </c>
      <c r="AA1181" s="873">
        <f t="shared" si="311"/>
        <v>75</v>
      </c>
      <c r="AB1181" s="1270" t="s">
        <v>10103</v>
      </c>
      <c r="AC1181" s="47">
        <v>320</v>
      </c>
      <c r="AD1181" s="135">
        <v>600</v>
      </c>
    </row>
    <row r="1182" spans="1:30" ht="12.75" customHeight="1" x14ac:dyDescent="0.2">
      <c r="A1182" s="227">
        <v>1182</v>
      </c>
      <c r="B1182" s="6292"/>
      <c r="C1182" s="1153"/>
      <c r="D1182" s="1153"/>
      <c r="E1182" s="1153"/>
      <c r="F1182" s="1153"/>
      <c r="G1182" s="1153"/>
      <c r="H1182"/>
      <c r="L1182" s="275"/>
      <c r="M1182" s="273"/>
      <c r="N1182" s="2958"/>
      <c r="Z1182" s="560" t="str">
        <f t="shared" si="310"/>
        <v>Ziz: Comunión con el viento</v>
      </c>
      <c r="AA1182" s="873">
        <f t="shared" si="311"/>
        <v>76</v>
      </c>
      <c r="AB1182" s="1270" t="s">
        <v>10104</v>
      </c>
      <c r="AC1182" s="47">
        <v>300</v>
      </c>
      <c r="AD1182" s="135">
        <v>450</v>
      </c>
    </row>
    <row r="1183" spans="1:30" ht="12.75" customHeight="1" x14ac:dyDescent="0.2">
      <c r="A1183" s="227">
        <v>1183</v>
      </c>
      <c r="B1183" s="6292"/>
      <c r="C1183" s="1153"/>
      <c r="D1183" s="1153"/>
      <c r="E1183" s="1153"/>
      <c r="F1183" s="1153"/>
      <c r="G1183" s="1153"/>
      <c r="H1183"/>
      <c r="L1183" s="275"/>
      <c r="M1183" s="273"/>
      <c r="N1183" s="2958"/>
      <c r="Z1183" s="560" t="str">
        <f t="shared" si="310"/>
        <v>Ziz: Señor del viento</v>
      </c>
      <c r="AA1183" s="873">
        <f t="shared" si="311"/>
        <v>69</v>
      </c>
      <c r="AB1183" s="1270" t="s">
        <v>10105</v>
      </c>
      <c r="AC1183" s="47">
        <v>280</v>
      </c>
      <c r="AD1183" s="135">
        <v>600</v>
      </c>
    </row>
    <row r="1184" spans="1:30" ht="12.75" customHeight="1" x14ac:dyDescent="0.2">
      <c r="A1184" s="227">
        <v>1184</v>
      </c>
      <c r="B1184" s="6292"/>
      <c r="C1184" s="1153"/>
      <c r="D1184" s="1153"/>
      <c r="E1184" s="1153"/>
      <c r="F1184" s="1153"/>
      <c r="G1184" s="1153"/>
      <c r="H1184"/>
      <c r="L1184" s="275"/>
      <c r="M1184" s="273"/>
      <c r="N1184"/>
      <c r="Z1184" s="560" t="str">
        <f t="shared" si="310"/>
        <v>Zvilpogghua</v>
      </c>
      <c r="AA1184" s="873">
        <f t="shared" si="311"/>
        <v>71</v>
      </c>
      <c r="AB1184" s="1270" t="s">
        <v>10106</v>
      </c>
      <c r="AC1184" s="47">
        <v>200</v>
      </c>
      <c r="AD1184" s="135">
        <v>250</v>
      </c>
    </row>
    <row r="1185" spans="1:30" ht="12.75" customHeight="1" x14ac:dyDescent="0.2">
      <c r="A1185" s="227">
        <v>1185</v>
      </c>
      <c r="B1185" s="6292"/>
      <c r="C1185" s="1153"/>
      <c r="D1185" s="1153"/>
      <c r="E1185" s="1153"/>
      <c r="F1185" s="1153"/>
      <c r="G1185" s="1153"/>
      <c r="H1185"/>
      <c r="L1185" s="275"/>
      <c r="M1185" s="273"/>
      <c r="N1185"/>
      <c r="Z1185" s="560" t="str">
        <f t="shared" si="310"/>
        <v>Zvilpogghua: Ossadagowah</v>
      </c>
      <c r="AA1185" s="873">
        <f t="shared" si="311"/>
        <v>70</v>
      </c>
      <c r="AB1185" s="1270" t="s">
        <v>10107</v>
      </c>
      <c r="AC1185" s="47">
        <v>260</v>
      </c>
      <c r="AD1185" s="135">
        <v>500</v>
      </c>
    </row>
    <row r="1186" spans="1:30" ht="12.75" customHeight="1" x14ac:dyDescent="0.2">
      <c r="A1186" s="227">
        <v>1186</v>
      </c>
      <c r="B1186" s="6292"/>
      <c r="C1186" s="1153"/>
      <c r="D1186" s="1153"/>
      <c r="E1186" s="1153"/>
      <c r="F1186" s="1153"/>
      <c r="G1186" s="1153"/>
      <c r="H1186"/>
      <c r="L1186" s="275"/>
      <c r="M1186" s="273"/>
      <c r="N1186"/>
      <c r="Z1186" s="560" t="str">
        <f t="shared" ref="Z1186:Z1231" si="312">VLOOKUP(A1,$AA$1186:$AB$1231,2,0)</f>
        <v>&gt; ENCARNACIONES</v>
      </c>
      <c r="AA1186" s="873">
        <f>COUNTIF($AB$1186:$AB$1231,"&lt;="&amp;AB1186)</f>
        <v>1</v>
      </c>
      <c r="AB1186" s="1270" t="s">
        <v>763</v>
      </c>
      <c r="AC1186" s="47"/>
      <c r="AD1186" s="135"/>
    </row>
    <row r="1187" spans="1:30" ht="12.75" customHeight="1" thickBot="1" x14ac:dyDescent="0.25">
      <c r="A1187" s="227">
        <v>1187</v>
      </c>
      <c r="B1187" s="6292"/>
      <c r="C1187" s="1153"/>
      <c r="D1187" s="1153"/>
      <c r="E1187" s="1153"/>
      <c r="F1187" s="1153"/>
      <c r="G1187" s="1153"/>
      <c r="H1187"/>
      <c r="L1187" s="275"/>
      <c r="M1187" s="273"/>
      <c r="N1187"/>
      <c r="Z1187" s="560" t="str">
        <f t="shared" si="312"/>
        <v>Aeriel, el Caballero de Argenta (Nv 12)</v>
      </c>
      <c r="AA1187" s="873">
        <f>COUNTIF($AB$1186:$AB$1231,"&lt;="&amp;AB1187)</f>
        <v>30</v>
      </c>
      <c r="AB1187" s="1270" t="s">
        <v>764</v>
      </c>
      <c r="AC1187" s="47">
        <v>260</v>
      </c>
      <c r="AD1187" s="135">
        <v>400</v>
      </c>
    </row>
    <row r="1188" spans="1:30" ht="12.75" customHeight="1" thickBot="1" x14ac:dyDescent="0.25">
      <c r="A1188" s="227">
        <v>1188</v>
      </c>
      <c r="B1188" s="6292"/>
      <c r="C1188" s="3684" t="s">
        <v>1784</v>
      </c>
      <c r="D1188" s="3685"/>
      <c r="E1188" s="3685"/>
      <c r="F1188" s="3685"/>
      <c r="G1188" s="3685"/>
      <c r="H1188" s="3685"/>
      <c r="I1188" s="3685"/>
      <c r="J1188" s="3685"/>
      <c r="K1188" s="3685"/>
      <c r="L1188" s="3685"/>
      <c r="M1188" s="3685"/>
      <c r="N1188" s="3686"/>
      <c r="Z1188" s="560" t="str">
        <f t="shared" si="312"/>
        <v>Aeriel, el Caballero de Argenta (Nv 6)</v>
      </c>
      <c r="AA1188" s="873">
        <f t="shared" ref="AA1188:AA1231" si="313">COUNTIF($AB$1186:$AB$1231,"&lt;="&amp;AB1188)</f>
        <v>31</v>
      </c>
      <c r="AB1188" s="1270" t="s">
        <v>765</v>
      </c>
      <c r="AC1188" s="47">
        <v>300</v>
      </c>
      <c r="AD1188" s="135">
        <v>600</v>
      </c>
    </row>
    <row r="1189" spans="1:30" ht="12.75" customHeight="1" thickBot="1" x14ac:dyDescent="0.25">
      <c r="A1189" s="227">
        <v>1189</v>
      </c>
      <c r="B1189" s="6292"/>
      <c r="C1189" s="6238"/>
      <c r="D1189" s="6239"/>
      <c r="E1189" s="6239"/>
      <c r="F1189" s="6239"/>
      <c r="G1189" s="6239"/>
      <c r="H1189" s="6239"/>
      <c r="I1189" s="6239"/>
      <c r="J1189" s="6239"/>
      <c r="K1189" s="6239"/>
      <c r="L1189" s="6239"/>
      <c r="M1189" s="6239"/>
      <c r="N1189" s="6240"/>
      <c r="Z1189" s="560" t="str">
        <f t="shared" si="312"/>
        <v>Aeriel, el Caballero de Argenta (Nv 9)</v>
      </c>
      <c r="AA1189" s="873">
        <f t="shared" si="313"/>
        <v>29</v>
      </c>
      <c r="AB1189" s="1270" t="s">
        <v>766</v>
      </c>
      <c r="AC1189" s="47">
        <v>380</v>
      </c>
      <c r="AD1189" s="135">
        <v>900</v>
      </c>
    </row>
    <row r="1190" spans="1:30" ht="12.75" customHeight="1" x14ac:dyDescent="0.2">
      <c r="A1190" s="227">
        <v>1190</v>
      </c>
      <c r="B1190" s="6292"/>
      <c r="C1190" s="485"/>
      <c r="D1190" s="1016" t="s">
        <v>112</v>
      </c>
      <c r="E1190" s="1022" t="s">
        <v>102</v>
      </c>
      <c r="F1190" s="21"/>
      <c r="G1190" s="21"/>
      <c r="H1190" s="21"/>
      <c r="I1190" s="47"/>
      <c r="J1190" s="21"/>
      <c r="K1190" s="21"/>
      <c r="L1190" s="21"/>
      <c r="M1190" s="21"/>
      <c r="N1190" s="577"/>
      <c r="Z1190" s="560" t="str">
        <f t="shared" si="312"/>
        <v>Ambrose Magus, el Hechicero (Nv 4)</v>
      </c>
      <c r="AA1190" s="873">
        <f t="shared" si="313"/>
        <v>36</v>
      </c>
      <c r="AB1190" s="1270" t="s">
        <v>767</v>
      </c>
      <c r="AC1190" s="47">
        <v>280</v>
      </c>
      <c r="AD1190" s="135">
        <v>350</v>
      </c>
    </row>
    <row r="1191" spans="1:30" ht="12.75" customHeight="1" x14ac:dyDescent="0.2">
      <c r="A1191" s="227">
        <v>1191</v>
      </c>
      <c r="B1191" s="6292"/>
      <c r="C1191" s="485"/>
      <c r="D1191" s="1016" t="s">
        <v>105</v>
      </c>
      <c r="E1191" s="1022" t="s">
        <v>106</v>
      </c>
      <c r="F1191" s="21"/>
      <c r="G1191" s="21"/>
      <c r="H1191" s="21"/>
      <c r="I1191" s="47"/>
      <c r="J1191" s="21"/>
      <c r="K1191" s="21"/>
      <c r="L1191" s="21"/>
      <c r="M1191" s="21"/>
      <c r="N1191" s="577"/>
      <c r="Z1191" s="560" t="str">
        <f t="shared" si="312"/>
        <v>Ambrose Magus, el Hechicero (Nv 6)</v>
      </c>
      <c r="AA1191" s="873">
        <f t="shared" si="313"/>
        <v>37</v>
      </c>
      <c r="AB1191" s="1270" t="s">
        <v>768</v>
      </c>
      <c r="AC1191" s="47">
        <v>340</v>
      </c>
      <c r="AD1191" s="135">
        <v>700</v>
      </c>
    </row>
    <row r="1192" spans="1:30" ht="12.75" customHeight="1" x14ac:dyDescent="0.2">
      <c r="A1192" s="227">
        <v>1192</v>
      </c>
      <c r="B1192" s="6292"/>
      <c r="C1192" s="485"/>
      <c r="D1192" s="1016" t="s">
        <v>108</v>
      </c>
      <c r="E1192" s="1022" t="s">
        <v>102</v>
      </c>
      <c r="F1192" s="21"/>
      <c r="G1192" s="21"/>
      <c r="H1192" s="21"/>
      <c r="I1192" s="47"/>
      <c r="J1192" s="21"/>
      <c r="K1192" s="21"/>
      <c r="L1192" s="21"/>
      <c r="M1192" s="21"/>
      <c r="N1192" s="577"/>
      <c r="Z1192" s="560" t="str">
        <f t="shared" si="312"/>
        <v>Ambrose Magus, el Hechicero (Nv 8)</v>
      </c>
      <c r="AA1192" s="873">
        <f t="shared" si="313"/>
        <v>35</v>
      </c>
      <c r="AB1192" s="1270" t="s">
        <v>769</v>
      </c>
      <c r="AC1192" s="47">
        <v>400</v>
      </c>
      <c r="AD1192" s="135">
        <v>900</v>
      </c>
    </row>
    <row r="1193" spans="1:30" ht="12.75" customHeight="1" x14ac:dyDescent="0.2">
      <c r="A1193" s="227">
        <v>1193</v>
      </c>
      <c r="B1193" s="6292"/>
      <c r="C1193" s="485"/>
      <c r="D1193" s="1016" t="s">
        <v>113</v>
      </c>
      <c r="E1193" s="1022" t="s">
        <v>114</v>
      </c>
      <c r="F1193" s="21"/>
      <c r="G1193" s="21"/>
      <c r="H1193" s="21"/>
      <c r="I1193" s="47"/>
      <c r="J1193" s="21"/>
      <c r="K1193" s="21"/>
      <c r="L1193" s="21"/>
      <c r="M1193" s="21"/>
      <c r="N1193" s="577"/>
      <c r="Z1193" s="560" t="str">
        <f t="shared" si="312"/>
        <v>Anassilish, el Sin Rostro (Nv 2)</v>
      </c>
      <c r="AA1193" s="873">
        <f t="shared" si="313"/>
        <v>14</v>
      </c>
      <c r="AB1193" s="1270" t="s">
        <v>770</v>
      </c>
      <c r="AC1193" s="47">
        <v>220</v>
      </c>
      <c r="AD1193" s="135">
        <v>200</v>
      </c>
    </row>
    <row r="1194" spans="1:30" ht="12.75" customHeight="1" x14ac:dyDescent="0.2">
      <c r="A1194" s="227">
        <v>1194</v>
      </c>
      <c r="B1194" s="6292"/>
      <c r="C1194" s="485"/>
      <c r="D1194" s="1016" t="s">
        <v>116</v>
      </c>
      <c r="E1194" s="1022" t="s">
        <v>117</v>
      </c>
      <c r="F1194" s="21"/>
      <c r="G1194" s="21"/>
      <c r="H1194" s="21"/>
      <c r="I1194" s="47"/>
      <c r="J1194" s="21"/>
      <c r="K1194" s="21"/>
      <c r="L1194" s="21"/>
      <c r="M1194" s="21"/>
      <c r="N1194" s="577"/>
      <c r="Z1194" s="560" t="str">
        <f t="shared" si="312"/>
        <v>Anassilish, el Sin Rostro (Nv 5)</v>
      </c>
      <c r="AA1194" s="873">
        <f t="shared" si="313"/>
        <v>15</v>
      </c>
      <c r="AB1194" s="1270" t="s">
        <v>771</v>
      </c>
      <c r="AC1194" s="47">
        <v>300</v>
      </c>
      <c r="AD1194" s="135">
        <v>480</v>
      </c>
    </row>
    <row r="1195" spans="1:30" ht="12.75" customHeight="1" x14ac:dyDescent="0.2">
      <c r="A1195" s="227">
        <v>1195</v>
      </c>
      <c r="B1195" s="6292"/>
      <c r="C1195" s="485"/>
      <c r="D1195" s="1016" t="s">
        <v>107</v>
      </c>
      <c r="E1195" s="1022" t="s">
        <v>102</v>
      </c>
      <c r="F1195" s="21"/>
      <c r="G1195" s="21"/>
      <c r="H1195" s="21"/>
      <c r="I1195" s="47"/>
      <c r="J1195" s="21"/>
      <c r="K1195" s="21"/>
      <c r="L1195" s="21"/>
      <c r="M1195" s="21"/>
      <c r="N1195" s="577"/>
      <c r="Z1195" s="560" t="str">
        <f t="shared" si="312"/>
        <v>Anassilish, el Sin Rostro (Nv 8)</v>
      </c>
      <c r="AA1195" s="873">
        <f t="shared" si="313"/>
        <v>16</v>
      </c>
      <c r="AB1195" s="1270" t="s">
        <v>772</v>
      </c>
      <c r="AC1195" s="47">
        <v>360</v>
      </c>
      <c r="AD1195" s="135">
        <v>600</v>
      </c>
    </row>
    <row r="1196" spans="1:30" ht="12.75" customHeight="1" x14ac:dyDescent="0.2">
      <c r="A1196" s="227">
        <v>1196</v>
      </c>
      <c r="B1196" s="6292"/>
      <c r="C1196" s="485"/>
      <c r="D1196" s="1016" t="s">
        <v>1698</v>
      </c>
      <c r="E1196" s="1022" t="s">
        <v>102</v>
      </c>
      <c r="F1196" s="21"/>
      <c r="G1196" s="21"/>
      <c r="H1196" s="21"/>
      <c r="I1196" s="47"/>
      <c r="J1196" s="21"/>
      <c r="K1196" s="21"/>
      <c r="L1196" s="21"/>
      <c r="M1196" s="21"/>
      <c r="N1196" s="577"/>
      <c r="Z1196" s="560" t="str">
        <f t="shared" si="312"/>
        <v>Arturia, el León Blanco (Nv 1)</v>
      </c>
      <c r="AA1196" s="873">
        <f t="shared" si="313"/>
        <v>38</v>
      </c>
      <c r="AB1196" s="1270" t="s">
        <v>773</v>
      </c>
      <c r="AC1196" s="47">
        <v>200</v>
      </c>
      <c r="AD1196" s="135">
        <v>150</v>
      </c>
    </row>
    <row r="1197" spans="1:30" ht="12.75" customHeight="1" x14ac:dyDescent="0.2">
      <c r="A1197" s="227">
        <v>1197</v>
      </c>
      <c r="B1197" s="6292"/>
      <c r="C1197" s="485"/>
      <c r="D1197" s="1016" t="s">
        <v>103</v>
      </c>
      <c r="E1197" s="1022" t="s">
        <v>104</v>
      </c>
      <c r="F1197" s="21"/>
      <c r="G1197" s="21"/>
      <c r="H1197" s="21"/>
      <c r="I1197" s="47"/>
      <c r="J1197" s="21"/>
      <c r="K1197" s="21"/>
      <c r="L1197" s="21"/>
      <c r="M1197" s="21"/>
      <c r="N1197" s="577"/>
      <c r="Z1197" s="560" t="str">
        <f t="shared" si="312"/>
        <v>Arturia, el León Blanco (Nv 3)</v>
      </c>
      <c r="AA1197" s="873">
        <f t="shared" si="313"/>
        <v>39</v>
      </c>
      <c r="AB1197" s="1270" t="s">
        <v>774</v>
      </c>
      <c r="AC1197" s="47">
        <v>240</v>
      </c>
      <c r="AD1197" s="135">
        <v>300</v>
      </c>
    </row>
    <row r="1198" spans="1:30" ht="12.75" customHeight="1" x14ac:dyDescent="0.2">
      <c r="A1198" s="227">
        <v>1198</v>
      </c>
      <c r="B1198" s="6292"/>
      <c r="C1198" s="485"/>
      <c r="D1198" s="1016" t="s">
        <v>111</v>
      </c>
      <c r="E1198" s="1022" t="s">
        <v>100</v>
      </c>
      <c r="F1198" s="21"/>
      <c r="G1198" s="21"/>
      <c r="H1198" s="21"/>
      <c r="I1198" s="47"/>
      <c r="J1198" s="21"/>
      <c r="K1198" s="21"/>
      <c r="L1198" s="21"/>
      <c r="M1198" s="21"/>
      <c r="N1198" s="577"/>
      <c r="Z1198" s="560" t="str">
        <f t="shared" si="312"/>
        <v>Arturia, el León Blanco (Nv 6)</v>
      </c>
      <c r="AA1198" s="873">
        <f t="shared" si="313"/>
        <v>40</v>
      </c>
      <c r="AB1198" s="1270" t="s">
        <v>775</v>
      </c>
      <c r="AC1198" s="47">
        <v>260</v>
      </c>
      <c r="AD1198" s="135">
        <v>450</v>
      </c>
    </row>
    <row r="1199" spans="1:30" ht="12.75" customHeight="1" x14ac:dyDescent="0.2">
      <c r="A1199" s="227">
        <v>1199</v>
      </c>
      <c r="B1199" s="6292"/>
      <c r="C1199" s="485"/>
      <c r="D1199" s="1016" t="s">
        <v>109</v>
      </c>
      <c r="E1199" s="1022" t="s">
        <v>110</v>
      </c>
      <c r="F1199" s="21"/>
      <c r="G1199" s="21"/>
      <c r="H1199" s="21"/>
      <c r="I1199" s="47"/>
      <c r="J1199" s="21"/>
      <c r="K1199" s="21"/>
      <c r="L1199" s="21"/>
      <c r="M1199" s="21"/>
      <c r="N1199" s="577"/>
      <c r="Z1199" s="560" t="str">
        <f t="shared" si="312"/>
        <v>Eiko, la princesa Oni (Nv 3)</v>
      </c>
      <c r="AA1199" s="873">
        <f t="shared" si="313"/>
        <v>18</v>
      </c>
      <c r="AB1199" s="1270" t="s">
        <v>776</v>
      </c>
      <c r="AC1199" s="47">
        <v>270</v>
      </c>
      <c r="AD1199" s="135">
        <v>390</v>
      </c>
    </row>
    <row r="1200" spans="1:30" ht="12.75" customHeight="1" x14ac:dyDescent="0.2">
      <c r="A1200" s="227">
        <v>1200</v>
      </c>
      <c r="B1200" s="6292"/>
      <c r="C1200" s="485"/>
      <c r="D1200" s="1016" t="s">
        <v>99</v>
      </c>
      <c r="E1200" s="1022" t="s">
        <v>100</v>
      </c>
      <c r="F1200" s="21"/>
      <c r="G1200" s="21"/>
      <c r="H1200" s="21"/>
      <c r="I1200" s="47"/>
      <c r="J1200" s="21"/>
      <c r="K1200" s="21"/>
      <c r="L1200" s="21"/>
      <c r="M1200" s="21"/>
      <c r="N1200" s="577"/>
      <c r="Z1200" s="560" t="str">
        <f t="shared" si="312"/>
        <v>Eiko, la princesa Oni (Nv 6)</v>
      </c>
      <c r="AA1200" s="873">
        <f t="shared" si="313"/>
        <v>19</v>
      </c>
      <c r="AB1200" s="1270" t="s">
        <v>777</v>
      </c>
      <c r="AC1200" s="47">
        <v>380</v>
      </c>
      <c r="AD1200" s="135">
        <v>750</v>
      </c>
    </row>
    <row r="1201" spans="1:30" ht="12.75" customHeight="1" x14ac:dyDescent="0.2">
      <c r="A1201" s="227">
        <v>1201</v>
      </c>
      <c r="B1201" s="6292"/>
      <c r="C1201" s="485"/>
      <c r="D1201" s="1016" t="s">
        <v>101</v>
      </c>
      <c r="E1201" s="1022" t="s">
        <v>102</v>
      </c>
      <c r="F1201" s="21"/>
      <c r="G1201" s="21"/>
      <c r="H1201" s="21"/>
      <c r="I1201" s="47"/>
      <c r="J1201" s="21"/>
      <c r="K1201" s="21"/>
      <c r="L1201" s="21"/>
      <c r="M1201" s="21"/>
      <c r="N1201" s="577"/>
      <c r="Z1201" s="560" t="str">
        <f t="shared" si="312"/>
        <v>Eiko, la princesa Oni (Nv 9)</v>
      </c>
      <c r="AA1201" s="873">
        <f t="shared" si="313"/>
        <v>17</v>
      </c>
      <c r="AB1201" s="1270" t="s">
        <v>778</v>
      </c>
      <c r="AC1201" s="47">
        <v>490</v>
      </c>
      <c r="AD1201" s="135">
        <v>1400</v>
      </c>
    </row>
    <row r="1202" spans="1:30" ht="12.75" customHeight="1" thickBot="1" x14ac:dyDescent="0.25">
      <c r="A1202" s="227">
        <v>1202</v>
      </c>
      <c r="B1202" s="6292"/>
      <c r="C1202" s="485"/>
      <c r="D1202" s="1016" t="s">
        <v>115</v>
      </c>
      <c r="E1202" s="1022" t="s">
        <v>102</v>
      </c>
      <c r="F1202" s="21"/>
      <c r="G1202" s="21"/>
      <c r="H1202" s="21"/>
      <c r="I1202" s="47"/>
      <c r="J1202" s="21"/>
      <c r="K1202" s="21"/>
      <c r="L1202" s="21"/>
      <c r="M1202" s="21"/>
      <c r="N1202" s="577"/>
      <c r="Z1202" s="560" t="str">
        <f t="shared" si="312"/>
        <v>Gygjur, Asesino de Dragones (Nv 13)</v>
      </c>
      <c r="AA1202" s="873">
        <f t="shared" si="313"/>
        <v>11</v>
      </c>
      <c r="AB1202" s="1270" t="s">
        <v>779</v>
      </c>
      <c r="AC1202" s="47">
        <v>160</v>
      </c>
      <c r="AD1202" s="135">
        <v>180</v>
      </c>
    </row>
    <row r="1203" spans="1:30" ht="12.75" customHeight="1" thickBot="1" x14ac:dyDescent="0.25">
      <c r="A1203" s="227">
        <v>1203</v>
      </c>
      <c r="B1203" s="6292"/>
      <c r="C1203" s="1647"/>
      <c r="D1203" s="1648" t="s">
        <v>8723</v>
      </c>
      <c r="E1203" s="1649"/>
      <c r="F1203" s="1650"/>
      <c r="G1203" s="1649"/>
      <c r="H1203" s="1649"/>
      <c r="I1203" s="1649"/>
      <c r="J1203" s="1649"/>
      <c r="K1203" s="1649"/>
      <c r="L1203" s="1649"/>
      <c r="M1203" s="1649"/>
      <c r="N1203" s="1651"/>
      <c r="Z1203" s="560" t="str">
        <f t="shared" si="312"/>
        <v>Gygjur, Asesino de Dragones (Nv 5)</v>
      </c>
      <c r="AA1203" s="873">
        <f t="shared" si="313"/>
        <v>12</v>
      </c>
      <c r="AB1203" s="1270" t="s">
        <v>780</v>
      </c>
      <c r="AC1203" s="47">
        <v>200</v>
      </c>
      <c r="AD1203" s="135">
        <v>300</v>
      </c>
    </row>
    <row r="1204" spans="1:30" ht="12.75" customHeight="1" x14ac:dyDescent="0.2">
      <c r="A1204" s="227">
        <v>1204</v>
      </c>
      <c r="B1204" s="6292"/>
      <c r="C1204" s="1153"/>
      <c r="D1204" s="1153"/>
      <c r="E1204" s="1153"/>
      <c r="F1204" s="1153"/>
      <c r="G1204" s="1153"/>
      <c r="H1204"/>
      <c r="L1204" s="275"/>
      <c r="M1204" s="273"/>
      <c r="N1204"/>
      <c r="Z1204" s="560" t="str">
        <f t="shared" si="312"/>
        <v>Gygjur, Asesino de Dragones (Nv 9)</v>
      </c>
      <c r="AA1204" s="873">
        <f t="shared" si="313"/>
        <v>13</v>
      </c>
      <c r="AB1204" s="1270" t="s">
        <v>781</v>
      </c>
      <c r="AC1204" s="47">
        <v>280</v>
      </c>
      <c r="AD1204" s="135">
        <v>400</v>
      </c>
    </row>
    <row r="1205" spans="1:30" ht="12.75" customHeight="1" x14ac:dyDescent="0.2">
      <c r="A1205" s="227">
        <v>1205</v>
      </c>
      <c r="B1205" s="6292"/>
      <c r="C1205" s="1153"/>
      <c r="D1205" s="1153"/>
      <c r="E1205" s="1153"/>
      <c r="F1205" s="1153"/>
      <c r="G1205" s="1153"/>
      <c r="H1205"/>
      <c r="L1205" s="275"/>
      <c r="M1205" s="273"/>
      <c r="N1205"/>
      <c r="Z1205" s="560" t="str">
        <f t="shared" si="312"/>
        <v>Holst, Rey de Héroes (Nv 12)</v>
      </c>
      <c r="AA1205" s="873">
        <f t="shared" si="313"/>
        <v>23</v>
      </c>
      <c r="AB1205" s="1270" t="s">
        <v>782</v>
      </c>
      <c r="AC1205" s="47">
        <v>230</v>
      </c>
      <c r="AD1205" s="135">
        <v>200</v>
      </c>
    </row>
    <row r="1206" spans="1:30" ht="12.75" customHeight="1" thickBot="1" x14ac:dyDescent="0.25">
      <c r="A1206" s="227">
        <v>1206</v>
      </c>
      <c r="B1206" s="6292"/>
      <c r="C1206" s="1153"/>
      <c r="D1206" s="1153"/>
      <c r="E1206" s="1153"/>
      <c r="F1206" s="1153"/>
      <c r="G1206" s="1153"/>
      <c r="H1206"/>
      <c r="L1206" s="275"/>
      <c r="M1206" s="273"/>
      <c r="N1206"/>
      <c r="Z1206" s="560" t="str">
        <f t="shared" si="312"/>
        <v>Holst, Rey de Héroes (Nv 15)</v>
      </c>
      <c r="AA1206" s="873">
        <f t="shared" si="313"/>
        <v>24</v>
      </c>
      <c r="AB1206" s="1270" t="s">
        <v>783</v>
      </c>
      <c r="AC1206" s="47">
        <v>280</v>
      </c>
      <c r="AD1206" s="135">
        <v>450</v>
      </c>
    </row>
    <row r="1207" spans="1:30" ht="12.75" customHeight="1" thickBot="1" x14ac:dyDescent="0.25">
      <c r="A1207" s="227">
        <v>1207</v>
      </c>
      <c r="B1207" s="6292"/>
      <c r="C1207" s="6111" t="s">
        <v>30</v>
      </c>
      <c r="D1207" s="6111"/>
      <c r="E1207" s="6111"/>
      <c r="F1207" s="6111"/>
      <c r="G1207" s="6111"/>
      <c r="H1207" s="6111"/>
      <c r="I1207" s="6111"/>
      <c r="J1207" s="6111"/>
      <c r="K1207" s="6111"/>
      <c r="L1207" s="6111"/>
      <c r="M1207" s="6111"/>
      <c r="N1207" s="6111"/>
      <c r="O1207" s="6111"/>
      <c r="P1207" s="6111"/>
      <c r="Q1207" s="6111"/>
      <c r="R1207" s="6111"/>
      <c r="S1207" s="6111"/>
      <c r="T1207" s="6111"/>
      <c r="U1207" s="6111"/>
      <c r="V1207" s="6111"/>
      <c r="W1207" s="6111"/>
      <c r="Z1207" s="560" t="str">
        <f t="shared" si="312"/>
        <v>Holst, Rey de Héroes (Nv 8)</v>
      </c>
      <c r="AA1207" s="873">
        <f t="shared" si="313"/>
        <v>25</v>
      </c>
      <c r="AB1207" s="1270" t="s">
        <v>784</v>
      </c>
      <c r="AC1207" s="47">
        <v>320</v>
      </c>
      <c r="AD1207" s="135">
        <v>550</v>
      </c>
    </row>
    <row r="1208" spans="1:30" ht="12.75" customHeight="1" x14ac:dyDescent="0.2">
      <c r="A1208" s="227">
        <v>1208</v>
      </c>
      <c r="B1208" s="6292"/>
      <c r="C1208" s="6111"/>
      <c r="D1208" s="6111"/>
      <c r="E1208" s="6111"/>
      <c r="F1208" s="6111"/>
      <c r="G1208" s="6111"/>
      <c r="H1208" s="6111"/>
      <c r="I1208" s="6111"/>
      <c r="J1208" s="6111"/>
      <c r="K1208" s="6111"/>
      <c r="L1208" s="6111"/>
      <c r="M1208" s="6111"/>
      <c r="N1208" s="6111"/>
      <c r="O1208" s="6111"/>
      <c r="P1208" s="6111"/>
      <c r="Q1208" s="6111"/>
      <c r="R1208" s="6111"/>
      <c r="S1208" s="6111"/>
      <c r="T1208" s="6111"/>
      <c r="U1208" s="6111"/>
      <c r="V1208" s="6111"/>
      <c r="W1208" s="6111"/>
      <c r="Z1208" s="560" t="str">
        <f t="shared" si="312"/>
        <v>Kha-nefer, el Sacerdote Impío (Nv 3)</v>
      </c>
      <c r="AA1208" s="873">
        <f t="shared" si="313"/>
        <v>8</v>
      </c>
      <c r="AB1208" s="1270" t="s">
        <v>785</v>
      </c>
      <c r="AC1208" s="47">
        <v>180</v>
      </c>
      <c r="AD1208" s="135">
        <v>150</v>
      </c>
    </row>
    <row r="1209" spans="1:30" ht="12.75" customHeight="1" thickBot="1" x14ac:dyDescent="0.25">
      <c r="A1209" s="227">
        <v>1209</v>
      </c>
      <c r="B1209" s="6292"/>
      <c r="C1209" s="6217" t="s">
        <v>31</v>
      </c>
      <c r="D1209" s="6217"/>
      <c r="E1209" s="201" t="s">
        <v>1489</v>
      </c>
      <c r="F1209" s="201" t="s">
        <v>1841</v>
      </c>
      <c r="G1209" s="260" t="s">
        <v>1548</v>
      </c>
      <c r="H1209" s="261" t="s">
        <v>10235</v>
      </c>
      <c r="I1209" s="586"/>
      <c r="J1209" s="6244" t="s">
        <v>1207</v>
      </c>
      <c r="K1209" s="6244"/>
      <c r="L1209" s="6244"/>
      <c r="M1209" s="6244"/>
      <c r="N1209" s="6244"/>
      <c r="O1209" s="6244"/>
      <c r="P1209" s="6244"/>
      <c r="Q1209" s="6244"/>
      <c r="R1209" s="6197" t="s">
        <v>998</v>
      </c>
      <c r="S1209" s="6197"/>
      <c r="T1209" s="6197"/>
      <c r="U1209" s="6197"/>
      <c r="V1209" s="6197"/>
      <c r="W1209" s="6197"/>
      <c r="Z1209" s="560" t="str">
        <f t="shared" si="312"/>
        <v>Kha-nefer, el Sacerdote Impío (Nv 6)</v>
      </c>
      <c r="AA1209" s="873">
        <f t="shared" si="313"/>
        <v>9</v>
      </c>
      <c r="AB1209" s="1270" t="s">
        <v>786</v>
      </c>
      <c r="AC1209" s="47">
        <v>280</v>
      </c>
      <c r="AD1209" s="135">
        <v>400</v>
      </c>
    </row>
    <row r="1210" spans="1:30" ht="12.75" customHeight="1" x14ac:dyDescent="0.2">
      <c r="A1210" s="227">
        <v>1210</v>
      </c>
      <c r="B1210" s="6292"/>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2"/>
        <v>Kha-nefer, el Sacerdote Impío (Nv 9)</v>
      </c>
      <c r="AA1210" s="873">
        <f t="shared" si="313"/>
        <v>10</v>
      </c>
      <c r="AB1210" s="1270" t="s">
        <v>787</v>
      </c>
      <c r="AC1210" s="47">
        <v>300</v>
      </c>
      <c r="AD1210" s="135">
        <v>600</v>
      </c>
    </row>
    <row r="1211" spans="1:30" ht="12.75" customHeight="1" x14ac:dyDescent="0.2">
      <c r="A1211" s="227">
        <v>1211</v>
      </c>
      <c r="B1211" s="6292"/>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2"/>
        <v>Kristoff, el Rey Pirata (Nv 11)</v>
      </c>
      <c r="AA1211" s="873">
        <f t="shared" si="313"/>
        <v>5</v>
      </c>
      <c r="AB1211" s="1270" t="s">
        <v>788</v>
      </c>
      <c r="AC1211" s="47">
        <v>240</v>
      </c>
      <c r="AD1211" s="135">
        <v>200</v>
      </c>
    </row>
    <row r="1212" spans="1:30" ht="12.75" customHeight="1" x14ac:dyDescent="0.2">
      <c r="A1212" s="227">
        <v>1212</v>
      </c>
      <c r="B1212" s="6292"/>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2"/>
        <v>Kristoff, el Rey Pirata (Nv 4)</v>
      </c>
      <c r="AA1212" s="873">
        <f t="shared" si="313"/>
        <v>6</v>
      </c>
      <c r="AB1212" s="1270" t="s">
        <v>789</v>
      </c>
      <c r="AC1212" s="47">
        <v>260</v>
      </c>
      <c r="AD1212" s="135">
        <v>350</v>
      </c>
    </row>
    <row r="1213" spans="1:30" ht="12.75" customHeight="1" x14ac:dyDescent="0.2">
      <c r="A1213" s="227">
        <v>1213</v>
      </c>
      <c r="B1213" s="6292"/>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2"/>
        <v>Kristoff, el Rey Pirata (Nv 8)</v>
      </c>
      <c r="AA1213" s="873">
        <f t="shared" si="313"/>
        <v>7</v>
      </c>
      <c r="AB1213" s="1270" t="s">
        <v>790</v>
      </c>
      <c r="AC1213" s="47">
        <v>280</v>
      </c>
      <c r="AD1213" s="135">
        <v>500</v>
      </c>
    </row>
    <row r="1214" spans="1:30" ht="12.75" customHeight="1" x14ac:dyDescent="0.2">
      <c r="A1214" s="227">
        <v>1214</v>
      </c>
      <c r="B1214" s="6292"/>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2"/>
        <v>Linx Kazte Hex, la Sombra de la Muerte (Nv 12)</v>
      </c>
      <c r="AA1214" s="873">
        <f t="shared" si="313"/>
        <v>42</v>
      </c>
      <c r="AB1214" s="1270" t="s">
        <v>791</v>
      </c>
      <c r="AC1214" s="47">
        <v>280</v>
      </c>
      <c r="AD1214" s="135">
        <v>450</v>
      </c>
    </row>
    <row r="1215" spans="1:30" ht="12.75" customHeight="1" x14ac:dyDescent="0.2">
      <c r="A1215" s="227">
        <v>1215</v>
      </c>
      <c r="B1215" s="6292"/>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2"/>
        <v>Linx Kazte Hex, la Sombra de la Muerte (Nv 4)</v>
      </c>
      <c r="AA1215" s="873">
        <f t="shared" si="313"/>
        <v>43</v>
      </c>
      <c r="AB1215" s="1270" t="s">
        <v>792</v>
      </c>
      <c r="AC1215" s="47">
        <v>360</v>
      </c>
      <c r="AD1215" s="135">
        <v>750</v>
      </c>
    </row>
    <row r="1216" spans="1:30" ht="12.75" customHeight="1" x14ac:dyDescent="0.2">
      <c r="A1216" s="227">
        <v>1216</v>
      </c>
      <c r="B1216" s="6292"/>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2"/>
        <v>Linx Kazte Hex, la Sombra de la Muerte (Nv 8)</v>
      </c>
      <c r="AA1216" s="873">
        <f t="shared" si="313"/>
        <v>41</v>
      </c>
      <c r="AB1216" s="1270" t="s">
        <v>793</v>
      </c>
      <c r="AC1216" s="47">
        <v>460</v>
      </c>
      <c r="AD1216" s="135">
        <v>1000</v>
      </c>
    </row>
    <row r="1217" spans="1:41" ht="12.75" customHeight="1" x14ac:dyDescent="0.2">
      <c r="A1217" s="227">
        <v>1217</v>
      </c>
      <c r="B1217" s="6292"/>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0" t="str">
        <f t="shared" si="312"/>
        <v>Loly Ann (Nv 1)</v>
      </c>
      <c r="AA1217" s="873">
        <f t="shared" si="313"/>
        <v>27</v>
      </c>
      <c r="AB1217" s="1270" t="s">
        <v>794</v>
      </c>
      <c r="AC1217" s="47">
        <v>250</v>
      </c>
      <c r="AD1217" s="135">
        <v>350</v>
      </c>
    </row>
    <row r="1218" spans="1:41" ht="12.75" customHeight="1" x14ac:dyDescent="0.2">
      <c r="A1218" s="227">
        <v>1218</v>
      </c>
      <c r="B1218" s="6292"/>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0" t="str">
        <f t="shared" si="312"/>
        <v>Loly Ann (Nv 3)</v>
      </c>
      <c r="AA1218" s="873">
        <f t="shared" si="313"/>
        <v>28</v>
      </c>
      <c r="AB1218" s="1270" t="s">
        <v>795</v>
      </c>
      <c r="AC1218" s="47">
        <v>300</v>
      </c>
      <c r="AD1218" s="135">
        <v>500</v>
      </c>
    </row>
    <row r="1219" spans="1:41" ht="12.75" customHeight="1" x14ac:dyDescent="0.2">
      <c r="A1219" s="227">
        <v>1219</v>
      </c>
      <c r="B1219" s="6292"/>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0" t="str">
        <f t="shared" si="312"/>
        <v>Loly Ann (Nv 5)</v>
      </c>
      <c r="AA1219" s="873">
        <f t="shared" si="313"/>
        <v>26</v>
      </c>
      <c r="AB1219" s="1270" t="s">
        <v>796</v>
      </c>
      <c r="AC1219" s="47">
        <v>380</v>
      </c>
      <c r="AD1219" s="135">
        <v>800</v>
      </c>
    </row>
    <row r="1220" spans="1:41" ht="12.75" customHeight="1" x14ac:dyDescent="0.2">
      <c r="A1220" s="227">
        <v>1220</v>
      </c>
      <c r="B1220" s="6292"/>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0" t="str">
        <f t="shared" si="312"/>
        <v>Nerval, Defensor de los Perdidos (Nv 11)</v>
      </c>
      <c r="AA1220" s="873">
        <f t="shared" si="313"/>
        <v>32</v>
      </c>
      <c r="AB1220" s="1270" t="s">
        <v>797</v>
      </c>
      <c r="AC1220" s="47">
        <v>180</v>
      </c>
      <c r="AD1220" s="135">
        <v>150</v>
      </c>
    </row>
    <row r="1221" spans="1:41" ht="12.75" customHeight="1" x14ac:dyDescent="0.2">
      <c r="A1221" s="227">
        <v>1221</v>
      </c>
      <c r="B1221" s="6292"/>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0" t="str">
        <f t="shared" si="312"/>
        <v>Nerval, Defensor de los Perdidos (Nv 4)</v>
      </c>
      <c r="AA1221" s="873">
        <f t="shared" si="313"/>
        <v>33</v>
      </c>
      <c r="AB1221" s="1270" t="s">
        <v>798</v>
      </c>
      <c r="AC1221" s="47">
        <v>220</v>
      </c>
      <c r="AD1221" s="135">
        <v>250</v>
      </c>
    </row>
    <row r="1222" spans="1:41" ht="12.75" customHeight="1" x14ac:dyDescent="0.2">
      <c r="A1222" s="227">
        <v>1222</v>
      </c>
      <c r="B1222" s="6292"/>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0" t="str">
        <f t="shared" si="312"/>
        <v>Nerval, Defensor de los Perdidos (Nv 7)</v>
      </c>
      <c r="AA1222" s="873">
        <f t="shared" si="313"/>
        <v>34</v>
      </c>
      <c r="AB1222" s="1270" t="s">
        <v>799</v>
      </c>
      <c r="AC1222" s="47">
        <v>280</v>
      </c>
      <c r="AD1222" s="135">
        <v>400</v>
      </c>
    </row>
    <row r="1223" spans="1:41" ht="12.75" customHeight="1" x14ac:dyDescent="0.2">
      <c r="A1223" s="227">
        <v>1223</v>
      </c>
      <c r="B1223" s="6292"/>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0" t="str">
        <f t="shared" si="312"/>
        <v>Quezcatli, Hijo del Sol (Nv 2)</v>
      </c>
      <c r="AA1223" s="873">
        <f t="shared" si="313"/>
        <v>3</v>
      </c>
      <c r="AB1223" s="1270" t="s">
        <v>800</v>
      </c>
      <c r="AC1223" s="47">
        <v>290</v>
      </c>
      <c r="AD1223" s="135">
        <v>450</v>
      </c>
    </row>
    <row r="1224" spans="1:41" ht="12.75" customHeight="1" x14ac:dyDescent="0.2">
      <c r="A1224" s="227">
        <v>1224</v>
      </c>
      <c r="B1224" s="6292"/>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2"/>
        <v>Quezcatli, Hijo del Sol (Nv 4)</v>
      </c>
      <c r="AA1224" s="873">
        <f t="shared" si="313"/>
        <v>4</v>
      </c>
      <c r="AB1224" s="1270" t="s">
        <v>801</v>
      </c>
      <c r="AC1224" s="47">
        <v>380</v>
      </c>
      <c r="AD1224" s="135">
        <v>750</v>
      </c>
    </row>
    <row r="1225" spans="1:41" ht="12.75" customHeight="1" thickBot="1" x14ac:dyDescent="0.25">
      <c r="A1225" s="227">
        <v>1225</v>
      </c>
      <c r="B1225" s="6292"/>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2"/>
        <v>Quezcatli, Hijo del Sol (Nv 6)</v>
      </c>
      <c r="AA1225" s="873">
        <f t="shared" si="313"/>
        <v>2</v>
      </c>
      <c r="AB1225" s="1270" t="s">
        <v>802</v>
      </c>
      <c r="AC1225" s="47">
        <v>460</v>
      </c>
      <c r="AD1225" s="135">
        <v>1250</v>
      </c>
    </row>
    <row r="1226" spans="1:41" ht="12.75" customHeight="1" x14ac:dyDescent="0.2">
      <c r="A1226" s="227">
        <v>1226</v>
      </c>
      <c r="B1226" s="6292"/>
      <c r="C1226" s="1153"/>
      <c r="D1226" s="1153"/>
      <c r="E1226" s="1153"/>
      <c r="F1226" s="1153"/>
      <c r="G1226" s="1153"/>
      <c r="H1226"/>
      <c r="L1226" s="275"/>
      <c r="M1226" s="273"/>
      <c r="N1226"/>
      <c r="Z1226" s="560" t="str">
        <f t="shared" si="312"/>
        <v>Ruatha Synn (Nv 12)</v>
      </c>
      <c r="AA1226" s="873">
        <f t="shared" si="313"/>
        <v>45</v>
      </c>
      <c r="AB1226" s="1270" t="s">
        <v>803</v>
      </c>
      <c r="AC1226" s="47">
        <v>260</v>
      </c>
      <c r="AD1226" s="135">
        <v>400</v>
      </c>
    </row>
    <row r="1227" spans="1:41" ht="12.75" customHeight="1" x14ac:dyDescent="0.2">
      <c r="A1227" s="227">
        <v>1227</v>
      </c>
      <c r="B1227" s="6292"/>
      <c r="C1227" s="1153"/>
      <c r="D1227" s="1153"/>
      <c r="E1227" s="1153"/>
      <c r="F1227" s="1153"/>
      <c r="G1227" s="1153"/>
      <c r="H1227"/>
      <c r="L1227" s="275"/>
      <c r="M1227" s="273"/>
      <c r="N1227"/>
      <c r="Y1227" s="2649"/>
      <c r="Z1227" s="560" t="str">
        <f t="shared" si="312"/>
        <v>Ruatha Synn (Nv 4)</v>
      </c>
      <c r="AA1227" s="873">
        <f t="shared" si="313"/>
        <v>46</v>
      </c>
      <c r="AB1227" s="1270" t="s">
        <v>804</v>
      </c>
      <c r="AC1227" s="47">
        <v>300</v>
      </c>
      <c r="AD1227" s="135">
        <v>600</v>
      </c>
      <c r="AE1227" s="2649"/>
      <c r="AF1227" s="2649"/>
      <c r="AG1227" s="2649"/>
      <c r="AH1227" s="2649"/>
      <c r="AI1227" s="2649"/>
      <c r="AJ1227" s="2649"/>
      <c r="AK1227" s="2649"/>
      <c r="AL1227" s="2649"/>
      <c r="AM1227" s="2649"/>
      <c r="AN1227" s="2649"/>
      <c r="AO1227" s="2649"/>
    </row>
    <row r="1228" spans="1:41" ht="12.75" customHeight="1" x14ac:dyDescent="0.2">
      <c r="A1228" s="227">
        <v>1228</v>
      </c>
      <c r="B1228" s="6292"/>
      <c r="C1228" s="1153"/>
      <c r="D1228" s="1153"/>
      <c r="E1228" s="1153"/>
      <c r="F1228" s="1153"/>
      <c r="G1228" s="1153"/>
      <c r="H1228"/>
      <c r="L1228" s="275"/>
      <c r="M1228" s="273"/>
      <c r="N1228"/>
      <c r="Y1228" s="2649"/>
      <c r="Z1228" s="560" t="str">
        <f t="shared" si="312"/>
        <v>Ruatha Synn (Nv 8)</v>
      </c>
      <c r="AA1228" s="873">
        <f t="shared" si="313"/>
        <v>44</v>
      </c>
      <c r="AB1228" s="1270" t="s">
        <v>805</v>
      </c>
      <c r="AC1228" s="47">
        <v>500</v>
      </c>
      <c r="AD1228" s="135">
        <v>1200</v>
      </c>
      <c r="AE1228" s="2649"/>
      <c r="AF1228" s="2649"/>
      <c r="AG1228" s="2649"/>
      <c r="AH1228" s="2649"/>
      <c r="AI1228" s="2649"/>
      <c r="AJ1228" s="2649"/>
      <c r="AK1228" s="2649"/>
      <c r="AL1228" s="2649"/>
      <c r="AM1228" s="2649"/>
      <c r="AN1228" s="2649"/>
      <c r="AO1228" s="2649"/>
    </row>
    <row r="1229" spans="1:41" ht="12.75" customHeight="1" x14ac:dyDescent="0.2">
      <c r="A1229" s="227">
        <v>1229</v>
      </c>
      <c r="B1229" s="6292"/>
      <c r="C1229" s="1153"/>
      <c r="D1229" s="1153"/>
      <c r="E1229" s="1153"/>
      <c r="F1229" s="1153"/>
      <c r="G1229" s="1153"/>
      <c r="H1229"/>
      <c r="L1229" s="275"/>
      <c r="M1229" s="273"/>
      <c r="N1229"/>
      <c r="Y1229" s="2649"/>
      <c r="Z1229" s="560" t="str">
        <f t="shared" si="312"/>
        <v>Wang Shou Bo (Nv 13)</v>
      </c>
      <c r="AA1229" s="873">
        <f t="shared" si="313"/>
        <v>22</v>
      </c>
      <c r="AB1229" s="1270" t="s">
        <v>806</v>
      </c>
      <c r="AC1229" s="47">
        <v>360</v>
      </c>
      <c r="AD1229" s="135">
        <v>750</v>
      </c>
      <c r="AE1229" s="2649"/>
      <c r="AF1229" s="2649"/>
      <c r="AG1229" s="2649"/>
      <c r="AH1229" s="2649"/>
      <c r="AI1229" s="2649"/>
      <c r="AJ1229" s="2649"/>
      <c r="AK1229" s="2649"/>
      <c r="AL1229" s="2649"/>
      <c r="AM1229" s="2649"/>
      <c r="AN1229" s="2649"/>
      <c r="AO1229" s="2649"/>
    </row>
    <row r="1230" spans="1:41" ht="12.75" customHeight="1" x14ac:dyDescent="0.2">
      <c r="A1230" s="227">
        <v>1230</v>
      </c>
      <c r="B1230" s="6292"/>
      <c r="C1230" s="1153"/>
      <c r="D1230" s="1153"/>
      <c r="E1230" s="1153"/>
      <c r="F1230" s="1153"/>
      <c r="G1230" s="1153"/>
      <c r="H1230"/>
      <c r="L1230" s="275"/>
      <c r="M1230" s="273"/>
      <c r="N1230"/>
      <c r="Y1230" s="2649"/>
      <c r="Z1230" s="560" t="str">
        <f t="shared" si="312"/>
        <v>Wang Shou Bo (Nv 5)</v>
      </c>
      <c r="AA1230" s="873">
        <f t="shared" si="313"/>
        <v>20</v>
      </c>
      <c r="AB1230" s="1270" t="s">
        <v>807</v>
      </c>
      <c r="AC1230" s="47">
        <v>440</v>
      </c>
      <c r="AD1230" s="135">
        <v>1200</v>
      </c>
      <c r="AE1230" s="2649"/>
      <c r="AF1230" s="2649"/>
      <c r="AG1230" s="2649"/>
      <c r="AH1230" s="2649"/>
      <c r="AI1230" s="2649"/>
      <c r="AJ1230" s="2649"/>
      <c r="AK1230" s="2649"/>
      <c r="AL1230" s="2649"/>
      <c r="AM1230" s="2649"/>
      <c r="AN1230" s="2649"/>
      <c r="AO1230" s="2649"/>
    </row>
    <row r="1231" spans="1:41" ht="12.75" customHeight="1" x14ac:dyDescent="0.2">
      <c r="A1231" s="227">
        <v>1231</v>
      </c>
      <c r="B1231" s="6292"/>
      <c r="C1231" s="1153"/>
      <c r="D1231" s="1153"/>
      <c r="E1231" s="1153"/>
      <c r="F1231" s="1153"/>
      <c r="G1231" s="1153"/>
      <c r="H1231"/>
      <c r="L1231" s="275"/>
      <c r="M1231" s="273"/>
      <c r="N1231"/>
      <c r="Y1231" s="2649"/>
      <c r="Z1231" s="560" t="str">
        <f t="shared" si="312"/>
        <v>Wang Shou Bo (Nv 9)</v>
      </c>
      <c r="AA1231" s="873">
        <f t="shared" si="313"/>
        <v>21</v>
      </c>
      <c r="AB1231" s="1270" t="s">
        <v>808</v>
      </c>
      <c r="AC1231" s="47">
        <v>520</v>
      </c>
      <c r="AD1231" s="135">
        <v>1500</v>
      </c>
      <c r="AE1231" s="2649"/>
      <c r="AF1231" s="2649"/>
      <c r="AG1231" s="2649"/>
      <c r="AH1231" s="2649"/>
      <c r="AI1231" s="2649"/>
      <c r="AJ1231" s="2649"/>
      <c r="AK1231" s="2649"/>
      <c r="AL1231" s="2649"/>
      <c r="AM1231" s="2649"/>
      <c r="AN1231" s="2649"/>
      <c r="AO1231" s="2649"/>
    </row>
    <row r="1232" spans="1:41" ht="12.75" customHeight="1" x14ac:dyDescent="0.2">
      <c r="A1232" s="227">
        <v>1232</v>
      </c>
      <c r="B1232" s="6292"/>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292"/>
      <c r="C1233" s="1153"/>
      <c r="D1233" s="1153"/>
      <c r="E1233" s="1153"/>
      <c r="F1233" s="1153"/>
      <c r="G1233" s="1153"/>
      <c r="H1233"/>
      <c r="L1233" s="275"/>
      <c r="M1233" s="273"/>
      <c r="N1233"/>
      <c r="Z1233" s="560" t="str">
        <f t="shared" ref="Z1233:Z1238" si="315">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292"/>
      <c r="C1234" s="1153"/>
      <c r="D1234" s="1153"/>
      <c r="E1234" s="1153"/>
      <c r="F1234" s="1153"/>
      <c r="G1234" s="1153"/>
      <c r="H1234"/>
      <c r="L1234" s="275"/>
      <c r="M1234" s="273"/>
      <c r="N1234"/>
      <c r="Z1234" s="560" t="str">
        <f t="shared" si="315"/>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292"/>
      <c r="C1235" s="1153"/>
      <c r="D1235" s="1153"/>
      <c r="E1235" s="1153"/>
      <c r="F1235" s="1153"/>
      <c r="G1235" s="1153"/>
      <c r="H1235"/>
      <c r="L1235" s="275"/>
      <c r="M1235" s="273"/>
      <c r="N1235"/>
      <c r="Z1235" s="560" t="str">
        <f t="shared" si="315"/>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292"/>
      <c r="C1236" s="1153"/>
      <c r="D1236" s="1153"/>
      <c r="E1236" s="1153"/>
      <c r="F1236" s="1153"/>
      <c r="G1236" s="1153"/>
      <c r="H1236"/>
      <c r="L1236" s="275"/>
      <c r="M1236" s="273"/>
      <c r="N1236"/>
      <c r="Z1236" s="560" t="str">
        <f t="shared" si="315"/>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292"/>
      <c r="C1237" s="1153"/>
      <c r="D1237" s="1153"/>
      <c r="E1237" s="1153"/>
      <c r="F1237" s="1153"/>
      <c r="G1237" s="1153"/>
      <c r="H1237"/>
      <c r="L1237" s="275"/>
      <c r="M1237" s="273"/>
      <c r="N1237"/>
      <c r="Z1237" s="560" t="str">
        <f t="shared" si="315"/>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292"/>
      <c r="C1238" s="1153"/>
      <c r="D1238" s="1153"/>
      <c r="E1238" s="1153"/>
      <c r="F1238" s="1153"/>
      <c r="G1238" s="1153"/>
      <c r="H1238"/>
      <c r="L1238" s="275"/>
      <c r="M1238" s="273"/>
      <c r="N1238"/>
      <c r="Z1238" s="560" t="str">
        <f t="shared" si="315"/>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292"/>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292"/>
      <c r="C1240" s="1153"/>
      <c r="D1240" s="1153"/>
      <c r="E1240" s="1153"/>
      <c r="F1240" s="1153"/>
      <c r="G1240" s="1153"/>
      <c r="H1240"/>
      <c r="L1240" s="275"/>
      <c r="M1240" s="273"/>
      <c r="N1240"/>
    </row>
    <row r="1241" spans="1:80" ht="12.75" customHeight="1" x14ac:dyDescent="0.2">
      <c r="A1241" s="227">
        <v>1241</v>
      </c>
      <c r="B1241" s="6042"/>
      <c r="C1241" s="6059" t="s">
        <v>7310</v>
      </c>
      <c r="D1241" s="6059"/>
      <c r="E1241" s="6059"/>
      <c r="F1241" s="6059"/>
      <c r="G1241" s="6059"/>
      <c r="H1241" s="6059"/>
      <c r="I1241" s="6059"/>
      <c r="J1241" s="6059"/>
      <c r="K1241" s="6059"/>
      <c r="L1241" s="6059"/>
      <c r="M1241" s="6059"/>
      <c r="N1241" s="6059"/>
      <c r="O1241" s="6059"/>
      <c r="P1241" s="6059"/>
      <c r="Q1241" s="6059"/>
      <c r="R1241" s="6059"/>
      <c r="S1241" s="6059"/>
      <c r="T1241" s="6059"/>
      <c r="U1241" s="6059"/>
      <c r="V1241" s="6059"/>
      <c r="W1241" s="6059"/>
      <c r="X1241" s="6059"/>
      <c r="Y1241" s="6059"/>
      <c r="Z1241" s="6059"/>
      <c r="AA1241" s="6059"/>
      <c r="AB1241" s="6059"/>
      <c r="AC1241" s="6059"/>
      <c r="AD1241" s="6059"/>
      <c r="AE1241" s="6059"/>
      <c r="AF1241" s="6059"/>
      <c r="AG1241" s="6059"/>
      <c r="AH1241" s="6059"/>
      <c r="AI1241" s="6059"/>
      <c r="AJ1241" s="6059"/>
      <c r="AK1241" s="6059"/>
      <c r="AL1241" s="6059"/>
      <c r="AM1241" s="6059"/>
      <c r="AN1241" s="6059"/>
      <c r="AO1241" s="6059"/>
      <c r="AP1241" s="6059"/>
      <c r="AQ1241" s="6059"/>
      <c r="AR1241" s="6059"/>
      <c r="AS1241" s="6059"/>
      <c r="AT1241" s="6059"/>
      <c r="AU1241" s="6059"/>
      <c r="AV1241" s="6059"/>
      <c r="AW1241" s="6059"/>
      <c r="AX1241" s="6059"/>
      <c r="AY1241" s="6059"/>
      <c r="AZ1241" s="6059"/>
      <c r="BA1241" s="6059"/>
      <c r="BB1241" s="6059"/>
      <c r="BC1241" s="6059"/>
      <c r="BD1241" s="6059"/>
      <c r="BE1241" s="6059"/>
      <c r="BF1241" s="6059"/>
      <c r="BG1241" s="6059"/>
      <c r="BH1241" s="6059"/>
      <c r="BI1241" s="6059"/>
      <c r="BJ1241" s="6059"/>
      <c r="BK1241" s="6059"/>
      <c r="BL1241" s="6059"/>
      <c r="BM1241" s="6059"/>
      <c r="BN1241" s="6059"/>
      <c r="BO1241" s="6059"/>
      <c r="BP1241" s="6059"/>
      <c r="BQ1241" s="6059"/>
      <c r="BR1241" s="6059"/>
      <c r="BS1241" s="6059"/>
      <c r="BT1241" s="6059"/>
      <c r="BU1241" s="6059"/>
      <c r="BV1241" s="6059"/>
      <c r="BW1241" s="6059"/>
      <c r="BX1241" s="6059"/>
      <c r="BY1241" s="6059"/>
      <c r="BZ1241" s="6059"/>
      <c r="CA1241" s="6059"/>
      <c r="CB1241" s="6059"/>
    </row>
    <row r="1242" spans="1:80" ht="12.75" customHeight="1" x14ac:dyDescent="0.2">
      <c r="A1242" s="227">
        <v>1242</v>
      </c>
      <c r="B1242" s="6042"/>
      <c r="C1242" s="6059"/>
      <c r="D1242" s="6059"/>
      <c r="E1242" s="6059"/>
      <c r="F1242" s="6059"/>
      <c r="G1242" s="6059"/>
      <c r="H1242" s="6059"/>
      <c r="I1242" s="6059"/>
      <c r="J1242" s="6059"/>
      <c r="K1242" s="6059"/>
      <c r="L1242" s="6059"/>
      <c r="M1242" s="6059"/>
      <c r="N1242" s="6059"/>
      <c r="O1242" s="6059"/>
      <c r="P1242" s="6059"/>
      <c r="Q1242" s="6059"/>
      <c r="R1242" s="6059"/>
      <c r="S1242" s="6059"/>
      <c r="T1242" s="6059"/>
      <c r="U1242" s="6059"/>
      <c r="V1242" s="6059"/>
      <c r="W1242" s="6059"/>
      <c r="X1242" s="6059"/>
      <c r="Y1242" s="6059"/>
      <c r="Z1242" s="6059"/>
      <c r="AA1242" s="6059"/>
      <c r="AB1242" s="6059"/>
      <c r="AC1242" s="6059"/>
      <c r="AD1242" s="6059"/>
      <c r="AE1242" s="6059"/>
      <c r="AF1242" s="6059"/>
      <c r="AG1242" s="6059"/>
      <c r="AH1242" s="6059"/>
      <c r="AI1242" s="6059"/>
      <c r="AJ1242" s="6059"/>
      <c r="AK1242" s="6059"/>
      <c r="AL1242" s="6059"/>
      <c r="AM1242" s="6059"/>
      <c r="AN1242" s="6059"/>
      <c r="AO1242" s="6059"/>
      <c r="AP1242" s="6059"/>
      <c r="AQ1242" s="6059"/>
      <c r="AR1242" s="6059"/>
      <c r="AS1242" s="6059"/>
      <c r="AT1242" s="6059"/>
      <c r="AU1242" s="6059"/>
      <c r="AV1242" s="6059"/>
      <c r="AW1242" s="6059"/>
      <c r="AX1242" s="6059"/>
      <c r="AY1242" s="6059"/>
      <c r="AZ1242" s="6059"/>
      <c r="BA1242" s="6059"/>
      <c r="BB1242" s="6059"/>
      <c r="BC1242" s="6059"/>
      <c r="BD1242" s="6059"/>
      <c r="BE1242" s="6059"/>
      <c r="BF1242" s="6059"/>
      <c r="BG1242" s="6059"/>
      <c r="BH1242" s="6059"/>
      <c r="BI1242" s="6059"/>
      <c r="BJ1242" s="6059"/>
      <c r="BK1242" s="6059"/>
      <c r="BL1242" s="6059"/>
      <c r="BM1242" s="6059"/>
      <c r="BN1242" s="6059"/>
      <c r="BO1242" s="6059"/>
      <c r="BP1242" s="6059"/>
      <c r="BQ1242" s="6059"/>
      <c r="BR1242" s="6059"/>
      <c r="BS1242" s="6059"/>
      <c r="BT1242" s="6059"/>
      <c r="BU1242" s="6059"/>
      <c r="BV1242" s="6059"/>
      <c r="BW1242" s="6059"/>
      <c r="BX1242" s="6059"/>
      <c r="BY1242" s="6059"/>
      <c r="BZ1242" s="6059"/>
      <c r="CA1242" s="6059"/>
      <c r="CB1242" s="6059"/>
    </row>
    <row r="1243" spans="1:80" ht="12.75" customHeight="1" x14ac:dyDescent="0.2">
      <c r="A1243" s="227">
        <v>1243</v>
      </c>
      <c r="B1243" s="6042"/>
      <c r="C1243" s="6059"/>
      <c r="D1243" s="6059"/>
      <c r="E1243" s="6059"/>
      <c r="F1243" s="6059"/>
      <c r="G1243" s="6059"/>
      <c r="H1243" s="6059"/>
      <c r="I1243" s="6059"/>
      <c r="J1243" s="6059"/>
      <c r="K1243" s="6059"/>
      <c r="L1243" s="6059"/>
      <c r="M1243" s="6059"/>
      <c r="N1243" s="6059"/>
      <c r="O1243" s="6059"/>
      <c r="P1243" s="6059"/>
      <c r="Q1243" s="6059"/>
      <c r="R1243" s="6059"/>
      <c r="S1243" s="6059"/>
      <c r="T1243" s="6059"/>
      <c r="U1243" s="6059"/>
      <c r="V1243" s="6059"/>
      <c r="W1243" s="6059"/>
      <c r="X1243" s="6059"/>
      <c r="Y1243" s="6059"/>
      <c r="Z1243" s="6059"/>
      <c r="AA1243" s="6059"/>
      <c r="AB1243" s="6059"/>
      <c r="AC1243" s="6059"/>
      <c r="AD1243" s="6059"/>
      <c r="AE1243" s="6059"/>
      <c r="AF1243" s="6059"/>
      <c r="AG1243" s="6059"/>
      <c r="AH1243" s="6059"/>
      <c r="AI1243" s="6059"/>
      <c r="AJ1243" s="6059"/>
      <c r="AK1243" s="6059"/>
      <c r="AL1243" s="6059"/>
      <c r="AM1243" s="6059"/>
      <c r="AN1243" s="6059"/>
      <c r="AO1243" s="6059"/>
      <c r="AP1243" s="6059"/>
      <c r="AQ1243" s="6059"/>
      <c r="AR1243" s="6059"/>
      <c r="AS1243" s="6059"/>
      <c r="AT1243" s="6059"/>
      <c r="AU1243" s="6059"/>
      <c r="AV1243" s="6059"/>
      <c r="AW1243" s="6059"/>
      <c r="AX1243" s="6059"/>
      <c r="AY1243" s="6059"/>
      <c r="AZ1243" s="6059"/>
      <c r="BA1243" s="6059"/>
      <c r="BB1243" s="6059"/>
      <c r="BC1243" s="6059"/>
      <c r="BD1243" s="6059"/>
      <c r="BE1243" s="6059"/>
      <c r="BF1243" s="6059"/>
      <c r="BG1243" s="6059"/>
      <c r="BH1243" s="6059"/>
      <c r="BI1243" s="6059"/>
      <c r="BJ1243" s="6059"/>
      <c r="BK1243" s="6059"/>
      <c r="BL1243" s="6059"/>
      <c r="BM1243" s="6059"/>
      <c r="BN1243" s="6059"/>
      <c r="BO1243" s="6059"/>
      <c r="BP1243" s="6059"/>
      <c r="BQ1243" s="6059"/>
      <c r="BR1243" s="6059"/>
      <c r="BS1243" s="6059"/>
      <c r="BT1243" s="6059"/>
      <c r="BU1243" s="6059"/>
      <c r="BV1243" s="6059"/>
      <c r="BW1243" s="6059"/>
      <c r="BX1243" s="6059"/>
      <c r="BY1243" s="6059"/>
      <c r="BZ1243" s="6059"/>
      <c r="CA1243" s="6059"/>
      <c r="CB1243" s="6059"/>
    </row>
    <row r="1244" spans="1:80" ht="12.75" customHeight="1" thickBot="1" x14ac:dyDescent="0.25">
      <c r="A1244" s="227">
        <v>1244</v>
      </c>
      <c r="B1244" s="6042"/>
      <c r="H1244"/>
      <c r="I1244" s="555"/>
      <c r="N1244"/>
      <c r="O1244" s="555"/>
    </row>
    <row r="1245" spans="1:80" ht="12.75" customHeight="1" x14ac:dyDescent="0.2">
      <c r="A1245" s="227">
        <v>1245</v>
      </c>
      <c r="B1245" s="6042"/>
      <c r="C1245" s="6091" t="s">
        <v>1247</v>
      </c>
      <c r="D1245" s="6092"/>
      <c r="E1245" s="6092"/>
      <c r="F1245" s="6092"/>
      <c r="G1245" s="6092"/>
      <c r="H1245" s="6092"/>
      <c r="I1245" s="6092"/>
      <c r="J1245" s="6092"/>
      <c r="K1245" s="6093"/>
      <c r="M1245" s="6086" t="s">
        <v>1438</v>
      </c>
      <c r="N1245" s="6087"/>
      <c r="O1245" s="6087"/>
      <c r="P1245" s="6087"/>
      <c r="Q1245" s="6087"/>
      <c r="R1245" s="6087"/>
      <c r="S1245" s="6087"/>
      <c r="T1245" s="6088"/>
      <c r="W1245" s="6233" t="s">
        <v>1440</v>
      </c>
      <c r="X1245" s="6234"/>
      <c r="Y1245" s="6097" t="s">
        <v>7320</v>
      </c>
      <c r="Z1245" s="6187" t="s">
        <v>7325</v>
      </c>
      <c r="AA1245" s="6097"/>
      <c r="AB1245" s="6097"/>
      <c r="AC1245" s="6097"/>
      <c r="AD1245" s="6097"/>
      <c r="AE1245" s="6097"/>
      <c r="AF1245" s="6097"/>
      <c r="AG1245" s="6097"/>
      <c r="AH1245" s="6097"/>
      <c r="AI1245" s="6097"/>
      <c r="AJ1245" s="6097"/>
      <c r="AK1245" s="6097"/>
      <c r="AL1245" s="6097"/>
      <c r="AM1245" s="6097"/>
      <c r="AN1245" s="6097"/>
      <c r="AO1245" s="6097"/>
      <c r="AP1245" s="6097"/>
      <c r="AQ1245" s="6097"/>
      <c r="AR1245" s="6097"/>
      <c r="AS1245" s="6097"/>
      <c r="AT1245" s="6097"/>
      <c r="AU1245" s="6097"/>
      <c r="AV1245" s="6097"/>
      <c r="AW1245" s="6097"/>
      <c r="AX1245" s="6097"/>
      <c r="AY1245" s="6097"/>
      <c r="AZ1245" s="6097"/>
      <c r="BA1245" s="6097"/>
      <c r="BB1245" s="6097"/>
      <c r="BC1245" s="6097"/>
      <c r="BD1245" s="6097"/>
      <c r="BE1245" s="6097"/>
      <c r="BF1245" s="6097"/>
      <c r="BG1245" s="6097"/>
      <c r="BH1245" s="6097"/>
      <c r="BI1245" s="6097"/>
      <c r="BJ1245" s="6097"/>
      <c r="BK1245" s="6097"/>
      <c r="BL1245" s="6097"/>
      <c r="BM1245" s="6097"/>
      <c r="BN1245" s="6097"/>
      <c r="BO1245" s="6097"/>
      <c r="BP1245" s="6097"/>
      <c r="BQ1245" s="6097"/>
      <c r="BR1245" s="6097"/>
      <c r="BS1245" s="6097"/>
      <c r="BT1245" s="6097"/>
      <c r="BU1245" s="6097"/>
      <c r="BV1245" s="6097"/>
      <c r="BW1245" s="6097"/>
      <c r="BX1245" s="6097"/>
      <c r="BY1245" s="6097"/>
      <c r="BZ1245" s="6097"/>
      <c r="CA1245" s="6097"/>
      <c r="CB1245" s="6188"/>
    </row>
    <row r="1246" spans="1:80" ht="12.75" customHeight="1" x14ac:dyDescent="0.2">
      <c r="A1246" s="227">
        <v>1246</v>
      </c>
      <c r="B1246" s="6042"/>
      <c r="C1246" s="6094"/>
      <c r="D1246" s="6095"/>
      <c r="E1246" s="6095"/>
      <c r="F1246" s="6095"/>
      <c r="G1246" s="6095"/>
      <c r="H1246" s="6095"/>
      <c r="I1246" s="6095"/>
      <c r="J1246" s="6095"/>
      <c r="K1246" s="6096"/>
      <c r="M1246" s="6089"/>
      <c r="N1246" s="4977"/>
      <c r="O1246" s="4977"/>
      <c r="P1246" s="4977"/>
      <c r="Q1246" s="4977"/>
      <c r="R1246" s="4977"/>
      <c r="S1246" s="4977"/>
      <c r="T1246" s="6090"/>
      <c r="W1246" s="6235"/>
      <c r="X1246" s="4762"/>
      <c r="Y1246" s="6098"/>
      <c r="Z1246" s="6189"/>
      <c r="AA1246" s="6098"/>
      <c r="AB1246" s="6098"/>
      <c r="AC1246" s="6098"/>
      <c r="AD1246" s="6098"/>
      <c r="AE1246" s="6098"/>
      <c r="AF1246" s="6098"/>
      <c r="AG1246" s="6098"/>
      <c r="AH1246" s="6098"/>
      <c r="AI1246" s="6098"/>
      <c r="AJ1246" s="6098"/>
      <c r="AK1246" s="6098"/>
      <c r="AL1246" s="6098"/>
      <c r="AM1246" s="6098"/>
      <c r="AN1246" s="6098"/>
      <c r="AO1246" s="6098"/>
      <c r="AP1246" s="6098"/>
      <c r="AQ1246" s="6098"/>
      <c r="AR1246" s="6098"/>
      <c r="AS1246" s="6098"/>
      <c r="AT1246" s="6098"/>
      <c r="AU1246" s="6098"/>
      <c r="AV1246" s="6098"/>
      <c r="AW1246" s="6098"/>
      <c r="AX1246" s="6098"/>
      <c r="AY1246" s="6098"/>
      <c r="AZ1246" s="6098"/>
      <c r="BA1246" s="6098"/>
      <c r="BB1246" s="6098"/>
      <c r="BC1246" s="6098"/>
      <c r="BD1246" s="6098"/>
      <c r="BE1246" s="6098"/>
      <c r="BF1246" s="6098"/>
      <c r="BG1246" s="6098"/>
      <c r="BH1246" s="6098"/>
      <c r="BI1246" s="6098"/>
      <c r="BJ1246" s="6098"/>
      <c r="BK1246" s="6098"/>
      <c r="BL1246" s="6098"/>
      <c r="BM1246" s="6098"/>
      <c r="BN1246" s="6098"/>
      <c r="BO1246" s="6098"/>
      <c r="BP1246" s="6098"/>
      <c r="BQ1246" s="6098"/>
      <c r="BR1246" s="6098"/>
      <c r="BS1246" s="6098"/>
      <c r="BT1246" s="6098"/>
      <c r="BU1246" s="6098"/>
      <c r="BV1246" s="6098"/>
      <c r="BW1246" s="6098"/>
      <c r="BX1246" s="6098"/>
      <c r="BY1246" s="6098"/>
      <c r="BZ1246" s="6098"/>
      <c r="CA1246" s="6098"/>
      <c r="CB1246" s="6190"/>
    </row>
    <row r="1247" spans="1:80" ht="12.75" customHeight="1" x14ac:dyDescent="0.2">
      <c r="A1247" s="227">
        <v>1247</v>
      </c>
      <c r="B1247" s="6042"/>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042"/>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042"/>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6">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20"/>
      <c r="AO1249" s="3020"/>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042"/>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042"/>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6"/>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042"/>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6"/>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042"/>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6"/>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042"/>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6"/>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042"/>
      <c r="C1255" s="995"/>
      <c r="D1255" s="58"/>
      <c r="E1255" s="998" t="s">
        <v>10285</v>
      </c>
      <c r="F1255" s="2650">
        <v>0</v>
      </c>
      <c r="G1255" s="2650">
        <v>10</v>
      </c>
      <c r="H1255" s="2650">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042"/>
      <c r="C1256" s="995"/>
      <c r="D1256" s="58"/>
      <c r="E1256" s="998" t="s">
        <v>10286</v>
      </c>
      <c r="F1256" s="2650">
        <v>0</v>
      </c>
      <c r="G1256" s="2650">
        <v>10</v>
      </c>
      <c r="H1256" s="2650">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042"/>
      <c r="C1257" s="995"/>
      <c r="D1257" s="58"/>
      <c r="E1257" s="998" t="s">
        <v>10287</v>
      </c>
      <c r="F1257" s="2650">
        <v>0</v>
      </c>
      <c r="G1257" s="2650">
        <v>10</v>
      </c>
      <c r="H1257" s="2650">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042"/>
      <c r="C1258" s="995"/>
      <c r="D1258" s="58"/>
      <c r="E1258" s="998" t="s">
        <v>10288</v>
      </c>
      <c r="F1258" s="2650">
        <v>0</v>
      </c>
      <c r="G1258" s="2650">
        <v>10</v>
      </c>
      <c r="H1258" s="2650">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042"/>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042"/>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042"/>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042"/>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042"/>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042"/>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042"/>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042"/>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042"/>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042"/>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042"/>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042"/>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042"/>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042"/>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042"/>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042"/>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7">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042"/>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7"/>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042"/>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7"/>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042"/>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7"/>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042"/>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7"/>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042"/>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7"/>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042"/>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7"/>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042"/>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7"/>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042"/>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7"/>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042"/>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7"/>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042"/>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7"/>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042"/>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7"/>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042"/>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7"/>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042"/>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7"/>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042"/>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7"/>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042"/>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7"/>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042"/>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7"/>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042"/>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7"/>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042"/>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7"/>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042"/>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7"/>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042"/>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7"/>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042"/>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7"/>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042"/>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042"/>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7"/>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042"/>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7"/>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042"/>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7"/>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042"/>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7"/>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042"/>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7"/>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042"/>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7"/>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042"/>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7"/>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042"/>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7"/>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042"/>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7"/>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042"/>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8">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042"/>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8"/>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042"/>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8"/>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042"/>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8"/>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042"/>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8"/>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042"/>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8"/>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042"/>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8"/>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042"/>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8"/>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042"/>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8"/>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042"/>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8"/>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042"/>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8"/>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042"/>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8"/>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042"/>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8"/>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042"/>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8"/>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042"/>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8"/>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042"/>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8"/>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042"/>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8"/>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042"/>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8"/>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042"/>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8"/>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042"/>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8"/>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042"/>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042"/>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9">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042"/>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9"/>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042"/>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9"/>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042"/>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9"/>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042"/>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9"/>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042"/>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9"/>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042"/>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9"/>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042"/>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9"/>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042"/>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9"/>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042"/>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9"/>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042"/>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098"/>
      <c r="BL1337" s="6098"/>
      <c r="BM1337" s="6098"/>
      <c r="BN1337" s="6098"/>
      <c r="BO1337" s="6098"/>
      <c r="BP1337" s="6098"/>
      <c r="BQ1337" s="6098"/>
      <c r="BR1337" s="6098"/>
      <c r="BS1337" s="6098"/>
      <c r="BT1337" s="6098"/>
      <c r="BU1337" s="6098"/>
      <c r="BV1337" s="6098"/>
      <c r="BW1337" s="6098"/>
      <c r="BX1337" s="6098"/>
      <c r="BY1337" s="6098"/>
      <c r="BZ1337" s="6098"/>
      <c r="CA1337" s="6098"/>
      <c r="CB1337" s="6190"/>
    </row>
    <row r="1338" spans="1:80" ht="12.75" customHeight="1" x14ac:dyDescent="0.2">
      <c r="A1338" s="227">
        <v>1338</v>
      </c>
      <c r="B1338" s="6042"/>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042"/>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20">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042"/>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20"/>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042"/>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20"/>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042"/>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20"/>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042"/>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20"/>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042"/>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20"/>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042"/>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20"/>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042"/>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20"/>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042"/>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20"/>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042"/>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20"/>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042"/>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20"/>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042"/>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042"/>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1">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042"/>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1"/>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042"/>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1"/>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042"/>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1"/>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042"/>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1"/>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042"/>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1"/>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042"/>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1"/>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042"/>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1"/>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042"/>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1"/>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042"/>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1"/>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042"/>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1"/>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042"/>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1"/>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042"/>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1"/>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042"/>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1"/>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042"/>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1"/>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042"/>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1"/>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042"/>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1"/>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042"/>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042"/>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042"/>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042"/>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042"/>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042"/>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2">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042"/>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2"/>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042"/>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2"/>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042"/>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2"/>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042"/>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2"/>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042"/>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2"/>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042"/>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042"/>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042"/>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042"/>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3">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042"/>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3"/>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042"/>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3"/>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042"/>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3"/>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042"/>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3"/>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042"/>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3"/>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042"/>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3"/>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042"/>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3"/>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042"/>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3"/>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042"/>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3"/>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042"/>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042"/>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3"/>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042"/>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3"/>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042"/>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3"/>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042"/>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3"/>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042"/>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3"/>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042"/>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3"/>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042"/>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3"/>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042"/>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3"/>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042"/>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3"/>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042"/>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3"/>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042"/>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3"/>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042"/>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3"/>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042"/>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3"/>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042"/>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3"/>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042"/>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3"/>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042"/>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3"/>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042"/>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3"/>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042"/>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3"/>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042"/>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3"/>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042"/>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3"/>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042"/>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3"/>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042"/>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3"/>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042"/>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3"/>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042"/>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3"/>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042"/>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3"/>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042"/>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3"/>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042"/>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3"/>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042"/>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042"/>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042"/>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042"/>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042"/>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042"/>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042"/>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042"/>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042"/>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042"/>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042"/>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042"/>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042"/>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042"/>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042"/>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042"/>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042"/>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042"/>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042"/>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042"/>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042"/>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042"/>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042"/>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042"/>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042"/>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042"/>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042"/>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042"/>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042"/>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042"/>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042"/>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042"/>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042"/>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042"/>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042"/>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042"/>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042"/>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042"/>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042"/>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042"/>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042"/>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042"/>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042"/>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042"/>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042"/>
      <c r="C1464" s="555"/>
      <c r="H1464"/>
      <c r="M1464" s="326"/>
      <c r="N1464" s="21"/>
      <c r="O1464" s="134" t="s">
        <v>1320</v>
      </c>
      <c r="P1464" s="993"/>
      <c r="Q1464" s="176"/>
      <c r="R1464" s="1000"/>
      <c r="S1464" s="176"/>
      <c r="T1464" s="991"/>
      <c r="U1464" s="259"/>
    </row>
    <row r="1465" spans="1:21" ht="12.75" customHeight="1" x14ac:dyDescent="0.2">
      <c r="A1465" s="227">
        <v>1465</v>
      </c>
      <c r="B1465" s="6042"/>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042"/>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042"/>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042"/>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042"/>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042"/>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042"/>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042"/>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042"/>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042"/>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042"/>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042"/>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042"/>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042"/>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042"/>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042"/>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042"/>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042"/>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042"/>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042"/>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042"/>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042"/>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042"/>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042"/>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042"/>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042"/>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042"/>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042"/>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042"/>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042"/>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042"/>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042"/>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042"/>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042"/>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042"/>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042"/>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042"/>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042"/>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042"/>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042"/>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042"/>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042"/>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042"/>
      <c r="C1507" s="555"/>
      <c r="H1507"/>
      <c r="M1507" s="326"/>
      <c r="N1507" s="21"/>
      <c r="O1507" s="134" t="s">
        <v>1321</v>
      </c>
      <c r="P1507" s="993"/>
      <c r="Q1507" s="176"/>
      <c r="R1507" s="1000"/>
      <c r="S1507" s="176"/>
      <c r="T1507" s="991"/>
      <c r="U1507" s="259"/>
    </row>
    <row r="1508" spans="1:21" ht="12.75" customHeight="1" x14ac:dyDescent="0.2">
      <c r="A1508" s="227">
        <v>1508</v>
      </c>
      <c r="B1508" s="6042"/>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042"/>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042"/>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042"/>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042"/>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042"/>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042"/>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042"/>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042"/>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042"/>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042"/>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042"/>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042"/>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042"/>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042"/>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042"/>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042"/>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042"/>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042"/>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042"/>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042"/>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042"/>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042"/>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042"/>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042"/>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042"/>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042"/>
      <c r="C1534" s="555"/>
      <c r="H1534"/>
      <c r="M1534" s="326"/>
      <c r="N1534" s="21"/>
      <c r="O1534" s="134" t="s">
        <v>1322</v>
      </c>
      <c r="P1534" s="993"/>
      <c r="Q1534" s="176"/>
      <c r="R1534" s="1000"/>
      <c r="S1534" s="176"/>
      <c r="T1534" s="991"/>
      <c r="U1534" s="259"/>
    </row>
    <row r="1535" spans="1:21" ht="12.75" customHeight="1" x14ac:dyDescent="0.2">
      <c r="A1535" s="227">
        <v>1535</v>
      </c>
      <c r="B1535" s="6042"/>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042"/>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042"/>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042"/>
      <c r="C1538" s="555"/>
      <c r="H1538"/>
      <c r="M1538" s="326"/>
      <c r="N1538" s="21"/>
      <c r="O1538" s="134" t="s">
        <v>0</v>
      </c>
      <c r="P1538" s="993"/>
      <c r="Q1538" s="176"/>
      <c r="R1538" s="1000"/>
      <c r="S1538" s="176"/>
      <c r="T1538" s="991"/>
      <c r="U1538" s="259"/>
    </row>
    <row r="1539" spans="1:41" ht="12.75" customHeight="1" x14ac:dyDescent="0.2">
      <c r="A1539" s="227">
        <v>1539</v>
      </c>
      <c r="B1539" s="6042"/>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042"/>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042"/>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042"/>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042"/>
      <c r="C1543" s="2633"/>
      <c r="H1543"/>
      <c r="M1543" s="326"/>
      <c r="N1543" s="21"/>
      <c r="O1543" s="134" t="s">
        <v>10075</v>
      </c>
      <c r="P1543" s="2640">
        <v>30</v>
      </c>
      <c r="Q1543" s="176">
        <f>20+IF(OR(TipoDeCriatura="Entre mundos, Elemental",TipoDeCriatura="Ánima, Elemental"),10,0)</f>
        <v>20</v>
      </c>
      <c r="R1543" s="1000">
        <f>COUNTIF(PoderesDeCriatura_Adquiridos,Tablas!O1543)</f>
        <v>0</v>
      </c>
      <c r="S1543" s="176"/>
      <c r="T1543" s="991"/>
      <c r="U1543" s="259"/>
      <c r="Y1543" s="2633"/>
      <c r="Z1543" s="2633"/>
      <c r="AA1543" s="2633"/>
      <c r="AB1543" s="2633"/>
      <c r="AC1543" s="2633"/>
      <c r="AD1543" s="2633"/>
      <c r="AE1543" s="2633"/>
      <c r="AF1543" s="2633"/>
      <c r="AG1543" s="2633"/>
      <c r="AH1543" s="2633"/>
      <c r="AI1543" s="2633"/>
      <c r="AJ1543" s="2633"/>
      <c r="AK1543" s="2633"/>
      <c r="AL1543" s="2633"/>
      <c r="AM1543" s="2633"/>
      <c r="AN1543" s="2633"/>
      <c r="AO1543" s="2633"/>
    </row>
    <row r="1544" spans="1:41" ht="12.75" customHeight="1" x14ac:dyDescent="0.2">
      <c r="A1544" s="227">
        <v>1544</v>
      </c>
      <c r="B1544" s="6042"/>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042"/>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042"/>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042"/>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042"/>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042"/>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042"/>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042"/>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042"/>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042"/>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042"/>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042"/>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042"/>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042"/>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042"/>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042"/>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042"/>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042"/>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042"/>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042"/>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042"/>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042"/>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042"/>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042"/>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042"/>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042"/>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042"/>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042"/>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042"/>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042"/>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042"/>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042"/>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042"/>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042"/>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042"/>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042"/>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042"/>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042"/>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042"/>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042"/>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042"/>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042"/>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042"/>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042"/>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042"/>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042"/>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042"/>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042"/>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042"/>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042"/>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042"/>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042"/>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042"/>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042"/>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042"/>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042"/>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042"/>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042"/>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042"/>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042"/>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042"/>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042"/>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042"/>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042"/>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042"/>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042"/>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042"/>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042"/>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042"/>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042"/>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042"/>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042"/>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042"/>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042"/>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042"/>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042"/>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042"/>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042"/>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042"/>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042"/>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042"/>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042"/>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042"/>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042"/>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042"/>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042"/>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042"/>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042"/>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042"/>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042"/>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042"/>
      <c r="C1634" s="555"/>
      <c r="H1634"/>
      <c r="M1634" s="326"/>
      <c r="N1634" s="21"/>
      <c r="O1634" s="134" t="s">
        <v>11</v>
      </c>
      <c r="P1634" s="988"/>
      <c r="Q1634" s="86"/>
      <c r="R1634" s="1000"/>
      <c r="S1634" s="176"/>
      <c r="T1634" s="991"/>
      <c r="U1634" s="259"/>
    </row>
    <row r="1635" spans="1:21" ht="12.75" customHeight="1" x14ac:dyDescent="0.2">
      <c r="A1635" s="227">
        <v>1635</v>
      </c>
      <c r="B1635" s="6042"/>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042"/>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042"/>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042"/>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042"/>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042"/>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042"/>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042"/>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042"/>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042"/>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042"/>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042"/>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042"/>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042"/>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042"/>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042"/>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042"/>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042"/>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042"/>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042"/>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042"/>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042"/>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042"/>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042"/>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042"/>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042"/>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042"/>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042"/>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042"/>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042"/>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042"/>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042"/>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042"/>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042"/>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042"/>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042"/>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042"/>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042"/>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042"/>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042"/>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042"/>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042"/>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042"/>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042"/>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042"/>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042"/>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042"/>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042"/>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042"/>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042"/>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042"/>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042"/>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042"/>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042"/>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042"/>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042"/>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042"/>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042"/>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042"/>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042"/>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042"/>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042"/>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042"/>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042"/>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042"/>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042"/>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042"/>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042"/>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042"/>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042"/>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042"/>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042"/>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042"/>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042"/>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042"/>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042"/>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042"/>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042"/>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042"/>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042"/>
      <c r="C1714" s="555"/>
      <c r="H1714"/>
      <c r="M1714" s="326"/>
      <c r="N1714" s="21"/>
      <c r="O1714" s="1" t="s">
        <v>18</v>
      </c>
      <c r="P1714" s="993"/>
      <c r="Q1714" s="176"/>
      <c r="R1714" s="1000"/>
      <c r="S1714" s="176"/>
      <c r="T1714" s="991"/>
    </row>
    <row r="1715" spans="1:20" ht="12.75" customHeight="1" x14ac:dyDescent="0.2">
      <c r="A1715" s="227">
        <v>1715</v>
      </c>
      <c r="B1715" s="6042"/>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042"/>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042"/>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042"/>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042"/>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042"/>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042"/>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042"/>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042"/>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042"/>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042"/>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042"/>
      <c r="C1726" s="555"/>
      <c r="H1726"/>
      <c r="M1726" s="326"/>
      <c r="N1726" s="21"/>
      <c r="O1726" s="1" t="s">
        <v>23</v>
      </c>
      <c r="P1726" s="993"/>
      <c r="Q1726" s="176"/>
      <c r="R1726" s="1000"/>
      <c r="S1726" s="176"/>
      <c r="T1726" s="991"/>
    </row>
    <row r="1727" spans="1:20" ht="12.75" customHeight="1" x14ac:dyDescent="0.2">
      <c r="A1727" s="227">
        <v>1727</v>
      </c>
      <c r="B1727" s="6042"/>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042"/>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042"/>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042"/>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042"/>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042"/>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042"/>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042"/>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042"/>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042"/>
      <c r="C1736" s="555"/>
      <c r="H1736"/>
      <c r="M1736" s="326"/>
      <c r="N1736" s="21"/>
      <c r="O1736" s="134" t="s">
        <v>25</v>
      </c>
      <c r="P1736" s="993"/>
      <c r="Q1736" s="176"/>
      <c r="R1736" s="1000"/>
      <c r="S1736" s="176"/>
      <c r="T1736" s="991"/>
    </row>
    <row r="1737" spans="1:20" ht="12.75" customHeight="1" x14ac:dyDescent="0.2">
      <c r="A1737" s="227">
        <v>1737</v>
      </c>
      <c r="B1737" s="6042"/>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042"/>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042"/>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042"/>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042"/>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042"/>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042"/>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042"/>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042"/>
      <c r="H1745"/>
      <c r="M1745" s="326"/>
      <c r="N1745" s="21"/>
      <c r="O1745" s="1" t="s">
        <v>29</v>
      </c>
      <c r="P1745" s="993"/>
      <c r="Q1745" s="176"/>
      <c r="R1745" s="1000"/>
      <c r="S1745" s="176"/>
      <c r="T1745" s="991"/>
    </row>
    <row r="1746" spans="1:41" ht="12.75" customHeight="1" x14ac:dyDescent="0.2">
      <c r="A1746" s="227">
        <v>1746</v>
      </c>
      <c r="B1746" s="6042"/>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042"/>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042"/>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042"/>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042"/>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042"/>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042"/>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042"/>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042"/>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042"/>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042"/>
      <c r="H1756"/>
      <c r="Y1756" s="2840"/>
      <c r="Z1756" s="2840"/>
      <c r="AA1756" s="2840"/>
      <c r="AB1756" s="2840"/>
      <c r="AC1756" s="2840"/>
      <c r="AD1756" s="2840"/>
      <c r="AE1756" s="2840"/>
      <c r="AF1756" s="2840"/>
      <c r="AG1756" s="2840"/>
      <c r="AH1756" s="2840"/>
      <c r="AI1756" s="2840"/>
      <c r="AJ1756" s="2840"/>
      <c r="AK1756" s="2840"/>
      <c r="AL1756" s="2840"/>
      <c r="AM1756" s="2840"/>
      <c r="AN1756" s="2840"/>
      <c r="AO1756" s="2840"/>
    </row>
    <row r="1757" spans="1:41" ht="12.75" customHeight="1" x14ac:dyDescent="0.2">
      <c r="A1757" s="227">
        <v>1757</v>
      </c>
      <c r="B1757" s="6042"/>
      <c r="C1757" s="6059" t="s">
        <v>7311</v>
      </c>
      <c r="D1757" s="6059"/>
      <c r="E1757" s="6059"/>
      <c r="F1757" s="6059"/>
      <c r="G1757" s="6059"/>
      <c r="H1757" s="6059"/>
      <c r="I1757" s="6059"/>
      <c r="J1757" s="6059"/>
      <c r="K1757" s="6059"/>
      <c r="L1757" s="6059"/>
      <c r="M1757" s="6059"/>
      <c r="N1757" s="6059"/>
      <c r="O1757" s="6059"/>
      <c r="P1757" s="6059"/>
      <c r="Q1757" s="6059"/>
      <c r="R1757" s="6059"/>
      <c r="S1757" s="6059"/>
      <c r="T1757" s="6059"/>
      <c r="U1757" s="6059"/>
      <c r="V1757" s="6059"/>
      <c r="W1757" s="6059"/>
      <c r="X1757" s="6059"/>
      <c r="Y1757" s="6059"/>
    </row>
    <row r="1758" spans="1:41" ht="12.75" customHeight="1" x14ac:dyDescent="0.2">
      <c r="A1758" s="227">
        <v>1758</v>
      </c>
      <c r="B1758" s="6042"/>
      <c r="C1758" s="6059"/>
      <c r="D1758" s="6059"/>
      <c r="E1758" s="6059"/>
      <c r="F1758" s="6059"/>
      <c r="G1758" s="6059"/>
      <c r="H1758" s="6059"/>
      <c r="I1758" s="6059"/>
      <c r="J1758" s="6059"/>
      <c r="K1758" s="6059"/>
      <c r="L1758" s="6059"/>
      <c r="M1758" s="6059"/>
      <c r="N1758" s="6059"/>
      <c r="O1758" s="6059"/>
      <c r="P1758" s="6059"/>
      <c r="Q1758" s="6059"/>
      <c r="R1758" s="6059"/>
      <c r="S1758" s="6059"/>
      <c r="T1758" s="6059"/>
      <c r="U1758" s="6059"/>
      <c r="V1758" s="6059"/>
      <c r="W1758" s="6059"/>
      <c r="X1758" s="6059"/>
      <c r="Y1758" s="6059"/>
    </row>
    <row r="1759" spans="1:41" ht="12.75" customHeight="1" x14ac:dyDescent="0.2">
      <c r="A1759" s="227">
        <v>1759</v>
      </c>
      <c r="B1759" s="6042"/>
      <c r="C1759" s="6059"/>
      <c r="D1759" s="6059"/>
      <c r="E1759" s="6059"/>
      <c r="F1759" s="6059"/>
      <c r="G1759" s="6059"/>
      <c r="H1759" s="6059"/>
      <c r="I1759" s="6059"/>
      <c r="J1759" s="6059"/>
      <c r="K1759" s="6059"/>
      <c r="L1759" s="6059"/>
      <c r="M1759" s="6059"/>
      <c r="N1759" s="6059"/>
      <c r="O1759" s="6059"/>
      <c r="P1759" s="6059"/>
      <c r="Q1759" s="6059"/>
      <c r="R1759" s="6059"/>
      <c r="S1759" s="6059"/>
      <c r="T1759" s="6059"/>
      <c r="U1759" s="6059"/>
      <c r="V1759" s="6059"/>
      <c r="W1759" s="6059"/>
      <c r="X1759" s="6059"/>
      <c r="Y1759" s="6059"/>
    </row>
    <row r="1760" spans="1:41" ht="12.75" customHeight="1" thickBot="1" x14ac:dyDescent="0.25">
      <c r="A1760" s="227">
        <v>1760</v>
      </c>
      <c r="B1760" s="6042"/>
      <c r="H1760"/>
      <c r="I1760" s="555"/>
      <c r="N1760"/>
      <c r="O1760" s="555"/>
    </row>
    <row r="1761" spans="1:25" ht="12.75" customHeight="1" x14ac:dyDescent="0.2">
      <c r="A1761" s="227">
        <v>1761</v>
      </c>
      <c r="B1761" s="6042"/>
      <c r="C1761" s="6213" t="s">
        <v>6399</v>
      </c>
      <c r="D1761" s="6214"/>
      <c r="E1761" s="6213" t="s">
        <v>1819</v>
      </c>
      <c r="F1761" s="6313"/>
      <c r="G1761" s="6313"/>
      <c r="H1761" s="6313"/>
      <c r="I1761" s="6313"/>
      <c r="J1761" s="6313"/>
      <c r="K1761" s="6313"/>
      <c r="L1761" s="6313"/>
      <c r="M1761" s="6313"/>
      <c r="N1761" s="6313"/>
      <c r="O1761" s="958"/>
      <c r="P1761" s="958"/>
      <c r="Q1761" s="960"/>
      <c r="R1761" s="959"/>
      <c r="T1761" s="6321" t="s">
        <v>7299</v>
      </c>
      <c r="U1761" s="6322"/>
      <c r="V1761" s="6322"/>
      <c r="W1761" s="6322"/>
      <c r="X1761" s="6322"/>
      <c r="Y1761" s="6323"/>
    </row>
    <row r="1762" spans="1:25" ht="12.75" customHeight="1" x14ac:dyDescent="0.2">
      <c r="A1762" s="227">
        <v>1762</v>
      </c>
      <c r="B1762" s="6042"/>
      <c r="C1762" s="6215"/>
      <c r="D1762" s="6216"/>
      <c r="E1762" s="6215"/>
      <c r="F1762" s="6314"/>
      <c r="G1762" s="6314"/>
      <c r="H1762" s="6314"/>
      <c r="I1762" s="6314"/>
      <c r="J1762" s="6314"/>
      <c r="K1762" s="6314"/>
      <c r="L1762" s="6314"/>
      <c r="M1762" s="6314"/>
      <c r="N1762" s="6314"/>
      <c r="O1762" s="6291" t="s">
        <v>7295</v>
      </c>
      <c r="P1762" s="6315">
        <f>COUNTIF(J1765:J1957,"&gt;0")</f>
        <v>0</v>
      </c>
      <c r="Q1762" s="961"/>
      <c r="R1762" s="591"/>
      <c r="T1762" s="6324"/>
      <c r="U1762" s="6325"/>
      <c r="V1762" s="6325"/>
      <c r="W1762" s="6325"/>
      <c r="X1762" s="6325"/>
      <c r="Y1762" s="6326"/>
    </row>
    <row r="1763" spans="1:25" ht="12.75" customHeight="1" x14ac:dyDescent="0.2">
      <c r="A1763" s="227">
        <v>1763</v>
      </c>
      <c r="B1763" s="6042"/>
      <c r="C1763" s="612" t="s">
        <v>6400</v>
      </c>
      <c r="D1763" s="587"/>
      <c r="E1763" s="962"/>
      <c r="F1763" s="957" t="s">
        <v>7296</v>
      </c>
      <c r="G1763" s="590">
        <v>3</v>
      </c>
      <c r="H1763" s="590">
        <v>4</v>
      </c>
      <c r="I1763" s="590">
        <v>5</v>
      </c>
      <c r="J1763" s="590">
        <v>6</v>
      </c>
      <c r="K1763" s="590">
        <v>7</v>
      </c>
      <c r="L1763" s="590">
        <v>8</v>
      </c>
      <c r="M1763" s="590">
        <v>9</v>
      </c>
      <c r="N1763" s="590">
        <v>10</v>
      </c>
      <c r="O1763" s="6291"/>
      <c r="P1763" s="6315"/>
      <c r="Q1763" s="961">
        <v>13</v>
      </c>
      <c r="R1763" s="591">
        <v>14</v>
      </c>
      <c r="T1763" s="6312" t="s">
        <v>7297</v>
      </c>
      <c r="U1763" s="6212"/>
      <c r="V1763" s="6212" t="s">
        <v>7298</v>
      </c>
      <c r="W1763" s="6212"/>
      <c r="X1763" s="6212" t="s">
        <v>1207</v>
      </c>
      <c r="Y1763" s="6290"/>
    </row>
    <row r="1764" spans="1:25" ht="12.75" customHeight="1" x14ac:dyDescent="0.2">
      <c r="A1764" s="227">
        <v>1764</v>
      </c>
      <c r="B1764" s="6042"/>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042"/>
      <c r="C1765" s="612" t="s">
        <v>6402</v>
      </c>
      <c r="D1765" s="587"/>
      <c r="E1765" s="964" t="s">
        <v>6414</v>
      </c>
      <c r="F1765" s="589"/>
      <c r="G1765" s="589">
        <v>10</v>
      </c>
      <c r="H1765" s="589">
        <v>1</v>
      </c>
      <c r="I1765" s="589">
        <v>5</v>
      </c>
      <c r="J1765" s="589">
        <f>COUNTIF(Elan!$C$13:$F$25,Tablas!E1765)+COUNTIF(Elan!$U$13:$X$25,Tablas!E1765)</f>
        <v>0</v>
      </c>
      <c r="K1765" s="589"/>
      <c r="L1765" s="6043" t="s">
        <v>6602</v>
      </c>
      <c r="M1765" s="6043"/>
      <c r="N1765" s="6043"/>
      <c r="O1765" s="6043"/>
      <c r="P1765" s="6043"/>
      <c r="Q1765" s="6044"/>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042"/>
      <c r="C1766" s="612" t="s">
        <v>6403</v>
      </c>
      <c r="D1766" s="587"/>
      <c r="E1766" s="964" t="s">
        <v>6415</v>
      </c>
      <c r="F1766" s="589"/>
      <c r="G1766" s="589">
        <v>20</v>
      </c>
      <c r="H1766" s="589">
        <v>1</v>
      </c>
      <c r="I1766" s="589">
        <v>10</v>
      </c>
      <c r="J1766" s="589">
        <f>COUNTIF(Elan!$C$13:$F$25,Tablas!E1766)+COUNTIF(Elan!$U$13:$X$25,Tablas!E1766)</f>
        <v>0</v>
      </c>
      <c r="K1766" s="589"/>
      <c r="L1766" s="6043" t="str">
        <f>"Permite extripar cualquier enfermedad de nivel igual o inferior a "&amp;F1764&amp;"."</f>
        <v>Permite extripar cualquier enfermedad de nivel igual o inferior a 0.</v>
      </c>
      <c r="M1766" s="6043"/>
      <c r="N1766" s="6043"/>
      <c r="O1766" s="6043"/>
      <c r="P1766" s="6043"/>
      <c r="Q1766" s="6044"/>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042"/>
      <c r="C1767" s="612" t="s">
        <v>6311</v>
      </c>
      <c r="D1767" s="587"/>
      <c r="E1767" s="964" t="s">
        <v>6416</v>
      </c>
      <c r="F1767" s="589"/>
      <c r="G1767" s="589">
        <v>30</v>
      </c>
      <c r="H1767" s="589">
        <v>1</v>
      </c>
      <c r="I1767" s="589">
        <v>5</v>
      </c>
      <c r="J1767" s="589">
        <f>COUNTIF(Elan!$C$13:$F$25,Tablas!E1767)+COUNTIF(Elan!$U$13:$X$25,Tablas!E1767)</f>
        <v>0</v>
      </c>
      <c r="K1767" s="589"/>
      <c r="L1767" s="6043" t="s">
        <v>6609</v>
      </c>
      <c r="M1767" s="6043"/>
      <c r="N1767" s="6043"/>
      <c r="O1767" s="6043"/>
      <c r="P1767" s="6043"/>
      <c r="Q1767" s="6044"/>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042"/>
      <c r="C1768" s="612" t="s">
        <v>6404</v>
      </c>
      <c r="D1768" s="587"/>
      <c r="E1768" s="964" t="s">
        <v>6417</v>
      </c>
      <c r="F1768" s="589"/>
      <c r="G1768" s="589">
        <v>40</v>
      </c>
      <c r="H1768" s="589">
        <v>1</v>
      </c>
      <c r="I1768" s="589">
        <v>20</v>
      </c>
      <c r="J1768" s="589">
        <f>COUNTIF(Elan!$C$13:$F$25,Tablas!E1768)+COUNTIF(Elan!$U$13:$X$25,Tablas!E1768)</f>
        <v>0</v>
      </c>
      <c r="K1768" s="589">
        <f>FLOOR($F$1764/2*J1768,1)</f>
        <v>0</v>
      </c>
      <c r="L1768" s="6043" t="str">
        <f>"Otorga un bonificador especial a todas las resistencias de "&amp;K1768&amp;"."</f>
        <v>Otorga un bonificador especial a todas las resistencias de 0.</v>
      </c>
      <c r="M1768" s="6043"/>
      <c r="N1768" s="6043"/>
      <c r="O1768" s="6043"/>
      <c r="P1768" s="6043"/>
      <c r="Q1768" s="6044"/>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042"/>
      <c r="C1769" s="612" t="s">
        <v>6405</v>
      </c>
      <c r="D1769" s="587"/>
      <c r="E1769" s="964" t="s">
        <v>6418</v>
      </c>
      <c r="F1769" s="589"/>
      <c r="G1769" s="589">
        <v>50</v>
      </c>
      <c r="H1769" s="589">
        <v>1</v>
      </c>
      <c r="I1769" s="589">
        <v>15</v>
      </c>
      <c r="J1769" s="589">
        <f>COUNTIF(Elan!$C$13:$F$25,Tablas!E1769)+COUNTIF(Elan!$U$13:$X$25,Tablas!E1769)</f>
        <v>0</v>
      </c>
      <c r="K1769" s="589"/>
      <c r="L1769" s="6043" t="str">
        <f>"Permite desconvocar a un ser sobrenatural maligno si no supera un control de RM de "&amp;F1764*2&amp;"."</f>
        <v>Permite desconvocar a un ser sobrenatural maligno si no supera un control de RM de 0.</v>
      </c>
      <c r="M1769" s="6043"/>
      <c r="N1769" s="6043"/>
      <c r="O1769" s="6043"/>
      <c r="P1769" s="6043"/>
      <c r="Q1769" s="6044"/>
      <c r="R1769" s="967">
        <f>IF(OR($J1769=0,$J1769="Aprendida"),0,SUM($J$1765:$J1769))</f>
        <v>0</v>
      </c>
      <c r="T1769" s="1087" t="s">
        <v>6615</v>
      </c>
      <c r="U1769" s="1088">
        <v>1</v>
      </c>
      <c r="V1769" s="1089"/>
      <c r="W1769" s="1088"/>
      <c r="X1769" s="1088"/>
      <c r="Y1769" s="1275"/>
    </row>
    <row r="1770" spans="1:25" ht="12.75" customHeight="1" x14ac:dyDescent="0.2">
      <c r="A1770" s="227">
        <v>1770</v>
      </c>
      <c r="B1770" s="6042"/>
      <c r="C1770" s="612" t="s">
        <v>6406</v>
      </c>
      <c r="D1770" s="587"/>
      <c r="E1770" s="964" t="s">
        <v>2719</v>
      </c>
      <c r="F1770" s="589"/>
      <c r="G1770" s="589">
        <v>50</v>
      </c>
      <c r="H1770" s="589">
        <f>IF(J1768=1,1,0)</f>
        <v>0</v>
      </c>
      <c r="I1770" s="589">
        <v>10</v>
      </c>
      <c r="J1770" s="589">
        <f>COUNTIF(Elan!$C$13:$F$25,Tablas!E1770)+COUNTIF(Elan!$U$13:$X$25,Tablas!E1770)</f>
        <v>0</v>
      </c>
      <c r="K1770" s="589"/>
      <c r="L1770" s="6043" t="str">
        <f>"Extiende el bono a las resistencias de Resistencia Celestial en un radio de "&amp;F1764/2&amp;" metros."</f>
        <v>Extiende el bono a las resistencias de Resistencia Celestial en un radio de 0 metros.</v>
      </c>
      <c r="M1770" s="6043"/>
      <c r="N1770" s="6043"/>
      <c r="O1770" s="6043"/>
      <c r="P1770" s="6043"/>
      <c r="Q1770" s="6044"/>
      <c r="R1770" s="967">
        <f>IF(OR($J1770=0,$J1770="Aprendida"),0,SUM($J$1765:$J1770))</f>
        <v>0</v>
      </c>
      <c r="T1770" s="1087" t="s">
        <v>6607</v>
      </c>
      <c r="U1770" s="1088">
        <v>5</v>
      </c>
      <c r="V1770" s="1089"/>
      <c r="W1770" s="1088"/>
      <c r="X1770" s="1088"/>
      <c r="Y1770" s="1275"/>
    </row>
    <row r="1771" spans="1:25" ht="12.75" customHeight="1" x14ac:dyDescent="0.2">
      <c r="A1771" s="227">
        <v>1771</v>
      </c>
      <c r="B1771" s="6042"/>
      <c r="C1771" s="612" t="s">
        <v>6407</v>
      </c>
      <c r="D1771" s="587"/>
      <c r="E1771" s="964" t="s">
        <v>6419</v>
      </c>
      <c r="F1771" s="589"/>
      <c r="G1771" s="589">
        <v>60</v>
      </c>
      <c r="H1771" s="589">
        <v>1</v>
      </c>
      <c r="I1771" s="589">
        <v>10</v>
      </c>
      <c r="J1771" s="589">
        <f>COUNTIF(Elan!$C$13:$F$25,Tablas!E1771)+COUNTIF(Elan!$U$13:$X$25,Tablas!E1771)</f>
        <v>0</v>
      </c>
      <c r="K1771" s="589"/>
      <c r="L1771" s="6043" t="s">
        <v>6616</v>
      </c>
      <c r="M1771" s="6043"/>
      <c r="N1771" s="6043"/>
      <c r="O1771" s="6043"/>
      <c r="P1771" s="6043"/>
      <c r="Q1771" s="6044"/>
      <c r="R1771" s="967">
        <f>IF(OR($J1771=0,$J1771="Aprendida"),0,SUM($J$1765:$J1771))</f>
        <v>0</v>
      </c>
      <c r="T1771" s="1090"/>
      <c r="U1771" s="1091"/>
      <c r="V1771" s="1091"/>
      <c r="W1771" s="1091"/>
      <c r="X1771" s="1091"/>
      <c r="Y1771" s="1276"/>
    </row>
    <row r="1772" spans="1:25" ht="12.75" customHeight="1" x14ac:dyDescent="0.2">
      <c r="A1772" s="227">
        <v>1772</v>
      </c>
      <c r="B1772" s="6042"/>
      <c r="C1772" s="612" t="s">
        <v>6408</v>
      </c>
      <c r="D1772" s="587"/>
      <c r="E1772" s="964" t="s">
        <v>6420</v>
      </c>
      <c r="F1772" s="589"/>
      <c r="G1772" s="589">
        <v>70</v>
      </c>
      <c r="H1772" s="589">
        <v>1</v>
      </c>
      <c r="I1772" s="589">
        <v>10</v>
      </c>
      <c r="J1772" s="589">
        <f>COUNTIF(Elan!$C$13:$F$25,Tablas!E1772)+COUNTIF(Elan!$U$13:$X$25,Tablas!E1772)</f>
        <v>0</v>
      </c>
      <c r="K1772" s="589"/>
      <c r="L1772" s="6043" t="s">
        <v>6617</v>
      </c>
      <c r="M1772" s="6043"/>
      <c r="N1772" s="6043"/>
      <c r="O1772" s="6043"/>
      <c r="P1772" s="6043"/>
      <c r="Q1772" s="6044"/>
      <c r="R1772" s="967">
        <f>IF(OR($J1772=0,$J1772="Aprendida"),0,SUM($J$1765:$J1772))</f>
        <v>0</v>
      </c>
      <c r="T1772" s="1085" t="str">
        <f>E1777</f>
        <v>Zemial</v>
      </c>
      <c r="U1772" s="1086"/>
      <c r="V1772" s="1092"/>
      <c r="W1772" s="1086"/>
      <c r="X1772" s="1086"/>
      <c r="Y1772" s="1274"/>
    </row>
    <row r="1773" spans="1:25" ht="12.75" customHeight="1" x14ac:dyDescent="0.2">
      <c r="A1773" s="227">
        <v>1773</v>
      </c>
      <c r="B1773" s="6042"/>
      <c r="C1773" s="612" t="s">
        <v>6409</v>
      </c>
      <c r="D1773" s="587"/>
      <c r="E1773" s="964" t="s">
        <v>6421</v>
      </c>
      <c r="F1773" s="589"/>
      <c r="G1773" s="589">
        <v>70</v>
      </c>
      <c r="H1773" s="589">
        <v>1</v>
      </c>
      <c r="I1773" s="589">
        <v>10</v>
      </c>
      <c r="J1773" s="589">
        <f>COUNTIF(Elan!$C$13:$F$25,Tablas!E1773)+COUNTIF(Elan!$U$13:$X$25,Tablas!E1773)</f>
        <v>0</v>
      </c>
      <c r="K1773" s="589"/>
      <c r="L1773" s="6043" t="s">
        <v>10360</v>
      </c>
      <c r="M1773" s="6043"/>
      <c r="N1773" s="6043"/>
      <c r="O1773" s="6043"/>
      <c r="P1773" s="6043"/>
      <c r="Q1773" s="6044"/>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042"/>
      <c r="C1774" s="612" t="s">
        <v>6410</v>
      </c>
      <c r="D1774" s="587"/>
      <c r="E1774" s="964" t="s">
        <v>6422</v>
      </c>
      <c r="F1774" s="589"/>
      <c r="G1774" s="589">
        <v>80</v>
      </c>
      <c r="H1774" s="589">
        <v>1</v>
      </c>
      <c r="I1774" s="589">
        <v>15</v>
      </c>
      <c r="J1774" s="589">
        <f>COUNTIF(Elan!$C$13:$F$25,Tablas!E1774)+COUNTIF(Elan!$U$13:$X$25,Tablas!E1774)</f>
        <v>0</v>
      </c>
      <c r="K1774" s="589"/>
      <c r="L1774" s="6043" t="s">
        <v>10361</v>
      </c>
      <c r="M1774" s="6043"/>
      <c r="N1774" s="6043"/>
      <c r="O1774" s="6043"/>
      <c r="P1774" s="6043"/>
      <c r="Q1774" s="6044"/>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042"/>
      <c r="C1775" s="612" t="s">
        <v>6411</v>
      </c>
      <c r="D1775" s="587"/>
      <c r="E1775" s="964" t="s">
        <v>6423</v>
      </c>
      <c r="F1775" s="589"/>
      <c r="G1775" s="589">
        <v>90</v>
      </c>
      <c r="H1775" s="589">
        <v>1</v>
      </c>
      <c r="I1775" s="589">
        <v>20</v>
      </c>
      <c r="J1775" s="589">
        <f>COUNTIF(Elan!$C$13:$F$25,Tablas!E1775)+COUNTIF(Elan!$U$13:$X$25,Tablas!E1775)</f>
        <v>0</v>
      </c>
      <c r="K1775" s="589"/>
      <c r="L1775" s="6043" t="s">
        <v>6618</v>
      </c>
      <c r="M1775" s="6043"/>
      <c r="N1775" s="6043"/>
      <c r="O1775" s="6043"/>
      <c r="P1775" s="6043"/>
      <c r="Q1775" s="6044"/>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042"/>
      <c r="C1776" s="613" t="s">
        <v>6412</v>
      </c>
      <c r="D1776" s="588"/>
      <c r="E1776" s="964" t="s">
        <v>6424</v>
      </c>
      <c r="F1776" s="589"/>
      <c r="G1776" s="589">
        <v>100</v>
      </c>
      <c r="H1776" s="589">
        <v>1</v>
      </c>
      <c r="I1776" s="589">
        <v>10</v>
      </c>
      <c r="J1776" s="589">
        <f>COUNTIF(Elan!$C$13:$F$25,Tablas!E1776)+COUNTIF(Elan!$U$13:$X$25,Tablas!E1776)</f>
        <v>0</v>
      </c>
      <c r="K1776" s="589"/>
      <c r="L1776" s="6043" t="s">
        <v>6619</v>
      </c>
      <c r="M1776" s="6043"/>
      <c r="N1776" s="6043"/>
      <c r="O1776" s="6043"/>
      <c r="P1776" s="6043"/>
      <c r="Q1776" s="6044"/>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042"/>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042"/>
      <c r="E1778" s="964" t="s">
        <v>6425</v>
      </c>
      <c r="F1778" s="589"/>
      <c r="G1778" s="589">
        <v>10</v>
      </c>
      <c r="H1778" s="589">
        <v>1</v>
      </c>
      <c r="I1778" s="589">
        <v>5</v>
      </c>
      <c r="J1778" s="589">
        <f>COUNTIF(Elan!$C$13:$F$25,Tablas!E1778)+COUNTIF(Elan!$U$13:$X$25,Tablas!E1778)</f>
        <v>0</v>
      </c>
      <c r="K1778" s="589"/>
      <c r="L1778" s="6043" t="s">
        <v>6620</v>
      </c>
      <c r="M1778" s="6043"/>
      <c r="N1778" s="6043"/>
      <c r="O1778" s="6043"/>
      <c r="P1778" s="6043"/>
      <c r="Q1778" s="6044"/>
      <c r="R1778" s="967">
        <f>IF(OR($J1778=0,$J1778="Aprendida"),0,SUM($J$1765:$J1778))</f>
        <v>0</v>
      </c>
      <c r="T1778" s="1087" t="s">
        <v>6632</v>
      </c>
      <c r="U1778" s="1088">
        <v>2</v>
      </c>
      <c r="V1778" s="1089"/>
      <c r="W1778" s="1088"/>
      <c r="X1778" s="1088"/>
      <c r="Y1778" s="1275"/>
    </row>
    <row r="1779" spans="1:25" ht="12.75" customHeight="1" x14ac:dyDescent="0.2">
      <c r="A1779" s="227">
        <v>1779</v>
      </c>
      <c r="B1779" s="6042"/>
      <c r="E1779" s="964" t="s">
        <v>6426</v>
      </c>
      <c r="F1779" s="589"/>
      <c r="G1779" s="589">
        <v>20</v>
      </c>
      <c r="H1779" s="589">
        <v>1</v>
      </c>
      <c r="I1779" s="589">
        <v>5</v>
      </c>
      <c r="J1779" s="589">
        <f>COUNTIF(Elan!$C$13:$F$25,Tablas!E1779)+COUNTIF(Elan!$U$13:$X$25,Tablas!E1779)</f>
        <v>0</v>
      </c>
      <c r="K1779" s="589"/>
      <c r="L1779" s="6043" t="s">
        <v>6624</v>
      </c>
      <c r="M1779" s="6043"/>
      <c r="N1779" s="6043"/>
      <c r="O1779" s="6043"/>
      <c r="P1779" s="6043"/>
      <c r="Q1779" s="6044"/>
      <c r="R1779" s="967">
        <f>IF(OR($J1779=0,$J1779="Aprendida"),0,SUM($J$1765:$J1779))</f>
        <v>0</v>
      </c>
      <c r="T1779" s="1090"/>
      <c r="U1779" s="1091"/>
      <c r="V1779" s="1091"/>
      <c r="W1779" s="1091"/>
      <c r="X1779" s="1091"/>
      <c r="Y1779" s="1276"/>
    </row>
    <row r="1780" spans="1:25" ht="12.75" customHeight="1" x14ac:dyDescent="0.2">
      <c r="A1780" s="227">
        <v>1780</v>
      </c>
      <c r="B1780" s="6042"/>
      <c r="E1780" s="964" t="s">
        <v>1636</v>
      </c>
      <c r="F1780" s="589"/>
      <c r="G1780" s="589">
        <v>30</v>
      </c>
      <c r="H1780" s="589">
        <v>1</v>
      </c>
      <c r="I1780" s="589">
        <v>10</v>
      </c>
      <c r="J1780" s="589">
        <f>COUNTIF(Elan!$C$13:$F$25,Tablas!E1780)+COUNTIF(Elan!$U$13:$X$25,Tablas!E1780)</f>
        <v>0</v>
      </c>
      <c r="K1780" s="589">
        <f>FLOOR($F$1777/2,5)*J1780</f>
        <v>0</v>
      </c>
      <c r="L1780" s="6043" t="str">
        <f>"Incrementa el daño base de sus ataques en "&amp;K1780&amp;"."</f>
        <v>Incrementa el daño base de sus ataques en 0.</v>
      </c>
      <c r="M1780" s="6043"/>
      <c r="N1780" s="6043"/>
      <c r="O1780" s="6043"/>
      <c r="P1780" s="6043"/>
      <c r="Q1780" s="6044"/>
      <c r="R1780" s="967">
        <f>IF(OR($J1780=0,$J1780="Aprendida"),0,SUM($J$1765:$J1780))</f>
        <v>0</v>
      </c>
      <c r="T1780" s="1085" t="str">
        <f>E1790</f>
        <v>Uriel</v>
      </c>
      <c r="U1780" s="1086"/>
      <c r="V1780" s="1092"/>
      <c r="W1780" s="1086"/>
      <c r="X1780" s="1086"/>
      <c r="Y1780" s="1274"/>
    </row>
    <row r="1781" spans="1:25" ht="12.75" customHeight="1" x14ac:dyDescent="0.2">
      <c r="A1781" s="227">
        <v>1781</v>
      </c>
      <c r="B1781" s="6042"/>
      <c r="E1781" s="964" t="s">
        <v>6427</v>
      </c>
      <c r="F1781" s="589"/>
      <c r="G1781" s="589">
        <v>40</v>
      </c>
      <c r="H1781" s="589">
        <f>IF(J1778,1,0)</f>
        <v>0</v>
      </c>
      <c r="I1781" s="589">
        <v>10</v>
      </c>
      <c r="J1781" s="589">
        <f>COUNTIF(Elan!$C$13:$F$25,Tablas!E1781)+COUNTIF(Elan!$U$13:$X$25,Tablas!E1781)</f>
        <v>0</v>
      </c>
      <c r="K1781" s="589"/>
      <c r="L1781" s="6043" t="s">
        <v>6629</v>
      </c>
      <c r="M1781" s="6043"/>
      <c r="N1781" s="6043"/>
      <c r="O1781" s="6043"/>
      <c r="P1781" s="6043"/>
      <c r="Q1781" s="6044"/>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042"/>
      <c r="E1782" s="964" t="s">
        <v>6428</v>
      </c>
      <c r="F1782" s="589"/>
      <c r="G1782" s="589">
        <v>50</v>
      </c>
      <c r="H1782" s="589">
        <v>1</v>
      </c>
      <c r="I1782" s="589">
        <v>15</v>
      </c>
      <c r="J1782" s="589">
        <f>COUNTIF(Elan!$C$13:$F$25,Tablas!E1782)+COUNTIF(Elan!$U$13:$X$25,Tablas!E1782)</f>
        <v>0</v>
      </c>
      <c r="K1782" s="589"/>
      <c r="L1782" s="6043" t="str">
        <f>"Desintegra cualquier objeto que toque cuya presencia sea inferior a "&amp;FLOOR(F1777/2,1)+10&amp;"."</f>
        <v>Desintegra cualquier objeto que toque cuya presencia sea inferior a 10.</v>
      </c>
      <c r="M1782" s="6043"/>
      <c r="N1782" s="6043"/>
      <c r="O1782" s="6043"/>
      <c r="P1782" s="6043"/>
      <c r="Q1782" s="6044"/>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042"/>
      <c r="E1783" s="964" t="s">
        <v>6429</v>
      </c>
      <c r="F1783" s="589"/>
      <c r="G1783" s="589">
        <v>50</v>
      </c>
      <c r="H1783" s="589">
        <v>1</v>
      </c>
      <c r="I1783" s="589">
        <v>10</v>
      </c>
      <c r="J1783" s="589">
        <f>COUNTIF(Elan!$C$13:$F$25,Tablas!E1783)+COUNTIF(Elan!$U$13:$X$25,Tablas!E1783)</f>
        <v>0</v>
      </c>
      <c r="K1783" s="589"/>
      <c r="L1783" s="6043"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3"/>
      <c r="N1783" s="6043"/>
      <c r="O1783" s="6043"/>
      <c r="P1783" s="6043"/>
      <c r="Q1783" s="6044"/>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042"/>
      <c r="E1784" s="964" t="s">
        <v>6430</v>
      </c>
      <c r="F1784" s="589"/>
      <c r="G1784" s="589">
        <v>60</v>
      </c>
      <c r="H1784" s="589">
        <v>1</v>
      </c>
      <c r="I1784" s="589">
        <v>10</v>
      </c>
      <c r="J1784" s="589">
        <f>COUNTIF(Elan!$C$13:$F$25,Tablas!E1784)+COUNTIF(Elan!$U$13:$X$25,Tablas!E1784)</f>
        <v>0</v>
      </c>
      <c r="K1784" s="589"/>
      <c r="L1784" s="6043" t="s">
        <v>10362</v>
      </c>
      <c r="M1784" s="6043"/>
      <c r="N1784" s="6043"/>
      <c r="O1784" s="6043"/>
      <c r="P1784" s="6043"/>
      <c r="Q1784" s="6044"/>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042"/>
      <c r="E1785" s="964" t="s">
        <v>6431</v>
      </c>
      <c r="F1785" s="589"/>
      <c r="G1785" s="589">
        <v>60</v>
      </c>
      <c r="H1785" s="589">
        <f>IF(J1783,1,0)</f>
        <v>0</v>
      </c>
      <c r="I1785" s="589">
        <v>10</v>
      </c>
      <c r="J1785" s="589">
        <f>COUNTIF(Elan!$C$13:$F$25,Tablas!E1785)+COUNTIF(Elan!$U$13:$X$25,Tablas!E1785)</f>
        <v>0</v>
      </c>
      <c r="K1785" s="589"/>
      <c r="L1785" s="6043"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3"/>
      <c r="N1785" s="6043"/>
      <c r="O1785" s="6043"/>
      <c r="P1785" s="6043"/>
      <c r="Q1785" s="6044"/>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042"/>
      <c r="E1786" s="964" t="s">
        <v>6432</v>
      </c>
      <c r="F1786" s="589"/>
      <c r="G1786" s="589">
        <v>70</v>
      </c>
      <c r="H1786" s="589">
        <f>IF(J1785,1,0)</f>
        <v>0</v>
      </c>
      <c r="I1786" s="589">
        <v>10</v>
      </c>
      <c r="J1786" s="589">
        <f>COUNTIF(Elan!$C$13:$F$25,Tablas!E1786)+COUNTIF(Elan!$U$13:$X$25,Tablas!E1786)</f>
        <v>0</v>
      </c>
      <c r="K1786" s="589"/>
      <c r="L1786" s="6043"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3"/>
      <c r="N1786" s="6043"/>
      <c r="O1786" s="6043"/>
      <c r="P1786" s="6043"/>
      <c r="Q1786" s="6044"/>
      <c r="R1786" s="967">
        <f>IF(OR($J1786=0,$J1786="Aprendida"),0,SUM($J$1765:$J1786))</f>
        <v>0</v>
      </c>
      <c r="T1786" s="1087" t="s">
        <v>6652</v>
      </c>
      <c r="U1786" s="1088">
        <v>2</v>
      </c>
      <c r="V1786" s="1089"/>
      <c r="W1786" s="1088"/>
      <c r="X1786" s="1088"/>
      <c r="Y1786" s="1275"/>
    </row>
    <row r="1787" spans="1:25" ht="12.75" customHeight="1" x14ac:dyDescent="0.2">
      <c r="A1787" s="227">
        <v>1787</v>
      </c>
      <c r="B1787" s="6042"/>
      <c r="E1787" s="964" t="s">
        <v>6433</v>
      </c>
      <c r="F1787" s="589"/>
      <c r="G1787" s="589">
        <v>80</v>
      </c>
      <c r="H1787" s="589">
        <v>1</v>
      </c>
      <c r="I1787" s="589">
        <v>15</v>
      </c>
      <c r="J1787" s="589">
        <f>COUNTIF(Elan!$C$13:$F$25,Tablas!E1787)+COUNTIF(Elan!$U$13:$X$25,Tablas!E1787)</f>
        <v>0</v>
      </c>
      <c r="K1787" s="589"/>
      <c r="L1787" s="6043" t="s">
        <v>6633</v>
      </c>
      <c r="M1787" s="6043"/>
      <c r="N1787" s="6043"/>
      <c r="O1787" s="6043"/>
      <c r="P1787" s="6043"/>
      <c r="Q1787" s="6044"/>
      <c r="R1787" s="967">
        <f>IF(OR($J1787=0,$J1787="Aprendida"),0,SUM($J$1765:$J1787))</f>
        <v>0</v>
      </c>
      <c r="T1787" s="1090"/>
      <c r="U1787" s="1091"/>
      <c r="V1787" s="1091"/>
      <c r="W1787" s="1091"/>
      <c r="X1787" s="1091"/>
      <c r="Y1787" s="1276"/>
    </row>
    <row r="1788" spans="1:25" ht="12.75" customHeight="1" x14ac:dyDescent="0.2">
      <c r="A1788" s="227">
        <v>1788</v>
      </c>
      <c r="B1788" s="6042"/>
      <c r="E1788" s="964" t="s">
        <v>6434</v>
      </c>
      <c r="F1788" s="589"/>
      <c r="G1788" s="589">
        <v>90</v>
      </c>
      <c r="H1788" s="589">
        <v>1</v>
      </c>
      <c r="I1788" s="589">
        <v>20</v>
      </c>
      <c r="J1788" s="589">
        <f>COUNTIF(Elan!$C$13:$F$25,Tablas!E1788)+COUNTIF(Elan!$U$13:$X$25,Tablas!E1788)</f>
        <v>0</v>
      </c>
      <c r="K1788" s="589"/>
      <c r="L1788" s="6043" t="s">
        <v>6634</v>
      </c>
      <c r="M1788" s="6043"/>
      <c r="N1788" s="6043"/>
      <c r="O1788" s="6043"/>
      <c r="P1788" s="6043"/>
      <c r="Q1788" s="6044"/>
      <c r="R1788" s="967">
        <f>IF(OR($J1788=0,$J1788="Aprendida"),0,SUM($J$1765:$J1788))</f>
        <v>0</v>
      </c>
      <c r="T1788" s="1085" t="str">
        <f>E1804</f>
        <v>Jedah</v>
      </c>
      <c r="U1788" s="1086"/>
      <c r="V1788" s="1092"/>
      <c r="W1788" s="1086"/>
      <c r="X1788" s="1086"/>
      <c r="Y1788" s="1274"/>
    </row>
    <row r="1789" spans="1:25" ht="12.75" customHeight="1" x14ac:dyDescent="0.2">
      <c r="A1789" s="227">
        <v>1789</v>
      </c>
      <c r="B1789" s="6042"/>
      <c r="E1789" s="964" t="s">
        <v>6435</v>
      </c>
      <c r="F1789" s="589"/>
      <c r="G1789" s="589">
        <v>100</v>
      </c>
      <c r="H1789" s="589">
        <v>1</v>
      </c>
      <c r="I1789" s="589">
        <v>10</v>
      </c>
      <c r="J1789" s="589">
        <f>COUNTIF(Elan!$C$13:$F$25,Tablas!E1789)+COUNTIF(Elan!$U$13:$X$25,Tablas!E1789)</f>
        <v>0</v>
      </c>
      <c r="K1789" s="589"/>
      <c r="L1789" s="6043" t="s">
        <v>6635</v>
      </c>
      <c r="M1789" s="6043"/>
      <c r="N1789" s="6043"/>
      <c r="O1789" s="6043"/>
      <c r="P1789" s="6043"/>
      <c r="Q1789" s="6044"/>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042"/>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042"/>
      <c r="E1791" s="964" t="s">
        <v>6436</v>
      </c>
      <c r="F1791" s="589"/>
      <c r="G1791" s="589">
        <v>10</v>
      </c>
      <c r="H1791" s="589">
        <v>1</v>
      </c>
      <c r="I1791" s="589">
        <v>5</v>
      </c>
      <c r="J1791" s="589">
        <f>COUNTIF(Elan!$C$13:$F$25,Tablas!E1791)+COUNTIF(Elan!$U$13:$X$25,Tablas!E1791)</f>
        <v>0</v>
      </c>
      <c r="K1791" s="589"/>
      <c r="L1791" s="6043" t="s">
        <v>6636</v>
      </c>
      <c r="M1791" s="6043"/>
      <c r="N1791" s="6043"/>
      <c r="O1791" s="6043"/>
      <c r="P1791" s="6043"/>
      <c r="Q1791" s="6044"/>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042"/>
      <c r="E1792" s="964" t="s">
        <v>6437</v>
      </c>
      <c r="F1792" s="589"/>
      <c r="G1792" s="589">
        <v>20</v>
      </c>
      <c r="H1792" s="589">
        <v>1</v>
      </c>
      <c r="I1792" s="589">
        <v>5</v>
      </c>
      <c r="J1792" s="589">
        <f>COUNTIF(Elan!$C$13:$F$25,Tablas!E1792)+COUNTIF(Elan!$U$13:$X$25,Tablas!E1792)</f>
        <v>0</v>
      </c>
      <c r="K1792" s="589"/>
      <c r="L1792" s="6043" t="s">
        <v>6640</v>
      </c>
      <c r="M1792" s="6043"/>
      <c r="N1792" s="6043"/>
      <c r="O1792" s="6043"/>
      <c r="P1792" s="6043"/>
      <c r="Q1792" s="6044"/>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042"/>
      <c r="E1793" s="964" t="s">
        <v>6438</v>
      </c>
      <c r="F1793" s="589"/>
      <c r="G1793" s="589">
        <v>20</v>
      </c>
      <c r="H1793" s="589">
        <v>1</v>
      </c>
      <c r="I1793" s="589">
        <v>10</v>
      </c>
      <c r="J1793" s="589">
        <f>COUNTIF(Elan!$C$13:$F$25,Tablas!E1793)+COUNTIF(Elan!$U$13:$X$25,Tablas!E1793)</f>
        <v>0</v>
      </c>
      <c r="K1793" s="589"/>
      <c r="L1793" s="6043" t="str">
        <f>"El PJ añade un bono especial a sus controles de Resistencias contra cualquier clase de dominación de +"&amp;F1790&amp;"."</f>
        <v>El PJ añade un bono especial a sus controles de Resistencias contra cualquier clase de dominación de +0.</v>
      </c>
      <c r="M1793" s="6043"/>
      <c r="N1793" s="6043"/>
      <c r="O1793" s="6043"/>
      <c r="P1793" s="6043"/>
      <c r="Q1793" s="6044"/>
      <c r="R1793" s="967">
        <f>IF(OR($J1793=0,$J1793="Aprendida"),0,SUM($J$1765:$J1793))</f>
        <v>0</v>
      </c>
      <c r="T1793" s="1087" t="s">
        <v>6669</v>
      </c>
      <c r="U1793" s="1088">
        <v>3</v>
      </c>
      <c r="V1793" s="1089"/>
      <c r="W1793" s="1088"/>
      <c r="X1793" s="1088"/>
      <c r="Y1793" s="1275"/>
    </row>
    <row r="1794" spans="1:25" ht="12.75" customHeight="1" x14ac:dyDescent="0.2">
      <c r="A1794" s="227">
        <v>1794</v>
      </c>
      <c r="B1794" s="6042"/>
      <c r="E1794" s="964" t="s">
        <v>6439</v>
      </c>
      <c r="F1794" s="589"/>
      <c r="G1794" s="589">
        <v>30</v>
      </c>
      <c r="H1794" s="589">
        <v>1</v>
      </c>
      <c r="I1794" s="589">
        <v>5</v>
      </c>
      <c r="J1794" s="589">
        <f>COUNTIF(Elan!$C$13:$F$25,Tablas!E1794)+COUNTIF(Elan!$U$13:$X$25,Tablas!E1794)</f>
        <v>0</v>
      </c>
      <c r="K1794" s="589"/>
      <c r="L1794" s="6043" t="s">
        <v>10363</v>
      </c>
      <c r="M1794" s="6043"/>
      <c r="N1794" s="6043"/>
      <c r="O1794" s="6043"/>
      <c r="P1794" s="6043"/>
      <c r="Q1794" s="6044"/>
      <c r="R1794" s="967">
        <f>IF(OR($J1794=0,$J1794="Aprendida"),0,SUM($J$1765:$J1794))</f>
        <v>0</v>
      </c>
      <c r="T1794" s="1087" t="s">
        <v>6670</v>
      </c>
      <c r="U1794" s="1088">
        <v>2</v>
      </c>
      <c r="V1794" s="1089"/>
      <c r="W1794" s="1088"/>
      <c r="X1794" s="1088"/>
      <c r="Y1794" s="1275"/>
    </row>
    <row r="1795" spans="1:25" ht="12.75" customHeight="1" x14ac:dyDescent="0.2">
      <c r="A1795" s="227">
        <v>1795</v>
      </c>
      <c r="B1795" s="6042"/>
      <c r="E1795" s="964" t="s">
        <v>6440</v>
      </c>
      <c r="F1795" s="589"/>
      <c r="G1795" s="589">
        <v>40</v>
      </c>
      <c r="H1795" s="589">
        <v>1</v>
      </c>
      <c r="I1795" s="589">
        <v>10</v>
      </c>
      <c r="J1795" s="589">
        <f>COUNTIF(Elan!$C$13:$F$25,Tablas!E1795)+COUNTIF(Elan!$U$13:$X$25,Tablas!E1795)</f>
        <v>0</v>
      </c>
      <c r="K1795" s="589"/>
      <c r="L1795" s="6043" t="s">
        <v>6649</v>
      </c>
      <c r="M1795" s="6043"/>
      <c r="N1795" s="6043"/>
      <c r="O1795" s="6043"/>
      <c r="P1795" s="6043"/>
      <c r="Q1795" s="6044"/>
      <c r="R1795" s="967">
        <f>IF(OR($J1795=0,$J1795="Aprendida"),0,SUM($J$1765:$J1795))</f>
        <v>0</v>
      </c>
      <c r="T1795" s="1090"/>
      <c r="U1795" s="1091"/>
      <c r="V1795" s="1091"/>
      <c r="W1795" s="1091"/>
      <c r="X1795" s="1091"/>
      <c r="Y1795" s="1276"/>
    </row>
    <row r="1796" spans="1:25" ht="12.75" customHeight="1" x14ac:dyDescent="0.2">
      <c r="A1796" s="227">
        <v>1796</v>
      </c>
      <c r="B1796" s="6042"/>
      <c r="E1796" s="964" t="s">
        <v>6441</v>
      </c>
      <c r="F1796" s="589"/>
      <c r="G1796" s="589">
        <v>40</v>
      </c>
      <c r="H1796" s="589">
        <v>1</v>
      </c>
      <c r="I1796" s="589">
        <v>5</v>
      </c>
      <c r="J1796" s="589">
        <f>COUNTIF(Elan!$C$13:$F$25,Tablas!E1796)+COUNTIF(Elan!$U$13:$X$25,Tablas!E1796)</f>
        <v>0</v>
      </c>
      <c r="K1796" s="589"/>
      <c r="L1796" s="6043" t="s">
        <v>8641</v>
      </c>
      <c r="M1796" s="6043"/>
      <c r="N1796" s="6043"/>
      <c r="O1796" s="6043"/>
      <c r="P1796" s="6043"/>
      <c r="Q1796" s="6044"/>
      <c r="R1796" s="967">
        <f>IF(OR($J1796=0,$J1796="Aprendida"),0,SUM($J$1765:$J1796))</f>
        <v>0</v>
      </c>
      <c r="T1796" s="1090"/>
      <c r="U1796" s="1091"/>
      <c r="V1796" s="1091"/>
      <c r="W1796" s="1091"/>
      <c r="X1796" s="1091"/>
      <c r="Y1796" s="1276"/>
    </row>
    <row r="1797" spans="1:25" ht="12.75" customHeight="1" x14ac:dyDescent="0.2">
      <c r="A1797" s="227">
        <v>1797</v>
      </c>
      <c r="B1797" s="6042"/>
      <c r="E1797" s="964" t="s">
        <v>6442</v>
      </c>
      <c r="F1797" s="589"/>
      <c r="G1797" s="589">
        <v>50</v>
      </c>
      <c r="H1797" s="589">
        <v>1</v>
      </c>
      <c r="I1797" s="589">
        <v>10</v>
      </c>
      <c r="J1797" s="589">
        <f>COUNTIF(Elan!$C$13:$F$25,Tablas!E1797)+COUNTIF(Elan!$U$13:$X$25,Tablas!E1797)</f>
        <v>0</v>
      </c>
      <c r="K1797" s="589"/>
      <c r="L1797" s="6043" t="str">
        <f>"Permite obligar una vez por individuo a liberar los esclavos que tenga bajo su control si no supera una RM de "&amp;F1790*2&amp;"."</f>
        <v>Permite obligar una vez por individuo a liberar los esclavos que tenga bajo su control si no supera una RM de 0.</v>
      </c>
      <c r="M1797" s="6043"/>
      <c r="N1797" s="6043"/>
      <c r="O1797" s="6043"/>
      <c r="P1797" s="6043"/>
      <c r="Q1797" s="6044"/>
      <c r="R1797" s="967">
        <f>IF(OR($J1797=0,$J1797="Aprendida"),0,SUM($J$1765:$J1797))</f>
        <v>0</v>
      </c>
      <c r="T1797" s="1085" t="str">
        <f>E1818</f>
        <v>Gabriel</v>
      </c>
      <c r="U1797" s="1086"/>
      <c r="V1797" s="1092"/>
      <c r="W1797" s="1086"/>
      <c r="X1797" s="1086"/>
      <c r="Y1797" s="1274"/>
    </row>
    <row r="1798" spans="1:25" ht="12.75" customHeight="1" x14ac:dyDescent="0.2">
      <c r="A1798" s="227">
        <v>1798</v>
      </c>
      <c r="B1798" s="6042"/>
      <c r="E1798" s="964" t="s">
        <v>6443</v>
      </c>
      <c r="F1798" s="589"/>
      <c r="G1798" s="589">
        <v>60</v>
      </c>
      <c r="H1798" s="589">
        <f>IF(J1795,1,0)</f>
        <v>0</v>
      </c>
      <c r="I1798" s="589">
        <v>20</v>
      </c>
      <c r="J1798" s="589">
        <f>COUNTIF(Elan!$C$13:$F$25,Tablas!E1798)+COUNTIF(Elan!$U$13:$X$25,Tablas!E1798)</f>
        <v>0</v>
      </c>
      <c r="K1798" s="589"/>
      <c r="L1798" s="6043"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3"/>
      <c r="N1798" s="6043"/>
      <c r="O1798" s="6043"/>
      <c r="P1798" s="6043"/>
      <c r="Q1798" s="6044"/>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042"/>
      <c r="E1799" s="964" t="s">
        <v>6444</v>
      </c>
      <c r="F1799" s="589"/>
      <c r="G1799" s="589">
        <v>60</v>
      </c>
      <c r="H1799" s="589">
        <v>1</v>
      </c>
      <c r="I1799" s="589">
        <v>15</v>
      </c>
      <c r="J1799" s="589">
        <f>COUNTIF(Elan!$C$13:$F$25,Tablas!E1799)+COUNTIF(Elan!$U$13:$X$25,Tablas!E1799)</f>
        <v>0</v>
      </c>
      <c r="K1799" s="589"/>
      <c r="L1799" s="6043" t="s">
        <v>10410</v>
      </c>
      <c r="M1799" s="6043"/>
      <c r="N1799" s="6043"/>
      <c r="O1799" s="6043"/>
      <c r="P1799" s="6043"/>
      <c r="Q1799" s="6044"/>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042"/>
      <c r="E1800" s="964" t="s">
        <v>6445</v>
      </c>
      <c r="F1800" s="589"/>
      <c r="G1800" s="589">
        <v>70</v>
      </c>
      <c r="H1800" s="589">
        <v>1</v>
      </c>
      <c r="I1800" s="589">
        <v>10</v>
      </c>
      <c r="J1800" s="589">
        <f>COUNTIF(Elan!$C$13:$F$25,Tablas!E1800)+COUNTIF(Elan!$U$13:$X$25,Tablas!E1800)</f>
        <v>0</v>
      </c>
      <c r="K1800" s="589">
        <f>IF(J1800&gt;0,1,0)</f>
        <v>0</v>
      </c>
      <c r="L1800" s="6043" t="s">
        <v>6653</v>
      </c>
      <c r="M1800" s="6043"/>
      <c r="N1800" s="6043"/>
      <c r="O1800" s="6043"/>
      <c r="P1800" s="6043"/>
      <c r="Q1800" s="6044"/>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042"/>
      <c r="E1801" s="964" t="s">
        <v>10364</v>
      </c>
      <c r="F1801" s="589"/>
      <c r="G1801" s="589">
        <v>80</v>
      </c>
      <c r="H1801" s="589">
        <v>1</v>
      </c>
      <c r="I1801" s="589">
        <v>10</v>
      </c>
      <c r="J1801" s="589">
        <f>COUNTIF(Elan!$C$13:$F$25,Tablas!E1801)+COUNTIF(Elan!$U$13:$X$25,Tablas!E1801)</f>
        <v>0</v>
      </c>
      <c r="K1801" s="589"/>
      <c r="L1801" s="6043" t="s">
        <v>6654</v>
      </c>
      <c r="M1801" s="6043"/>
      <c r="N1801" s="6043"/>
      <c r="O1801" s="6043"/>
      <c r="P1801" s="6043"/>
      <c r="Q1801" s="6044"/>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042"/>
      <c r="E1802" s="964" t="s">
        <v>6446</v>
      </c>
      <c r="F1802" s="589"/>
      <c r="G1802" s="589">
        <v>90</v>
      </c>
      <c r="H1802" s="589">
        <v>1</v>
      </c>
      <c r="I1802" s="589">
        <v>20</v>
      </c>
      <c r="J1802" s="589">
        <f>COUNTIF(Elan!$C$13:$F$25,Tablas!E1802)+COUNTIF(Elan!$U$13:$X$25,Tablas!E1802)</f>
        <v>0</v>
      </c>
      <c r="K1802" s="589"/>
      <c r="L1802" s="6043" t="s">
        <v>6655</v>
      </c>
      <c r="M1802" s="6043"/>
      <c r="N1802" s="6043"/>
      <c r="O1802" s="6043"/>
      <c r="P1802" s="6043"/>
      <c r="Q1802" s="6044"/>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042"/>
      <c r="E1803" s="964" t="s">
        <v>6447</v>
      </c>
      <c r="F1803" s="589"/>
      <c r="G1803" s="589">
        <v>100</v>
      </c>
      <c r="H1803" s="589">
        <v>1</v>
      </c>
      <c r="I1803" s="589">
        <v>10</v>
      </c>
      <c r="J1803" s="589">
        <f>COUNTIF(Elan!$C$13:$F$25,Tablas!E1803)+COUNTIF(Elan!$U$13:$X$25,Tablas!E1803)</f>
        <v>0</v>
      </c>
      <c r="K1803" s="589"/>
      <c r="L1803" s="6043" t="s">
        <v>6656</v>
      </c>
      <c r="M1803" s="6043"/>
      <c r="N1803" s="6043"/>
      <c r="O1803" s="6043"/>
      <c r="P1803" s="6043"/>
      <c r="Q1803" s="6044"/>
      <c r="R1803" s="967">
        <f>IF(OR($J1803=0,$J1803="Aprendida"),0,SUM($J$1765:$J1803))</f>
        <v>0</v>
      </c>
      <c r="T1803" s="1090"/>
      <c r="U1803" s="1091"/>
      <c r="V1803" s="1091"/>
      <c r="W1803" s="1091"/>
      <c r="X1803" s="1091"/>
      <c r="Y1803" s="1276"/>
    </row>
    <row r="1804" spans="1:25" ht="12.75" customHeight="1" x14ac:dyDescent="0.2">
      <c r="A1804" s="227">
        <v>1804</v>
      </c>
      <c r="B1804" s="6042"/>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042"/>
      <c r="E1805" s="964" t="s">
        <v>6448</v>
      </c>
      <c r="F1805" s="589"/>
      <c r="G1805" s="589">
        <v>10</v>
      </c>
      <c r="H1805" s="589">
        <v>1</v>
      </c>
      <c r="I1805" s="589">
        <v>5</v>
      </c>
      <c r="J1805" s="589">
        <f>COUNTIF(Elan!$C$13:$F$25,Tablas!E1805)+COUNTIF(Elan!$U$13:$X$25,Tablas!E1805)</f>
        <v>0</v>
      </c>
      <c r="K1805" s="589">
        <f>F$1804*J1805</f>
        <v>0</v>
      </c>
      <c r="L1805" s="6043" t="str">
        <f>"Otorga un bono especial a Persuasión y Liderazgo de +"&amp;K1805&amp;"."</f>
        <v>Otorga un bono especial a Persuasión y Liderazgo de +0.</v>
      </c>
      <c r="M1805" s="6043"/>
      <c r="N1805" s="6043"/>
      <c r="O1805" s="6043"/>
      <c r="P1805" s="6043"/>
      <c r="Q1805" s="6044"/>
      <c r="R1805" s="967">
        <f>IF(OR($J1805=0,$J1805="Aprendida"),0,SUM($J$1765:$J1805))</f>
        <v>0</v>
      </c>
      <c r="T1805" s="1085" t="str">
        <f>E1831</f>
        <v>Noah</v>
      </c>
      <c r="U1805" s="1086"/>
      <c r="V1805" s="1092"/>
      <c r="W1805" s="1086"/>
      <c r="X1805" s="1086"/>
      <c r="Y1805" s="1274"/>
    </row>
    <row r="1806" spans="1:25" ht="12.75" customHeight="1" x14ac:dyDescent="0.2">
      <c r="A1806" s="227">
        <v>1806</v>
      </c>
      <c r="B1806" s="6042"/>
      <c r="E1806" s="964" t="s">
        <v>6449</v>
      </c>
      <c r="F1806" s="589"/>
      <c r="G1806" s="589">
        <v>20</v>
      </c>
      <c r="H1806" s="589">
        <v>1</v>
      </c>
      <c r="I1806" s="589">
        <v>10</v>
      </c>
      <c r="J1806" s="589">
        <f>COUNTIF(Elan!$C$13:$F$25,Tablas!E1806)+COUNTIF(Elan!$U$13:$X$25,Tablas!E1806)</f>
        <v>0</v>
      </c>
      <c r="K1806" s="589">
        <f>ROUNDDOWN(F$1804/2,0)*J1806</f>
        <v>0</v>
      </c>
      <c r="L1806" s="6043" t="str">
        <f>"Aplica un bono especial a su habilidad de convocatoria Dominación de +"&amp;K1806&amp;". Este don no funciona contra seres basados en luz."</f>
        <v>Aplica un bono especial a su habilidad de convocatoria Dominación de +0. Este don no funciona contra seres basados en luz.</v>
      </c>
      <c r="M1806" s="6043"/>
      <c r="N1806" s="6043"/>
      <c r="O1806" s="6043"/>
      <c r="P1806" s="6043"/>
      <c r="Q1806" s="6044"/>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042"/>
      <c r="E1807" s="964" t="s">
        <v>2059</v>
      </c>
      <c r="F1807" s="589"/>
      <c r="G1807" s="589">
        <v>30</v>
      </c>
      <c r="H1807" s="589">
        <v>1</v>
      </c>
      <c r="I1807" s="589">
        <v>5</v>
      </c>
      <c r="J1807" s="589">
        <f>COUNTIF(Elan!$C$13:$F$25,Tablas!E1807)+COUNTIF(Elan!$U$13:$X$25,Tablas!E1807)</f>
        <v>0</v>
      </c>
      <c r="K1807" s="589"/>
      <c r="L1807" s="6043" t="s">
        <v>6662</v>
      </c>
      <c r="M1807" s="6043"/>
      <c r="N1807" s="6043"/>
      <c r="O1807" s="6043"/>
      <c r="P1807" s="6043"/>
      <c r="Q1807" s="6044"/>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042"/>
      <c r="E1808" s="964" t="s">
        <v>6450</v>
      </c>
      <c r="F1808" s="589"/>
      <c r="G1808" s="589">
        <v>40</v>
      </c>
      <c r="H1808" s="589">
        <v>1</v>
      </c>
      <c r="I1808" s="589">
        <v>5</v>
      </c>
      <c r="J1808" s="589">
        <f>COUNTIF(Elan!$C$13:$F$25,Tablas!E1808)+COUNTIF(Elan!$U$13:$X$25,Tablas!E1808)</f>
        <v>0</v>
      </c>
      <c r="K1808" s="589"/>
      <c r="L1808" s="6043" t="s">
        <v>6666</v>
      </c>
      <c r="M1808" s="6043"/>
      <c r="N1808" s="6043"/>
      <c r="O1808" s="6043"/>
      <c r="P1808" s="6043"/>
      <c r="Q1808" s="6044"/>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042"/>
      <c r="E1809" s="964" t="s">
        <v>6451</v>
      </c>
      <c r="F1809" s="589"/>
      <c r="G1809" s="589">
        <v>50</v>
      </c>
      <c r="H1809" s="589">
        <v>1</v>
      </c>
      <c r="I1809" s="589">
        <v>10</v>
      </c>
      <c r="J1809" s="589">
        <f>COUNTIF(Elan!$C$13:$F$25,Tablas!E1809)+COUNTIF(Elan!$U$13:$X$25,Tablas!E1809)</f>
        <v>0</v>
      </c>
      <c r="K1809" s="589">
        <f>ROUNDDOWN(F$1804/2,0)*J1809</f>
        <v>0</v>
      </c>
      <c r="L1809" s="6043" t="str">
        <f>"Obtiene un bono especial en todas las habilidades secundarias intelecuales de +"&amp;K1809&amp;"."</f>
        <v>Obtiene un bono especial en todas las habilidades secundarias intelecuales de +0.</v>
      </c>
      <c r="M1809" s="6043"/>
      <c r="N1809" s="6043"/>
      <c r="O1809" s="6043"/>
      <c r="P1809" s="6043"/>
      <c r="Q1809" s="6044"/>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042"/>
      <c r="E1810" s="964" t="s">
        <v>6452</v>
      </c>
      <c r="F1810" s="589"/>
      <c r="G1810" s="589">
        <v>50</v>
      </c>
      <c r="H1810" s="589">
        <v>1</v>
      </c>
      <c r="I1810" s="589">
        <v>10</v>
      </c>
      <c r="J1810" s="589">
        <f>COUNTIF(Elan!$C$13:$F$25,Tablas!E1810)+COUNTIF(Elan!$U$13:$X$25,Tablas!E1810)</f>
        <v>0</v>
      </c>
      <c r="K1810" s="589"/>
      <c r="L1810" s="6043"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3"/>
      <c r="N1810" s="6043"/>
      <c r="O1810" s="6043"/>
      <c r="P1810" s="6043"/>
      <c r="Q1810" s="6044"/>
      <c r="R1810" s="967">
        <f>IF(OR($J1810=0,$J1810="Aprendida"),0,SUM($J$1765:$J1810))</f>
        <v>0</v>
      </c>
      <c r="T1810" s="1087" t="s">
        <v>6705</v>
      </c>
      <c r="U1810" s="1088">
        <v>2</v>
      </c>
      <c r="V1810" s="1089"/>
      <c r="W1810" s="1088"/>
      <c r="X1810" s="1088"/>
      <c r="Y1810" s="1275"/>
    </row>
    <row r="1811" spans="1:25" ht="12.75" customHeight="1" x14ac:dyDescent="0.2">
      <c r="A1811" s="227">
        <v>1811</v>
      </c>
      <c r="B1811" s="6042"/>
      <c r="E1811" s="964" t="s">
        <v>6453</v>
      </c>
      <c r="F1811" s="589"/>
      <c r="G1811" s="589">
        <v>60</v>
      </c>
      <c r="H1811" s="589">
        <v>1</v>
      </c>
      <c r="I1811" s="589">
        <v>10</v>
      </c>
      <c r="J1811" s="589">
        <f>COUNTIF(Elan!$C$13:$F$25,Tablas!E1811)+COUNTIF(Elan!$U$13:$X$25,Tablas!E1811)</f>
        <v>0</v>
      </c>
      <c r="K1811" s="589"/>
      <c r="L1811" s="6043" t="str">
        <f>"Permite conferir parte de su poder a un solo subordinado, quien actúa como si tuviese "&amp;F1804-20&amp;" puntos de Elan."</f>
        <v>Permite conferir parte de su poder a un solo subordinado, quien actúa como si tuviese -20 puntos de Elan.</v>
      </c>
      <c r="M1811" s="6043"/>
      <c r="N1811" s="6043"/>
      <c r="O1811" s="6043"/>
      <c r="P1811" s="6043"/>
      <c r="Q1811" s="6044"/>
      <c r="R1811" s="967">
        <f>IF(OR($J1811=0,$J1811="Aprendida"),0,SUM($J$1765:$J1811))</f>
        <v>0</v>
      </c>
      <c r="T1811" s="1090"/>
      <c r="U1811" s="1091"/>
      <c r="V1811" s="1091"/>
      <c r="W1811" s="1091"/>
      <c r="X1811" s="1091"/>
      <c r="Y1811" s="1276"/>
    </row>
    <row r="1812" spans="1:25" ht="12.75" customHeight="1" x14ac:dyDescent="0.2">
      <c r="A1812" s="227">
        <v>1812</v>
      </c>
      <c r="B1812" s="6042"/>
      <c r="E1812" s="964" t="s">
        <v>6454</v>
      </c>
      <c r="F1812" s="589"/>
      <c r="G1812" s="589">
        <v>65</v>
      </c>
      <c r="H1812" s="589">
        <f>IF(J1808,1,0)</f>
        <v>0</v>
      </c>
      <c r="I1812" s="589">
        <v>15</v>
      </c>
      <c r="J1812" s="589">
        <f>COUNTIF(Elan!$C$13:$F$25,Tablas!E1812)+COUNTIF(Elan!$U$13:$X$25,Tablas!E1812)</f>
        <v>0</v>
      </c>
      <c r="K1812" s="589"/>
      <c r="L1812" s="6043"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3"/>
      <c r="N1812" s="6043"/>
      <c r="O1812" s="6043"/>
      <c r="P1812" s="6043"/>
      <c r="Q1812" s="6044"/>
      <c r="R1812" s="967">
        <f>IF(OR($J1812=0,$J1812="Aprendida"),0,SUM($J$1765:$J1812))</f>
        <v>0</v>
      </c>
      <c r="T1812" s="1090"/>
      <c r="U1812" s="1091"/>
      <c r="V1812" s="1091"/>
      <c r="W1812" s="1091"/>
      <c r="X1812" s="1091"/>
      <c r="Y1812" s="1276"/>
    </row>
    <row r="1813" spans="1:25" ht="12.75" customHeight="1" x14ac:dyDescent="0.2">
      <c r="A1813" s="227">
        <v>1813</v>
      </c>
      <c r="B1813" s="6042"/>
      <c r="E1813" s="964" t="s">
        <v>6455</v>
      </c>
      <c r="F1813" s="589"/>
      <c r="G1813" s="589">
        <v>70</v>
      </c>
      <c r="H1813" s="589">
        <v>1</v>
      </c>
      <c r="I1813" s="589">
        <v>15</v>
      </c>
      <c r="J1813" s="589">
        <f>COUNTIF(Elan!$C$13:$F$25,Tablas!E1813)+COUNTIF(Elan!$U$13:$X$25,Tablas!E1813)</f>
        <v>0</v>
      </c>
      <c r="K1813" s="589">
        <f>IF(J1813&gt;0,1,0)</f>
        <v>0</v>
      </c>
      <c r="L1813" s="6043" t="s">
        <v>6671</v>
      </c>
      <c r="M1813" s="6043"/>
      <c r="N1813" s="6043"/>
      <c r="O1813" s="6043"/>
      <c r="P1813" s="6043"/>
      <c r="Q1813" s="6044"/>
      <c r="R1813" s="967">
        <f>IF(OR($J1813=0,$J1813="Aprendida"),0,SUM($J$1765:$J1813))</f>
        <v>0</v>
      </c>
      <c r="T1813" s="1085" t="str">
        <f>E1844</f>
        <v>Rafael</v>
      </c>
      <c r="U1813" s="1086"/>
      <c r="V1813" s="1092"/>
      <c r="W1813" s="1086"/>
      <c r="X1813" s="1086"/>
      <c r="Y1813" s="1274"/>
    </row>
    <row r="1814" spans="1:25" ht="12.75" customHeight="1" x14ac:dyDescent="0.2">
      <c r="A1814" s="227">
        <v>1814</v>
      </c>
      <c r="B1814" s="6042"/>
      <c r="E1814" s="964" t="s">
        <v>6456</v>
      </c>
      <c r="F1814" s="589"/>
      <c r="G1814" s="589">
        <v>70</v>
      </c>
      <c r="H1814" s="589">
        <f>IF(J1810,1,0)</f>
        <v>0</v>
      </c>
      <c r="I1814" s="589">
        <v>10</v>
      </c>
      <c r="J1814" s="589">
        <f>COUNTIF(Elan!$C$13:$F$25,Tablas!E1814)+COUNTIF(Elan!$U$13:$X$25,Tablas!E1814)</f>
        <v>0</v>
      </c>
      <c r="K1814" s="589"/>
      <c r="L1814" s="6043"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3"/>
      <c r="N1814" s="6043"/>
      <c r="O1814" s="6043"/>
      <c r="P1814" s="6043"/>
      <c r="Q1814" s="6044"/>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042"/>
      <c r="E1815" s="964" t="s">
        <v>10365</v>
      </c>
      <c r="F1815" s="589"/>
      <c r="G1815" s="589">
        <v>80</v>
      </c>
      <c r="H1815" s="589">
        <v>1</v>
      </c>
      <c r="I1815" s="589">
        <v>15</v>
      </c>
      <c r="J1815" s="589">
        <f>COUNTIF(Elan!$C$13:$F$25,Tablas!E1815)+COUNTIF(Elan!$U$13:$X$25,Tablas!E1815)</f>
        <v>0</v>
      </c>
      <c r="K1815" s="589"/>
      <c r="L1815" s="6043" t="s">
        <v>6654</v>
      </c>
      <c r="M1815" s="6043"/>
      <c r="N1815" s="6043"/>
      <c r="O1815" s="6043"/>
      <c r="P1815" s="6043"/>
      <c r="Q1815" s="6044"/>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042"/>
      <c r="E1816" s="964" t="s">
        <v>6457</v>
      </c>
      <c r="F1816" s="589"/>
      <c r="G1816" s="589">
        <v>90</v>
      </c>
      <c r="H1816" s="589">
        <f>IF(J1814,1,0)</f>
        <v>0</v>
      </c>
      <c r="I1816" s="589">
        <v>10</v>
      </c>
      <c r="J1816" s="589">
        <f>COUNTIF(Elan!$C$13:$F$25,Tablas!E1816)+COUNTIF(Elan!$U$13:$X$25,Tablas!E1816)</f>
        <v>0</v>
      </c>
      <c r="K1816" s="589"/>
      <c r="L1816" s="6043"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3"/>
      <c r="N1816" s="6043"/>
      <c r="O1816" s="6043"/>
      <c r="P1816" s="6043"/>
      <c r="Q1816" s="6044"/>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042"/>
      <c r="E1817" s="964" t="s">
        <v>6458</v>
      </c>
      <c r="F1817" s="589"/>
      <c r="G1817" s="589">
        <v>100</v>
      </c>
      <c r="H1817" s="589">
        <v>1</v>
      </c>
      <c r="I1817" s="589">
        <v>10</v>
      </c>
      <c r="J1817" s="589">
        <f>COUNTIF(Elan!$C$13:$F$25,Tablas!E1817)+COUNTIF(Elan!$U$13:$X$25,Tablas!E1817)</f>
        <v>0</v>
      </c>
      <c r="K1817" s="589"/>
      <c r="L1817" s="6043" t="s">
        <v>6672</v>
      </c>
      <c r="M1817" s="6043"/>
      <c r="N1817" s="6043"/>
      <c r="O1817" s="6043"/>
      <c r="P1817" s="6043"/>
      <c r="Q1817" s="6044"/>
      <c r="R1817" s="967">
        <f>IF(OR($J1817=0,$J1817="Aprendida"),0,SUM($J$1765:$J1817))</f>
        <v>0</v>
      </c>
      <c r="T1817" s="1087" t="s">
        <v>6719</v>
      </c>
      <c r="U1817" s="1088">
        <v>1</v>
      </c>
      <c r="V1817" s="1089"/>
      <c r="W1817" s="1088"/>
      <c r="X1817" s="1088"/>
      <c r="Y1817" s="1275"/>
    </row>
    <row r="1818" spans="1:25" ht="12.75" customHeight="1" x14ac:dyDescent="0.2">
      <c r="A1818" s="227">
        <v>1818</v>
      </c>
      <c r="B1818" s="6042"/>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042"/>
      <c r="E1819" s="964" t="s">
        <v>6459</v>
      </c>
      <c r="F1819" s="589"/>
      <c r="G1819" s="589">
        <v>10</v>
      </c>
      <c r="H1819" s="589">
        <v>1</v>
      </c>
      <c r="I1819" s="589">
        <v>5</v>
      </c>
      <c r="J1819" s="589">
        <f>COUNTIF(Elan!$C$13:$F$25,Tablas!E1819)+COUNTIF(Elan!$U$13:$X$25,Tablas!E1819)</f>
        <v>0</v>
      </c>
      <c r="K1819" s="589">
        <f>F$1818*J1819</f>
        <v>0</v>
      </c>
      <c r="L1819" s="6043" t="str">
        <f>"Otorga un bono especial a sus habilidades secundarias Arte y Música de +"&amp;K1819&amp;"."</f>
        <v>Otorga un bono especial a sus habilidades secundarias Arte y Música de +0.</v>
      </c>
      <c r="M1819" s="6043"/>
      <c r="N1819" s="6043"/>
      <c r="O1819" s="6043"/>
      <c r="P1819" s="6043"/>
      <c r="Q1819" s="6044"/>
      <c r="R1819" s="967">
        <f>IF(OR($J1819=0,$J1819="Aprendida"),0,SUM($J$1765:$J1819))</f>
        <v>0</v>
      </c>
      <c r="T1819" s="1090"/>
      <c r="U1819" s="1091"/>
      <c r="V1819" s="1091"/>
      <c r="W1819" s="1091"/>
      <c r="X1819" s="1091"/>
      <c r="Y1819" s="1276"/>
    </row>
    <row r="1820" spans="1:25" ht="12.75" customHeight="1" x14ac:dyDescent="0.2">
      <c r="A1820" s="227">
        <v>1820</v>
      </c>
      <c r="B1820" s="6042"/>
      <c r="E1820" s="964" t="s">
        <v>6460</v>
      </c>
      <c r="F1820" s="589"/>
      <c r="G1820" s="589">
        <v>20</v>
      </c>
      <c r="H1820" s="589">
        <v>1</v>
      </c>
      <c r="I1820" s="589">
        <v>5</v>
      </c>
      <c r="J1820" s="589">
        <f>COUNTIF(Elan!$C$13:$F$25,Tablas!E1820)+COUNTIF(Elan!$U$13:$X$25,Tablas!E1820)</f>
        <v>0</v>
      </c>
      <c r="K1820" s="589"/>
      <c r="L1820" s="6043" t="s">
        <v>6676</v>
      </c>
      <c r="M1820" s="6043"/>
      <c r="N1820" s="6043"/>
      <c r="O1820" s="6043"/>
      <c r="P1820" s="6043"/>
      <c r="Q1820" s="6044"/>
      <c r="R1820" s="967">
        <f>IF(OR($J1820=0,$J1820="Aprendida"),0,SUM($J$1765:$J1820))</f>
        <v>0</v>
      </c>
      <c r="T1820" s="1090"/>
      <c r="U1820" s="1091"/>
      <c r="V1820" s="1091"/>
      <c r="W1820" s="1091"/>
      <c r="X1820" s="1091"/>
      <c r="Y1820" s="1276"/>
    </row>
    <row r="1821" spans="1:25" ht="12.75" customHeight="1" x14ac:dyDescent="0.2">
      <c r="A1821" s="227">
        <v>1821</v>
      </c>
      <c r="B1821" s="6042"/>
      <c r="E1821" s="964" t="s">
        <v>6461</v>
      </c>
      <c r="F1821" s="589"/>
      <c r="G1821" s="589">
        <v>30</v>
      </c>
      <c r="H1821" s="589">
        <v>1</v>
      </c>
      <c r="I1821" s="589">
        <v>10</v>
      </c>
      <c r="J1821" s="589">
        <f>COUNTIF(Elan!$C$13:$F$25,Tablas!E1821)+COUNTIF(Elan!$U$13:$X$25,Tablas!E1821)</f>
        <v>0</v>
      </c>
      <c r="K1821" s="589"/>
      <c r="L1821" s="6043" t="s">
        <v>6680</v>
      </c>
      <c r="M1821" s="6043"/>
      <c r="N1821" s="6043"/>
      <c r="O1821" s="6043"/>
      <c r="P1821" s="6043"/>
      <c r="Q1821" s="6044"/>
      <c r="R1821" s="967">
        <f>IF(OR($J1821=0,$J1821="Aprendida"),0,SUM($J$1765:$J1821))</f>
        <v>0</v>
      </c>
      <c r="T1821" s="1085" t="str">
        <f>E1858</f>
        <v>Erebus</v>
      </c>
      <c r="U1821" s="1086"/>
      <c r="V1821" s="1092"/>
      <c r="W1821" s="1086"/>
      <c r="X1821" s="1086"/>
      <c r="Y1821" s="1274"/>
    </row>
    <row r="1822" spans="1:25" ht="12.75" customHeight="1" x14ac:dyDescent="0.2">
      <c r="A1822" s="227">
        <v>1822</v>
      </c>
      <c r="B1822" s="6042"/>
      <c r="E1822" s="964" t="s">
        <v>6462</v>
      </c>
      <c r="F1822" s="589"/>
      <c r="G1822" s="589">
        <v>40</v>
      </c>
      <c r="H1822" s="589">
        <v>1</v>
      </c>
      <c r="I1822" s="589">
        <v>10</v>
      </c>
      <c r="J1822" s="589">
        <f>COUNTIF(Elan!$C$13:$F$25,Tablas!E1822)+COUNTIF(Elan!$U$13:$X$25,Tablas!E1822)</f>
        <v>0</v>
      </c>
      <c r="K1822" s="589"/>
      <c r="L1822" s="6043" t="s">
        <v>6683</v>
      </c>
      <c r="M1822" s="6043"/>
      <c r="N1822" s="6043"/>
      <c r="O1822" s="6043"/>
      <c r="P1822" s="6043"/>
      <c r="Q1822" s="6044"/>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042"/>
      <c r="E1823" s="964" t="s">
        <v>1274</v>
      </c>
      <c r="F1823" s="589"/>
      <c r="G1823" s="589">
        <v>40</v>
      </c>
      <c r="H1823" s="589">
        <v>1</v>
      </c>
      <c r="I1823" s="589">
        <v>10</v>
      </c>
      <c r="J1823" s="589">
        <f>COUNTIF(Elan!$C$13:$F$25,Tablas!E1823)+COUNTIF(Elan!$U$13:$X$25,Tablas!E1823)</f>
        <v>0</v>
      </c>
      <c r="K1823" s="589"/>
      <c r="L1823" s="6043"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3"/>
      <c r="N1823" s="6043"/>
      <c r="O1823" s="6043"/>
      <c r="P1823" s="6043"/>
      <c r="Q1823" s="6044"/>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042"/>
      <c r="E1824" s="964" t="s">
        <v>6463</v>
      </c>
      <c r="F1824" s="589"/>
      <c r="G1824" s="589">
        <v>50</v>
      </c>
      <c r="H1824" s="589">
        <v>1</v>
      </c>
      <c r="I1824" s="589">
        <v>10</v>
      </c>
      <c r="J1824" s="589">
        <f>COUNTIF(Elan!$C$13:$F$25,Tablas!E1824)+COUNTIF(Elan!$U$13:$X$25,Tablas!E1824)</f>
        <v>0</v>
      </c>
      <c r="K1824" s="589"/>
      <c r="L1824" s="6043" t="s">
        <v>6689</v>
      </c>
      <c r="M1824" s="6043"/>
      <c r="N1824" s="6043"/>
      <c r="O1824" s="6043"/>
      <c r="P1824" s="6043"/>
      <c r="Q1824" s="6044"/>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042"/>
      <c r="E1825" s="964" t="s">
        <v>6464</v>
      </c>
      <c r="F1825" s="589"/>
      <c r="G1825" s="589">
        <v>50</v>
      </c>
      <c r="H1825" s="589">
        <v>1</v>
      </c>
      <c r="I1825" s="589">
        <v>15</v>
      </c>
      <c r="J1825" s="589">
        <f>COUNTIF(Elan!$C$13:$F$25,Tablas!E1825)+COUNTIF(Elan!$U$13:$X$25,Tablas!E1825)</f>
        <v>0</v>
      </c>
      <c r="K1825" s="589"/>
      <c r="L1825" s="6043" t="str">
        <f>"Permite inducir un sentimiento positivo si el objetivo no supera una RM contra "&amp;F1818*2&amp;"."</f>
        <v>Permite inducir un sentimiento positivo si el objetivo no supera una RM contra 0.</v>
      </c>
      <c r="M1825" s="6043"/>
      <c r="N1825" s="6043"/>
      <c r="O1825" s="6043"/>
      <c r="P1825" s="6043"/>
      <c r="Q1825" s="6044"/>
      <c r="R1825" s="967">
        <f>IF(OR($J1825=0,$J1825="Aprendida"),0,SUM($J$1765:$J1825))</f>
        <v>0</v>
      </c>
      <c r="T1825" s="1087" t="s">
        <v>6731</v>
      </c>
      <c r="U1825" s="1088">
        <v>3</v>
      </c>
      <c r="V1825" s="1089"/>
      <c r="W1825" s="1088"/>
      <c r="X1825" s="1088"/>
      <c r="Y1825" s="1275"/>
    </row>
    <row r="1826" spans="1:25" ht="12.75" customHeight="1" x14ac:dyDescent="0.2">
      <c r="A1826" s="227">
        <v>1826</v>
      </c>
      <c r="B1826" s="6042"/>
      <c r="E1826" s="964" t="s">
        <v>2153</v>
      </c>
      <c r="F1826" s="589"/>
      <c r="G1826" s="589">
        <v>60</v>
      </c>
      <c r="H1826" s="589">
        <v>1</v>
      </c>
      <c r="I1826" s="589">
        <v>15</v>
      </c>
      <c r="J1826" s="589">
        <f>COUNTIF(Elan!$C$13:$F$25,Tablas!E1826)+COUNTIF(Elan!$U$13:$X$25,Tablas!E1826)</f>
        <v>0</v>
      </c>
      <c r="K1826" s="589"/>
      <c r="L1826" s="6043" t="s">
        <v>6690</v>
      </c>
      <c r="M1826" s="6043"/>
      <c r="N1826" s="6043"/>
      <c r="O1826" s="6043"/>
      <c r="P1826" s="6043"/>
      <c r="Q1826" s="6044"/>
      <c r="R1826" s="967">
        <f>IF(OR($J1826=0,$J1826="Aprendida"),0,SUM($J$1765:$J1826))</f>
        <v>0</v>
      </c>
      <c r="T1826" s="1087" t="s">
        <v>6732</v>
      </c>
      <c r="U1826" s="1088">
        <v>2</v>
      </c>
      <c r="V1826" s="1089"/>
      <c r="W1826" s="1088"/>
      <c r="X1826" s="1088"/>
      <c r="Y1826" s="1275"/>
    </row>
    <row r="1827" spans="1:25" ht="12.75" customHeight="1" x14ac:dyDescent="0.2">
      <c r="A1827" s="227">
        <v>1827</v>
      </c>
      <c r="B1827" s="6042"/>
      <c r="E1827" s="964" t="s">
        <v>6465</v>
      </c>
      <c r="F1827" s="589"/>
      <c r="G1827" s="589">
        <v>70</v>
      </c>
      <c r="H1827" s="589">
        <v>1</v>
      </c>
      <c r="I1827" s="589">
        <v>10</v>
      </c>
      <c r="J1827" s="589">
        <f>COUNTIF(Elan!$C$13:$F$25,Tablas!E1827)+COUNTIF(Elan!$U$13:$X$25,Tablas!E1827)</f>
        <v>0</v>
      </c>
      <c r="K1827" s="589"/>
      <c r="L1827" s="6043" t="s">
        <v>10366</v>
      </c>
      <c r="M1827" s="6043"/>
      <c r="N1827" s="6043"/>
      <c r="O1827" s="6043"/>
      <c r="P1827" s="6043"/>
      <c r="Q1827" s="6044"/>
      <c r="R1827" s="967">
        <f>IF(OR($J1827=0,$J1827="Aprendida"),0,SUM($J$1765:$J1827))</f>
        <v>0</v>
      </c>
      <c r="T1827" s="1087" t="s">
        <v>6733</v>
      </c>
      <c r="U1827" s="1088">
        <v>2</v>
      </c>
      <c r="V1827" s="1089"/>
      <c r="W1827" s="1088"/>
      <c r="X1827" s="1088"/>
      <c r="Y1827" s="1275"/>
    </row>
    <row r="1828" spans="1:25" ht="12.75" customHeight="1" x14ac:dyDescent="0.2">
      <c r="A1828" s="227">
        <v>1828</v>
      </c>
      <c r="B1828" s="6042"/>
      <c r="E1828" s="964" t="s">
        <v>6466</v>
      </c>
      <c r="F1828" s="589"/>
      <c r="G1828" s="589">
        <v>80</v>
      </c>
      <c r="H1828" s="589">
        <v>1</v>
      </c>
      <c r="I1828" s="589">
        <v>15</v>
      </c>
      <c r="J1828" s="589">
        <f>COUNTIF(Elan!$C$13:$F$25,Tablas!E1828)+COUNTIF(Elan!$U$13:$X$25,Tablas!E1828)</f>
        <v>0</v>
      </c>
      <c r="K1828" s="589"/>
      <c r="L1828" s="6043"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3"/>
      <c r="N1828" s="6043"/>
      <c r="O1828" s="6043"/>
      <c r="P1828" s="6043"/>
      <c r="Q1828" s="6044"/>
      <c r="R1828" s="967">
        <f>IF(OR($J1828=0,$J1828="Aprendida"),0,SUM($J$1765:$J1828))</f>
        <v>0</v>
      </c>
      <c r="T1828" s="1090"/>
      <c r="U1828" s="1091"/>
      <c r="V1828" s="1091"/>
      <c r="W1828" s="1091"/>
      <c r="X1828" s="1091"/>
      <c r="Y1828" s="1276"/>
    </row>
    <row r="1829" spans="1:25" ht="12.75" customHeight="1" x14ac:dyDescent="0.2">
      <c r="A1829" s="227">
        <v>1829</v>
      </c>
      <c r="B1829" s="6042"/>
      <c r="E1829" s="964" t="s">
        <v>6467</v>
      </c>
      <c r="F1829" s="589"/>
      <c r="G1829" s="589">
        <v>90</v>
      </c>
      <c r="H1829" s="589">
        <v>1</v>
      </c>
      <c r="I1829" s="589">
        <v>20</v>
      </c>
      <c r="J1829" s="589">
        <f>COUNTIF(Elan!$C$13:$F$25,Tablas!E1829)+COUNTIF(Elan!$U$13:$X$25,Tablas!E1829)</f>
        <v>0</v>
      </c>
      <c r="K1829" s="589"/>
      <c r="L1829" s="6043"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3"/>
      <c r="N1829" s="6043"/>
      <c r="O1829" s="6043"/>
      <c r="P1829" s="6043"/>
      <c r="Q1829" s="6044"/>
      <c r="R1829" s="967">
        <f>IF(OR($J1829=0,$J1829="Aprendida"),0,SUM($J$1765:$J1829))</f>
        <v>0</v>
      </c>
      <c r="T1829" s="1085" t="str">
        <f>E1870</f>
        <v>Azrael</v>
      </c>
      <c r="U1829" s="1086"/>
      <c r="V1829" s="1092"/>
      <c r="W1829" s="1086"/>
      <c r="X1829" s="1086"/>
      <c r="Y1829" s="1274"/>
    </row>
    <row r="1830" spans="1:25" ht="12.75" customHeight="1" x14ac:dyDescent="0.2">
      <c r="A1830" s="227">
        <v>1830</v>
      </c>
      <c r="B1830" s="6042"/>
      <c r="E1830" s="964" t="s">
        <v>6468</v>
      </c>
      <c r="F1830" s="589"/>
      <c r="G1830" s="589">
        <v>100</v>
      </c>
      <c r="H1830" s="589">
        <v>1</v>
      </c>
      <c r="I1830" s="589">
        <v>10</v>
      </c>
      <c r="J1830" s="589">
        <f>COUNTIF(Elan!$C$13:$F$25,Tablas!E1830)+COUNTIF(Elan!$U$13:$X$25,Tablas!E1830)</f>
        <v>0</v>
      </c>
      <c r="K1830" s="589"/>
      <c r="L1830" s="6043" t="s">
        <v>10367</v>
      </c>
      <c r="M1830" s="6043"/>
      <c r="N1830" s="6043"/>
      <c r="O1830" s="6043"/>
      <c r="P1830" s="6043"/>
      <c r="Q1830" s="6044"/>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042"/>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042"/>
      <c r="E1832" s="964" t="s">
        <v>6469</v>
      </c>
      <c r="F1832" s="589"/>
      <c r="G1832" s="589">
        <v>10</v>
      </c>
      <c r="H1832" s="589">
        <v>1</v>
      </c>
      <c r="I1832" s="589">
        <v>5</v>
      </c>
      <c r="J1832" s="589">
        <f>COUNTIF(Elan!$C$13:$F$25,Tablas!E1832)+COUNTIF(Elan!$U$13:$X$25,Tablas!E1832)</f>
        <v>0</v>
      </c>
      <c r="K1832" s="589"/>
      <c r="L1832" s="6043" t="s">
        <v>6691</v>
      </c>
      <c r="M1832" s="6043"/>
      <c r="N1832" s="6043"/>
      <c r="O1832" s="6043"/>
      <c r="P1832" s="6043"/>
      <c r="Q1832" s="6044"/>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042"/>
      <c r="E1833" s="964" t="s">
        <v>6470</v>
      </c>
      <c r="F1833" s="589"/>
      <c r="G1833" s="589">
        <v>20</v>
      </c>
      <c r="H1833" s="589">
        <v>1</v>
      </c>
      <c r="I1833" s="589">
        <v>10</v>
      </c>
      <c r="J1833" s="589">
        <f>COUNTIF(Elan!$C$13:$F$25,Tablas!E1833)+COUNTIF(Elan!$U$13:$X$25,Tablas!E1833)</f>
        <v>0</v>
      </c>
      <c r="K1833" s="589"/>
      <c r="L1833" s="6043" t="s">
        <v>6695</v>
      </c>
      <c r="M1833" s="6043"/>
      <c r="N1833" s="6043"/>
      <c r="O1833" s="6043"/>
      <c r="P1833" s="6043"/>
      <c r="Q1833" s="6044"/>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042"/>
      <c r="E1834" s="964" t="s">
        <v>6471</v>
      </c>
      <c r="F1834" s="589"/>
      <c r="G1834" s="589">
        <v>20</v>
      </c>
      <c r="H1834" s="589">
        <v>1</v>
      </c>
      <c r="I1834" s="589">
        <v>5</v>
      </c>
      <c r="J1834" s="589">
        <f>COUNTIF(Elan!$C$13:$F$25,Tablas!E1834)+COUNTIF(Elan!$U$13:$X$25,Tablas!E1834)</f>
        <v>0</v>
      </c>
      <c r="K1834" s="589">
        <f>ROUNDDOWN(F$1831/2,0)*J1834</f>
        <v>0</v>
      </c>
      <c r="L1834" s="6043" t="str">
        <f>"El PJ obtiene un bono a su RF de +"&amp;K1834&amp;"."</f>
        <v>El PJ obtiene un bono a su RF de +0.</v>
      </c>
      <c r="M1834" s="6043"/>
      <c r="N1834" s="6043"/>
      <c r="O1834" s="6043"/>
      <c r="P1834" s="6043"/>
      <c r="Q1834" s="6044"/>
      <c r="R1834" s="967">
        <f>IF(OR($J1834=0,$J1834="Aprendida"),0,SUM($J$1765:$J1834))</f>
        <v>0</v>
      </c>
      <c r="T1834" s="1087" t="s">
        <v>6750</v>
      </c>
      <c r="U1834" s="1088">
        <v>2</v>
      </c>
      <c r="V1834" s="1089"/>
      <c r="W1834" s="1088"/>
      <c r="X1834" s="1088"/>
      <c r="Y1834" s="1275"/>
    </row>
    <row r="1835" spans="1:25" ht="12.75" customHeight="1" x14ac:dyDescent="0.2">
      <c r="A1835" s="227">
        <v>1835</v>
      </c>
      <c r="B1835" s="6042"/>
      <c r="E1835" s="964" t="s">
        <v>1739</v>
      </c>
      <c r="F1835" s="589"/>
      <c r="G1835" s="589">
        <v>30</v>
      </c>
      <c r="H1835" s="589">
        <v>1</v>
      </c>
      <c r="I1835" s="589">
        <v>5</v>
      </c>
      <c r="J1835" s="589">
        <f>COUNTIF(Elan!$C$13:$F$25,Tablas!E1835)+COUNTIF(Elan!$U$13:$X$25,Tablas!E1835)</f>
        <v>0</v>
      </c>
      <c r="K1835" s="589"/>
      <c r="L1835" s="6043" t="s">
        <v>6702</v>
      </c>
      <c r="M1835" s="6043"/>
      <c r="N1835" s="6043"/>
      <c r="O1835" s="6043"/>
      <c r="P1835" s="6043"/>
      <c r="Q1835" s="6044"/>
      <c r="R1835" s="967">
        <f>IF(OR($J1835=0,$J1835="Aprendida"),0,SUM($J$1765:$J1835))</f>
        <v>0</v>
      </c>
      <c r="T1835" s="1087" t="s">
        <v>6751</v>
      </c>
      <c r="U1835" s="1088">
        <v>3</v>
      </c>
      <c r="V1835" s="1089"/>
      <c r="W1835" s="1088"/>
      <c r="X1835" s="1088"/>
      <c r="Y1835" s="1275"/>
    </row>
    <row r="1836" spans="1:25" ht="12.75" customHeight="1" x14ac:dyDescent="0.2">
      <c r="A1836" s="227">
        <v>1836</v>
      </c>
      <c r="B1836" s="6042"/>
      <c r="E1836" s="964" t="s">
        <v>6472</v>
      </c>
      <c r="F1836" s="589"/>
      <c r="G1836" s="589">
        <v>40</v>
      </c>
      <c r="H1836" s="589">
        <v>1</v>
      </c>
      <c r="I1836" s="589">
        <v>10</v>
      </c>
      <c r="J1836" s="589">
        <f>COUNTIF(Elan!$C$13:$F$25,Tablas!E1836)+COUNTIF(Elan!$U$13:$X$25,Tablas!E1836)</f>
        <v>0</v>
      </c>
      <c r="K1836" s="589"/>
      <c r="L1836" s="6043" t="str">
        <f>"El PJ puede anular, automáticamente, una cantidad de negativos a la acción de -"&amp;FLOOR(F1831/2,1)&amp;"."</f>
        <v>El PJ puede anular, automáticamente, una cantidad de negativos a la acción de -0.</v>
      </c>
      <c r="M1836" s="6043"/>
      <c r="N1836" s="6043"/>
      <c r="O1836" s="6043"/>
      <c r="P1836" s="6043"/>
      <c r="Q1836" s="6044"/>
      <c r="R1836" s="967">
        <f>IF(OR($J1836=0,$J1836="Aprendida"),0,SUM($J$1765:$J1836))</f>
        <v>0</v>
      </c>
      <c r="T1836" s="1087" t="s">
        <v>6752</v>
      </c>
      <c r="U1836" s="1088">
        <v>5</v>
      </c>
      <c r="V1836" s="1089"/>
      <c r="W1836" s="1088"/>
      <c r="X1836" s="1088"/>
      <c r="Y1836" s="1275"/>
    </row>
    <row r="1837" spans="1:25" ht="12.75" customHeight="1" x14ac:dyDescent="0.2">
      <c r="A1837" s="227">
        <v>1837</v>
      </c>
      <c r="B1837" s="6042"/>
      <c r="E1837" s="964" t="s">
        <v>6473</v>
      </c>
      <c r="F1837" s="589"/>
      <c r="G1837" s="589">
        <v>50</v>
      </c>
      <c r="H1837" s="589">
        <v>1</v>
      </c>
      <c r="I1837" s="589">
        <v>15</v>
      </c>
      <c r="J1837" s="589">
        <f>COUNTIF(Elan!$C$13:$F$25,Tablas!E1837)+COUNTIF(Elan!$U$13:$X$25,Tablas!E1837)</f>
        <v>0</v>
      </c>
      <c r="K1837" s="589"/>
      <c r="L1837" s="6043"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3"/>
      <c r="N1837" s="6043"/>
      <c r="O1837" s="6043"/>
      <c r="P1837" s="6043"/>
      <c r="Q1837" s="6044"/>
      <c r="R1837" s="967">
        <f>IF(OR($J1837=0,$J1837="Aprendida"),0,SUM($J$1765:$J1837))</f>
        <v>0</v>
      </c>
      <c r="T1837" s="1085" t="str">
        <f>E1883</f>
        <v>Abbadon</v>
      </c>
      <c r="U1837" s="1086"/>
      <c r="V1837" s="1092"/>
      <c r="W1837" s="1086"/>
      <c r="X1837" s="1086"/>
      <c r="Y1837" s="1274"/>
    </row>
    <row r="1838" spans="1:25" ht="12.75" customHeight="1" x14ac:dyDescent="0.2">
      <c r="A1838" s="227">
        <v>1838</v>
      </c>
      <c r="B1838" s="6042"/>
      <c r="E1838" s="964" t="s">
        <v>6474</v>
      </c>
      <c r="F1838" s="589"/>
      <c r="G1838" s="589">
        <v>60</v>
      </c>
      <c r="H1838" s="589">
        <v>1</v>
      </c>
      <c r="I1838" s="589">
        <v>10</v>
      </c>
      <c r="J1838" s="589">
        <f>COUNTIF(Elan!$C$13:$F$25,Tablas!E1838)+COUNTIF(Elan!$U$13:$X$25,Tablas!E1838)</f>
        <v>0</v>
      </c>
      <c r="K1838" s="589"/>
      <c r="L1838" s="6043" t="s">
        <v>6706</v>
      </c>
      <c r="M1838" s="6043"/>
      <c r="N1838" s="6043"/>
      <c r="O1838" s="6043"/>
      <c r="P1838" s="6043"/>
      <c r="Q1838" s="6044"/>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042"/>
      <c r="E1839" s="964" t="s">
        <v>6475</v>
      </c>
      <c r="F1839" s="589"/>
      <c r="G1839" s="589">
        <v>70</v>
      </c>
      <c r="H1839" s="589">
        <v>1</v>
      </c>
      <c r="I1839" s="589">
        <v>15</v>
      </c>
      <c r="J1839" s="589">
        <f>COUNTIF(Elan!$C$13:$F$25,Tablas!E1839)+COUNTIF(Elan!$U$13:$X$25,Tablas!E1839)</f>
        <v>0</v>
      </c>
      <c r="K1839" s="589"/>
      <c r="L1839" s="6043" t="s">
        <v>6707</v>
      </c>
      <c r="M1839" s="6043"/>
      <c r="N1839" s="6043"/>
      <c r="O1839" s="6043"/>
      <c r="P1839" s="6043"/>
      <c r="Q1839" s="6044"/>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042"/>
      <c r="E1840" s="964" t="s">
        <v>6476</v>
      </c>
      <c r="F1840" s="589"/>
      <c r="G1840" s="589">
        <v>70</v>
      </c>
      <c r="H1840" s="589">
        <v>1</v>
      </c>
      <c r="I1840" s="589">
        <v>10</v>
      </c>
      <c r="J1840" s="589">
        <f>COUNTIF(Elan!$C$13:$F$25,Tablas!E1840)+COUNTIF(Elan!$U$13:$X$25,Tablas!E1840)</f>
        <v>0</v>
      </c>
      <c r="K1840" s="589"/>
      <c r="L1840" s="6043"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3"/>
      <c r="N1840" s="6043"/>
      <c r="O1840" s="6043"/>
      <c r="P1840" s="6043"/>
      <c r="Q1840" s="6044"/>
      <c r="R1840" s="967">
        <f>IF(OR($J1840=0,$J1840="Aprendida"),0,SUM($J$1765:$J1840))</f>
        <v>0</v>
      </c>
      <c r="T1840" s="1087" t="s">
        <v>6763</v>
      </c>
      <c r="U1840" s="1088">
        <v>3</v>
      </c>
      <c r="V1840" s="1089"/>
      <c r="W1840" s="1088"/>
      <c r="X1840" s="1088"/>
      <c r="Y1840" s="1275"/>
    </row>
    <row r="1841" spans="1:25" ht="12.75" customHeight="1" x14ac:dyDescent="0.2">
      <c r="A1841" s="227">
        <v>1841</v>
      </c>
      <c r="B1841" s="6042"/>
      <c r="E1841" s="964" t="s">
        <v>6477</v>
      </c>
      <c r="F1841" s="589"/>
      <c r="G1841" s="589">
        <v>80</v>
      </c>
      <c r="H1841" s="589">
        <f>IF(J1835,1,0)</f>
        <v>0</v>
      </c>
      <c r="I1841" s="589">
        <v>20</v>
      </c>
      <c r="J1841" s="589">
        <f>COUNTIF(Elan!$C$13:$F$25,Tablas!E1841)+COUNTIF(Elan!$U$13:$X$25,Tablas!E1841)</f>
        <v>0</v>
      </c>
      <c r="K1841" s="589"/>
      <c r="L1841" s="6043"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3"/>
      <c r="N1841" s="6043"/>
      <c r="O1841" s="6043"/>
      <c r="P1841" s="6043"/>
      <c r="Q1841" s="6044"/>
      <c r="R1841" s="967">
        <f>IF(OR($J1841=0,$J1841="Aprendida"),0,SUM($J$1765:$J1841))</f>
        <v>0</v>
      </c>
      <c r="T1841" s="1087" t="s">
        <v>6765</v>
      </c>
      <c r="U1841" s="1088">
        <v>2</v>
      </c>
      <c r="V1841" s="1089"/>
      <c r="W1841" s="1088"/>
      <c r="X1841" s="1088"/>
      <c r="Y1841" s="1275"/>
    </row>
    <row r="1842" spans="1:25" ht="12.75" customHeight="1" x14ac:dyDescent="0.2">
      <c r="A1842" s="227">
        <v>1842</v>
      </c>
      <c r="B1842" s="6042"/>
      <c r="E1842" s="964" t="s">
        <v>6478</v>
      </c>
      <c r="F1842" s="589"/>
      <c r="G1842" s="589">
        <v>90</v>
      </c>
      <c r="H1842" s="589">
        <v>1</v>
      </c>
      <c r="I1842" s="589">
        <v>15</v>
      </c>
      <c r="J1842" s="589">
        <f>COUNTIF(Elan!$C$13:$F$25,Tablas!E1842)+COUNTIF(Elan!$U$13:$X$25,Tablas!E1842)</f>
        <v>0</v>
      </c>
      <c r="K1842" s="589"/>
      <c r="L1842" s="6043" t="s">
        <v>6708</v>
      </c>
      <c r="M1842" s="6043"/>
      <c r="N1842" s="6043"/>
      <c r="O1842" s="6043"/>
      <c r="P1842" s="6043"/>
      <c r="Q1842" s="6044"/>
      <c r="R1842" s="967">
        <f>IF(OR($J1842=0,$J1842="Aprendida"),0,SUM($J$1765:$J1842))</f>
        <v>0</v>
      </c>
      <c r="T1842" s="1087" t="s">
        <v>6766</v>
      </c>
      <c r="U1842" s="1088">
        <v>2</v>
      </c>
      <c r="V1842" s="1089"/>
      <c r="W1842" s="1088"/>
      <c r="X1842" s="1088"/>
      <c r="Y1842" s="1275"/>
    </row>
    <row r="1843" spans="1:25" ht="12.75" customHeight="1" x14ac:dyDescent="0.2">
      <c r="A1843" s="227">
        <v>1843</v>
      </c>
      <c r="B1843" s="6042"/>
      <c r="E1843" s="964" t="s">
        <v>6479</v>
      </c>
      <c r="F1843" s="589"/>
      <c r="G1843" s="589">
        <v>100</v>
      </c>
      <c r="H1843" s="589">
        <v>1</v>
      </c>
      <c r="I1843" s="589">
        <v>10</v>
      </c>
      <c r="J1843" s="589">
        <f>COUNTIF(Elan!$C$13:$F$25,Tablas!E1843)+COUNTIF(Elan!$U$13:$X$25,Tablas!E1843)</f>
        <v>0</v>
      </c>
      <c r="K1843" s="589"/>
      <c r="L1843" s="6043" t="s">
        <v>6709</v>
      </c>
      <c r="M1843" s="6043"/>
      <c r="N1843" s="6043"/>
      <c r="O1843" s="6043"/>
      <c r="P1843" s="6043"/>
      <c r="Q1843" s="6044"/>
      <c r="R1843" s="967">
        <f>IF(OR($J1843=0,$J1843="Aprendida"),0,SUM($J$1765:$J1843))</f>
        <v>0</v>
      </c>
      <c r="T1843" s="1090"/>
      <c r="U1843" s="1091"/>
      <c r="V1843" s="1091"/>
      <c r="W1843" s="1091"/>
      <c r="X1843" s="1091"/>
      <c r="Y1843" s="1276"/>
    </row>
    <row r="1844" spans="1:25" ht="12.75" customHeight="1" x14ac:dyDescent="0.2">
      <c r="A1844" s="227">
        <v>1844</v>
      </c>
      <c r="B1844" s="6042"/>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042"/>
      <c r="E1845" s="964" t="s">
        <v>6480</v>
      </c>
      <c r="F1845" s="589"/>
      <c r="G1845" s="589">
        <v>10</v>
      </c>
      <c r="H1845" s="589">
        <v>1</v>
      </c>
      <c r="I1845" s="589">
        <v>5</v>
      </c>
      <c r="J1845" s="589">
        <f>COUNTIF(Elan!$C$13:$F$25,Tablas!E1845)+COUNTIF(Elan!$U$13:$X$25,Tablas!E1845)</f>
        <v>0</v>
      </c>
      <c r="K1845" s="589">
        <f>F$1844*J1845</f>
        <v>0</v>
      </c>
      <c r="L1845" s="6043" t="str">
        <f>"Obtiene un bonificador especial a la habilidad secundaria Herbolaria de +"&amp;F1844&amp;"."</f>
        <v>Obtiene un bonificador especial a la habilidad secundaria Herbolaria de +0.</v>
      </c>
      <c r="M1845" s="6043"/>
      <c r="N1845" s="6043"/>
      <c r="O1845" s="6043"/>
      <c r="P1845" s="6043"/>
      <c r="Q1845" s="6044"/>
      <c r="R1845" s="967">
        <f>IF(OR($J1845=0,$J1845="Aprendida"),0,SUM($J$1765:$J1845))</f>
        <v>0</v>
      </c>
      <c r="T1845" s="1085" t="str">
        <f>E1895</f>
        <v>Barakiel</v>
      </c>
      <c r="U1845" s="1086"/>
      <c r="V1845" s="1092"/>
      <c r="W1845" s="1086"/>
      <c r="X1845" s="1086"/>
      <c r="Y1845" s="1274"/>
    </row>
    <row r="1846" spans="1:25" ht="12.75" customHeight="1" x14ac:dyDescent="0.2">
      <c r="A1846" s="227">
        <v>1846</v>
      </c>
      <c r="B1846" s="6042"/>
      <c r="E1846" s="964" t="s">
        <v>6481</v>
      </c>
      <c r="F1846" s="589"/>
      <c r="G1846" s="589">
        <v>20</v>
      </c>
      <c r="H1846" s="589">
        <v>1</v>
      </c>
      <c r="I1846" s="589">
        <v>5</v>
      </c>
      <c r="J1846" s="589">
        <f>COUNTIF(Elan!$C$13:$F$25,Tablas!E1846)+COUNTIF(Elan!$U$13:$X$25,Tablas!E1846)</f>
        <v>0</v>
      </c>
      <c r="K1846" s="589">
        <f>F$1844*J1846</f>
        <v>0</v>
      </c>
      <c r="L1846" s="6043" t="str">
        <f>"Obtiene un bonificador especial a la habilidad secundaria Animales de +"&amp;F1844&amp;"."</f>
        <v>Obtiene un bonificador especial a la habilidad secundaria Animales de +0.</v>
      </c>
      <c r="M1846" s="6043"/>
      <c r="N1846" s="6043"/>
      <c r="O1846" s="6043"/>
      <c r="P1846" s="6043"/>
      <c r="Q1846" s="6044"/>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042"/>
      <c r="E1847" s="964" t="s">
        <v>6482</v>
      </c>
      <c r="F1847" s="589"/>
      <c r="G1847" s="589">
        <v>20</v>
      </c>
      <c r="H1847" s="589">
        <v>1</v>
      </c>
      <c r="I1847" s="589">
        <v>10</v>
      </c>
      <c r="J1847" s="589">
        <f>COUNTIF(Elan!$C$13:$F$25,Tablas!E1847)+COUNTIF(Elan!$U$13:$X$25,Tablas!E1847)</f>
        <v>0</v>
      </c>
      <c r="K1847" s="589"/>
      <c r="L1847" s="6043"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3"/>
      <c r="N1847" s="6043"/>
      <c r="O1847" s="6043"/>
      <c r="P1847" s="6043"/>
      <c r="Q1847" s="6044"/>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042"/>
      <c r="E1848" s="964" t="s">
        <v>6483</v>
      </c>
      <c r="F1848" s="589"/>
      <c r="G1848" s="589">
        <v>30</v>
      </c>
      <c r="H1848" s="589">
        <v>1</v>
      </c>
      <c r="I1848" s="589">
        <v>5</v>
      </c>
      <c r="J1848" s="589">
        <f>COUNTIF(Elan!$C$13:$F$25,Tablas!E1848)+COUNTIF(Elan!$U$13:$X$25,Tablas!E1848)</f>
        <v>0</v>
      </c>
      <c r="K1848" s="589"/>
      <c r="L1848" s="6043" t="s">
        <v>6718</v>
      </c>
      <c r="M1848" s="6043"/>
      <c r="N1848" s="6043"/>
      <c r="O1848" s="6043"/>
      <c r="P1848" s="6043"/>
      <c r="Q1848" s="6044"/>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042"/>
      <c r="E1849" s="964" t="s">
        <v>6484</v>
      </c>
      <c r="F1849" s="589"/>
      <c r="G1849" s="589">
        <v>40</v>
      </c>
      <c r="H1849" s="589">
        <v>1</v>
      </c>
      <c r="I1849" s="589">
        <v>10</v>
      </c>
      <c r="J1849" s="589">
        <f>COUNTIF(Elan!$C$13:$F$25,Tablas!E1849)+COUNTIF(Elan!$U$13:$X$25,Tablas!E1849)</f>
        <v>0</v>
      </c>
      <c r="K1849" s="589"/>
      <c r="L1849" s="6043" t="str">
        <f>"Permite extripar cualquier veneno de nivel igual o inferior a "&amp;F1844&amp;"."</f>
        <v>Permite extripar cualquier veneno de nivel igual o inferior a 0.</v>
      </c>
      <c r="M1849" s="6043"/>
      <c r="N1849" s="6043"/>
      <c r="O1849" s="6043"/>
      <c r="P1849" s="6043"/>
      <c r="Q1849" s="6044"/>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042"/>
      <c r="E1850" s="964" t="s">
        <v>6485</v>
      </c>
      <c r="F1850" s="589"/>
      <c r="G1850" s="589">
        <v>50</v>
      </c>
      <c r="H1850" s="589">
        <v>1</v>
      </c>
      <c r="I1850" s="589">
        <v>20</v>
      </c>
      <c r="J1850" s="589">
        <f>COUNTIF(Elan!$C$13:$F$25,Tablas!E1850)+COUNTIF(Elan!$U$13:$X$25,Tablas!E1850)</f>
        <v>0</v>
      </c>
      <c r="K1850" s="589"/>
      <c r="L1850" s="6043" t="s">
        <v>10369</v>
      </c>
      <c r="M1850" s="6043"/>
      <c r="N1850" s="6043"/>
      <c r="O1850" s="6043"/>
      <c r="P1850" s="6043"/>
      <c r="Q1850" s="6044"/>
      <c r="R1850" s="967">
        <f>IF(OR($J1850=0,$J1850="Aprendida"),0,SUM($J$1765:$J1850))</f>
        <v>0</v>
      </c>
      <c r="T1850" s="1087" t="s">
        <v>6784</v>
      </c>
      <c r="U1850" s="1088">
        <v>5</v>
      </c>
      <c r="V1850" s="1089"/>
      <c r="W1850" s="1088"/>
      <c r="X1850" s="1088"/>
      <c r="Y1850" s="1275"/>
    </row>
    <row r="1851" spans="1:25" ht="12.75" customHeight="1" x14ac:dyDescent="0.2">
      <c r="A1851" s="227">
        <v>1851</v>
      </c>
      <c r="B1851" s="6042"/>
      <c r="E1851" s="964" t="s">
        <v>6486</v>
      </c>
      <c r="F1851" s="589"/>
      <c r="G1851" s="589">
        <v>50</v>
      </c>
      <c r="H1851" s="589">
        <f>IF(J1847,1,0)</f>
        <v>0</v>
      </c>
      <c r="I1851" s="589">
        <v>15</v>
      </c>
      <c r="J1851" s="589">
        <f>COUNTIF(Elan!$C$13:$F$25,Tablas!E1851)+COUNTIF(Elan!$U$13:$X$25,Tablas!E1851)</f>
        <v>0</v>
      </c>
      <c r="K1851" s="589"/>
      <c r="L1851" s="6043"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3"/>
      <c r="N1851" s="6043"/>
      <c r="O1851" s="6043"/>
      <c r="P1851" s="6043"/>
      <c r="Q1851" s="6044"/>
      <c r="R1851" s="967">
        <f>IF(OR($J1851=0,$J1851="Aprendida"),0,SUM($J$1765:$J1851))</f>
        <v>0</v>
      </c>
      <c r="T1851" s="1087" t="s">
        <v>6786</v>
      </c>
      <c r="U1851" s="1088">
        <v>2</v>
      </c>
      <c r="V1851" s="1089"/>
      <c r="W1851" s="1088"/>
      <c r="X1851" s="1088"/>
      <c r="Y1851" s="1275"/>
    </row>
    <row r="1852" spans="1:25" ht="12.75" customHeight="1" x14ac:dyDescent="0.2">
      <c r="A1852" s="227">
        <v>1852</v>
      </c>
      <c r="B1852" s="6042"/>
      <c r="E1852" s="964" t="s">
        <v>6487</v>
      </c>
      <c r="F1852" s="589"/>
      <c r="G1852" s="589">
        <v>60</v>
      </c>
      <c r="H1852" s="589">
        <v>1</v>
      </c>
      <c r="I1852" s="589">
        <v>10</v>
      </c>
      <c r="J1852" s="589">
        <f>COUNTIF(Elan!$C$13:$F$25,Tablas!E1852)+COUNTIF(Elan!$U$13:$X$25,Tablas!E1852)</f>
        <v>0</v>
      </c>
      <c r="K1852" s="589"/>
      <c r="L1852" s="6043"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3"/>
      <c r="N1852" s="6043"/>
      <c r="O1852" s="6043"/>
      <c r="P1852" s="6043"/>
      <c r="Q1852" s="6044"/>
      <c r="R1852" s="967">
        <f>IF(OR($J1852=0,$J1852="Aprendida"),0,SUM($J$1765:$J1852))</f>
        <v>0</v>
      </c>
      <c r="T1852" s="1090"/>
      <c r="U1852" s="1091"/>
      <c r="V1852" s="1091"/>
      <c r="W1852" s="1091"/>
      <c r="X1852" s="1091"/>
      <c r="Y1852" s="1276"/>
    </row>
    <row r="1853" spans="1:25" ht="12.75" customHeight="1" x14ac:dyDescent="0.2">
      <c r="A1853" s="227">
        <v>1853</v>
      </c>
      <c r="B1853" s="6042"/>
      <c r="E1853" s="964" t="s">
        <v>6488</v>
      </c>
      <c r="F1853" s="589"/>
      <c r="G1853" s="589">
        <v>60</v>
      </c>
      <c r="H1853" s="589">
        <v>1</v>
      </c>
      <c r="I1853" s="589">
        <v>10</v>
      </c>
      <c r="J1853" s="589">
        <f>COUNTIF(Elan!$C$13:$F$25,Tablas!E1853)+COUNTIF(Elan!$U$13:$X$25,Tablas!E1853)</f>
        <v>0</v>
      </c>
      <c r="K1853" s="589"/>
      <c r="L1853" s="6043"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3"/>
      <c r="N1853" s="6043"/>
      <c r="O1853" s="6043"/>
      <c r="P1853" s="6043"/>
      <c r="Q1853" s="6044"/>
      <c r="R1853" s="967">
        <f>IF(OR($J1853=0,$J1853="Aprendida"),0,SUM($J$1765:$J1853))</f>
        <v>0</v>
      </c>
      <c r="T1853" s="1085" t="str">
        <f>E1909</f>
        <v>Eriol</v>
      </c>
      <c r="U1853" s="1086"/>
      <c r="V1853" s="1092"/>
      <c r="W1853" s="1086"/>
      <c r="X1853" s="1086"/>
      <c r="Y1853" s="1274"/>
    </row>
    <row r="1854" spans="1:25" ht="12.75" customHeight="1" x14ac:dyDescent="0.2">
      <c r="A1854" s="227">
        <v>1854</v>
      </c>
      <c r="B1854" s="6042"/>
      <c r="E1854" s="964" t="s">
        <v>6489</v>
      </c>
      <c r="F1854" s="589"/>
      <c r="G1854" s="589">
        <v>70</v>
      </c>
      <c r="H1854" s="589">
        <v>1</v>
      </c>
      <c r="I1854" s="589">
        <v>10</v>
      </c>
      <c r="J1854" s="589">
        <f>COUNTIF(Elan!$C$13:$F$25,Tablas!E1854)+COUNTIF(Elan!$U$13:$X$25,Tablas!E1854)</f>
        <v>0</v>
      </c>
      <c r="K1854" s="589"/>
      <c r="L1854" s="6043"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3"/>
      <c r="N1854" s="6043"/>
      <c r="O1854" s="6043"/>
      <c r="P1854" s="6043"/>
      <c r="Q1854" s="6044"/>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042"/>
      <c r="E1855" s="964" t="s">
        <v>6490</v>
      </c>
      <c r="F1855" s="589"/>
      <c r="G1855" s="589">
        <v>80</v>
      </c>
      <c r="H1855" s="589">
        <f>IF(J1854,1,0)</f>
        <v>0</v>
      </c>
      <c r="I1855" s="589">
        <v>10</v>
      </c>
      <c r="J1855" s="589">
        <f>COUNTIF(Elan!$C$13:$F$25,Tablas!E1855)+COUNTIF(Elan!$U$13:$X$25,Tablas!E1855)</f>
        <v>0</v>
      </c>
      <c r="K1855" s="589"/>
      <c r="L1855" s="6043"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3"/>
      <c r="N1855" s="6043"/>
      <c r="O1855" s="6043"/>
      <c r="P1855" s="6043"/>
      <c r="Q1855" s="6044"/>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042"/>
      <c r="E1856" s="964" t="s">
        <v>6491</v>
      </c>
      <c r="F1856" s="589"/>
      <c r="G1856" s="589">
        <v>90</v>
      </c>
      <c r="H1856" s="589">
        <f>IF(J1851,1,0)</f>
        <v>0</v>
      </c>
      <c r="I1856" s="589">
        <v>20</v>
      </c>
      <c r="J1856" s="589">
        <f>COUNTIF(Elan!$C$13:$F$25,Tablas!E1856)+COUNTIF(Elan!$U$13:$X$25,Tablas!E1856)</f>
        <v>0</v>
      </c>
      <c r="K1856" s="589"/>
      <c r="L1856" s="6043"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3"/>
      <c r="N1856" s="6043"/>
      <c r="O1856" s="6043"/>
      <c r="P1856" s="6043"/>
      <c r="Q1856" s="6044"/>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042"/>
      <c r="E1857" s="964" t="s">
        <v>6492</v>
      </c>
      <c r="F1857" s="589"/>
      <c r="G1857" s="589">
        <v>100</v>
      </c>
      <c r="H1857" s="589">
        <v>1</v>
      </c>
      <c r="I1857" s="589">
        <v>10</v>
      </c>
      <c r="J1857" s="589">
        <f>COUNTIF(Elan!$C$13:$F$25,Tablas!E1857)+COUNTIF(Elan!$U$13:$X$25,Tablas!E1857)</f>
        <v>0</v>
      </c>
      <c r="K1857" s="589"/>
      <c r="L1857" s="6043" t="s">
        <v>10368</v>
      </c>
      <c r="M1857" s="6043"/>
      <c r="N1857" s="6043"/>
      <c r="O1857" s="6043"/>
      <c r="P1857" s="6043"/>
      <c r="Q1857" s="6044"/>
      <c r="R1857" s="967">
        <f>IF(OR($J1857=0,$J1857="Aprendida"),0,SUM($J$1765:$J1857))</f>
        <v>0</v>
      </c>
      <c r="T1857" s="1087" t="s">
        <v>6803</v>
      </c>
      <c r="U1857" s="1088">
        <v>1</v>
      </c>
      <c r="V1857" s="1089"/>
      <c r="W1857" s="1088"/>
      <c r="X1857" s="1088"/>
      <c r="Y1857" s="1275"/>
    </row>
    <row r="1858" spans="1:25" ht="12.75" customHeight="1" x14ac:dyDescent="0.2">
      <c r="A1858" s="227">
        <v>1858</v>
      </c>
      <c r="B1858" s="6042"/>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042"/>
      <c r="E1859" s="964" t="s">
        <v>6493</v>
      </c>
      <c r="F1859" s="589"/>
      <c r="G1859" s="589">
        <v>10</v>
      </c>
      <c r="H1859" s="589">
        <v>1</v>
      </c>
      <c r="I1859" s="589">
        <v>5</v>
      </c>
      <c r="J1859" s="589">
        <f>COUNTIF(Elan!$C$13:$F$25,Tablas!E1859)+COUNTIF(Elan!$U$13:$X$25,Tablas!E1859)</f>
        <v>0</v>
      </c>
      <c r="K1859" s="589">
        <f>F$1858*J1859</f>
        <v>0</v>
      </c>
      <c r="L1859" s="6043" t="str">
        <f>"Obtiene un bonificador especial a la habilidad secundaria Ocultismo de +"&amp;K1859&amp;"."</f>
        <v>Obtiene un bonificador especial a la habilidad secundaria Ocultismo de +0.</v>
      </c>
      <c r="M1859" s="6043"/>
      <c r="N1859" s="6043"/>
      <c r="O1859" s="6043"/>
      <c r="P1859" s="6043"/>
      <c r="Q1859" s="6044"/>
      <c r="R1859" s="967">
        <f>IF(OR($J1859=0,$J1859="Aprendida"),0,SUM($J$1765:$J1859))</f>
        <v>0</v>
      </c>
      <c r="T1859" s="1090"/>
      <c r="U1859" s="1091"/>
      <c r="V1859" s="1091"/>
      <c r="W1859" s="1091"/>
      <c r="X1859" s="1091"/>
      <c r="Y1859" s="1276"/>
    </row>
    <row r="1860" spans="1:25" ht="12.75" customHeight="1" x14ac:dyDescent="0.2">
      <c r="A1860" s="227">
        <v>1860</v>
      </c>
      <c r="B1860" s="6042"/>
      <c r="E1860" s="964" t="s">
        <v>6494</v>
      </c>
      <c r="F1860" s="589"/>
      <c r="G1860" s="589">
        <v>20</v>
      </c>
      <c r="H1860" s="589">
        <v>1</v>
      </c>
      <c r="I1860" s="589">
        <v>5</v>
      </c>
      <c r="J1860" s="589">
        <f>COUNTIF(Elan!$C$13:$F$25,Tablas!E1860)+COUNTIF(Elan!$U$13:$X$25,Tablas!E1860)</f>
        <v>0</v>
      </c>
      <c r="K1860" s="589">
        <f>F$1858*J1860</f>
        <v>0</v>
      </c>
      <c r="L1860" s="6043" t="str">
        <f>"Obtiene un bonificador especial a la habilidad secundaria Intimidar de +"&amp;K1860&amp;"."</f>
        <v>Obtiene un bonificador especial a la habilidad secundaria Intimidar de +0.</v>
      </c>
      <c r="M1860" s="6043"/>
      <c r="N1860" s="6043"/>
      <c r="O1860" s="6043"/>
      <c r="P1860" s="6043"/>
      <c r="Q1860" s="6044"/>
      <c r="R1860" s="967">
        <f>IF(OR($J1860=0,$J1860="Aprendida"),0,SUM($J$1765:$J1860))</f>
        <v>0</v>
      </c>
      <c r="T1860" s="1090"/>
      <c r="U1860" s="1091"/>
      <c r="V1860" s="1091"/>
      <c r="W1860" s="1091"/>
      <c r="X1860" s="1091"/>
      <c r="Y1860" s="1276"/>
    </row>
    <row r="1861" spans="1:25" ht="12.75" customHeight="1" x14ac:dyDescent="0.2">
      <c r="A1861" s="227">
        <v>1861</v>
      </c>
      <c r="B1861" s="6042"/>
      <c r="E1861" s="964" t="s">
        <v>6495</v>
      </c>
      <c r="F1861" s="589"/>
      <c r="G1861" s="589">
        <v>30</v>
      </c>
      <c r="H1861" s="589">
        <v>1</v>
      </c>
      <c r="I1861" s="589">
        <v>5</v>
      </c>
      <c r="J1861" s="589">
        <f>COUNTIF(Elan!$C$13:$F$25,Tablas!E1861)+COUNTIF(Elan!$U$13:$X$25,Tablas!E1861)</f>
        <v>0</v>
      </c>
      <c r="K1861" s="589"/>
      <c r="L1861" s="6043" t="s">
        <v>6727</v>
      </c>
      <c r="M1861" s="6043"/>
      <c r="N1861" s="6043"/>
      <c r="O1861" s="6043"/>
      <c r="P1861" s="6043"/>
      <c r="Q1861" s="6044"/>
      <c r="R1861" s="967">
        <f>IF(OR($J1861=0,$J1861="Aprendida"),0,SUM($J$1765:$J1861))</f>
        <v>0</v>
      </c>
      <c r="T1861" s="1085" t="str">
        <f>E1921</f>
        <v>Edamiel</v>
      </c>
      <c r="U1861" s="1086"/>
      <c r="V1861" s="1092"/>
      <c r="W1861" s="1086"/>
      <c r="X1861" s="1086"/>
      <c r="Y1861" s="1274"/>
    </row>
    <row r="1862" spans="1:25" ht="12.75" customHeight="1" x14ac:dyDescent="0.2">
      <c r="A1862" s="227">
        <v>1862</v>
      </c>
      <c r="B1862" s="6042"/>
      <c r="E1862" s="964" t="s">
        <v>6496</v>
      </c>
      <c r="F1862" s="589"/>
      <c r="G1862" s="589">
        <v>40</v>
      </c>
      <c r="H1862" s="589">
        <v>1</v>
      </c>
      <c r="I1862" s="589">
        <v>10</v>
      </c>
      <c r="J1862" s="589">
        <f>COUNTIF(Elan!$C$13:$F$25,Tablas!E1862)+COUNTIF(Elan!$U$13:$X$25,Tablas!E1862)</f>
        <v>0</v>
      </c>
      <c r="K1862" s="589"/>
      <c r="L1862" s="6043" t="s">
        <v>6730</v>
      </c>
      <c r="M1862" s="6043"/>
      <c r="N1862" s="6043"/>
      <c r="O1862" s="6043"/>
      <c r="P1862" s="6043"/>
      <c r="Q1862" s="6044"/>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042"/>
      <c r="E1863" s="964" t="s">
        <v>6497</v>
      </c>
      <c r="F1863" s="589"/>
      <c r="G1863" s="589">
        <v>50</v>
      </c>
      <c r="H1863" s="589">
        <v>1</v>
      </c>
      <c r="I1863" s="589">
        <v>15</v>
      </c>
      <c r="J1863" s="589">
        <f>COUNTIF(Elan!$C$13:$F$25,Tablas!E1863)+COUNTIF(Elan!$U$13:$X$25,Tablas!E1863)</f>
        <v>0</v>
      </c>
      <c r="K1863" s="589"/>
      <c r="L1863" s="6043"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3"/>
      <c r="N1863" s="6043"/>
      <c r="O1863" s="6043"/>
      <c r="P1863" s="6043"/>
      <c r="Q1863" s="6044"/>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042"/>
      <c r="E1864" s="964" t="s">
        <v>6498</v>
      </c>
      <c r="F1864" s="589"/>
      <c r="G1864" s="589">
        <v>60</v>
      </c>
      <c r="H1864" s="589">
        <v>1</v>
      </c>
      <c r="I1864" s="589">
        <v>10</v>
      </c>
      <c r="J1864" s="589">
        <f>COUNTIF(Elan!$C$13:$F$25,Tablas!E1864)+COUNTIF(Elan!$U$13:$X$25,Tablas!E1864)</f>
        <v>0</v>
      </c>
      <c r="K1864" s="589"/>
      <c r="L1864" s="6043" t="s">
        <v>10370</v>
      </c>
      <c r="M1864" s="6043"/>
      <c r="N1864" s="6043"/>
      <c r="O1864" s="6043"/>
      <c r="P1864" s="6043"/>
      <c r="Q1864" s="6044"/>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042"/>
      <c r="E1865" s="964" t="s">
        <v>6499</v>
      </c>
      <c r="F1865" s="589"/>
      <c r="G1865" s="589">
        <v>60</v>
      </c>
      <c r="H1865" s="589">
        <v>1</v>
      </c>
      <c r="I1865" s="589">
        <v>10</v>
      </c>
      <c r="J1865" s="589">
        <f>COUNTIF(Elan!$C$13:$F$25,Tablas!E1865)+COUNTIF(Elan!$U$13:$X$25,Tablas!E1865)</f>
        <v>0</v>
      </c>
      <c r="K1865" s="589"/>
      <c r="L1865" s="6043" t="s">
        <v>6734</v>
      </c>
      <c r="M1865" s="6043"/>
      <c r="N1865" s="6043"/>
      <c r="O1865" s="6043"/>
      <c r="P1865" s="6043"/>
      <c r="Q1865" s="6044"/>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042"/>
      <c r="E1866" s="964" t="s">
        <v>6500</v>
      </c>
      <c r="F1866" s="589"/>
      <c r="G1866" s="589">
        <v>70</v>
      </c>
      <c r="H1866" s="589">
        <v>1</v>
      </c>
      <c r="I1866" s="589">
        <v>20</v>
      </c>
      <c r="J1866" s="589">
        <f>COUNTIF(Elan!$C$13:$F$25,Tablas!E1866)+COUNTIF(Elan!$U$13:$X$25,Tablas!E1866)</f>
        <v>0</v>
      </c>
      <c r="K1866" s="589"/>
      <c r="L1866" s="6043" t="s">
        <v>10371</v>
      </c>
      <c r="M1866" s="6043"/>
      <c r="N1866" s="6043"/>
      <c r="O1866" s="6043"/>
      <c r="P1866" s="6043"/>
      <c r="Q1866" s="6044"/>
      <c r="R1866" s="967">
        <f>IF(OR($J1866=0,$J1866="Aprendida"),0,SUM($J$1765:$J1866))</f>
        <v>0</v>
      </c>
      <c r="T1866" s="1087" t="s">
        <v>6821</v>
      </c>
      <c r="U1866" s="1088">
        <v>4</v>
      </c>
      <c r="V1866" s="1089"/>
      <c r="W1866" s="1088"/>
      <c r="X1866" s="1088"/>
      <c r="Y1866" s="1275"/>
    </row>
    <row r="1867" spans="1:25" ht="12.75" customHeight="1" x14ac:dyDescent="0.2">
      <c r="A1867" s="227">
        <v>1867</v>
      </c>
      <c r="B1867" s="6042"/>
      <c r="E1867" s="964" t="s">
        <v>6501</v>
      </c>
      <c r="F1867" s="589"/>
      <c r="G1867" s="589">
        <v>80</v>
      </c>
      <c r="H1867" s="589">
        <v>1</v>
      </c>
      <c r="I1867" s="589">
        <v>15</v>
      </c>
      <c r="J1867" s="589">
        <f>COUNTIF(Elan!$C$13:$F$25,Tablas!E1867)+COUNTIF(Elan!$U$13:$X$25,Tablas!E1867)</f>
        <v>0</v>
      </c>
      <c r="K1867" s="589"/>
      <c r="L1867" s="6043" t="s">
        <v>6735</v>
      </c>
      <c r="M1867" s="6043"/>
      <c r="N1867" s="6043"/>
      <c r="O1867" s="6043"/>
      <c r="P1867" s="6043"/>
      <c r="Q1867" s="6044"/>
      <c r="R1867" s="967">
        <f>IF(OR($J1867=0,$J1867="Aprendida"),0,SUM($J$1765:$J1867))</f>
        <v>0</v>
      </c>
      <c r="T1867" s="1090"/>
      <c r="U1867" s="1091"/>
      <c r="V1867" s="1091"/>
      <c r="W1867" s="1091"/>
      <c r="X1867" s="1091"/>
      <c r="Y1867" s="1276"/>
    </row>
    <row r="1868" spans="1:25" ht="12.75" customHeight="1" x14ac:dyDescent="0.2">
      <c r="A1868" s="227">
        <v>1868</v>
      </c>
      <c r="B1868" s="6042"/>
      <c r="E1868" s="964" t="s">
        <v>6502</v>
      </c>
      <c r="F1868" s="589"/>
      <c r="G1868" s="589">
        <v>90</v>
      </c>
      <c r="H1868" s="589">
        <f>IF(J1866,1,0)</f>
        <v>0</v>
      </c>
      <c r="I1868" s="589">
        <v>10</v>
      </c>
      <c r="J1868" s="589">
        <f>COUNTIF(Elan!$C$13:$F$25,Tablas!E1868)+COUNTIF(Elan!$U$13:$X$25,Tablas!E1868)</f>
        <v>0</v>
      </c>
      <c r="K1868" s="589"/>
      <c r="L1868" s="6043" t="s">
        <v>6736</v>
      </c>
      <c r="M1868" s="6043"/>
      <c r="N1868" s="6043"/>
      <c r="O1868" s="6043"/>
      <c r="P1868" s="6043"/>
      <c r="Q1868" s="6044"/>
      <c r="R1868" s="967">
        <f>IF(OR($J1868=0,$J1868="Aprendida"),0,SUM($J$1765:$J1868))</f>
        <v>0</v>
      </c>
      <c r="T1868" s="1090"/>
      <c r="U1868" s="1091"/>
      <c r="V1868" s="1091"/>
      <c r="W1868" s="1091"/>
      <c r="X1868" s="1091"/>
      <c r="Y1868" s="1276"/>
    </row>
    <row r="1869" spans="1:25" ht="12.75" customHeight="1" x14ac:dyDescent="0.2">
      <c r="A1869" s="227">
        <v>1869</v>
      </c>
      <c r="B1869" s="6042"/>
      <c r="E1869" s="964" t="s">
        <v>6503</v>
      </c>
      <c r="F1869" s="589"/>
      <c r="G1869" s="589">
        <v>100</v>
      </c>
      <c r="H1869" s="589">
        <v>1</v>
      </c>
      <c r="I1869" s="589">
        <v>10</v>
      </c>
      <c r="J1869" s="589">
        <f>COUNTIF(Elan!$C$13:$F$25,Tablas!E1869)+COUNTIF(Elan!$U$13:$X$25,Tablas!E1869)</f>
        <v>0</v>
      </c>
      <c r="K1869" s="589"/>
      <c r="L1869" s="6043" t="s">
        <v>10372</v>
      </c>
      <c r="M1869" s="6043"/>
      <c r="N1869" s="6043"/>
      <c r="O1869" s="6043"/>
      <c r="P1869" s="6043"/>
      <c r="Q1869" s="6044"/>
      <c r="R1869" s="967">
        <f>IF(OR($J1869=0,$J1869="Aprendida"),0,SUM($J$1765:$J1869))</f>
        <v>0</v>
      </c>
      <c r="T1869" s="1085" t="str">
        <f>E1933</f>
        <v>Meseguis</v>
      </c>
      <c r="U1869" s="1086"/>
      <c r="V1869" s="1092"/>
      <c r="W1869" s="1086"/>
      <c r="X1869" s="1086"/>
      <c r="Y1869" s="1274"/>
    </row>
    <row r="1870" spans="1:25" ht="12.75" customHeight="1" x14ac:dyDescent="0.2">
      <c r="A1870" s="227">
        <v>1870</v>
      </c>
      <c r="B1870" s="6042"/>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042"/>
      <c r="E1871" s="964" t="s">
        <v>6504</v>
      </c>
      <c r="F1871" s="589"/>
      <c r="G1871" s="589">
        <v>10</v>
      </c>
      <c r="H1871" s="589">
        <v>1</v>
      </c>
      <c r="I1871" s="589">
        <v>5</v>
      </c>
      <c r="J1871" s="589">
        <f>COUNTIF(Elan!$C$13:$F$25,Tablas!E1871)+COUNTIF(Elan!$U$13:$X$25,Tablas!E1871)</f>
        <v>0</v>
      </c>
      <c r="K1871" s="589">
        <f>F$1870*J1871</f>
        <v>0</v>
      </c>
      <c r="L1871" s="6043" t="str">
        <f>"Obtiene un bonificador especial a la habilidad secundaria Liderazgo de +"&amp;K1871&amp;"."</f>
        <v>Obtiene un bonificador especial a la habilidad secundaria Liderazgo de +0.</v>
      </c>
      <c r="M1871" s="6043"/>
      <c r="N1871" s="6043"/>
      <c r="O1871" s="6043"/>
      <c r="P1871" s="6043"/>
      <c r="Q1871" s="6044"/>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042"/>
      <c r="E1872" s="964" t="s">
        <v>6505</v>
      </c>
      <c r="F1872" s="589"/>
      <c r="G1872" s="589">
        <v>20</v>
      </c>
      <c r="H1872" s="589">
        <v>1</v>
      </c>
      <c r="I1872" s="589">
        <v>5</v>
      </c>
      <c r="J1872" s="589">
        <f>COUNTIF(Elan!$C$13:$F$25,Tablas!E1872)+COUNTIF(Elan!$U$13:$X$25,Tablas!E1872)</f>
        <v>0</v>
      </c>
      <c r="K1872" s="589">
        <f>F$1870*J1872</f>
        <v>0</v>
      </c>
      <c r="L1872" s="6043" t="str">
        <f>"Obtiene un bonificador especial a la habilidad secundaria Frialdad de +"&amp;K1872&amp;"."</f>
        <v>Obtiene un bonificador especial a la habilidad secundaria Frialdad de +0.</v>
      </c>
      <c r="M1872" s="6043"/>
      <c r="N1872" s="6043"/>
      <c r="O1872" s="6043"/>
      <c r="P1872" s="6043"/>
      <c r="Q1872" s="6044"/>
      <c r="R1872" s="967">
        <f>IF(OR($J1872=0,$J1872="Aprendida"),0,SUM($J$1765:$J1872))</f>
        <v>0</v>
      </c>
      <c r="T1872" s="1087"/>
      <c r="U1872" s="1088"/>
      <c r="V1872" s="1089" t="s">
        <v>6833</v>
      </c>
      <c r="W1872" s="1088">
        <v>4</v>
      </c>
      <c r="X1872" s="1088"/>
      <c r="Y1872" s="1275"/>
    </row>
    <row r="1873" spans="1:25" ht="12.75" customHeight="1" x14ac:dyDescent="0.2">
      <c r="A1873" s="227">
        <v>1873</v>
      </c>
      <c r="B1873" s="6042"/>
      <c r="E1873" s="964" t="s">
        <v>6506</v>
      </c>
      <c r="F1873" s="589"/>
      <c r="G1873" s="589">
        <v>30</v>
      </c>
      <c r="H1873" s="589">
        <v>1</v>
      </c>
      <c r="I1873" s="589">
        <v>10</v>
      </c>
      <c r="J1873" s="589">
        <f>COUNTIF(Elan!$C$13:$F$25,Tablas!E1873)+COUNTIF(Elan!$U$13:$X$25,Tablas!E1873)</f>
        <v>0</v>
      </c>
      <c r="K1873" s="589"/>
      <c r="L1873" s="6043" t="s">
        <v>6743</v>
      </c>
      <c r="M1873" s="6043"/>
      <c r="N1873" s="6043"/>
      <c r="O1873" s="6043"/>
      <c r="P1873" s="6043"/>
      <c r="Q1873" s="6044"/>
      <c r="R1873" s="967">
        <f>IF(OR($J1873=0,$J1873="Aprendida"),0,SUM($J$1765:$J1873))</f>
        <v>0</v>
      </c>
      <c r="T1873" s="1090"/>
      <c r="U1873" s="1091"/>
      <c r="V1873" s="1091"/>
      <c r="W1873" s="1091"/>
      <c r="X1873" s="1091"/>
      <c r="Y1873" s="1276"/>
    </row>
    <row r="1874" spans="1:25" ht="12.75" customHeight="1" x14ac:dyDescent="0.2">
      <c r="A1874" s="227">
        <v>1874</v>
      </c>
      <c r="B1874" s="6042"/>
      <c r="E1874" s="964" t="s">
        <v>6507</v>
      </c>
      <c r="F1874" s="589"/>
      <c r="G1874" s="589">
        <v>40</v>
      </c>
      <c r="H1874" s="589">
        <v>1</v>
      </c>
      <c r="I1874" s="589">
        <v>10</v>
      </c>
      <c r="J1874" s="589">
        <f>COUNTIF(Elan!$C$13:$F$25,Tablas!E1874)+COUNTIF(Elan!$U$13:$X$25,Tablas!E1874)</f>
        <v>0</v>
      </c>
      <c r="K1874" s="589"/>
      <c r="L1874" s="6043" t="s">
        <v>10373</v>
      </c>
      <c r="M1874" s="6043"/>
      <c r="N1874" s="6043"/>
      <c r="O1874" s="6043"/>
      <c r="P1874" s="6043"/>
      <c r="Q1874" s="6044"/>
      <c r="R1874" s="967">
        <f>IF(OR($J1874=0,$J1874="Aprendida"),0,SUM($J$1765:$J1874))</f>
        <v>0</v>
      </c>
      <c r="T1874" s="1090"/>
      <c r="U1874" s="1091"/>
      <c r="V1874" s="1091"/>
      <c r="W1874" s="1091"/>
      <c r="X1874" s="1091"/>
      <c r="Y1874" s="1276"/>
    </row>
    <row r="1875" spans="1:25" ht="12.75" customHeight="1" x14ac:dyDescent="0.2">
      <c r="A1875" s="227">
        <v>1875</v>
      </c>
      <c r="B1875" s="6042"/>
      <c r="E1875" s="964" t="s">
        <v>6508</v>
      </c>
      <c r="F1875" s="589"/>
      <c r="G1875" s="589">
        <v>50</v>
      </c>
      <c r="H1875" s="589">
        <v>1</v>
      </c>
      <c r="I1875" s="589">
        <v>5</v>
      </c>
      <c r="J1875" s="589">
        <f>COUNTIF(Elan!$C$13:$F$25,Tablas!E1875)+COUNTIF(Elan!$U$13:$X$25,Tablas!E1875)</f>
        <v>0</v>
      </c>
      <c r="K1875" s="589"/>
      <c r="L1875" s="6043" t="s">
        <v>6749</v>
      </c>
      <c r="M1875" s="6043"/>
      <c r="N1875" s="6043"/>
      <c r="O1875" s="6043"/>
      <c r="P1875" s="6043"/>
      <c r="Q1875" s="6044"/>
      <c r="R1875" s="967">
        <f>IF(OR($J1875=0,$J1875="Aprendida"),0,SUM($J$1765:$J1875))</f>
        <v>0</v>
      </c>
      <c r="T1875" s="1090"/>
      <c r="U1875" s="1091"/>
      <c r="V1875" s="1091"/>
      <c r="W1875" s="1091"/>
      <c r="X1875" s="1091"/>
      <c r="Y1875" s="1276"/>
    </row>
    <row r="1876" spans="1:25" ht="12.75" customHeight="1" x14ac:dyDescent="0.2">
      <c r="A1876" s="227">
        <v>1876</v>
      </c>
      <c r="B1876" s="6042"/>
      <c r="E1876" s="964" t="s">
        <v>6509</v>
      </c>
      <c r="F1876" s="589"/>
      <c r="G1876" s="589">
        <v>60</v>
      </c>
      <c r="H1876" s="589">
        <f>IF(J1875,1,0)</f>
        <v>0</v>
      </c>
      <c r="I1876" s="589">
        <v>10</v>
      </c>
      <c r="J1876" s="589">
        <f>COUNTIF(Elan!$C$13:$F$25,Tablas!E1876)+COUNTIF(Elan!$U$13:$X$25,Tablas!E1876)</f>
        <v>0</v>
      </c>
      <c r="K1876" s="589"/>
      <c r="L1876" s="6043"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3"/>
      <c r="N1876" s="6043"/>
      <c r="O1876" s="6043"/>
      <c r="P1876" s="6043"/>
      <c r="Q1876" s="6044"/>
      <c r="R1876" s="967">
        <f>IF(OR($J1876=0,$J1876="Aprendida"),0,SUM($J$1765:$J1876))</f>
        <v>0</v>
      </c>
      <c r="T1876" s="1090"/>
      <c r="U1876" s="1091"/>
      <c r="V1876" s="1091"/>
      <c r="W1876" s="1091"/>
      <c r="X1876" s="1091"/>
      <c r="Y1876" s="1276"/>
    </row>
    <row r="1877" spans="1:25" ht="12.75" customHeight="1" x14ac:dyDescent="0.2">
      <c r="A1877" s="227">
        <v>1877</v>
      </c>
      <c r="B1877" s="6042"/>
      <c r="E1877" s="964" t="s">
        <v>195</v>
      </c>
      <c r="F1877" s="589"/>
      <c r="G1877" s="589">
        <v>60</v>
      </c>
      <c r="H1877" s="589">
        <v>1</v>
      </c>
      <c r="I1877" s="589">
        <v>15</v>
      </c>
      <c r="J1877" s="589">
        <f>COUNTIF(Elan!$C$13:$F$25,Tablas!E1877)+COUNTIF(Elan!$U$13:$X$25,Tablas!E1877)</f>
        <v>0</v>
      </c>
      <c r="K1877" s="589"/>
      <c r="L1877" s="6043" t="str">
        <f>"El PJ ignora cualquier habilidad mística o psíquica que le obligue a realizar un control de Resistencia inferior a "&amp;F1870+40&amp;"."</f>
        <v>El PJ ignora cualquier habilidad mística o psíquica que le obligue a realizar un control de Resistencia inferior a 40.</v>
      </c>
      <c r="M1877" s="6043"/>
      <c r="N1877" s="6043"/>
      <c r="O1877" s="6043"/>
      <c r="P1877" s="6043"/>
      <c r="Q1877" s="6044"/>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042"/>
      <c r="E1878" s="964" t="s">
        <v>6510</v>
      </c>
      <c r="F1878" s="589"/>
      <c r="G1878" s="589">
        <v>70</v>
      </c>
      <c r="H1878" s="589">
        <v>1</v>
      </c>
      <c r="I1878" s="589">
        <v>15</v>
      </c>
      <c r="J1878" s="589">
        <f>COUNTIF(Elan!$C$13:$F$25,Tablas!E1878)+COUNTIF(Elan!$U$13:$X$25,Tablas!E1878)</f>
        <v>0</v>
      </c>
      <c r="K1878" s="589"/>
      <c r="L1878" s="6043" t="s">
        <v>6753</v>
      </c>
      <c r="M1878" s="6043"/>
      <c r="N1878" s="6043"/>
      <c r="O1878" s="6043"/>
      <c r="P1878" s="6043"/>
      <c r="Q1878" s="6044"/>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042"/>
      <c r="E1879" s="964" t="s">
        <v>6511</v>
      </c>
      <c r="F1879" s="589"/>
      <c r="G1879" s="589">
        <v>70</v>
      </c>
      <c r="H1879" s="589">
        <v>1</v>
      </c>
      <c r="I1879" s="589">
        <v>20</v>
      </c>
      <c r="J1879" s="589">
        <f>COUNTIF(Elan!$C$13:$F$25,Tablas!E1879)+COUNTIF(Elan!$U$13:$X$25,Tablas!E1879)</f>
        <v>0</v>
      </c>
      <c r="K1879" s="589"/>
      <c r="L1879" s="6043" t="s">
        <v>6754</v>
      </c>
      <c r="M1879" s="6043"/>
      <c r="N1879" s="6043"/>
      <c r="O1879" s="6043"/>
      <c r="P1879" s="6043"/>
      <c r="Q1879" s="6044"/>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042"/>
      <c r="E1880" s="964" t="s">
        <v>10374</v>
      </c>
      <c r="F1880" s="589"/>
      <c r="G1880" s="589">
        <v>80</v>
      </c>
      <c r="H1880" s="589">
        <v>1</v>
      </c>
      <c r="I1880" s="589">
        <v>10</v>
      </c>
      <c r="J1880" s="589">
        <f>COUNTIF(Elan!$C$13:$F$25,Tablas!E1880)+COUNTIF(Elan!$U$13:$X$25,Tablas!E1880)</f>
        <v>0</v>
      </c>
      <c r="K1880" s="589">
        <f>IF(J1880&gt;0,1,0)</f>
        <v>0</v>
      </c>
      <c r="L1880" s="6043" t="s">
        <v>6755</v>
      </c>
      <c r="M1880" s="6043"/>
      <c r="N1880" s="6043"/>
      <c r="O1880" s="6043"/>
      <c r="P1880" s="6043"/>
      <c r="Q1880" s="6044"/>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042"/>
      <c r="E1881" s="964" t="s">
        <v>6512</v>
      </c>
      <c r="F1881" s="589"/>
      <c r="G1881" s="589">
        <v>90</v>
      </c>
      <c r="H1881" s="589">
        <f>IF(J1876,1,0)</f>
        <v>0</v>
      </c>
      <c r="I1881" s="589">
        <v>15</v>
      </c>
      <c r="J1881" s="589">
        <f>COUNTIF(Elan!$C$13:$F$25,Tablas!E1881)+COUNTIF(Elan!$U$13:$X$25,Tablas!E1881)</f>
        <v>0</v>
      </c>
      <c r="K1881" s="589"/>
      <c r="L1881" s="6043"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3"/>
      <c r="N1881" s="6043"/>
      <c r="O1881" s="6043"/>
      <c r="P1881" s="6043"/>
      <c r="Q1881" s="6044"/>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042"/>
      <c r="E1882" s="964" t="s">
        <v>6513</v>
      </c>
      <c r="F1882" s="589"/>
      <c r="G1882" s="589">
        <v>100</v>
      </c>
      <c r="H1882" s="589">
        <v>1</v>
      </c>
      <c r="I1882" s="589">
        <v>10</v>
      </c>
      <c r="J1882" s="589">
        <f>COUNTIF(Elan!$C$13:$F$25,Tablas!E1882)+COUNTIF(Elan!$U$13:$X$25,Tablas!E1882)</f>
        <v>0</v>
      </c>
      <c r="K1882" s="589"/>
      <c r="L1882" s="6043" t="s">
        <v>10375</v>
      </c>
      <c r="M1882" s="6043"/>
      <c r="N1882" s="6043"/>
      <c r="O1882" s="6043"/>
      <c r="P1882" s="6043"/>
      <c r="Q1882" s="6044"/>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042"/>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042"/>
      <c r="E1884" s="964" t="s">
        <v>6514</v>
      </c>
      <c r="F1884" s="589"/>
      <c r="G1884" s="589">
        <v>10</v>
      </c>
      <c r="H1884" s="589">
        <v>1</v>
      </c>
      <c r="I1884" s="589">
        <v>10</v>
      </c>
      <c r="J1884" s="589">
        <f>COUNTIF(Elan!$C$13:$F$25,Tablas!E1884)+COUNTIF(Elan!$U$13:$X$25,Tablas!E1884)</f>
        <v>0</v>
      </c>
      <c r="K1884" s="589"/>
      <c r="L1884" s="6043" t="s">
        <v>6756</v>
      </c>
      <c r="M1884" s="6043"/>
      <c r="N1884" s="6043"/>
      <c r="O1884" s="6043"/>
      <c r="P1884" s="6043"/>
      <c r="Q1884" s="6044"/>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042"/>
      <c r="E1885" s="964" t="s">
        <v>6515</v>
      </c>
      <c r="F1885" s="589"/>
      <c r="G1885" s="589">
        <v>20</v>
      </c>
      <c r="H1885" s="589">
        <v>1</v>
      </c>
      <c r="I1885" s="589">
        <v>5</v>
      </c>
      <c r="J1885" s="589">
        <f>COUNTIF(Elan!$C$13:$F$25,Tablas!E1885)+COUNTIF(Elan!$U$13:$X$25,Tablas!E1885)</f>
        <v>0</v>
      </c>
      <c r="K1885" s="589"/>
      <c r="L1885" s="6043" t="s">
        <v>6759</v>
      </c>
      <c r="M1885" s="6043"/>
      <c r="N1885" s="6043"/>
      <c r="O1885" s="6043"/>
      <c r="P1885" s="6043"/>
      <c r="Q1885" s="6044"/>
      <c r="R1885" s="967">
        <f>IF(OR($J1885=0,$J1885="Aprendida"),0,SUM($J$1765:$J1885))</f>
        <v>0</v>
      </c>
    </row>
    <row r="1886" spans="1:25" ht="12.75" customHeight="1" x14ac:dyDescent="0.2">
      <c r="A1886" s="227">
        <v>1886</v>
      </c>
      <c r="B1886" s="6042"/>
      <c r="E1886" s="964" t="s">
        <v>6516</v>
      </c>
      <c r="F1886" s="589"/>
      <c r="G1886" s="589">
        <v>30</v>
      </c>
      <c r="H1886" s="589">
        <v>1</v>
      </c>
      <c r="I1886" s="589">
        <v>10</v>
      </c>
      <c r="J1886" s="589">
        <f>COUNTIF(Elan!$C$13:$F$25,Tablas!E1886)+COUNTIF(Elan!$U$13:$X$25,Tablas!E1886)</f>
        <v>0</v>
      </c>
      <c r="K1886" s="589"/>
      <c r="L1886" s="6043"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3"/>
      <c r="N1886" s="6043"/>
      <c r="O1886" s="6043"/>
      <c r="P1886" s="6043"/>
      <c r="Q1886" s="6044"/>
      <c r="R1886" s="967">
        <f>IF(OR($J1886=0,$J1886="Aprendida"),0,SUM($J$1765:$J1886))</f>
        <v>0</v>
      </c>
    </row>
    <row r="1887" spans="1:25" ht="12.75" customHeight="1" x14ac:dyDescent="0.2">
      <c r="A1887" s="227">
        <v>1887</v>
      </c>
      <c r="B1887" s="6042"/>
      <c r="E1887" s="964" t="s">
        <v>6517</v>
      </c>
      <c r="F1887" s="589"/>
      <c r="G1887" s="589">
        <v>40</v>
      </c>
      <c r="H1887" s="589">
        <v>1</v>
      </c>
      <c r="I1887" s="589">
        <v>5</v>
      </c>
      <c r="J1887" s="589">
        <f>COUNTIF(Elan!$C$13:$F$25,Tablas!E1887)+COUNTIF(Elan!$U$13:$X$25,Tablas!E1887)</f>
        <v>0</v>
      </c>
      <c r="K1887" s="589"/>
      <c r="L1887" s="6043" t="s">
        <v>6764</v>
      </c>
      <c r="M1887" s="6043"/>
      <c r="N1887" s="6043"/>
      <c r="O1887" s="6043"/>
      <c r="P1887" s="6043"/>
      <c r="Q1887" s="6044"/>
      <c r="R1887" s="967">
        <f>IF(OR($J1887=0,$J1887="Aprendida"),0,SUM($J$1765:$J1887))</f>
        <v>0</v>
      </c>
    </row>
    <row r="1888" spans="1:25" ht="12.75" customHeight="1" x14ac:dyDescent="0.2">
      <c r="A1888" s="227">
        <v>1888</v>
      </c>
      <c r="B1888" s="6042"/>
      <c r="E1888" s="964" t="s">
        <v>6518</v>
      </c>
      <c r="F1888" s="589"/>
      <c r="G1888" s="589">
        <v>50</v>
      </c>
      <c r="H1888" s="589">
        <v>1</v>
      </c>
      <c r="I1888" s="589">
        <v>15</v>
      </c>
      <c r="J1888" s="589">
        <f>COUNTIF(Elan!$C$13:$F$25,Tablas!E1888)+COUNTIF(Elan!$U$13:$X$25,Tablas!E1888)</f>
        <v>0</v>
      </c>
      <c r="K1888" s="589"/>
      <c r="L1888" s="6043"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3"/>
      <c r="N1888" s="6043"/>
      <c r="O1888" s="6043"/>
      <c r="P1888" s="6043"/>
      <c r="Q1888" s="6044"/>
      <c r="R1888" s="967">
        <f>IF(OR($J1888=0,$J1888="Aprendida"),0,SUM($J$1765:$J1888))</f>
        <v>0</v>
      </c>
    </row>
    <row r="1889" spans="1:18" ht="12.75" customHeight="1" x14ac:dyDescent="0.2">
      <c r="A1889" s="227">
        <v>1889</v>
      </c>
      <c r="B1889" s="6042"/>
      <c r="E1889" s="964" t="s">
        <v>6519</v>
      </c>
      <c r="F1889" s="589"/>
      <c r="G1889" s="589">
        <v>60</v>
      </c>
      <c r="H1889" s="589">
        <f>IF(J1887,1,0)</f>
        <v>0</v>
      </c>
      <c r="I1889" s="589">
        <v>10</v>
      </c>
      <c r="J1889" s="589">
        <f>COUNTIF(Elan!$C$13:$F$25,Tablas!E1889)+COUNTIF(Elan!$U$13:$X$25,Tablas!E1889)</f>
        <v>0</v>
      </c>
      <c r="K1889" s="589">
        <f>2*J1889*F1883</f>
        <v>0</v>
      </c>
      <c r="L1889" s="6043" t="str">
        <f>"El PJ recibe "&amp;K1889&amp;" PDs para gastar en cualquier poder sobrenatural como si tuviera Gnosis 25."</f>
        <v>El PJ recibe 0 PDs para gastar en cualquier poder sobrenatural como si tuviera Gnosis 25.</v>
      </c>
      <c r="M1889" s="6043"/>
      <c r="N1889" s="6043"/>
      <c r="O1889" s="6043"/>
      <c r="P1889" s="6043"/>
      <c r="Q1889" s="6044"/>
      <c r="R1889" s="967">
        <f>IF(OR($J1889=0,$J1889="Aprendida"),0,SUM($J$1765:$J1889))</f>
        <v>0</v>
      </c>
    </row>
    <row r="1890" spans="1:18" ht="12.75" customHeight="1" x14ac:dyDescent="0.2">
      <c r="A1890" s="227">
        <v>1890</v>
      </c>
      <c r="B1890" s="6042"/>
      <c r="E1890" s="964" t="s">
        <v>6520</v>
      </c>
      <c r="F1890" s="589"/>
      <c r="G1890" s="589">
        <v>70</v>
      </c>
      <c r="H1890" s="589">
        <v>1</v>
      </c>
      <c r="I1890" s="589">
        <v>15</v>
      </c>
      <c r="J1890" s="589">
        <f>COUNTIF(Elan!$C$13:$F$25,Tablas!E1890)+COUNTIF(Elan!$U$13:$X$25,Tablas!E1890)</f>
        <v>0</v>
      </c>
      <c r="K1890" s="589"/>
      <c r="L1890" s="6043" t="s">
        <v>6767</v>
      </c>
      <c r="M1890" s="6043"/>
      <c r="N1890" s="6043"/>
      <c r="O1890" s="6043"/>
      <c r="P1890" s="6043"/>
      <c r="Q1890" s="6044"/>
      <c r="R1890" s="967">
        <f>IF(OR($J1890=0,$J1890="Aprendida"),0,SUM($J$1765:$J1890))</f>
        <v>0</v>
      </c>
    </row>
    <row r="1891" spans="1:18" ht="12.75" customHeight="1" x14ac:dyDescent="0.2">
      <c r="A1891" s="227">
        <v>1891</v>
      </c>
      <c r="B1891" s="6042"/>
      <c r="E1891" s="964" t="s">
        <v>6521</v>
      </c>
      <c r="F1891" s="589"/>
      <c r="G1891" s="589">
        <v>80</v>
      </c>
      <c r="H1891" s="589">
        <f>IF(J1887,1,0)</f>
        <v>0</v>
      </c>
      <c r="I1891" s="589">
        <v>10</v>
      </c>
      <c r="J1891" s="589">
        <f>COUNTIF(Elan!$C$13:$F$25,Tablas!E1891)+COUNTIF(Elan!$U$13:$X$25,Tablas!E1891)</f>
        <v>0</v>
      </c>
      <c r="K1891" s="589"/>
      <c r="L1891" s="6043" t="s">
        <v>6768</v>
      </c>
      <c r="M1891" s="6043"/>
      <c r="N1891" s="6043"/>
      <c r="O1891" s="6043"/>
      <c r="P1891" s="6043"/>
      <c r="Q1891" s="6044"/>
      <c r="R1891" s="967">
        <f>IF(OR($J1891=0,$J1891="Aprendida"),0,SUM($J$1765:$J1891))</f>
        <v>0</v>
      </c>
    </row>
    <row r="1892" spans="1:18" ht="12.75" customHeight="1" x14ac:dyDescent="0.2">
      <c r="A1892" s="227">
        <v>1892</v>
      </c>
      <c r="B1892" s="6042"/>
      <c r="E1892" s="964" t="s">
        <v>6522</v>
      </c>
      <c r="F1892" s="589"/>
      <c r="G1892" s="589">
        <v>80</v>
      </c>
      <c r="H1892" s="589">
        <v>1</v>
      </c>
      <c r="I1892" s="589">
        <v>15</v>
      </c>
      <c r="J1892" s="589">
        <f>COUNTIF(Elan!$C$13:$F$25,Tablas!E1892)+COUNTIF(Elan!$U$13:$X$25,Tablas!E1892)</f>
        <v>0</v>
      </c>
      <c r="K1892" s="589"/>
      <c r="L1892" s="6043" t="s">
        <v>6769</v>
      </c>
      <c r="M1892" s="6043"/>
      <c r="N1892" s="6043"/>
      <c r="O1892" s="6043"/>
      <c r="P1892" s="6043"/>
      <c r="Q1892" s="6044"/>
      <c r="R1892" s="967">
        <f>IF(OR($J1892=0,$J1892="Aprendida"),0,SUM($J$1765:$J1892))</f>
        <v>0</v>
      </c>
    </row>
    <row r="1893" spans="1:18" ht="12.75" customHeight="1" x14ac:dyDescent="0.2">
      <c r="A1893" s="227">
        <v>1893</v>
      </c>
      <c r="B1893" s="6042"/>
      <c r="E1893" s="964" t="s">
        <v>6523</v>
      </c>
      <c r="F1893" s="589"/>
      <c r="G1893" s="589">
        <v>90</v>
      </c>
      <c r="H1893" s="589">
        <v>1</v>
      </c>
      <c r="I1893" s="589">
        <v>15</v>
      </c>
      <c r="J1893" s="589">
        <f>COUNTIF(Elan!$C$13:$F$25,Tablas!E1893)+COUNTIF(Elan!$U$13:$X$25,Tablas!E1893)</f>
        <v>0</v>
      </c>
      <c r="K1893" s="589"/>
      <c r="L1893" s="6043" t="s">
        <v>10376</v>
      </c>
      <c r="M1893" s="6043"/>
      <c r="N1893" s="6043"/>
      <c r="O1893" s="6043"/>
      <c r="P1893" s="6043"/>
      <c r="Q1893" s="6044"/>
      <c r="R1893" s="967">
        <f>IF(OR($J1893=0,$J1893="Aprendida"),0,SUM($J$1765:$J1893))</f>
        <v>0</v>
      </c>
    </row>
    <row r="1894" spans="1:18" ht="12.75" customHeight="1" x14ac:dyDescent="0.2">
      <c r="A1894" s="227">
        <v>1894</v>
      </c>
      <c r="B1894" s="6042"/>
      <c r="E1894" s="964" t="s">
        <v>6524</v>
      </c>
      <c r="F1894" s="589"/>
      <c r="G1894" s="589">
        <v>100</v>
      </c>
      <c r="H1894" s="589">
        <v>1</v>
      </c>
      <c r="I1894" s="589">
        <v>10</v>
      </c>
      <c r="J1894" s="589">
        <f>COUNTIF(Elan!$C$13:$F$25,Tablas!E1894)+COUNTIF(Elan!$U$13:$X$25,Tablas!E1894)</f>
        <v>0</v>
      </c>
      <c r="K1894" s="589"/>
      <c r="L1894" s="6043" t="s">
        <v>10377</v>
      </c>
      <c r="M1894" s="6043"/>
      <c r="N1894" s="6043"/>
      <c r="O1894" s="6043"/>
      <c r="P1894" s="6043"/>
      <c r="Q1894" s="6044"/>
      <c r="R1894" s="967">
        <f>IF(OR($J1894=0,$J1894="Aprendida"),0,SUM($J$1765:$J1894))</f>
        <v>0</v>
      </c>
    </row>
    <row r="1895" spans="1:18" ht="12.75" customHeight="1" x14ac:dyDescent="0.2">
      <c r="A1895" s="227">
        <v>1895</v>
      </c>
      <c r="B1895" s="6042"/>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042"/>
      <c r="E1896" s="964" t="s">
        <v>6525</v>
      </c>
      <c r="F1896" s="589"/>
      <c r="G1896" s="589">
        <v>10</v>
      </c>
      <c r="H1896" s="589">
        <v>1</v>
      </c>
      <c r="I1896" s="589">
        <v>5</v>
      </c>
      <c r="J1896" s="589">
        <f>COUNTIF(Elan!$C$13:$F$25,Tablas!E1896)+COUNTIF(Elan!$U$13:$X$25,Tablas!E1896)</f>
        <v>0</v>
      </c>
      <c r="K1896" s="589">
        <f>F$1895*J1896</f>
        <v>0</v>
      </c>
      <c r="L1896" s="6043" t="str">
        <f>"Obtiene un bonificador especial a la habilidad secundaria Estilo de +"&amp;K1896&amp;"."</f>
        <v>Obtiene un bonificador especial a la habilidad secundaria Estilo de +0.</v>
      </c>
      <c r="M1896" s="6043"/>
      <c r="N1896" s="6043"/>
      <c r="O1896" s="6043"/>
      <c r="P1896" s="6043"/>
      <c r="Q1896" s="6044"/>
      <c r="R1896" s="967">
        <f>IF(OR($J1896=0,$J1896="Aprendida"),0,SUM($J$1765:$J1896))</f>
        <v>0</v>
      </c>
    </row>
    <row r="1897" spans="1:18" ht="12.75" customHeight="1" x14ac:dyDescent="0.2">
      <c r="A1897" s="227">
        <v>1897</v>
      </c>
      <c r="B1897" s="6042"/>
      <c r="E1897" s="964" t="s">
        <v>6526</v>
      </c>
      <c r="F1897" s="589"/>
      <c r="G1897" s="589">
        <v>20</v>
      </c>
      <c r="H1897" s="589">
        <v>1</v>
      </c>
      <c r="I1897" s="589">
        <v>10</v>
      </c>
      <c r="J1897" s="589">
        <f>COUNTIF(Elan!$C$13:$F$25,Tablas!E1897)+COUNTIF(Elan!$U$13:$X$25,Tablas!E1897)</f>
        <v>0</v>
      </c>
      <c r="K1897" s="589"/>
      <c r="L1897" s="6043" t="s">
        <v>6773</v>
      </c>
      <c r="M1897" s="6043"/>
      <c r="N1897" s="6043"/>
      <c r="O1897" s="6043"/>
      <c r="P1897" s="6043"/>
      <c r="Q1897" s="6044"/>
      <c r="R1897" s="967">
        <f>IF(OR($J1897=0,$J1897="Aprendida"),0,SUM($J$1765:$J1897))</f>
        <v>0</v>
      </c>
    </row>
    <row r="1898" spans="1:18" ht="12.75" customHeight="1" x14ac:dyDescent="0.2">
      <c r="A1898" s="227">
        <v>1898</v>
      </c>
      <c r="B1898" s="6042"/>
      <c r="E1898" s="964" t="s">
        <v>6527</v>
      </c>
      <c r="F1898" s="589"/>
      <c r="G1898" s="589">
        <v>30</v>
      </c>
      <c r="H1898" s="589">
        <v>1</v>
      </c>
      <c r="I1898" s="589">
        <v>10</v>
      </c>
      <c r="J1898" s="589">
        <f>COUNTIF(Elan!$C$13:$F$25,Tablas!E1898)+COUNTIF(Elan!$U$13:$X$25,Tablas!E1898)</f>
        <v>0</v>
      </c>
      <c r="K1898" s="589">
        <f>F$1895*J1898</f>
        <v>0</v>
      </c>
      <c r="L1898" s="6043" t="str">
        <f>"Obtiene un bonificador especial a la habilidad secundaria Ciencia de +"&amp;K1898&amp;"."</f>
        <v>Obtiene un bonificador especial a la habilidad secundaria Ciencia de +0.</v>
      </c>
      <c r="M1898" s="6043"/>
      <c r="N1898" s="6043"/>
      <c r="O1898" s="6043"/>
      <c r="P1898" s="6043"/>
      <c r="Q1898" s="6044"/>
      <c r="R1898" s="967">
        <f>IF(OR($J1898=0,$J1898="Aprendida"),0,SUM($J$1765:$J1898))</f>
        <v>0</v>
      </c>
    </row>
    <row r="1899" spans="1:18" ht="12.75" customHeight="1" x14ac:dyDescent="0.2">
      <c r="A1899" s="227">
        <v>1899</v>
      </c>
      <c r="B1899" s="6042"/>
      <c r="E1899" s="964" t="s">
        <v>6528</v>
      </c>
      <c r="F1899" s="589"/>
      <c r="G1899" s="589">
        <v>40</v>
      </c>
      <c r="H1899" s="589">
        <v>1</v>
      </c>
      <c r="I1899" s="589">
        <v>10</v>
      </c>
      <c r="J1899" s="589">
        <f>COUNTIF(Elan!$C$13:$F$25,Tablas!E1899)+COUNTIF(Elan!$U$13:$X$25,Tablas!E1899)</f>
        <v>0</v>
      </c>
      <c r="K1899" s="589"/>
      <c r="L1899" s="6043" t="s">
        <v>6780</v>
      </c>
      <c r="M1899" s="6043"/>
      <c r="N1899" s="6043"/>
      <c r="O1899" s="6043"/>
      <c r="P1899" s="6043"/>
      <c r="Q1899" s="6044"/>
      <c r="R1899" s="967">
        <f>IF(OR($J1899=0,$J1899="Aprendida"),0,SUM($J$1765:$J1899))</f>
        <v>0</v>
      </c>
    </row>
    <row r="1900" spans="1:18" ht="12.75" customHeight="1" x14ac:dyDescent="0.2">
      <c r="A1900" s="227">
        <v>1900</v>
      </c>
      <c r="B1900" s="6042"/>
      <c r="E1900" s="964" t="s">
        <v>6529</v>
      </c>
      <c r="F1900" s="589"/>
      <c r="G1900" s="589">
        <v>40</v>
      </c>
      <c r="H1900" s="589">
        <v>1</v>
      </c>
      <c r="I1900" s="589">
        <v>5</v>
      </c>
      <c r="J1900" s="589">
        <f>COUNTIF(Elan!$C$13:$F$25,Tablas!E1900)+COUNTIF(Elan!$U$13:$X$25,Tablas!E1900)</f>
        <v>0</v>
      </c>
      <c r="K1900" s="589"/>
      <c r="L1900" s="6043" t="s">
        <v>6783</v>
      </c>
      <c r="M1900" s="6043"/>
      <c r="N1900" s="6043"/>
      <c r="O1900" s="6043"/>
      <c r="P1900" s="6043"/>
      <c r="Q1900" s="6044"/>
      <c r="R1900" s="967">
        <f>IF(OR($J1900=0,$J1900="Aprendida"),0,SUM($J$1765:$J1900))</f>
        <v>0</v>
      </c>
    </row>
    <row r="1901" spans="1:18" ht="12.75" customHeight="1" x14ac:dyDescent="0.2">
      <c r="A1901" s="227">
        <v>1901</v>
      </c>
      <c r="B1901" s="6042"/>
      <c r="D1901" s="756"/>
      <c r="E1901" s="964" t="s">
        <v>6530</v>
      </c>
      <c r="F1901" s="589"/>
      <c r="G1901" s="589">
        <v>50</v>
      </c>
      <c r="H1901" s="589">
        <f>IF(J1902,1,0)</f>
        <v>0</v>
      </c>
      <c r="I1901" s="589">
        <v>15</v>
      </c>
      <c r="J1901" s="589">
        <f>COUNTIF(Elan!$C$13:$F$25,Tablas!E1901)+COUNTIF(Elan!$U$13:$X$25,Tablas!E1901)</f>
        <v>0</v>
      </c>
      <c r="K1901" s="589"/>
      <c r="L1901" s="6043" t="s">
        <v>6785</v>
      </c>
      <c r="M1901" s="6043"/>
      <c r="N1901" s="6043"/>
      <c r="O1901" s="6043"/>
      <c r="P1901" s="6043"/>
      <c r="Q1901" s="6044"/>
      <c r="R1901" s="967">
        <f>IF(OR($J1901=0,$J1901="Aprendida"),0,SUM($J$1765:$J1901))</f>
        <v>0</v>
      </c>
    </row>
    <row r="1902" spans="1:18" ht="12.75" customHeight="1" x14ac:dyDescent="0.2">
      <c r="A1902" s="227">
        <v>1902</v>
      </c>
      <c r="B1902" s="6042"/>
      <c r="E1902" s="964" t="s">
        <v>6531</v>
      </c>
      <c r="F1902" s="589"/>
      <c r="G1902" s="589">
        <v>50</v>
      </c>
      <c r="H1902" s="589">
        <v>1</v>
      </c>
      <c r="I1902" s="589">
        <v>5</v>
      </c>
      <c r="J1902" s="589">
        <f>COUNTIF(Elan!$C$13:$F$25,Tablas!E1902)+COUNTIF(Elan!$U$13:$X$25,Tablas!E1902)</f>
        <v>0</v>
      </c>
      <c r="K1902" s="589"/>
      <c r="L1902" s="6043" t="s">
        <v>6787</v>
      </c>
      <c r="M1902" s="6043"/>
      <c r="N1902" s="6043"/>
      <c r="O1902" s="6043"/>
      <c r="P1902" s="6043"/>
      <c r="Q1902" s="6044"/>
      <c r="R1902" s="967">
        <f>IF(OR($J1902=0,$J1902="Aprendida"),0,SUM($J$1765:$J1902))</f>
        <v>0</v>
      </c>
    </row>
    <row r="1903" spans="1:18" ht="12.75" customHeight="1" x14ac:dyDescent="0.2">
      <c r="A1903" s="227">
        <v>1903</v>
      </c>
      <c r="B1903" s="6042"/>
      <c r="E1903" s="964" t="s">
        <v>6532</v>
      </c>
      <c r="F1903" s="589"/>
      <c r="G1903" s="589">
        <v>60</v>
      </c>
      <c r="H1903" s="589">
        <v>1</v>
      </c>
      <c r="I1903" s="589">
        <v>10</v>
      </c>
      <c r="J1903" s="589">
        <f>COUNTIF(Elan!$C$13:$F$25,Tablas!E1903)+COUNTIF(Elan!$U$13:$X$25,Tablas!E1903)</f>
        <v>0</v>
      </c>
      <c r="K1903" s="589"/>
      <c r="L1903" s="6043" t="s">
        <v>10378</v>
      </c>
      <c r="M1903" s="6043"/>
      <c r="N1903" s="6043"/>
      <c r="O1903" s="6043"/>
      <c r="P1903" s="6043"/>
      <c r="Q1903" s="6044"/>
      <c r="R1903" s="967">
        <f>IF(OR($J1903=0,$J1903="Aprendida"),0,SUM($J$1765:$J1903))</f>
        <v>0</v>
      </c>
    </row>
    <row r="1904" spans="1:18" ht="12.75" customHeight="1" x14ac:dyDescent="0.2">
      <c r="A1904" s="227">
        <v>1904</v>
      </c>
      <c r="B1904" s="6042"/>
      <c r="E1904" s="964" t="s">
        <v>6533</v>
      </c>
      <c r="F1904" s="589"/>
      <c r="G1904" s="589">
        <v>70</v>
      </c>
      <c r="H1904" s="589">
        <v>1</v>
      </c>
      <c r="I1904" s="589">
        <v>20</v>
      </c>
      <c r="J1904" s="589">
        <f>COUNTIF(Elan!$C$13:$F$25,Tablas!E1904)+COUNTIF(Elan!$U$13:$X$25,Tablas!E1904)</f>
        <v>0</v>
      </c>
      <c r="K1904" s="589"/>
      <c r="L1904" s="6043" t="s">
        <v>6788</v>
      </c>
      <c r="M1904" s="6043"/>
      <c r="N1904" s="6043"/>
      <c r="O1904" s="6043"/>
      <c r="P1904" s="6043"/>
      <c r="Q1904" s="6044"/>
      <c r="R1904" s="967">
        <f>IF(OR($J1904=0,$J1904="Aprendida"),0,SUM($J$1765:$J1904))</f>
        <v>0</v>
      </c>
    </row>
    <row r="1905" spans="1:18" ht="12.75" customHeight="1" x14ac:dyDescent="0.2">
      <c r="A1905" s="227">
        <v>1905</v>
      </c>
      <c r="B1905" s="6042"/>
      <c r="E1905" s="964" t="s">
        <v>6534</v>
      </c>
      <c r="F1905" s="589"/>
      <c r="G1905" s="589">
        <v>70</v>
      </c>
      <c r="H1905" s="589">
        <v>1</v>
      </c>
      <c r="I1905" s="589">
        <v>10</v>
      </c>
      <c r="J1905" s="589">
        <f>COUNTIF(Elan!$C$13:$F$25,Tablas!E1905)+COUNTIF(Elan!$U$13:$X$25,Tablas!E1905)</f>
        <v>0</v>
      </c>
      <c r="K1905" s="589"/>
      <c r="L1905" s="6043" t="s">
        <v>10379</v>
      </c>
      <c r="M1905" s="6043"/>
      <c r="N1905" s="6043"/>
      <c r="O1905" s="6043"/>
      <c r="P1905" s="6043"/>
      <c r="Q1905" s="6044"/>
      <c r="R1905" s="967">
        <f>IF(OR($J1905=0,$J1905="Aprendida"),0,SUM($J$1765:$J1905))</f>
        <v>0</v>
      </c>
    </row>
    <row r="1906" spans="1:18" ht="12.75" customHeight="1" x14ac:dyDescent="0.2">
      <c r="A1906" s="227">
        <v>1906</v>
      </c>
      <c r="B1906" s="6042"/>
      <c r="E1906" s="964" t="s">
        <v>6535</v>
      </c>
      <c r="F1906" s="589"/>
      <c r="G1906" s="589">
        <v>80</v>
      </c>
      <c r="H1906" s="589">
        <f>IF(J1901,1,0)</f>
        <v>0</v>
      </c>
      <c r="I1906" s="589">
        <v>20</v>
      </c>
      <c r="J1906" s="589">
        <f>COUNTIF(Elan!$C$13:$F$25,Tablas!E1906)+COUNTIF(Elan!$U$13:$X$25,Tablas!E1906)</f>
        <v>0</v>
      </c>
      <c r="K1906" s="589"/>
      <c r="L1906" s="6043" t="s">
        <v>6789</v>
      </c>
      <c r="M1906" s="6043"/>
      <c r="N1906" s="6043"/>
      <c r="O1906" s="6043"/>
      <c r="P1906" s="6043"/>
      <c r="Q1906" s="6044"/>
      <c r="R1906" s="967">
        <f>IF(OR($J1906=0,$J1906="Aprendida"),0,SUM($J$1765:$J1906))</f>
        <v>0</v>
      </c>
    </row>
    <row r="1907" spans="1:18" ht="12.75" customHeight="1" x14ac:dyDescent="0.2">
      <c r="A1907" s="227">
        <v>1907</v>
      </c>
      <c r="B1907" s="6042"/>
      <c r="E1907" s="964" t="s">
        <v>471</v>
      </c>
      <c r="F1907" s="589"/>
      <c r="G1907" s="589">
        <v>90</v>
      </c>
      <c r="H1907" s="589">
        <f>IF(J1901,1,0)</f>
        <v>0</v>
      </c>
      <c r="I1907" s="589">
        <v>10</v>
      </c>
      <c r="J1907" s="589">
        <f>COUNTIF(Elan!$C$13:$F$25,Tablas!E1907)+COUNTIF(Elan!$U$13:$X$25,Tablas!E1907)</f>
        <v>0</v>
      </c>
      <c r="K1907" s="589"/>
      <c r="L1907" s="6043" t="s">
        <v>6790</v>
      </c>
      <c r="M1907" s="6043"/>
      <c r="N1907" s="6043"/>
      <c r="O1907" s="6043"/>
      <c r="P1907" s="6043"/>
      <c r="Q1907" s="6044"/>
      <c r="R1907" s="967">
        <f>IF(OR($J1907=0,$J1907="Aprendida"),0,SUM($J$1765:$J1907))</f>
        <v>0</v>
      </c>
    </row>
    <row r="1908" spans="1:18" ht="12.75" customHeight="1" x14ac:dyDescent="0.2">
      <c r="A1908" s="227">
        <v>1908</v>
      </c>
      <c r="B1908" s="6042"/>
      <c r="E1908" s="964" t="s">
        <v>6536</v>
      </c>
      <c r="F1908" s="589"/>
      <c r="G1908" s="589">
        <v>100</v>
      </c>
      <c r="H1908" s="589">
        <v>1</v>
      </c>
      <c r="I1908" s="589">
        <v>10</v>
      </c>
      <c r="J1908" s="589">
        <f>COUNTIF(Elan!$C$13:$F$25,Tablas!E1908)+COUNTIF(Elan!$U$13:$X$25,Tablas!E1908)</f>
        <v>0</v>
      </c>
      <c r="K1908" s="589"/>
      <c r="L1908" s="6043" t="s">
        <v>6791</v>
      </c>
      <c r="M1908" s="6043"/>
      <c r="N1908" s="6043"/>
      <c r="O1908" s="6043"/>
      <c r="P1908" s="6043"/>
      <c r="Q1908" s="6044"/>
      <c r="R1908" s="967">
        <f>IF(OR($J1908=0,$J1908="Aprendida"),0,SUM($J$1765:$J1908))</f>
        <v>0</v>
      </c>
    </row>
    <row r="1909" spans="1:18" ht="12.75" customHeight="1" x14ac:dyDescent="0.2">
      <c r="A1909" s="227">
        <v>1909</v>
      </c>
      <c r="B1909" s="6042"/>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042"/>
      <c r="E1910" s="964" t="s">
        <v>6537</v>
      </c>
      <c r="F1910" s="589"/>
      <c r="G1910" s="589">
        <v>10</v>
      </c>
      <c r="H1910" s="589">
        <v>1</v>
      </c>
      <c r="I1910" s="589">
        <v>10</v>
      </c>
      <c r="J1910" s="589">
        <f>COUNTIF(Elan!$C$13:$F$25,Tablas!E1910)+COUNTIF(Elan!$U$13:$X$25,Tablas!E1910)</f>
        <v>0</v>
      </c>
      <c r="K1910" s="589"/>
      <c r="L1910" s="6043" t="s">
        <v>6792</v>
      </c>
      <c r="M1910" s="6043"/>
      <c r="N1910" s="6043"/>
      <c r="O1910" s="6043"/>
      <c r="P1910" s="6043"/>
      <c r="Q1910" s="6044"/>
      <c r="R1910" s="967">
        <f>IF(OR($J1910=0,$J1910="Aprendida"),0,SUM($J$1765:$J1910))</f>
        <v>0</v>
      </c>
    </row>
    <row r="1911" spans="1:18" ht="12.75" customHeight="1" x14ac:dyDescent="0.2">
      <c r="A1911" s="227">
        <v>1911</v>
      </c>
      <c r="B1911" s="6042"/>
      <c r="E1911" s="964" t="s">
        <v>6538</v>
      </c>
      <c r="F1911" s="589"/>
      <c r="G1911" s="589">
        <v>20</v>
      </c>
      <c r="H1911" s="589">
        <v>1</v>
      </c>
      <c r="I1911" s="589">
        <v>5</v>
      </c>
      <c r="J1911" s="589">
        <f>COUNTIF(Elan!$C$13:$F$25,Tablas!E1911)+COUNTIF(Elan!$U$13:$X$25,Tablas!E1911)</f>
        <v>0</v>
      </c>
      <c r="K1911" s="589"/>
      <c r="L1911" s="6043"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3"/>
      <c r="N1911" s="6043"/>
      <c r="O1911" s="6043"/>
      <c r="P1911" s="6043"/>
      <c r="Q1911" s="6044"/>
      <c r="R1911" s="967">
        <f>IF(OR($J1911=0,$J1911="Aprendida"),0,SUM($J$1765:$J1911))</f>
        <v>0</v>
      </c>
    </row>
    <row r="1912" spans="1:18" ht="12.75" customHeight="1" x14ac:dyDescent="0.2">
      <c r="A1912" s="227">
        <v>1912</v>
      </c>
      <c r="B1912" s="6042"/>
      <c r="E1912" s="964" t="s">
        <v>495</v>
      </c>
      <c r="F1912" s="589"/>
      <c r="G1912" s="589">
        <v>30</v>
      </c>
      <c r="H1912" s="589">
        <v>1</v>
      </c>
      <c r="I1912" s="589">
        <v>5</v>
      </c>
      <c r="J1912" s="589">
        <f>COUNTIF(Elan!$C$13:$F$25,Tablas!E1912)+COUNTIF(Elan!$U$13:$X$25,Tablas!E1912)</f>
        <v>0</v>
      </c>
      <c r="K1912" s="589"/>
      <c r="L1912" s="6043" t="s">
        <v>6799</v>
      </c>
      <c r="M1912" s="6043"/>
      <c r="N1912" s="6043"/>
      <c r="O1912" s="6043"/>
      <c r="P1912" s="6043"/>
      <c r="Q1912" s="6044"/>
      <c r="R1912" s="967">
        <f>IF(OR($J1912=0,$J1912="Aprendida"),0,SUM($J$1765:$J1912))</f>
        <v>0</v>
      </c>
    </row>
    <row r="1913" spans="1:18" ht="12.75" customHeight="1" x14ac:dyDescent="0.2">
      <c r="A1913" s="227">
        <v>1913</v>
      </c>
      <c r="B1913" s="6042"/>
      <c r="E1913" s="964" t="s">
        <v>6539</v>
      </c>
      <c r="F1913" s="589"/>
      <c r="G1913" s="589">
        <v>40</v>
      </c>
      <c r="H1913" s="589">
        <v>1</v>
      </c>
      <c r="I1913" s="589">
        <v>10</v>
      </c>
      <c r="J1913" s="589">
        <f>COUNTIF(Elan!$C$13:$F$25,Tablas!E1913)+COUNTIF(Elan!$U$13:$X$25,Tablas!E1913)</f>
        <v>0</v>
      </c>
      <c r="K1913" s="589"/>
      <c r="L1913" s="6043"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3"/>
      <c r="N1913" s="6043"/>
      <c r="O1913" s="6043"/>
      <c r="P1913" s="6043"/>
      <c r="Q1913" s="6044"/>
      <c r="R1913" s="967">
        <f>IF(OR($J1913=0,$J1913="Aprendida"),0,SUM($J$1765:$J1913))</f>
        <v>0</v>
      </c>
    </row>
    <row r="1914" spans="1:18" ht="12.75" customHeight="1" x14ac:dyDescent="0.2">
      <c r="A1914" s="227">
        <v>1914</v>
      </c>
      <c r="B1914" s="6042"/>
      <c r="E1914" s="964" t="s">
        <v>6540</v>
      </c>
      <c r="F1914" s="589"/>
      <c r="G1914" s="589">
        <v>50</v>
      </c>
      <c r="H1914" s="589">
        <v>1</v>
      </c>
      <c r="I1914" s="589">
        <v>10</v>
      </c>
      <c r="J1914" s="589">
        <f>COUNTIF(Elan!$C$13:$F$25,Tablas!E1914)+COUNTIF(Elan!$U$13:$X$25,Tablas!E1914)</f>
        <v>0</v>
      </c>
      <c r="K1914" s="589"/>
      <c r="L1914" s="6043"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3"/>
      <c r="N1914" s="6043"/>
      <c r="O1914" s="6043"/>
      <c r="P1914" s="6043"/>
      <c r="Q1914" s="6044"/>
      <c r="R1914" s="967">
        <f>IF(OR($J1914=0,$J1914="Aprendida"),0,SUM($J$1765:$J1914))</f>
        <v>0</v>
      </c>
    </row>
    <row r="1915" spans="1:18" ht="12.75" customHeight="1" x14ac:dyDescent="0.2">
      <c r="A1915" s="227">
        <v>1915</v>
      </c>
      <c r="B1915" s="6042"/>
      <c r="E1915" s="964" t="s">
        <v>6541</v>
      </c>
      <c r="F1915" s="589"/>
      <c r="G1915" s="589">
        <v>50</v>
      </c>
      <c r="H1915" s="589">
        <v>1</v>
      </c>
      <c r="I1915" s="589">
        <v>15</v>
      </c>
      <c r="J1915" s="589">
        <f>COUNTIF(Elan!$C$13:$F$25,Tablas!E1915)+COUNTIF(Elan!$U$13:$X$25,Tablas!E1915)</f>
        <v>0</v>
      </c>
      <c r="K1915" s="589"/>
      <c r="L1915" s="6043" t="str">
        <f>"El PJ obtiene "&amp;F1909*2&amp;" PDs con los que podrá elegir cualquier poder sobrenatural como si tuviera Gnosis 25."</f>
        <v>El PJ obtiene 0 PDs con los que podrá elegir cualquier poder sobrenatural como si tuviera Gnosis 25.</v>
      </c>
      <c r="M1915" s="6043"/>
      <c r="N1915" s="6043"/>
      <c r="O1915" s="6043"/>
      <c r="P1915" s="6043"/>
      <c r="Q1915" s="6044"/>
      <c r="R1915" s="967">
        <f>IF(OR($J1915=0,$J1915="Aprendida"),0,SUM($J$1765:$J1915))</f>
        <v>0</v>
      </c>
    </row>
    <row r="1916" spans="1:18" ht="12.75" customHeight="1" x14ac:dyDescent="0.2">
      <c r="A1916" s="227">
        <v>1916</v>
      </c>
      <c r="B1916" s="6042"/>
      <c r="E1916" s="964" t="s">
        <v>496</v>
      </c>
      <c r="F1916" s="589"/>
      <c r="G1916" s="589">
        <v>60</v>
      </c>
      <c r="H1916" s="589">
        <v>1</v>
      </c>
      <c r="I1916" s="589">
        <v>10</v>
      </c>
      <c r="J1916" s="589">
        <f>COUNTIF(Elan!$C$13:$F$25,Tablas!E1916)+COUNTIF(Elan!$U$13:$X$25,Tablas!E1916)</f>
        <v>0</v>
      </c>
      <c r="K1916" s="589"/>
      <c r="L1916" s="6043" t="s">
        <v>6805</v>
      </c>
      <c r="M1916" s="6043"/>
      <c r="N1916" s="6043"/>
      <c r="O1916" s="6043"/>
      <c r="P1916" s="6043"/>
      <c r="Q1916" s="6044"/>
      <c r="R1916" s="967">
        <f>IF(OR($J1916=0,$J1916="Aprendida"),0,SUM($J$1765:$J1916))</f>
        <v>0</v>
      </c>
    </row>
    <row r="1917" spans="1:18" ht="12.75" customHeight="1" x14ac:dyDescent="0.2">
      <c r="A1917" s="227">
        <v>1917</v>
      </c>
      <c r="B1917" s="6042"/>
      <c r="E1917" s="964" t="s">
        <v>6542</v>
      </c>
      <c r="F1917" s="589"/>
      <c r="G1917" s="589">
        <v>70</v>
      </c>
      <c r="H1917" s="589">
        <f>IF(J1914,1,0)</f>
        <v>0</v>
      </c>
      <c r="I1917" s="589">
        <v>15</v>
      </c>
      <c r="J1917" s="589">
        <f>COUNTIF(Elan!$C$13:$F$25,Tablas!E1917)+COUNTIF(Elan!$U$13:$X$25,Tablas!E1917)</f>
        <v>0</v>
      </c>
      <c r="K1917" s="589"/>
      <c r="L1917" s="6043" t="s">
        <v>6806</v>
      </c>
      <c r="M1917" s="6043"/>
      <c r="N1917" s="6043"/>
      <c r="O1917" s="6043"/>
      <c r="P1917" s="6043"/>
      <c r="Q1917" s="6044"/>
      <c r="R1917" s="967">
        <f>IF(OR($J1917=0,$J1917="Aprendida"),0,SUM($J$1765:$J1917))</f>
        <v>0</v>
      </c>
    </row>
    <row r="1918" spans="1:18" ht="12.75" customHeight="1" x14ac:dyDescent="0.2">
      <c r="A1918" s="227">
        <v>1918</v>
      </c>
      <c r="B1918" s="6042"/>
      <c r="E1918" s="964" t="s">
        <v>6543</v>
      </c>
      <c r="F1918" s="589"/>
      <c r="G1918" s="589">
        <v>80</v>
      </c>
      <c r="H1918" s="589">
        <v>1</v>
      </c>
      <c r="I1918" s="589">
        <v>15</v>
      </c>
      <c r="J1918" s="589">
        <f>COUNTIF(Elan!$C$13:$F$25,Tablas!E1918)+COUNTIF(Elan!$U$13:$X$25,Tablas!E1918)</f>
        <v>0</v>
      </c>
      <c r="K1918" s="589"/>
      <c r="L1918" s="6043"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3"/>
      <c r="N1918" s="6043"/>
      <c r="O1918" s="6043"/>
      <c r="P1918" s="6043"/>
      <c r="Q1918" s="6044"/>
      <c r="R1918" s="967">
        <f>IF(OR($J1918=0,$J1918="Aprendida"),0,SUM($J$1765:$J1918))</f>
        <v>0</v>
      </c>
    </row>
    <row r="1919" spans="1:18" ht="12.75" customHeight="1" x14ac:dyDescent="0.2">
      <c r="A1919" s="227">
        <v>1919</v>
      </c>
      <c r="B1919" s="6042"/>
      <c r="E1919" s="964" t="s">
        <v>6544</v>
      </c>
      <c r="F1919" s="589"/>
      <c r="G1919" s="589">
        <v>90</v>
      </c>
      <c r="H1919" s="589">
        <v>1</v>
      </c>
      <c r="I1919" s="589">
        <v>15</v>
      </c>
      <c r="J1919" s="589">
        <f>COUNTIF(Elan!$C$13:$F$25,Tablas!E1919)+COUNTIF(Elan!$U$13:$X$25,Tablas!E1919)</f>
        <v>0</v>
      </c>
      <c r="K1919" s="589"/>
      <c r="L1919" s="6043"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3"/>
      <c r="N1919" s="6043"/>
      <c r="O1919" s="6043"/>
      <c r="P1919" s="6043"/>
      <c r="Q1919" s="6044"/>
      <c r="R1919" s="967">
        <f>IF(OR($J1919=0,$J1919="Aprendida"),0,SUM($J$1765:$J1919))</f>
        <v>0</v>
      </c>
    </row>
    <row r="1920" spans="1:18" ht="12.75" customHeight="1" x14ac:dyDescent="0.2">
      <c r="A1920" s="227">
        <v>1920</v>
      </c>
      <c r="B1920" s="6042"/>
      <c r="E1920" s="964" t="s">
        <v>6545</v>
      </c>
      <c r="F1920" s="589"/>
      <c r="G1920" s="589">
        <v>100</v>
      </c>
      <c r="H1920" s="589">
        <f>IF(J1916,1,0)</f>
        <v>0</v>
      </c>
      <c r="I1920" s="589">
        <v>10</v>
      </c>
      <c r="J1920" s="589">
        <f>COUNTIF(Elan!$C$13:$F$25,Tablas!E1920)+COUNTIF(Elan!$U$13:$X$25,Tablas!E1920)</f>
        <v>0</v>
      </c>
      <c r="K1920" s="589"/>
      <c r="L1920" s="6043" t="s">
        <v>6807</v>
      </c>
      <c r="M1920" s="6043"/>
      <c r="N1920" s="6043"/>
      <c r="O1920" s="6043"/>
      <c r="P1920" s="6043"/>
      <c r="Q1920" s="6044"/>
      <c r="R1920" s="967">
        <f>IF(OR($J1920=0,$J1920="Aprendida"),0,SUM($J$1765:$J1920))</f>
        <v>0</v>
      </c>
    </row>
    <row r="1921" spans="1:18" ht="12.75" customHeight="1" x14ac:dyDescent="0.2">
      <c r="A1921" s="227">
        <v>1921</v>
      </c>
      <c r="B1921" s="6042"/>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042"/>
      <c r="E1922" s="964" t="s">
        <v>6546</v>
      </c>
      <c r="F1922" s="589"/>
      <c r="G1922" s="589">
        <v>10</v>
      </c>
      <c r="H1922" s="589">
        <v>1</v>
      </c>
      <c r="I1922" s="589">
        <v>5</v>
      </c>
      <c r="J1922" s="589">
        <f>COUNTIF(Elan!$C$13:$F$25,Tablas!E1922)+COUNTIF(Elan!$U$13:$X$25,Tablas!E1922)</f>
        <v>0</v>
      </c>
      <c r="K1922" s="589"/>
      <c r="L1922" s="6043" t="s">
        <v>6808</v>
      </c>
      <c r="M1922" s="6043"/>
      <c r="N1922" s="6043"/>
      <c r="O1922" s="6043"/>
      <c r="P1922" s="6043"/>
      <c r="Q1922" s="6044"/>
      <c r="R1922" s="967">
        <f>IF(OR($J1922=0,$J1922="Aprendida"),0,SUM($J$1765:$J1922))</f>
        <v>0</v>
      </c>
    </row>
    <row r="1923" spans="1:18" ht="12.75" customHeight="1" x14ac:dyDescent="0.2">
      <c r="A1923" s="227">
        <v>1923</v>
      </c>
      <c r="B1923" s="6042"/>
      <c r="E1923" s="964" t="s">
        <v>6547</v>
      </c>
      <c r="F1923" s="589"/>
      <c r="G1923" s="589">
        <v>20</v>
      </c>
      <c r="H1923" s="589">
        <v>1</v>
      </c>
      <c r="I1923" s="589">
        <v>5</v>
      </c>
      <c r="J1923" s="589">
        <f>COUNTIF(Elan!$C$13:$F$25,Tablas!E1923)+COUNTIF(Elan!$U$13:$X$25,Tablas!E1923)</f>
        <v>0</v>
      </c>
      <c r="K1923" s="589"/>
      <c r="L1923" s="6043" t="s">
        <v>6812</v>
      </c>
      <c r="M1923" s="6043"/>
      <c r="N1923" s="6043"/>
      <c r="O1923" s="6043"/>
      <c r="P1923" s="6043"/>
      <c r="Q1923" s="6044"/>
      <c r="R1923" s="967">
        <f>IF(OR($J1923=0,$J1923="Aprendida"),0,SUM($J$1765:$J1923))</f>
        <v>0</v>
      </c>
    </row>
    <row r="1924" spans="1:18" ht="12.75" customHeight="1" x14ac:dyDescent="0.2">
      <c r="A1924" s="227">
        <v>1924</v>
      </c>
      <c r="B1924" s="6042"/>
      <c r="E1924" s="964" t="s">
        <v>6548</v>
      </c>
      <c r="F1924" s="589"/>
      <c r="G1924" s="589">
        <v>30</v>
      </c>
      <c r="H1924" s="589">
        <v>1</v>
      </c>
      <c r="I1924" s="589">
        <v>5</v>
      </c>
      <c r="J1924" s="589">
        <f>COUNTIF(Elan!$C$13:$F$25,Tablas!E1924)+COUNTIF(Elan!$U$13:$X$25,Tablas!E1924)</f>
        <v>0</v>
      </c>
      <c r="K1924" s="589">
        <f>F1921*J1924</f>
        <v>0</v>
      </c>
      <c r="L1924" s="6043" t="str">
        <f>"Obtiene un bonificador especial a la habilidad secundaria Persuasión (Seducción) de +"&amp;F1921&amp;"."</f>
        <v>Obtiene un bonificador especial a la habilidad secundaria Persuasión (Seducción) de +0.</v>
      </c>
      <c r="M1924" s="6043"/>
      <c r="N1924" s="6043"/>
      <c r="O1924" s="6043"/>
      <c r="P1924" s="6043"/>
      <c r="Q1924" s="6044"/>
      <c r="R1924" s="967">
        <f>IF(OR($J1924=0,$J1924="Aprendida"),0,SUM($J$1765:$J1924))</f>
        <v>0</v>
      </c>
    </row>
    <row r="1925" spans="1:18" ht="12.75" customHeight="1" x14ac:dyDescent="0.2">
      <c r="A1925" s="227">
        <v>1925</v>
      </c>
      <c r="B1925" s="6042"/>
      <c r="E1925" s="964" t="s">
        <v>6549</v>
      </c>
      <c r="F1925" s="589"/>
      <c r="G1925" s="589">
        <v>40</v>
      </c>
      <c r="H1925" s="589">
        <v>1</v>
      </c>
      <c r="I1925" s="589">
        <v>10</v>
      </c>
      <c r="J1925" s="589">
        <f>COUNTIF(Elan!$C$13:$F$25,Tablas!E1925)+COUNTIF(Elan!$U$13:$X$25,Tablas!E1925)</f>
        <v>0</v>
      </c>
      <c r="K1925" s="589"/>
      <c r="L1925" s="6043" t="s">
        <v>6818</v>
      </c>
      <c r="M1925" s="6043"/>
      <c r="N1925" s="6043"/>
      <c r="O1925" s="6043"/>
      <c r="P1925" s="6043"/>
      <c r="Q1925" s="6044"/>
      <c r="R1925" s="967">
        <f>IF(OR($J1925=0,$J1925="Aprendida"),0,SUM($J$1765:$J1925))</f>
        <v>0</v>
      </c>
    </row>
    <row r="1926" spans="1:18" ht="12.75" customHeight="1" x14ac:dyDescent="0.2">
      <c r="A1926" s="227">
        <v>1926</v>
      </c>
      <c r="B1926" s="6042"/>
      <c r="E1926" s="964" t="s">
        <v>8305</v>
      </c>
      <c r="F1926" s="589"/>
      <c r="G1926" s="589">
        <v>50</v>
      </c>
      <c r="H1926" s="589">
        <v>1</v>
      </c>
      <c r="I1926" s="589">
        <v>10</v>
      </c>
      <c r="J1926" s="589">
        <f>COUNTIF(Elan!$C$13:$F$25,Tablas!E1926)+COUNTIF(Elan!$U$13:$X$25,Tablas!E1926)</f>
        <v>0</v>
      </c>
      <c r="K1926" s="589"/>
      <c r="L1926" s="6043"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3"/>
      <c r="N1926" s="6043"/>
      <c r="O1926" s="6043"/>
      <c r="P1926" s="6043"/>
      <c r="Q1926" s="6044"/>
      <c r="R1926" s="967">
        <f>IF(OR($J1926=0,$J1926="Aprendida"),0,SUM($J$1765:$J1926))</f>
        <v>0</v>
      </c>
    </row>
    <row r="1927" spans="1:18" ht="12.75" customHeight="1" x14ac:dyDescent="0.2">
      <c r="A1927" s="227">
        <v>1927</v>
      </c>
      <c r="B1927" s="6042"/>
      <c r="E1927" s="964" t="s">
        <v>6550</v>
      </c>
      <c r="F1927" s="589"/>
      <c r="G1927" s="589">
        <v>60</v>
      </c>
      <c r="H1927" s="589">
        <v>1</v>
      </c>
      <c r="I1927" s="589">
        <v>10</v>
      </c>
      <c r="J1927" s="589">
        <f>COUNTIF(Elan!$C$13:$F$25,Tablas!E1927)+COUNTIF(Elan!$U$13:$X$25,Tablas!E1927)</f>
        <v>0</v>
      </c>
      <c r="K1927" s="589"/>
      <c r="L1927" s="6043" t="s">
        <v>6822</v>
      </c>
      <c r="M1927" s="6043"/>
      <c r="N1927" s="6043"/>
      <c r="O1927" s="6043"/>
      <c r="P1927" s="6043"/>
      <c r="Q1927" s="6044"/>
      <c r="R1927" s="967">
        <f>IF(OR($J1927=0,$J1927="Aprendida"),0,SUM($J$1765:$J1927))</f>
        <v>0</v>
      </c>
    </row>
    <row r="1928" spans="1:18" ht="12.75" customHeight="1" x14ac:dyDescent="0.2">
      <c r="A1928" s="227">
        <v>1928</v>
      </c>
      <c r="B1928" s="6042"/>
      <c r="E1928" s="964" t="s">
        <v>6551</v>
      </c>
      <c r="F1928" s="589"/>
      <c r="G1928" s="589">
        <v>60</v>
      </c>
      <c r="H1928" s="589">
        <v>1</v>
      </c>
      <c r="I1928" s="589">
        <v>15</v>
      </c>
      <c r="J1928" s="589">
        <f>COUNTIF(Elan!$C$13:$F$25,Tablas!E1928)+COUNTIF(Elan!$U$13:$X$25,Tablas!E1928)</f>
        <v>0</v>
      </c>
      <c r="K1928" s="589"/>
      <c r="L1928" s="6043"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3"/>
      <c r="N1928" s="6043"/>
      <c r="O1928" s="6043"/>
      <c r="P1928" s="6043"/>
      <c r="Q1928" s="6044"/>
      <c r="R1928" s="967">
        <f>IF(OR($J1928=0,$J1928="Aprendida"),0,SUM($J$1765:$J1928))</f>
        <v>0</v>
      </c>
    </row>
    <row r="1929" spans="1:18" ht="12.75" customHeight="1" x14ac:dyDescent="0.2">
      <c r="A1929" s="227">
        <v>1929</v>
      </c>
      <c r="B1929" s="6042"/>
      <c r="E1929" s="964" t="s">
        <v>6552</v>
      </c>
      <c r="F1929" s="589"/>
      <c r="G1929" s="589">
        <v>70</v>
      </c>
      <c r="H1929" s="589">
        <f>IF(J1927,1,0)</f>
        <v>0</v>
      </c>
      <c r="I1929" s="589">
        <v>15</v>
      </c>
      <c r="J1929" s="589">
        <f>COUNTIF(Elan!$C$13:$F$25,Tablas!E1929)+COUNTIF(Elan!$U$13:$X$25,Tablas!E1929)</f>
        <v>0</v>
      </c>
      <c r="K1929" s="589"/>
      <c r="L1929" s="6043"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3"/>
      <c r="N1929" s="6043"/>
      <c r="O1929" s="6043"/>
      <c r="P1929" s="6043"/>
      <c r="Q1929" s="6044"/>
      <c r="R1929" s="967">
        <f>IF(OR($J1929=0,$J1929="Aprendida"),0,SUM($J$1765:$J1929))</f>
        <v>0</v>
      </c>
    </row>
    <row r="1930" spans="1:18" ht="12.75" customHeight="1" x14ac:dyDescent="0.2">
      <c r="A1930" s="227">
        <v>1930</v>
      </c>
      <c r="B1930" s="6042"/>
      <c r="E1930" s="964" t="s">
        <v>6553</v>
      </c>
      <c r="F1930" s="589"/>
      <c r="G1930" s="589">
        <v>80</v>
      </c>
      <c r="H1930" s="589">
        <v>1</v>
      </c>
      <c r="I1930" s="589">
        <v>15</v>
      </c>
      <c r="J1930" s="589">
        <f>COUNTIF(Elan!$C$13:$F$25,Tablas!E1930)+COUNTIF(Elan!$U$13:$X$25,Tablas!E1930)</f>
        <v>0</v>
      </c>
      <c r="K1930" s="589"/>
      <c r="L1930" s="6043" t="s">
        <v>6823</v>
      </c>
      <c r="M1930" s="6043"/>
      <c r="N1930" s="6043"/>
      <c r="O1930" s="6043"/>
      <c r="P1930" s="6043"/>
      <c r="Q1930" s="6044"/>
      <c r="R1930" s="967">
        <f>IF(OR($J1930=0,$J1930="Aprendida"),0,SUM($J$1765:$J1930))</f>
        <v>0</v>
      </c>
    </row>
    <row r="1931" spans="1:18" ht="12.75" customHeight="1" x14ac:dyDescent="0.2">
      <c r="A1931" s="227">
        <v>1931</v>
      </c>
      <c r="B1931" s="6042"/>
      <c r="E1931" s="964" t="s">
        <v>6554</v>
      </c>
      <c r="F1931" s="589"/>
      <c r="G1931" s="589">
        <v>90</v>
      </c>
      <c r="H1931" s="589">
        <v>1</v>
      </c>
      <c r="I1931" s="589">
        <v>25</v>
      </c>
      <c r="J1931" s="589">
        <f>COUNTIF(Elan!$C$13:$F$25,Tablas!E1931)+COUNTIF(Elan!$U$13:$X$25,Tablas!E1931)</f>
        <v>0</v>
      </c>
      <c r="K1931" s="589"/>
      <c r="L1931" s="6043"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3"/>
      <c r="N1931" s="6043"/>
      <c r="O1931" s="6043"/>
      <c r="P1931" s="6043"/>
      <c r="Q1931" s="6044"/>
      <c r="R1931" s="967">
        <f>IF(OR($J1931=0,$J1931="Aprendida"),0,SUM($J$1765:$J1931))</f>
        <v>0</v>
      </c>
    </row>
    <row r="1932" spans="1:18" ht="12.75" customHeight="1" x14ac:dyDescent="0.2">
      <c r="A1932" s="227">
        <v>1932</v>
      </c>
      <c r="B1932" s="6042"/>
      <c r="E1932" s="964" t="s">
        <v>6555</v>
      </c>
      <c r="F1932" s="589"/>
      <c r="G1932" s="589">
        <v>100</v>
      </c>
      <c r="H1932" s="589">
        <v>1</v>
      </c>
      <c r="I1932" s="589">
        <v>10</v>
      </c>
      <c r="J1932" s="589">
        <f>COUNTIF(Elan!$C$13:$F$25,Tablas!E1932)+COUNTIF(Elan!$U$13:$X$25,Tablas!E1932)</f>
        <v>0</v>
      </c>
      <c r="K1932" s="589"/>
      <c r="L1932" s="6043" t="s">
        <v>6824</v>
      </c>
      <c r="M1932" s="6043"/>
      <c r="N1932" s="6043"/>
      <c r="O1932" s="6043"/>
      <c r="P1932" s="6043"/>
      <c r="Q1932" s="6044"/>
      <c r="R1932" s="967">
        <f>IF(OR($J1932=0,$J1932="Aprendida"),0,SUM($J$1765:$J1932))</f>
        <v>0</v>
      </c>
    </row>
    <row r="1933" spans="1:18" ht="12.75" customHeight="1" x14ac:dyDescent="0.2">
      <c r="A1933" s="227">
        <v>1933</v>
      </c>
      <c r="B1933" s="6042"/>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042"/>
      <c r="E1934" s="964" t="s">
        <v>6556</v>
      </c>
      <c r="F1934" s="589"/>
      <c r="G1934" s="589">
        <v>10</v>
      </c>
      <c r="H1934" s="589">
        <v>1</v>
      </c>
      <c r="I1934" s="589">
        <v>5</v>
      </c>
      <c r="J1934" s="589">
        <f>COUNTIF(Elan!$C$13:$F$25,Tablas!E1934)+COUNTIF(Elan!$U$13:$X$25,Tablas!E1934)</f>
        <v>0</v>
      </c>
      <c r="K1934" s="589">
        <f>F1933*J1934</f>
        <v>0</v>
      </c>
      <c r="L1934" s="6043" t="str">
        <f>"Obtiene un bonificador especial a las habilidades secundarias Frialdad y Resistir el dolor de +"&amp;K1934&amp;"."</f>
        <v>Obtiene un bonificador especial a las habilidades secundarias Frialdad y Resistir el dolor de +0.</v>
      </c>
      <c r="M1934" s="6043"/>
      <c r="N1934" s="6043"/>
      <c r="O1934" s="6043"/>
      <c r="P1934" s="6043"/>
      <c r="Q1934" s="6044"/>
      <c r="R1934" s="967">
        <f>IF(OR($J1934=0,$J1934="Aprendida"),0,SUM($J$1765:$J1934))</f>
        <v>0</v>
      </c>
    </row>
    <row r="1935" spans="1:18" ht="12.75" customHeight="1" x14ac:dyDescent="0.2">
      <c r="A1935" s="227">
        <v>1935</v>
      </c>
      <c r="B1935" s="6042"/>
      <c r="E1935" s="964" t="s">
        <v>6557</v>
      </c>
      <c r="F1935" s="589"/>
      <c r="G1935" s="589">
        <v>20</v>
      </c>
      <c r="H1935" s="589">
        <v>1</v>
      </c>
      <c r="I1935" s="589">
        <v>5</v>
      </c>
      <c r="J1935" s="589">
        <f>COUNTIF(Elan!$C$13:$F$25,Tablas!E1935)+COUNTIF(Elan!$U$13:$X$25,Tablas!E1935)</f>
        <v>0</v>
      </c>
      <c r="K1935" s="589"/>
      <c r="L1935" s="6043" t="s">
        <v>6828</v>
      </c>
      <c r="M1935" s="6043"/>
      <c r="N1935" s="6043"/>
      <c r="O1935" s="6043"/>
      <c r="P1935" s="6043"/>
      <c r="Q1935" s="6044"/>
      <c r="R1935" s="967">
        <f>IF(OR($J1935=0,$J1935="Aprendida"),0,SUM($J$1765:$J1935))</f>
        <v>0</v>
      </c>
    </row>
    <row r="1936" spans="1:18" ht="12.75" customHeight="1" x14ac:dyDescent="0.2">
      <c r="A1936" s="227">
        <v>1936</v>
      </c>
      <c r="B1936" s="6042"/>
      <c r="E1936" s="964" t="s">
        <v>6558</v>
      </c>
      <c r="F1936" s="589"/>
      <c r="G1936" s="589">
        <v>30</v>
      </c>
      <c r="H1936" s="589">
        <v>1</v>
      </c>
      <c r="I1936" s="589">
        <v>10</v>
      </c>
      <c r="J1936" s="589">
        <f>COUNTIF(Elan!$C$13:$F$25,Tablas!E1936)+COUNTIF(Elan!$U$13:$X$25,Tablas!E1936)</f>
        <v>0</v>
      </c>
      <c r="K1936" s="589"/>
      <c r="L1936" s="6043" t="s">
        <v>6832</v>
      </c>
      <c r="M1936" s="6043"/>
      <c r="N1936" s="6043"/>
      <c r="O1936" s="6043"/>
      <c r="P1936" s="6043"/>
      <c r="Q1936" s="6044"/>
      <c r="R1936" s="967">
        <f>IF(OR($J1936=0,$J1936="Aprendida"),0,SUM($J$1765:$J1936))</f>
        <v>0</v>
      </c>
    </row>
    <row r="1937" spans="1:18" ht="12.75" customHeight="1" x14ac:dyDescent="0.2">
      <c r="A1937" s="227">
        <v>1937</v>
      </c>
      <c r="B1937" s="6042"/>
      <c r="E1937" s="964" t="s">
        <v>6559</v>
      </c>
      <c r="F1937" s="589"/>
      <c r="G1937" s="589">
        <v>30</v>
      </c>
      <c r="H1937" s="589">
        <v>1</v>
      </c>
      <c r="I1937" s="589">
        <v>5</v>
      </c>
      <c r="J1937" s="589">
        <f>COUNTIF(Elan!$C$13:$F$25,Tablas!E1937)+COUNTIF(Elan!$U$13:$X$25,Tablas!E1937)</f>
        <v>0</v>
      </c>
      <c r="K1937" s="589"/>
      <c r="L1937" s="6043" t="s">
        <v>6834</v>
      </c>
      <c r="M1937" s="6043"/>
      <c r="N1937" s="6043"/>
      <c r="O1937" s="6043"/>
      <c r="P1937" s="6043"/>
      <c r="Q1937" s="6044"/>
      <c r="R1937" s="967">
        <f>IF(OR($J1937=0,$J1937="Aprendida"),0,SUM($J$1765:$J1937))</f>
        <v>0</v>
      </c>
    </row>
    <row r="1938" spans="1:18" ht="12.75" customHeight="1" x14ac:dyDescent="0.2">
      <c r="A1938" s="227">
        <v>1938</v>
      </c>
      <c r="B1938" s="6042"/>
      <c r="E1938" s="964" t="s">
        <v>6560</v>
      </c>
      <c r="F1938" s="589"/>
      <c r="G1938" s="589">
        <v>40</v>
      </c>
      <c r="H1938" s="589">
        <v>1</v>
      </c>
      <c r="I1938" s="589">
        <v>10</v>
      </c>
      <c r="J1938" s="589">
        <f>COUNTIF(Elan!$C$13:$F$25,Tablas!E1938)+COUNTIF(Elan!$U$13:$X$25,Tablas!E1938)</f>
        <v>0</v>
      </c>
      <c r="K1938" s="589"/>
      <c r="L1938" s="6043"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3"/>
      <c r="N1938" s="6043"/>
      <c r="O1938" s="6043"/>
      <c r="P1938" s="6043"/>
      <c r="Q1938" s="6044"/>
      <c r="R1938" s="967">
        <f>IF(OR($J1938=0,$J1938="Aprendida"),0,SUM($J$1765:$J1938))</f>
        <v>0</v>
      </c>
    </row>
    <row r="1939" spans="1:18" ht="12.75" customHeight="1" x14ac:dyDescent="0.2">
      <c r="A1939" s="227">
        <v>1939</v>
      </c>
      <c r="B1939" s="6042"/>
      <c r="E1939" s="964" t="s">
        <v>6561</v>
      </c>
      <c r="F1939" s="589"/>
      <c r="G1939" s="589">
        <v>40</v>
      </c>
      <c r="H1939" s="589">
        <v>1</v>
      </c>
      <c r="I1939" s="589">
        <v>10</v>
      </c>
      <c r="J1939" s="589">
        <f>COUNTIF(Elan!$C$13:$F$25,Tablas!E1939)+COUNTIF(Elan!$U$13:$X$25,Tablas!E1939)</f>
        <v>0</v>
      </c>
      <c r="K1939" s="589"/>
      <c r="L1939" s="6043"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3"/>
      <c r="N1939" s="6043"/>
      <c r="O1939" s="6043"/>
      <c r="P1939" s="6043"/>
      <c r="Q1939" s="6044"/>
      <c r="R1939" s="967">
        <f>IF(OR($J1939=0,$J1939="Aprendida"),0,SUM($J$1765:$J1939))</f>
        <v>0</v>
      </c>
    </row>
    <row r="1940" spans="1:18" ht="12.75" customHeight="1" x14ac:dyDescent="0.2">
      <c r="A1940" s="227">
        <v>1940</v>
      </c>
      <c r="B1940" s="6042"/>
      <c r="E1940" s="964" t="s">
        <v>6562</v>
      </c>
      <c r="F1940" s="589"/>
      <c r="G1940" s="589">
        <v>50</v>
      </c>
      <c r="H1940" s="589">
        <v>1</v>
      </c>
      <c r="I1940" s="589">
        <v>10</v>
      </c>
      <c r="J1940" s="589">
        <f>COUNTIF(Elan!$C$13:$F$25,Tablas!E1940)+COUNTIF(Elan!$U$13:$X$25,Tablas!E1940)</f>
        <v>0</v>
      </c>
      <c r="K1940" s="589"/>
      <c r="L1940" s="6043" t="s">
        <v>10380</v>
      </c>
      <c r="M1940" s="6043"/>
      <c r="N1940" s="6043"/>
      <c r="O1940" s="6043"/>
      <c r="P1940" s="6043"/>
      <c r="Q1940" s="6044"/>
      <c r="R1940" s="967">
        <f>IF(OR($J1940=0,$J1940="Aprendida"),0,SUM($J$1765:$J1940))</f>
        <v>0</v>
      </c>
    </row>
    <row r="1941" spans="1:18" ht="12.75" customHeight="1" x14ac:dyDescent="0.2">
      <c r="A1941" s="227">
        <v>1941</v>
      </c>
      <c r="B1941" s="6042"/>
      <c r="E1941" s="964" t="s">
        <v>6563</v>
      </c>
      <c r="F1941" s="589"/>
      <c r="G1941" s="589">
        <v>60</v>
      </c>
      <c r="H1941" s="589">
        <v>1</v>
      </c>
      <c r="I1941" s="589">
        <v>10</v>
      </c>
      <c r="J1941" s="589">
        <f>COUNTIF(Elan!$C$13:$F$25,Tablas!E1941)+COUNTIF(Elan!$U$13:$X$25,Tablas!E1941)</f>
        <v>0</v>
      </c>
      <c r="K1941" s="589"/>
      <c r="L1941" s="6043" t="s">
        <v>6835</v>
      </c>
      <c r="M1941" s="6043"/>
      <c r="N1941" s="6043"/>
      <c r="O1941" s="6043"/>
      <c r="P1941" s="6043"/>
      <c r="Q1941" s="6044"/>
      <c r="R1941" s="967">
        <f>IF(OR($J1941=0,$J1941="Aprendida"),0,SUM($J$1765:$J1941))</f>
        <v>0</v>
      </c>
    </row>
    <row r="1942" spans="1:18" ht="12.75" customHeight="1" x14ac:dyDescent="0.2">
      <c r="A1942" s="227">
        <v>1942</v>
      </c>
      <c r="B1942" s="6042"/>
      <c r="E1942" s="964" t="s">
        <v>6564</v>
      </c>
      <c r="F1942" s="589"/>
      <c r="G1942" s="589">
        <v>60</v>
      </c>
      <c r="H1942" s="589">
        <f>IF(J1938,1,0)</f>
        <v>0</v>
      </c>
      <c r="I1942" s="589">
        <v>15</v>
      </c>
      <c r="J1942" s="589">
        <f>COUNTIF(Elan!$C$13:$F$25,Tablas!E1942)+COUNTIF(Elan!$U$13:$X$25,Tablas!E1942)</f>
        <v>0</v>
      </c>
      <c r="K1942" s="589"/>
      <c r="L1942" s="6043"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3"/>
      <c r="N1942" s="6043"/>
      <c r="O1942" s="6043"/>
      <c r="P1942" s="6043"/>
      <c r="Q1942" s="6044"/>
      <c r="R1942" s="967">
        <f>IF(OR($J1942=0,$J1942="Aprendida"),0,SUM($J$1765:$J1942))</f>
        <v>0</v>
      </c>
    </row>
    <row r="1943" spans="1:18" ht="12.75" customHeight="1" x14ac:dyDescent="0.2">
      <c r="A1943" s="227">
        <v>1943</v>
      </c>
      <c r="B1943" s="6042"/>
      <c r="E1943" s="964" t="s">
        <v>6565</v>
      </c>
      <c r="F1943" s="589"/>
      <c r="G1943" s="589">
        <v>70</v>
      </c>
      <c r="H1943" s="589">
        <v>1</v>
      </c>
      <c r="I1943" s="589">
        <v>10</v>
      </c>
      <c r="J1943" s="589">
        <f>COUNTIF(Elan!$C$13:$F$25,Tablas!E1943)+COUNTIF(Elan!$U$13:$X$25,Tablas!E1943)</f>
        <v>0</v>
      </c>
      <c r="K1943" s="589"/>
      <c r="L1943" s="6043" t="s">
        <v>10381</v>
      </c>
      <c r="M1943" s="6043"/>
      <c r="N1943" s="6043"/>
      <c r="O1943" s="6043"/>
      <c r="P1943" s="6043"/>
      <c r="Q1943" s="6044"/>
      <c r="R1943" s="967">
        <f>IF(OR($J1943=0,$J1943="Aprendida"),0,SUM($J$1765:$J1943))</f>
        <v>0</v>
      </c>
    </row>
    <row r="1944" spans="1:18" ht="12.75" customHeight="1" x14ac:dyDescent="0.2">
      <c r="A1944" s="227">
        <v>1944</v>
      </c>
      <c r="B1944" s="6042"/>
      <c r="E1944" s="964" t="s">
        <v>6566</v>
      </c>
      <c r="F1944" s="589"/>
      <c r="G1944" s="589">
        <v>80</v>
      </c>
      <c r="H1944" s="589">
        <f>IF(J1941,1,0)</f>
        <v>0</v>
      </c>
      <c r="I1944" s="589">
        <v>10</v>
      </c>
      <c r="J1944" s="589">
        <f>COUNTIF(Elan!$C$13:$F$25,Tablas!E1944)+COUNTIF(Elan!$U$13:$X$25,Tablas!E1944)</f>
        <v>0</v>
      </c>
      <c r="K1944" s="589"/>
      <c r="L1944" s="6043" t="s">
        <v>6836</v>
      </c>
      <c r="M1944" s="6043"/>
      <c r="N1944" s="6043"/>
      <c r="O1944" s="6043"/>
      <c r="P1944" s="6043"/>
      <c r="Q1944" s="6044"/>
      <c r="R1944" s="967">
        <f>IF(OR($J1944=0,$J1944="Aprendida"),0,SUM($J$1765:$J1944))</f>
        <v>0</v>
      </c>
    </row>
    <row r="1945" spans="1:18" ht="12.75" customHeight="1" x14ac:dyDescent="0.2">
      <c r="A1945" s="227">
        <v>1945</v>
      </c>
      <c r="B1945" s="6042"/>
      <c r="E1945" s="964" t="s">
        <v>6567</v>
      </c>
      <c r="F1945" s="589"/>
      <c r="G1945" s="589">
        <v>90</v>
      </c>
      <c r="H1945" s="589">
        <v>1</v>
      </c>
      <c r="I1945" s="589">
        <v>15</v>
      </c>
      <c r="J1945" s="589">
        <f>COUNTIF(Elan!$C$13:$F$25,Tablas!E1945)+COUNTIF(Elan!$U$13:$X$25,Tablas!E1945)</f>
        <v>0</v>
      </c>
      <c r="K1945" s="589"/>
      <c r="L1945" s="6043" t="s">
        <v>10382</v>
      </c>
      <c r="M1945" s="6043"/>
      <c r="N1945" s="6043"/>
      <c r="O1945" s="6043"/>
      <c r="P1945" s="6043"/>
      <c r="Q1945" s="6044"/>
      <c r="R1945" s="967">
        <f>IF(OR($J1945=0,$J1945="Aprendida"),0,SUM($J$1765:$J1945))</f>
        <v>0</v>
      </c>
    </row>
    <row r="1946" spans="1:18" ht="12.75" customHeight="1" thickBot="1" x14ac:dyDescent="0.25">
      <c r="A1946" s="227">
        <v>1946</v>
      </c>
      <c r="B1946" s="6042"/>
      <c r="E1946" s="964" t="s">
        <v>6568</v>
      </c>
      <c r="F1946" s="592"/>
      <c r="G1946" s="592">
        <v>100</v>
      </c>
      <c r="H1946" s="592">
        <f>IF(J1940,1,0)</f>
        <v>0</v>
      </c>
      <c r="I1946" s="592">
        <v>10</v>
      </c>
      <c r="J1946" s="592">
        <f>COUNTIF(Elan!$C$13:$F$25,Tablas!E1946)+COUNTIF(Elan!$U$13:$X$25,Tablas!E1946)</f>
        <v>0</v>
      </c>
      <c r="K1946" s="592"/>
      <c r="L1946" s="6043" t="s">
        <v>6837</v>
      </c>
      <c r="M1946" s="6043"/>
      <c r="N1946" s="6043"/>
      <c r="O1946" s="6043"/>
      <c r="P1946" s="6043"/>
      <c r="Q1946" s="6044"/>
      <c r="R1946" s="967">
        <f>IF(OR($J1946=0,$J1946="Aprendida"),0,SUM($J$1765:$J1946))</f>
        <v>0</v>
      </c>
    </row>
    <row r="1947" spans="1:18" ht="12.75" customHeight="1" x14ac:dyDescent="0.2">
      <c r="A1947" s="227">
        <v>1947</v>
      </c>
      <c r="B1947" s="6042"/>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042"/>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43">
        <f>IF(E1948="Poder no definido",0,VLOOKUP(E1948,Personalización!$D$95:$Q$110,6,FALSE))</f>
        <v>0</v>
      </c>
      <c r="M1948" s="6043"/>
      <c r="N1948" s="6043"/>
      <c r="O1948" s="6043"/>
      <c r="P1948" s="6043"/>
      <c r="Q1948" s="6044"/>
      <c r="R1948" s="967">
        <f>IF(OR($J1948=0,$J1948="Aprendida"),0,SUM($J$1765:$J1948))</f>
        <v>0</v>
      </c>
    </row>
    <row r="1949" spans="1:18" ht="12.75" customHeight="1" x14ac:dyDescent="0.2">
      <c r="A1949" s="227">
        <v>1949</v>
      </c>
      <c r="B1949" s="6042"/>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43">
        <f>IF(E1949="Poder no definido",0,VLOOKUP(E1949,Personalización!$D$95:$Q$110,6,FALSE))</f>
        <v>0</v>
      </c>
      <c r="M1949" s="6043"/>
      <c r="N1949" s="6043"/>
      <c r="O1949" s="6043"/>
      <c r="P1949" s="6043"/>
      <c r="Q1949" s="6044"/>
      <c r="R1949" s="967">
        <f>IF(OR($J1949=0,$J1949="Aprendida"),0,SUM($J$1765:$J1949))</f>
        <v>0</v>
      </c>
    </row>
    <row r="1950" spans="1:18" ht="12.75" customHeight="1" x14ac:dyDescent="0.2">
      <c r="A1950" s="227">
        <v>1950</v>
      </c>
      <c r="B1950" s="6042"/>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43">
        <f>IF(E1950="Poder no definido",0,VLOOKUP(E1950,Personalización!$D$95:$Q$110,6,FALSE))</f>
        <v>0</v>
      </c>
      <c r="M1950" s="6043"/>
      <c r="N1950" s="6043"/>
      <c r="O1950" s="6043"/>
      <c r="P1950" s="6043"/>
      <c r="Q1950" s="6044"/>
      <c r="R1950" s="967">
        <f>IF(OR($J1950=0,$J1950="Aprendida"),0,SUM($J$1765:$J1950))</f>
        <v>0</v>
      </c>
    </row>
    <row r="1951" spans="1:18" ht="12.75" customHeight="1" x14ac:dyDescent="0.2">
      <c r="A1951" s="227">
        <v>1951</v>
      </c>
      <c r="B1951" s="6042"/>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43">
        <f>IF(E1951="Poder no definido",0,VLOOKUP(E1951,Personalización!$D$95:$Q$110,6,FALSE))</f>
        <v>0</v>
      </c>
      <c r="M1951" s="6043"/>
      <c r="N1951" s="6043"/>
      <c r="O1951" s="6043"/>
      <c r="P1951" s="6043"/>
      <c r="Q1951" s="6044"/>
      <c r="R1951" s="967">
        <f>IF(OR($J1951=0,$J1951="Aprendida"),0,SUM($J$1765:$J1951))</f>
        <v>0</v>
      </c>
    </row>
    <row r="1952" spans="1:18" ht="12.75" customHeight="1" x14ac:dyDescent="0.2">
      <c r="A1952" s="227">
        <v>1952</v>
      </c>
      <c r="B1952" s="6042"/>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43">
        <f>IF(E1952="Poder no definido",0,VLOOKUP(E1952,Personalización!$D$95:$Q$110,6,FALSE))</f>
        <v>0</v>
      </c>
      <c r="M1952" s="6043"/>
      <c r="N1952" s="6043"/>
      <c r="O1952" s="6043"/>
      <c r="P1952" s="6043"/>
      <c r="Q1952" s="6044"/>
      <c r="R1952" s="967">
        <f>IF(OR($J1952=0,$J1952="Aprendida"),0,SUM($J$1765:$J1952))</f>
        <v>0</v>
      </c>
    </row>
    <row r="1953" spans="1:33" ht="12.75" customHeight="1" x14ac:dyDescent="0.2">
      <c r="A1953" s="227">
        <v>1953</v>
      </c>
      <c r="B1953" s="6042"/>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43">
        <f>IF(E1953="Poder no definido",0,VLOOKUP(E1953,Personalización!$D$95:$Q$110,6,FALSE))</f>
        <v>0</v>
      </c>
      <c r="M1953" s="6043"/>
      <c r="N1953" s="6043"/>
      <c r="O1953" s="6043"/>
      <c r="P1953" s="6043"/>
      <c r="Q1953" s="6044"/>
      <c r="R1953" s="967">
        <f>IF(OR($J1953=0,$J1953="Aprendida"),0,SUM($J$1765:$J1953))</f>
        <v>0</v>
      </c>
    </row>
    <row r="1954" spans="1:33" ht="12.75" customHeight="1" x14ac:dyDescent="0.2">
      <c r="A1954" s="227">
        <v>1954</v>
      </c>
      <c r="B1954" s="6042"/>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43">
        <f>IF(E1954="Poder no definido",0,VLOOKUP(E1954,Personalización!$D$95:$Q$110,6,FALSE))</f>
        <v>0</v>
      </c>
      <c r="M1954" s="6043"/>
      <c r="N1954" s="6043"/>
      <c r="O1954" s="6043"/>
      <c r="P1954" s="6043"/>
      <c r="Q1954" s="6044"/>
      <c r="R1954" s="967">
        <f>IF(OR($J1954=0,$J1954="Aprendida"),0,SUM($J$1765:$J1954))</f>
        <v>0</v>
      </c>
    </row>
    <row r="1955" spans="1:33" ht="12.75" customHeight="1" x14ac:dyDescent="0.2">
      <c r="A1955" s="227">
        <v>1955</v>
      </c>
      <c r="B1955" s="6042"/>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43">
        <f>IF(E1955="Poder no definido",0,VLOOKUP(E1955,Personalización!$D$95:$Q$110,6,FALSE))</f>
        <v>0</v>
      </c>
      <c r="M1955" s="6043"/>
      <c r="N1955" s="6043"/>
      <c r="O1955" s="6043"/>
      <c r="P1955" s="6043"/>
      <c r="Q1955" s="6044"/>
      <c r="R1955" s="967">
        <f>IF(OR($J1955=0,$J1955="Aprendida"),0,SUM($J$1765:$J1955))</f>
        <v>0</v>
      </c>
    </row>
    <row r="1956" spans="1:33" ht="12.75" customHeight="1" x14ac:dyDescent="0.2">
      <c r="A1956" s="227">
        <v>1956</v>
      </c>
      <c r="B1956" s="6042"/>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43">
        <f>IF(E1956="Poder no definido",0,VLOOKUP(E1956,Personalización!$D$95:$Q$110,6,FALSE))</f>
        <v>0</v>
      </c>
      <c r="M1956" s="6043"/>
      <c r="N1956" s="6043"/>
      <c r="O1956" s="6043"/>
      <c r="P1956" s="6043"/>
      <c r="Q1956" s="6044"/>
      <c r="R1956" s="967">
        <f>IF(OR($J1956=0,$J1956="Aprendida"),0,SUM($J$1765:$J1956))</f>
        <v>0</v>
      </c>
    </row>
    <row r="1957" spans="1:33" ht="12.75" customHeight="1" x14ac:dyDescent="0.2">
      <c r="A1957" s="227">
        <v>1957</v>
      </c>
      <c r="B1957" s="6042"/>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43">
        <f>IF(E1957="Poder no definido",0,VLOOKUP(E1957,Personalización!$D$95:$Q$110,6,FALSE))</f>
        <v>0</v>
      </c>
      <c r="M1957" s="6043"/>
      <c r="N1957" s="6043"/>
      <c r="O1957" s="6043"/>
      <c r="P1957" s="6043"/>
      <c r="Q1957" s="6044"/>
      <c r="R1957" s="967">
        <f>IF(OR($J1957=0,$J1957="Aprendida"),0,SUM($J$1765:$J1957))</f>
        <v>0</v>
      </c>
    </row>
    <row r="1958" spans="1:33" ht="12.75" customHeight="1" x14ac:dyDescent="0.2">
      <c r="A1958" s="227">
        <v>1958</v>
      </c>
      <c r="B1958" s="6042"/>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43">
        <f>IF(E1958="Poder no definido",0,VLOOKUP(E1958,Personalización!$D$95:$Q$110,6,FALSE))</f>
        <v>0</v>
      </c>
      <c r="M1958" s="6043"/>
      <c r="N1958" s="6043"/>
      <c r="O1958" s="6043"/>
      <c r="P1958" s="6043"/>
      <c r="Q1958" s="6044"/>
      <c r="R1958" s="967">
        <f>IF(OR($J1958=0,$J1958="Aprendida"),0,SUM($J$1765:$J1958))</f>
        <v>0</v>
      </c>
    </row>
    <row r="1959" spans="1:33" ht="12.75" customHeight="1" x14ac:dyDescent="0.2">
      <c r="A1959" s="227">
        <v>1959</v>
      </c>
      <c r="B1959" s="6042"/>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43">
        <f>IF(E1959="Poder no definido",0,VLOOKUP(E1959,Personalización!$D$95:$Q$110,6,FALSE))</f>
        <v>0</v>
      </c>
      <c r="M1959" s="6043"/>
      <c r="N1959" s="6043"/>
      <c r="O1959" s="6043"/>
      <c r="P1959" s="6043"/>
      <c r="Q1959" s="6044"/>
      <c r="R1959" s="967">
        <f>IF(OR($J1959=0,$J1959="Aprendida"),0,SUM($J$1765:$J1959))</f>
        <v>0</v>
      </c>
    </row>
    <row r="1960" spans="1:33" ht="12.75" customHeight="1" x14ac:dyDescent="0.2">
      <c r="A1960" s="227">
        <v>1960</v>
      </c>
      <c r="B1960" s="6042"/>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43">
        <f>IF(E1960="Poder no definido",0,VLOOKUP(E1960,Personalización!$D$95:$Q$110,6,FALSE))</f>
        <v>0</v>
      </c>
      <c r="M1960" s="6043"/>
      <c r="N1960" s="6043"/>
      <c r="O1960" s="6043"/>
      <c r="P1960" s="6043"/>
      <c r="Q1960" s="6044"/>
      <c r="R1960" s="967">
        <f>IF(OR($J1960=0,$J1960="Aprendida"),0,SUM($J$1765:$J1960))</f>
        <v>0</v>
      </c>
    </row>
    <row r="1961" spans="1:33" ht="12.75" customHeight="1" x14ac:dyDescent="0.2">
      <c r="A1961" s="227">
        <v>1961</v>
      </c>
      <c r="B1961" s="6042"/>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43">
        <f>IF(E1961="Poder no definido",0,VLOOKUP(E1961,Personalización!$D$95:$Q$110,6,FALSE))</f>
        <v>0</v>
      </c>
      <c r="M1961" s="6043"/>
      <c r="N1961" s="6043"/>
      <c r="O1961" s="6043"/>
      <c r="P1961" s="6043"/>
      <c r="Q1961" s="6044"/>
      <c r="R1961" s="967">
        <f>IF(OR($J1961=0,$J1961="Aprendida"),0,SUM($J$1765:$J1961))</f>
        <v>0</v>
      </c>
    </row>
    <row r="1962" spans="1:33" ht="12.75" customHeight="1" x14ac:dyDescent="0.2">
      <c r="A1962" s="227">
        <v>1962</v>
      </c>
      <c r="B1962" s="6042"/>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43">
        <f>IF(E1962="Poder no definido",0,VLOOKUP(E1962,Personalización!$D$95:$Q$110,6,FALSE))</f>
        <v>0</v>
      </c>
      <c r="M1962" s="6043"/>
      <c r="N1962" s="6043"/>
      <c r="O1962" s="6043"/>
      <c r="P1962" s="6043"/>
      <c r="Q1962" s="6044"/>
      <c r="R1962" s="967">
        <f>IF(OR($J1962=0,$J1962="Aprendida"),0,SUM($J$1765:$J1962))</f>
        <v>0</v>
      </c>
    </row>
    <row r="1963" spans="1:33" ht="12.75" customHeight="1" thickBot="1" x14ac:dyDescent="0.25">
      <c r="A1963" s="227">
        <v>1963</v>
      </c>
      <c r="B1963" s="6042"/>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339">
        <f>IF(E1963="Poder no definido",0,VLOOKUP(E1963,Personalización!$D$95:$Q$110,6,FALSE))</f>
        <v>0</v>
      </c>
      <c r="M1963" s="6339"/>
      <c r="N1963" s="6339"/>
      <c r="O1963" s="6339"/>
      <c r="P1963" s="6339"/>
      <c r="Q1963" s="6340"/>
      <c r="R1963" s="1374">
        <f>IF(OR($J1963=0,$J1963="Aprendida"),0,SUM($J$1765:$J1963))</f>
        <v>0</v>
      </c>
    </row>
    <row r="1964" spans="1:33" ht="12.75" customHeight="1" x14ac:dyDescent="0.2">
      <c r="A1964" s="227">
        <v>1964</v>
      </c>
      <c r="B1964" s="6042"/>
      <c r="H1964"/>
      <c r="I1964" s="555"/>
      <c r="N1964"/>
      <c r="O1964" s="555"/>
    </row>
    <row r="1965" spans="1:33" ht="12.75" customHeight="1" x14ac:dyDescent="0.2">
      <c r="A1965" s="227">
        <v>1965</v>
      </c>
      <c r="B1965" s="6042"/>
      <c r="C1965" s="6059" t="s">
        <v>7312</v>
      </c>
      <c r="D1965" s="6059"/>
      <c r="E1965" s="6059"/>
      <c r="F1965" s="6059"/>
      <c r="G1965" s="6059"/>
      <c r="H1965" s="6059"/>
      <c r="I1965" s="6059"/>
      <c r="J1965" s="6059"/>
      <c r="K1965" s="6059"/>
      <c r="L1965" s="6059"/>
      <c r="M1965" s="6059"/>
      <c r="N1965" s="6059"/>
      <c r="O1965" s="6059"/>
      <c r="P1965" s="6059"/>
      <c r="Q1965" s="6059"/>
      <c r="R1965" s="6059"/>
      <c r="S1965" s="6059"/>
      <c r="T1965" s="6059"/>
      <c r="U1965" s="6059"/>
      <c r="V1965" s="6059"/>
      <c r="W1965" s="6059"/>
      <c r="X1965" s="6059"/>
      <c r="Y1965" s="6059"/>
      <c r="Z1965" s="6059"/>
      <c r="AA1965" s="6059"/>
      <c r="AB1965" s="6059"/>
      <c r="AC1965" s="6059"/>
      <c r="AD1965" s="6059"/>
      <c r="AE1965" s="6059"/>
      <c r="AF1965" s="6059"/>
      <c r="AG1965" s="6059"/>
    </row>
    <row r="1966" spans="1:33" ht="12.75" customHeight="1" x14ac:dyDescent="0.2">
      <c r="A1966" s="227">
        <v>1966</v>
      </c>
      <c r="B1966" s="6042"/>
      <c r="C1966" s="6059"/>
      <c r="D1966" s="6059"/>
      <c r="E1966" s="6059"/>
      <c r="F1966" s="6059"/>
      <c r="G1966" s="6059"/>
      <c r="H1966" s="6059"/>
      <c r="I1966" s="6059"/>
      <c r="J1966" s="6059"/>
      <c r="K1966" s="6059"/>
      <c r="L1966" s="6059"/>
      <c r="M1966" s="6059"/>
      <c r="N1966" s="6059"/>
      <c r="O1966" s="6059"/>
      <c r="P1966" s="6059"/>
      <c r="Q1966" s="6059"/>
      <c r="R1966" s="6059"/>
      <c r="S1966" s="6059"/>
      <c r="T1966" s="6059"/>
      <c r="U1966" s="6059"/>
      <c r="V1966" s="6059"/>
      <c r="W1966" s="6059"/>
      <c r="X1966" s="6059"/>
      <c r="Y1966" s="6059"/>
      <c r="Z1966" s="6059"/>
      <c r="AA1966" s="6059"/>
      <c r="AB1966" s="6059"/>
      <c r="AC1966" s="6059"/>
      <c r="AD1966" s="6059"/>
      <c r="AE1966" s="6059"/>
      <c r="AF1966" s="6059"/>
      <c r="AG1966" s="6059"/>
    </row>
    <row r="1967" spans="1:33" ht="12.75" customHeight="1" x14ac:dyDescent="0.2">
      <c r="A1967" s="227">
        <v>1967</v>
      </c>
      <c r="B1967" s="6042"/>
      <c r="C1967" s="6059"/>
      <c r="D1967" s="6059"/>
      <c r="E1967" s="6059"/>
      <c r="F1967" s="6059"/>
      <c r="G1967" s="6059"/>
      <c r="H1967" s="6059"/>
      <c r="I1967" s="6059"/>
      <c r="J1967" s="6059"/>
      <c r="K1967" s="6059"/>
      <c r="L1967" s="6059"/>
      <c r="M1967" s="6059"/>
      <c r="N1967" s="6059"/>
      <c r="O1967" s="6059"/>
      <c r="P1967" s="6059"/>
      <c r="Q1967" s="6059"/>
      <c r="R1967" s="6059"/>
      <c r="S1967" s="6059"/>
      <c r="T1967" s="6059"/>
      <c r="U1967" s="6059"/>
      <c r="V1967" s="6059"/>
      <c r="W1967" s="6059"/>
      <c r="X1967" s="6059"/>
      <c r="Y1967" s="6059"/>
      <c r="Z1967" s="6059"/>
      <c r="AA1967" s="6059"/>
      <c r="AB1967" s="6059"/>
      <c r="AC1967" s="6059"/>
      <c r="AD1967" s="6059"/>
      <c r="AE1967" s="6059"/>
      <c r="AF1967" s="6059"/>
      <c r="AG1967" s="6059"/>
    </row>
    <row r="1968" spans="1:33" ht="12.75" customHeight="1" thickBot="1" x14ac:dyDescent="0.25">
      <c r="A1968" s="227">
        <v>1968</v>
      </c>
      <c r="B1968" s="6042"/>
      <c r="H1968"/>
      <c r="I1968" s="555"/>
      <c r="N1968"/>
      <c r="O1968" s="555"/>
    </row>
    <row r="1969" spans="1:34" ht="12.75" customHeight="1" thickBot="1" x14ac:dyDescent="0.25">
      <c r="A1969" s="227">
        <v>1969</v>
      </c>
      <c r="B1969" s="6042"/>
      <c r="C1969" s="6356" t="s">
        <v>642</v>
      </c>
      <c r="D1969" s="6357"/>
      <c r="E1969" s="6358"/>
      <c r="F1969" s="275"/>
      <c r="G1969" s="6375" t="s">
        <v>9667</v>
      </c>
      <c r="H1969" s="6376"/>
      <c r="I1969" s="6377"/>
      <c r="J1969" s="2334"/>
      <c r="K1969" s="3158" t="s">
        <v>644</v>
      </c>
      <c r="L1969" s="3159"/>
      <c r="M1969" s="3159"/>
      <c r="N1969" s="3160"/>
      <c r="O1969" s="6055" t="s">
        <v>8453</v>
      </c>
      <c r="P1969" s="6378" t="b">
        <f>PDs!AF126</f>
        <v>0</v>
      </c>
      <c r="Q1969" s="6379"/>
      <c r="R1969" s="6055" t="s">
        <v>10056</v>
      </c>
      <c r="S1969" s="6378" t="b">
        <f>Resumen!$AN$102="Sí"</f>
        <v>0</v>
      </c>
      <c r="T1969" s="6379"/>
      <c r="Y1969"/>
      <c r="Z1969"/>
      <c r="AA1969"/>
      <c r="AB1969"/>
    </row>
    <row r="1970" spans="1:34" ht="12.75" customHeight="1" thickBot="1" x14ac:dyDescent="0.25">
      <c r="A1970" s="227">
        <v>1970</v>
      </c>
      <c r="B1970" s="6042"/>
      <c r="C1970" s="6383"/>
      <c r="D1970" s="6384"/>
      <c r="E1970" s="6385"/>
      <c r="F1970" s="275"/>
      <c r="G1970" s="2338" t="s">
        <v>9670</v>
      </c>
      <c r="H1970" s="2339" t="s">
        <v>9668</v>
      </c>
      <c r="I1970" s="2340" t="s">
        <v>9669</v>
      </c>
      <c r="K1970" s="3252"/>
      <c r="L1970" s="3253"/>
      <c r="M1970" s="3253"/>
      <c r="N1970" s="3773"/>
      <c r="O1970" s="6056"/>
      <c r="P1970" s="6380"/>
      <c r="Q1970" s="6381"/>
      <c r="R1970" s="6056"/>
      <c r="S1970" s="6380"/>
      <c r="T1970" s="6381"/>
      <c r="Y1970"/>
      <c r="Z1970"/>
      <c r="AA1970"/>
      <c r="AB1970"/>
    </row>
    <row r="1971" spans="1:34" ht="12.75" customHeight="1" x14ac:dyDescent="0.2">
      <c r="A1971" s="227">
        <v>1971</v>
      </c>
      <c r="B1971" s="6042"/>
      <c r="C1971" s="278" t="str">
        <f>IF(UsodelKi,", "&amp;Ki!$K$10,"")</f>
        <v/>
      </c>
      <c r="D1971" s="46"/>
      <c r="E1971" s="2657"/>
      <c r="F1971" s="275"/>
      <c r="G1971" s="326">
        <f>COUNTIF($H$1971:H1971,H1971)</f>
        <v>1</v>
      </c>
      <c r="H1971" s="2335" t="str">
        <f>IF(Principal!C35&lt;&gt;"",Principal!C35,"")</f>
        <v/>
      </c>
      <c r="I1971" s="617" t="str">
        <f>IFERROR(VLOOKUP(H1971,$G$2033:$J$2038,G1971+1,0),H1971)</f>
        <v/>
      </c>
      <c r="K1971" s="6361" t="s">
        <v>6381</v>
      </c>
      <c r="L1971" s="6362"/>
      <c r="M1971" s="6362" t="s">
        <v>9594</v>
      </c>
      <c r="N1971" s="6365"/>
      <c r="O1971" s="6055" t="s">
        <v>6396</v>
      </c>
      <c r="P1971" s="6354" t="s">
        <v>1440</v>
      </c>
      <c r="Q1971" s="6354" t="s">
        <v>8450</v>
      </c>
      <c r="R1971" s="6354" t="s">
        <v>6379</v>
      </c>
      <c r="S1971" s="6354" t="s">
        <v>8459</v>
      </c>
      <c r="T1971" s="6354" t="s">
        <v>8455</v>
      </c>
      <c r="U1971" s="6354" t="s">
        <v>8456</v>
      </c>
      <c r="V1971" s="6354" t="s">
        <v>8454</v>
      </c>
      <c r="W1971" s="6354" t="s">
        <v>8451</v>
      </c>
      <c r="X1971" s="6354" t="s">
        <v>8458</v>
      </c>
      <c r="Y1971" s="6354" t="s">
        <v>8461</v>
      </c>
      <c r="Z1971" s="6354" t="s">
        <v>8457</v>
      </c>
      <c r="AA1971" s="6354" t="s">
        <v>8460</v>
      </c>
      <c r="AB1971" s="6354" t="s">
        <v>8452</v>
      </c>
      <c r="AC1971" s="6359" t="s">
        <v>6381</v>
      </c>
      <c r="AD1971" s="6360"/>
      <c r="AE1971" s="6109" t="s">
        <v>6398</v>
      </c>
      <c r="AF1971" s="6109" t="s">
        <v>1207</v>
      </c>
    </row>
    <row r="1972" spans="1:34" ht="12.75" customHeight="1" thickBot="1" x14ac:dyDescent="0.25">
      <c r="A1972" s="227">
        <v>1972</v>
      </c>
      <c r="B1972" s="6042"/>
      <c r="C1972" s="279" t="str">
        <f>IF(Ki!$P$12="-",", "&amp;Ki!$K$12,"")</f>
        <v/>
      </c>
      <c r="D1972" s="2395"/>
      <c r="E1972" s="577"/>
      <c r="F1972" s="275"/>
      <c r="G1972" s="326">
        <f>COUNTIF($H$1971:H1972,H1972)</f>
        <v>2</v>
      </c>
      <c r="H1972" s="2335" t="str">
        <f>IF(Principal!C36&lt;&gt;"",Principal!C36,"")</f>
        <v/>
      </c>
      <c r="I1972" s="617" t="str">
        <f t="shared" ref="I1972:I2001" si="324">IFERROR(VLOOKUP(H1972,$G$2033:$J$2038,G1972+1,0),H1972)</f>
        <v/>
      </c>
      <c r="K1972" s="6363"/>
      <c r="L1972" s="6364"/>
      <c r="M1972" s="6364"/>
      <c r="N1972" s="6366"/>
      <c r="O1972" s="6382"/>
      <c r="P1972" s="6355"/>
      <c r="Q1972" s="6355"/>
      <c r="R1972" s="6355"/>
      <c r="S1972" s="6355"/>
      <c r="T1972" s="6355"/>
      <c r="U1972" s="6355"/>
      <c r="V1972" s="6355"/>
      <c r="W1972" s="6355"/>
      <c r="X1972" s="6355"/>
      <c r="Y1972" s="6355"/>
      <c r="Z1972" s="6355"/>
      <c r="AA1972" s="6355"/>
      <c r="AB1972" s="6355"/>
      <c r="AC1972" s="1278" t="s">
        <v>6393</v>
      </c>
      <c r="AD1972" s="1279" t="s">
        <v>6394</v>
      </c>
      <c r="AE1972" s="6110"/>
      <c r="AF1972" s="6110"/>
    </row>
    <row r="1973" spans="1:34" ht="12.75" customHeight="1" x14ac:dyDescent="0.2">
      <c r="A1973" s="227">
        <v>1973</v>
      </c>
      <c r="B1973" s="6042"/>
      <c r="C1973" s="279" t="str">
        <f>IF(Ki!$P$13="-",", "&amp;Ki!$L$13&amp;" "&amp;Ki!$F$35,"")</f>
        <v/>
      </c>
      <c r="D1973" s="2395"/>
      <c r="E1973" s="577"/>
      <c r="F1973" s="275"/>
      <c r="G1973" s="326">
        <f>COUNTIF($H$1971:H1973,H1973)</f>
        <v>3</v>
      </c>
      <c r="H1973" s="2335" t="str">
        <f>IF(Principal!C37&lt;&gt;"",Principal!C37,"")</f>
        <v/>
      </c>
      <c r="I1973" s="617" t="str">
        <f t="shared" si="324"/>
        <v/>
      </c>
      <c r="K1973" s="485" t="str">
        <f t="shared" ref="K1973:K2004" si="325">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6">IFERROR(Q1973+AF1973+IF(R1973="",0,-80)+IF(T1973="",0,IF(R1973=T1973,-S1973,0)),"-")</f>
        <v>-30</v>
      </c>
      <c r="X1973" s="579" t="str">
        <f>IFERROR(IF(AND(NOT(R1973=""),R1973=T1973,$P$1969),W1973+S1973+80,""),"-")</f>
        <v/>
      </c>
      <c r="Y1973" s="579" t="str">
        <f t="shared" ref="Y1973:Y1993" si="327">IFERROR(IF(AND(X1973="",NOT(T1973=""),$P$1969),W1973+S1973,""),"")</f>
        <v/>
      </c>
      <c r="Z1973" s="1201" t="str">
        <f t="shared" ref="Z1973:Z2004" si="328">IFERROR(IF(AND(X1973="",NOT(V1973="")),W1973+U1973,""),"")</f>
        <v/>
      </c>
      <c r="AA1973" s="579" t="str">
        <f t="shared" ref="AA1973:AA2020" si="329">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30">COUNTIF($P$1973:$P$2028,"&lt;="&amp;P1973)</f>
        <v>1</v>
      </c>
      <c r="AD1973" s="581" t="str">
        <f t="shared" ref="AD1973:AD2004" si="331">IF(INDEX($O$1973:$O$2028,MATCH($A1,$AC$1973:$AC$2028,0)),INDEX($AB$1973:$AB$2028,MATCH($A1,$AC$1973:$AC$2028,0)),"")</f>
        <v/>
      </c>
      <c r="AE1973" s="6115" t="s">
        <v>7115</v>
      </c>
      <c r="AF1973" s="1280">
        <f>Principal!O22</f>
        <v>0</v>
      </c>
      <c r="AH1973" s="2325"/>
    </row>
    <row r="1974" spans="1:34" ht="12.75" customHeight="1" x14ac:dyDescent="0.2">
      <c r="A1974" s="227">
        <v>1974</v>
      </c>
      <c r="B1974" s="6042"/>
      <c r="C1974" s="279" t="str">
        <f>IF(Erudición,", "&amp;Ki!$M$14,"")</f>
        <v/>
      </c>
      <c r="D1974" s="2395"/>
      <c r="E1974" s="577"/>
      <c r="F1974" s="275"/>
      <c r="G1974" s="326">
        <f>COUNTIF($H$1971:H1974,H1974)</f>
        <v>4</v>
      </c>
      <c r="H1974" s="2335" t="str">
        <f>IF(Principal!C38&lt;&gt;"",Principal!C38,"")</f>
        <v/>
      </c>
      <c r="I1974" s="617" t="str">
        <f t="shared" si="324"/>
        <v/>
      </c>
      <c r="K1974" s="485" t="str">
        <f t="shared" si="325"/>
        <v/>
      </c>
      <c r="L1974" s="21"/>
      <c r="M1974" s="2153"/>
      <c r="N1974" s="2155" t="str">
        <f t="shared" ref="N1974:N2005" si="332">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6"/>
        <v>-30</v>
      </c>
      <c r="X1974" s="579" t="str">
        <f t="shared" ref="X1974:X1993" si="333">IFERROR(IF(AND(NOT(R1974=""),R1974=T1974,$P$1969),W1974+S1974+80,""),"-")</f>
        <v/>
      </c>
      <c r="Y1974" s="579" t="str">
        <f t="shared" si="327"/>
        <v/>
      </c>
      <c r="Z1974" s="1201" t="str">
        <f t="shared" si="328"/>
        <v/>
      </c>
      <c r="AA1974" s="579" t="str">
        <f t="shared" si="329"/>
        <v/>
      </c>
      <c r="AB1974" s="579"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30"/>
        <v>7</v>
      </c>
      <c r="AD1974" s="581" t="str">
        <f t="shared" si="331"/>
        <v/>
      </c>
      <c r="AE1974" s="6115"/>
      <c r="AF1974" s="1280">
        <f>Principal!O23</f>
        <v>0</v>
      </c>
      <c r="AH1974" s="2325"/>
    </row>
    <row r="1975" spans="1:34" ht="12.75" customHeight="1" x14ac:dyDescent="0.2">
      <c r="A1975" s="227">
        <v>1975</v>
      </c>
      <c r="B1975" s="6042"/>
      <c r="C1975" s="279" t="str">
        <f>IF(Ki!$P$15="-",", "&amp;Ki!$L$15,"")</f>
        <v/>
      </c>
      <c r="D1975" s="2395"/>
      <c r="E1975" s="577"/>
      <c r="F1975" s="275"/>
      <c r="G1975" s="326">
        <f>COUNTIF($H$1971:H1975,H1975)</f>
        <v>5</v>
      </c>
      <c r="H1975" s="2335" t="str">
        <f>IF(Principal!C39&lt;&gt;"",Principal!C39,"")</f>
        <v/>
      </c>
      <c r="I1975" s="617" t="str">
        <f t="shared" si="324"/>
        <v/>
      </c>
      <c r="K1975" s="485" t="str">
        <f t="shared" si="325"/>
        <v/>
      </c>
      <c r="L1975" s="21"/>
      <c r="M1975" s="2153"/>
      <c r="N1975" s="2155" t="str">
        <f t="shared" si="332"/>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6"/>
        <v>-30</v>
      </c>
      <c r="X1975" s="579" t="str">
        <f t="shared" si="333"/>
        <v/>
      </c>
      <c r="Y1975" s="579" t="str">
        <f t="shared" si="327"/>
        <v/>
      </c>
      <c r="Z1975" s="1201" t="str">
        <f t="shared" si="328"/>
        <v/>
      </c>
      <c r="AA1975" s="579" t="str">
        <f t="shared" si="329"/>
        <v/>
      </c>
      <c r="AB1975" s="579" t="str">
        <f t="shared" si="334"/>
        <v>Montar -30</v>
      </c>
      <c r="AC1975" s="581">
        <f t="shared" si="330"/>
        <v>29</v>
      </c>
      <c r="AD1975" s="581" t="str">
        <f t="shared" si="331"/>
        <v/>
      </c>
      <c r="AE1975" s="6115"/>
      <c r="AF1975" s="1280">
        <f>Principal!O24</f>
        <v>0</v>
      </c>
      <c r="AH1975" s="2325"/>
    </row>
    <row r="1976" spans="1:34" ht="12.75" customHeight="1" x14ac:dyDescent="0.2">
      <c r="A1976" s="227">
        <v>1976</v>
      </c>
      <c r="B1976" s="6042"/>
      <c r="C1976" s="279" t="str">
        <f>IF(Ki!$P$16="-",", "&amp;Ki!$L$16,"")</f>
        <v/>
      </c>
      <c r="D1976" s="2395"/>
      <c r="E1976" s="577"/>
      <c r="F1976" s="275"/>
      <c r="G1976" s="326">
        <f>COUNTIF($H$1971:H1976,H1976)</f>
        <v>6</v>
      </c>
      <c r="H1976" s="2335" t="str">
        <f>IF(Principal!C40&lt;&gt;"",Principal!C40,"")</f>
        <v/>
      </c>
      <c r="I1976" s="617" t="str">
        <f t="shared" si="324"/>
        <v/>
      </c>
      <c r="K1976" s="485" t="str">
        <f t="shared" si="325"/>
        <v/>
      </c>
      <c r="L1976" s="21"/>
      <c r="M1976" s="2153"/>
      <c r="N1976" s="2155" t="str">
        <f t="shared" si="332"/>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6"/>
        <v>-30</v>
      </c>
      <c r="X1976" s="579" t="str">
        <f t="shared" si="333"/>
        <v/>
      </c>
      <c r="Y1976" s="579" t="str">
        <f t="shared" si="327"/>
        <v/>
      </c>
      <c r="Z1976" s="1201" t="str">
        <f t="shared" si="328"/>
        <v/>
      </c>
      <c r="AA1976" s="579" t="str">
        <f t="shared" si="329"/>
        <v/>
      </c>
      <c r="AB1976" s="579" t="str">
        <f t="shared" si="334"/>
        <v>Nadar -30</v>
      </c>
      <c r="AC1976" s="581">
        <f t="shared" si="330"/>
        <v>31</v>
      </c>
      <c r="AD1976" s="581" t="str">
        <f t="shared" si="331"/>
        <v/>
      </c>
      <c r="AE1976" s="6115"/>
      <c r="AF1976" s="1280">
        <f>Principal!O25</f>
        <v>0</v>
      </c>
      <c r="AH1976" s="2325"/>
    </row>
    <row r="1977" spans="1:34" ht="12.75" customHeight="1" x14ac:dyDescent="0.2">
      <c r="A1977" s="227">
        <v>1977</v>
      </c>
      <c r="B1977" s="6042"/>
      <c r="C1977" s="279" t="str">
        <f>IF(Ki!$P$17="-",", "&amp;Ki!$M$17,"")</f>
        <v/>
      </c>
      <c r="D1977" s="2395"/>
      <c r="E1977" s="577"/>
      <c r="F1977" s="275"/>
      <c r="G1977" s="326">
        <f>COUNTIF($H$1971:H1977,H1977)</f>
        <v>7</v>
      </c>
      <c r="H1977" s="2335" t="str">
        <f>IF(Principal!C41&lt;&gt;"",Principal!C41,"")</f>
        <v/>
      </c>
      <c r="I1977" s="617" t="str">
        <f t="shared" si="324"/>
        <v/>
      </c>
      <c r="K1977" s="485" t="str">
        <f t="shared" si="325"/>
        <v/>
      </c>
      <c r="L1977" s="21"/>
      <c r="M1977" s="2153"/>
      <c r="N1977" s="2155" t="str">
        <f t="shared" si="332"/>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6"/>
        <v>-30</v>
      </c>
      <c r="X1977" s="579" t="str">
        <f t="shared" si="333"/>
        <v/>
      </c>
      <c r="Y1977" s="579" t="str">
        <f t="shared" si="327"/>
        <v/>
      </c>
      <c r="Z1977" s="1201" t="str">
        <f t="shared" si="328"/>
        <v/>
      </c>
      <c r="AA1977" s="579" t="str">
        <f t="shared" si="329"/>
        <v/>
      </c>
      <c r="AB1977" s="579" t="str">
        <f t="shared" si="334"/>
        <v>Trepar -30</v>
      </c>
      <c r="AC1977" s="581">
        <f t="shared" si="330"/>
        <v>54</v>
      </c>
      <c r="AD1977" s="581" t="str">
        <f t="shared" si="331"/>
        <v/>
      </c>
      <c r="AE1977" s="6115"/>
      <c r="AF1977" s="1280">
        <f>Principal!O26</f>
        <v>0</v>
      </c>
      <c r="AH1977" s="2325"/>
    </row>
    <row r="1978" spans="1:34" ht="12.75" customHeight="1" x14ac:dyDescent="0.2">
      <c r="A1978" s="227">
        <v>1978</v>
      </c>
      <c r="B1978" s="6042"/>
      <c r="C1978" s="279" t="str">
        <f>IF(Ki!$P$18="-",", "&amp;Ki!$N$18,"")</f>
        <v/>
      </c>
      <c r="D1978" s="2395"/>
      <c r="E1978" s="577"/>
      <c r="F1978" s="275"/>
      <c r="G1978" s="326">
        <f>COUNTIF($H$1971:H1978,H1978)</f>
        <v>8</v>
      </c>
      <c r="H1978" s="2335" t="str">
        <f>IF(Principal!C42&lt;&gt;"",Principal!C42,"")</f>
        <v/>
      </c>
      <c r="I1978" s="617" t="str">
        <f t="shared" si="324"/>
        <v/>
      </c>
      <c r="K1978" s="485" t="str">
        <f t="shared" si="325"/>
        <v/>
      </c>
      <c r="L1978" s="21"/>
      <c r="M1978" s="2153"/>
      <c r="N1978" s="2155" t="str">
        <f t="shared" si="332"/>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6"/>
        <v>-30</v>
      </c>
      <c r="X1978" s="579" t="str">
        <f t="shared" si="333"/>
        <v/>
      </c>
      <c r="Y1978" s="579" t="str">
        <f t="shared" si="327"/>
        <v/>
      </c>
      <c r="Z1978" s="1201" t="str">
        <f t="shared" si="328"/>
        <v/>
      </c>
      <c r="AA1978" s="579" t="str">
        <f t="shared" si="329"/>
        <v/>
      </c>
      <c r="AB1978" s="579" t="str">
        <f t="shared" si="334"/>
        <v>Saltar -30</v>
      </c>
      <c r="AC1978" s="581">
        <f t="shared" si="330"/>
        <v>43</v>
      </c>
      <c r="AD1978" s="581" t="str">
        <f t="shared" si="331"/>
        <v/>
      </c>
      <c r="AE1978" s="6115"/>
      <c r="AF1978" s="1280">
        <f>Principal!O27</f>
        <v>0</v>
      </c>
      <c r="AH1978" s="2325"/>
    </row>
    <row r="1979" spans="1:34" ht="12.75" customHeight="1" x14ac:dyDescent="0.2">
      <c r="A1979" s="227">
        <v>1979</v>
      </c>
      <c r="B1979" s="6042"/>
      <c r="C1979" s="279" t="str">
        <f>IF(Ki!$P$19="-",", "&amp;Ki!$M$19,"")</f>
        <v/>
      </c>
      <c r="D1979" s="2395"/>
      <c r="E1979" s="577"/>
      <c r="G1979" s="326">
        <f>COUNTIF($H$1971:H1979,H1979)</f>
        <v>9</v>
      </c>
      <c r="H1979" s="2335" t="str">
        <f>IF(Principal!C43&lt;&gt;"",Principal!C43,"")</f>
        <v/>
      </c>
      <c r="I1979" s="617" t="str">
        <f t="shared" si="324"/>
        <v/>
      </c>
      <c r="K1979" s="485" t="str">
        <f t="shared" si="325"/>
        <v/>
      </c>
      <c r="L1979" s="21"/>
      <c r="M1979" s="2153"/>
      <c r="N1979" s="2155" t="str">
        <f t="shared" si="332"/>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6"/>
        <v>-30</v>
      </c>
      <c r="X1979" s="579" t="str">
        <f t="shared" si="333"/>
        <v/>
      </c>
      <c r="Y1979" s="579" t="str">
        <f t="shared" si="327"/>
        <v/>
      </c>
      <c r="Z1979" s="1201" t="str">
        <f t="shared" si="328"/>
        <v/>
      </c>
      <c r="AA1979" s="579" t="str">
        <f t="shared" si="329"/>
        <v/>
      </c>
      <c r="AB1979" s="579" t="str">
        <f t="shared" si="334"/>
        <v>Pilotar -30</v>
      </c>
      <c r="AC1979" s="581">
        <f t="shared" si="330"/>
        <v>38</v>
      </c>
      <c r="AD1979" s="581" t="str">
        <f t="shared" si="331"/>
        <v/>
      </c>
      <c r="AE1979" s="6115"/>
      <c r="AF1979" s="1280">
        <f>Principal!O28</f>
        <v>0</v>
      </c>
      <c r="AH1979" s="2325"/>
    </row>
    <row r="1980" spans="1:34" ht="12.75" customHeight="1" x14ac:dyDescent="0.2">
      <c r="A1980" s="227">
        <v>1980</v>
      </c>
      <c r="B1980" s="6042"/>
      <c r="C1980" s="279" t="str">
        <f>IF(Ki!$P$20="-",", "&amp;Ki!$N$20,"")</f>
        <v/>
      </c>
      <c r="D1980" s="2395"/>
      <c r="E1980" s="577"/>
      <c r="G1980" s="326">
        <f>COUNTIF($H$1971:H1980,H1980)</f>
        <v>10</v>
      </c>
      <c r="H1980" s="2335" t="str">
        <f>IF(Principal!C44&lt;&gt;"",Principal!C44,"")</f>
        <v/>
      </c>
      <c r="I1980" s="617" t="str">
        <f t="shared" si="324"/>
        <v/>
      </c>
      <c r="K1980" s="485" t="str">
        <f t="shared" si="325"/>
        <v/>
      </c>
      <c r="L1980" s="21"/>
      <c r="M1980" s="2153"/>
      <c r="N1980" s="2155" t="str">
        <f t="shared" si="332"/>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6"/>
        <v>-30</v>
      </c>
      <c r="X1980" s="579" t="str">
        <f t="shared" si="333"/>
        <v/>
      </c>
      <c r="Y1980" s="579" t="str">
        <f t="shared" si="327"/>
        <v/>
      </c>
      <c r="Z1980" s="1201" t="str">
        <f t="shared" si="328"/>
        <v/>
      </c>
      <c r="AA1980" s="579" t="str">
        <f t="shared" si="329"/>
        <v/>
      </c>
      <c r="AB1980" s="579" t="str">
        <f t="shared" si="334"/>
        <v>Estilo -30</v>
      </c>
      <c r="AC1980" s="581">
        <f t="shared" si="330"/>
        <v>18</v>
      </c>
      <c r="AD1980" s="581" t="str">
        <f t="shared" si="331"/>
        <v/>
      </c>
      <c r="AE1980" s="6115"/>
      <c r="AF1980" s="1280">
        <f>Principal!O29</f>
        <v>0</v>
      </c>
      <c r="AH1980" s="2325"/>
    </row>
    <row r="1981" spans="1:34" ht="12.75" customHeight="1" x14ac:dyDescent="0.2">
      <c r="A1981" s="227">
        <v>1981</v>
      </c>
      <c r="B1981" s="6042"/>
      <c r="C1981" s="279" t="str">
        <f>IF(Ki!$P$21="-",", "&amp;"Mult. arcana","")</f>
        <v/>
      </c>
      <c r="D1981" s="2395"/>
      <c r="E1981" s="577"/>
      <c r="G1981" s="326">
        <f>COUNTIF($H$1971:H1981,H1981)</f>
        <v>11</v>
      </c>
      <c r="H1981" s="2335" t="str">
        <f>IF(Principal!C45&lt;&gt;"",Principal!C45,"")</f>
        <v/>
      </c>
      <c r="I1981" s="617" t="str">
        <f t="shared" si="324"/>
        <v/>
      </c>
      <c r="K1981" s="485" t="str">
        <f t="shared" si="325"/>
        <v/>
      </c>
      <c r="L1981" s="21"/>
      <c r="M1981" s="2153"/>
      <c r="N1981" s="2155" t="str">
        <f t="shared" si="332"/>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6"/>
        <v>-30</v>
      </c>
      <c r="X1981" s="579" t="str">
        <f t="shared" si="333"/>
        <v/>
      </c>
      <c r="Y1981" s="579" t="str">
        <f t="shared" si="327"/>
        <v/>
      </c>
      <c r="Z1981" s="1201" t="str">
        <f t="shared" si="328"/>
        <v/>
      </c>
      <c r="AA1981" s="579" t="str">
        <f t="shared" si="329"/>
        <v/>
      </c>
      <c r="AB1981" s="579" t="str">
        <f t="shared" si="334"/>
        <v>Intimidar -30</v>
      </c>
      <c r="AC1981" s="581">
        <f t="shared" si="330"/>
        <v>24</v>
      </c>
      <c r="AD1981" s="581" t="str">
        <f t="shared" si="331"/>
        <v/>
      </c>
      <c r="AE1981" s="6115"/>
      <c r="AF1981" s="1280">
        <f>Principal!O30</f>
        <v>0</v>
      </c>
      <c r="AH1981" s="2325"/>
    </row>
    <row r="1982" spans="1:34" ht="12.75" customHeight="1" x14ac:dyDescent="0.2">
      <c r="A1982" s="227">
        <v>1982</v>
      </c>
      <c r="B1982" s="6042"/>
      <c r="C1982" s="279" t="str">
        <f>IF(Ki!$P$22="-",", "&amp;Ki!$N$22,"")</f>
        <v/>
      </c>
      <c r="D1982" s="2395"/>
      <c r="E1982" s="577"/>
      <c r="G1982" s="326">
        <f>COUNTIF($H$1971:H1982,H1982)</f>
        <v>12</v>
      </c>
      <c r="H1982" s="2335" t="str">
        <f>IF(Principal!C46&lt;&gt;"",Principal!C46,"")</f>
        <v/>
      </c>
      <c r="I1982" s="617" t="str">
        <f t="shared" si="324"/>
        <v/>
      </c>
      <c r="K1982" s="485" t="str">
        <f t="shared" si="325"/>
        <v/>
      </c>
      <c r="L1982" s="21"/>
      <c r="M1982" s="2153"/>
      <c r="N1982" s="2155" t="str">
        <f t="shared" si="332"/>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6"/>
        <v>-30</v>
      </c>
      <c r="X1982" s="579" t="str">
        <f t="shared" si="333"/>
        <v/>
      </c>
      <c r="Y1982" s="579" t="str">
        <f t="shared" si="327"/>
        <v/>
      </c>
      <c r="Z1982" s="1201" t="str">
        <f t="shared" si="328"/>
        <v/>
      </c>
      <c r="AA1982" s="579" t="str">
        <f t="shared" si="329"/>
        <v/>
      </c>
      <c r="AB1982" s="579" t="str">
        <f t="shared" si="334"/>
        <v>Liderazgo -30</v>
      </c>
      <c r="AC1982" s="581">
        <f t="shared" si="330"/>
        <v>26</v>
      </c>
      <c r="AD1982" s="581" t="str">
        <f t="shared" si="331"/>
        <v/>
      </c>
      <c r="AE1982" s="6115"/>
      <c r="AF1982" s="1280">
        <f>Principal!O31</f>
        <v>0</v>
      </c>
      <c r="AH1982" s="2325"/>
    </row>
    <row r="1983" spans="1:34" ht="12.75" customHeight="1" x14ac:dyDescent="0.2">
      <c r="A1983" s="227">
        <v>1983</v>
      </c>
      <c r="B1983" s="6042"/>
      <c r="C1983" s="279" t="str">
        <f>IF(Ki!$P$23="-",", "&amp;"Mag. arcana","")</f>
        <v/>
      </c>
      <c r="D1983" s="2395"/>
      <c r="E1983" s="577"/>
      <c r="G1983" s="326">
        <f>COUNTIF($H$1971:H1983,H1983)</f>
        <v>13</v>
      </c>
      <c r="H1983" s="2335" t="str">
        <f>IF(Principal!C47&lt;&gt;"",Principal!C47,"")</f>
        <v/>
      </c>
      <c r="I1983" s="617" t="str">
        <f t="shared" si="324"/>
        <v/>
      </c>
      <c r="K1983" s="485" t="str">
        <f t="shared" si="325"/>
        <v/>
      </c>
      <c r="L1983" s="21"/>
      <c r="M1983" s="2153"/>
      <c r="N1983" s="2155" t="str">
        <f t="shared" si="332"/>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6"/>
        <v>-30</v>
      </c>
      <c r="X1983" s="582" t="str">
        <f t="shared" si="333"/>
        <v/>
      </c>
      <c r="Y1983" s="582" t="str">
        <f t="shared" si="327"/>
        <v/>
      </c>
      <c r="Z1983" s="1202" t="str">
        <f t="shared" si="328"/>
        <v/>
      </c>
      <c r="AA1983" s="582" t="str">
        <f t="shared" si="329"/>
        <v/>
      </c>
      <c r="AB1983" s="582" t="str">
        <f t="shared" si="334"/>
        <v>Persuasión -30</v>
      </c>
      <c r="AC1983" s="584">
        <f t="shared" si="330"/>
        <v>37</v>
      </c>
      <c r="AD1983" s="581" t="str">
        <f t="shared" si="331"/>
        <v/>
      </c>
      <c r="AE1983" s="6115"/>
      <c r="AF1983" s="1280">
        <f>Principal!O32</f>
        <v>0</v>
      </c>
      <c r="AH1983" s="2325"/>
    </row>
    <row r="1984" spans="1:34" ht="12.75" customHeight="1" x14ac:dyDescent="0.2">
      <c r="A1984" s="227">
        <v>1984</v>
      </c>
      <c r="B1984" s="6042"/>
      <c r="C1984" s="279" t="str">
        <f>IF(Ki!$P$24="-",", "&amp;Ki!$M$24,"")</f>
        <v/>
      </c>
      <c r="D1984" s="2395"/>
      <c r="E1984" s="577"/>
      <c r="G1984" s="326">
        <f>COUNTIF($H$1971:H1984,H1984)</f>
        <v>14</v>
      </c>
      <c r="H1984" s="2335" t="str">
        <f>IF(Principal!C48&lt;&gt;"",Principal!C48,"")</f>
        <v/>
      </c>
      <c r="I1984" s="617" t="str">
        <f t="shared" si="324"/>
        <v/>
      </c>
      <c r="K1984" s="485" t="str">
        <f t="shared" si="325"/>
        <v/>
      </c>
      <c r="L1984" s="21"/>
      <c r="M1984" s="2153"/>
      <c r="N1984" s="2155" t="str">
        <f t="shared" si="332"/>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6"/>
        <v>-30</v>
      </c>
      <c r="X1984" s="579" t="str">
        <f t="shared" si="333"/>
        <v/>
      </c>
      <c r="Y1984" s="579" t="str">
        <f t="shared" si="327"/>
        <v/>
      </c>
      <c r="Z1984" s="1201" t="str">
        <f t="shared" si="328"/>
        <v/>
      </c>
      <c r="AA1984" s="579" t="str">
        <f t="shared" si="329"/>
        <v/>
      </c>
      <c r="AB1984" s="579" t="str">
        <f t="shared" si="334"/>
        <v>Comercio -30</v>
      </c>
      <c r="AC1984" s="581">
        <f t="shared" si="330"/>
        <v>14</v>
      </c>
      <c r="AD1984" s="581" t="str">
        <f t="shared" si="331"/>
        <v/>
      </c>
      <c r="AE1984" s="6115"/>
      <c r="AF1984" s="1280">
        <f>Principal!O33</f>
        <v>0</v>
      </c>
      <c r="AH1984" s="2325"/>
    </row>
    <row r="1985" spans="1:34" ht="12.75" customHeight="1" x14ac:dyDescent="0.2">
      <c r="A1985" s="227">
        <v>1985</v>
      </c>
      <c r="B1985" s="6042"/>
      <c r="C1985" s="279" t="str">
        <f>IF(Ki!$P$25="-",", "&amp;Ki!$L$25,"")</f>
        <v/>
      </c>
      <c r="D1985" s="2395"/>
      <c r="E1985" s="577"/>
      <c r="G1985" s="326">
        <f>COUNTIF($H$1971:H1985,H1985)</f>
        <v>15</v>
      </c>
      <c r="H1985" s="2335" t="str">
        <f>IF(Principal!C49&lt;&gt;"",Principal!C49,"")</f>
        <v/>
      </c>
      <c r="I1985" s="617" t="str">
        <f t="shared" si="324"/>
        <v/>
      </c>
      <c r="K1985" s="485" t="str">
        <f t="shared" si="325"/>
        <v/>
      </c>
      <c r="L1985" s="21"/>
      <c r="M1985" s="2153"/>
      <c r="N1985" s="2155" t="str">
        <f t="shared" si="332"/>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6"/>
        <v>-30</v>
      </c>
      <c r="X1985" s="582" t="str">
        <f t="shared" si="333"/>
        <v/>
      </c>
      <c r="Y1985" s="582" t="str">
        <f t="shared" si="327"/>
        <v/>
      </c>
      <c r="Z1985" s="1202">
        <f t="shared" si="328"/>
        <v>10</v>
      </c>
      <c r="AA1985" s="582" t="str">
        <f t="shared" si="329"/>
        <v/>
      </c>
      <c r="AB1985" s="582" t="str">
        <f t="shared" si="334"/>
        <v>Callejeo -30, Callejeo (Ciudad natal) 10</v>
      </c>
      <c r="AC1985" s="584">
        <f t="shared" si="330"/>
        <v>11</v>
      </c>
      <c r="AD1985" s="581" t="str">
        <f t="shared" si="331"/>
        <v/>
      </c>
      <c r="AE1985" s="6115"/>
      <c r="AF1985" s="1280">
        <f>Principal!O34</f>
        <v>0</v>
      </c>
      <c r="AH1985" s="2325"/>
    </row>
    <row r="1986" spans="1:34" ht="12.75" customHeight="1" x14ac:dyDescent="0.2">
      <c r="A1986" s="227">
        <v>1986</v>
      </c>
      <c r="B1986" s="6042"/>
      <c r="C1986" s="279" t="str">
        <f>IF(Ki!$P$26="-",", "&amp;Ki!$L$26,"")</f>
        <v/>
      </c>
      <c r="D1986" s="2395"/>
      <c r="E1986" s="577"/>
      <c r="G1986" s="326">
        <f>COUNTIF($H$1971:H1986,H1986)</f>
        <v>16</v>
      </c>
      <c r="H1986" s="2335" t="str">
        <f>IF(Principal!G35&lt;&gt;"",Principal!G35,"")</f>
        <v/>
      </c>
      <c r="I1986" s="617" t="str">
        <f t="shared" si="324"/>
        <v/>
      </c>
      <c r="K1986" s="485" t="str">
        <f t="shared" si="325"/>
        <v/>
      </c>
      <c r="L1986" s="21"/>
      <c r="M1986" s="2153"/>
      <c r="N1986" s="2155" t="str">
        <f t="shared" si="332"/>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6"/>
        <v>-30</v>
      </c>
      <c r="X1986" s="579" t="str">
        <f t="shared" si="333"/>
        <v/>
      </c>
      <c r="Y1986" s="579" t="str">
        <f t="shared" si="327"/>
        <v/>
      </c>
      <c r="Z1986" s="1201" t="str">
        <f t="shared" si="328"/>
        <v/>
      </c>
      <c r="AA1986" s="579" t="str">
        <f t="shared" si="329"/>
        <v/>
      </c>
      <c r="AB1986" s="579" t="str">
        <f t="shared" si="334"/>
        <v>Etiqueta -30</v>
      </c>
      <c r="AC1986" s="581">
        <f t="shared" si="330"/>
        <v>19</v>
      </c>
      <c r="AD1986" s="581" t="str">
        <f t="shared" si="331"/>
        <v/>
      </c>
      <c r="AE1986" s="6115"/>
      <c r="AF1986" s="1280">
        <f>Principal!O35</f>
        <v>0</v>
      </c>
      <c r="AH1986" s="2325"/>
    </row>
    <row r="1987" spans="1:34" ht="12.75" customHeight="1" x14ac:dyDescent="0.2">
      <c r="A1987" s="227">
        <v>1987</v>
      </c>
      <c r="B1987" s="6042"/>
      <c r="C1987" s="279" t="str">
        <f>IF(Ki!$P$27="-",", "&amp;Ki!$K$27,"")</f>
        <v/>
      </c>
      <c r="D1987" s="2395"/>
      <c r="E1987" s="577"/>
      <c r="G1987" s="326">
        <f>COUNTIF($H$1971:H1987,H1987)</f>
        <v>17</v>
      </c>
      <c r="H1987" s="2335" t="str">
        <f>IF(Principal!G36&lt;&gt;"",Principal!G36,"")</f>
        <v/>
      </c>
      <c r="I1987" s="617" t="str">
        <f t="shared" si="324"/>
        <v/>
      </c>
      <c r="K1987" s="485" t="str">
        <f t="shared" si="325"/>
        <v/>
      </c>
      <c r="L1987" s="21"/>
      <c r="M1987" s="2153"/>
      <c r="N1987" s="2155" t="str">
        <f t="shared" si="332"/>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6"/>
        <v>-30</v>
      </c>
      <c r="X1987" s="582" t="str">
        <f t="shared" si="333"/>
        <v/>
      </c>
      <c r="Y1987" s="582" t="str">
        <f t="shared" si="327"/>
        <v/>
      </c>
      <c r="Z1987" s="1202" t="str">
        <f t="shared" si="328"/>
        <v/>
      </c>
      <c r="AA1987" s="582" t="str">
        <f t="shared" si="329"/>
        <v/>
      </c>
      <c r="AB1987" s="582" t="str">
        <f t="shared" si="334"/>
        <v>Advertir -30</v>
      </c>
      <c r="AC1987" s="584">
        <f t="shared" si="330"/>
        <v>2</v>
      </c>
      <c r="AD1987" s="581" t="str">
        <f t="shared" si="331"/>
        <v/>
      </c>
      <c r="AE1987" s="6115"/>
      <c r="AF1987" s="1280">
        <f>Principal!O36</f>
        <v>0</v>
      </c>
      <c r="AH1987" s="2325"/>
    </row>
    <row r="1988" spans="1:34" ht="12.75" customHeight="1" x14ac:dyDescent="0.2">
      <c r="A1988" s="227">
        <v>1988</v>
      </c>
      <c r="B1988" s="6042"/>
      <c r="C1988" s="279" t="str">
        <f>IF(Ki!$P$28="-",", "&amp;Ki!$L$28,"")</f>
        <v/>
      </c>
      <c r="D1988" s="2395"/>
      <c r="E1988" s="577"/>
      <c r="G1988" s="326">
        <f>COUNTIF($H$1971:H1988,H1988)</f>
        <v>18</v>
      </c>
      <c r="H1988" s="2335" t="str">
        <f>IF(Principal!G37&lt;&gt;"",Principal!G37,"")</f>
        <v/>
      </c>
      <c r="I1988" s="617" t="str">
        <f t="shared" si="324"/>
        <v/>
      </c>
      <c r="K1988" s="485" t="str">
        <f t="shared" si="325"/>
        <v/>
      </c>
      <c r="L1988" s="21"/>
      <c r="M1988" s="2153"/>
      <c r="N1988" s="2155" t="str">
        <f t="shared" si="332"/>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6"/>
        <v>-30</v>
      </c>
      <c r="X1988" s="582" t="str">
        <f t="shared" si="333"/>
        <v/>
      </c>
      <c r="Y1988" s="582" t="str">
        <f t="shared" si="327"/>
        <v/>
      </c>
      <c r="Z1988" s="1202" t="str">
        <f t="shared" si="328"/>
        <v/>
      </c>
      <c r="AA1988" s="582" t="str">
        <f t="shared" si="329"/>
        <v/>
      </c>
      <c r="AB1988" s="582" t="str">
        <f t="shared" si="334"/>
        <v>Buscar -30</v>
      </c>
      <c r="AC1988" s="584">
        <f t="shared" si="330"/>
        <v>9</v>
      </c>
      <c r="AD1988" s="581" t="str">
        <f t="shared" si="331"/>
        <v/>
      </c>
      <c r="AE1988" s="6115"/>
      <c r="AF1988" s="1280">
        <f>Principal!O37</f>
        <v>0</v>
      </c>
      <c r="AH1988" s="2325"/>
    </row>
    <row r="1989" spans="1:34" ht="12.75" customHeight="1" x14ac:dyDescent="0.2">
      <c r="A1989" s="227">
        <v>1989</v>
      </c>
      <c r="B1989" s="6042"/>
      <c r="C1989" s="279" t="str">
        <f>IF(Ki!$P$29="-",", "&amp;Ki!$M$29,"")</f>
        <v/>
      </c>
      <c r="D1989" s="2395"/>
      <c r="E1989" s="577"/>
      <c r="G1989" s="326">
        <f>COUNTIF($H$1971:H1989,H1989)</f>
        <v>19</v>
      </c>
      <c r="H1989" s="2335" t="str">
        <f>IF(Principal!G38&lt;&gt;"",Principal!G38,"")</f>
        <v/>
      </c>
      <c r="I1989" s="617" t="str">
        <f t="shared" si="324"/>
        <v/>
      </c>
      <c r="K1989" s="485" t="str">
        <f t="shared" si="325"/>
        <v/>
      </c>
      <c r="L1989" s="21"/>
      <c r="M1989" s="2153"/>
      <c r="N1989" s="2155" t="str">
        <f t="shared" si="332"/>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6"/>
        <v>-30</v>
      </c>
      <c r="X1989" s="582" t="str">
        <f t="shared" si="333"/>
        <v/>
      </c>
      <c r="Y1989" s="582" t="str">
        <f t="shared" si="327"/>
        <v/>
      </c>
      <c r="Z1989" s="1202" t="str">
        <f t="shared" si="328"/>
        <v/>
      </c>
      <c r="AA1989" s="582" t="str">
        <f t="shared" si="329"/>
        <v/>
      </c>
      <c r="AB1989" s="582" t="str">
        <f t="shared" si="334"/>
        <v>Rastrear -30</v>
      </c>
      <c r="AC1989" s="584">
        <f t="shared" si="330"/>
        <v>39</v>
      </c>
      <c r="AD1989" s="581" t="str">
        <f t="shared" si="331"/>
        <v/>
      </c>
      <c r="AE1989" s="6115"/>
      <c r="AF1989" s="1280">
        <f>Principal!O38</f>
        <v>0</v>
      </c>
      <c r="AH1989" s="2325"/>
    </row>
    <row r="1990" spans="1:34" ht="12.75" customHeight="1" x14ac:dyDescent="0.2">
      <c r="A1990" s="227">
        <v>1990</v>
      </c>
      <c r="B1990" s="6042"/>
      <c r="C1990" s="279" t="str">
        <f>IF(Ki!$P$30="-",", "&amp;Ki!$N$30,"")</f>
        <v/>
      </c>
      <c r="D1990" s="2395"/>
      <c r="E1990" s="577"/>
      <c r="G1990" s="326">
        <f>COUNTIF($H$1971:H1990,H1990)</f>
        <v>20</v>
      </c>
      <c r="H1990" s="2335" t="str">
        <f>IF(Principal!G39&lt;&gt;"",Principal!G39,"")</f>
        <v/>
      </c>
      <c r="I1990" s="617" t="str">
        <f t="shared" si="324"/>
        <v/>
      </c>
      <c r="K1990" s="485" t="str">
        <f t="shared" si="325"/>
        <v/>
      </c>
      <c r="L1990" s="21"/>
      <c r="M1990" s="2153"/>
      <c r="N1990" s="2155" t="str">
        <f t="shared" si="332"/>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6"/>
        <v>-30</v>
      </c>
      <c r="X1990" s="579" t="str">
        <f t="shared" si="333"/>
        <v/>
      </c>
      <c r="Y1990" s="579" t="str">
        <f t="shared" si="327"/>
        <v/>
      </c>
      <c r="Z1990" s="1201" t="str">
        <f t="shared" si="328"/>
        <v/>
      </c>
      <c r="AA1990" s="579" t="str">
        <f t="shared" si="329"/>
        <v/>
      </c>
      <c r="AB1990" s="579" t="str">
        <f t="shared" si="334"/>
        <v>Animales -30</v>
      </c>
      <c r="AC1990" s="581">
        <f t="shared" si="330"/>
        <v>4</v>
      </c>
      <c r="AD1990" s="581" t="str">
        <f t="shared" si="331"/>
        <v/>
      </c>
      <c r="AE1990" s="6115"/>
      <c r="AF1990" s="1280">
        <f>Principal!O39</f>
        <v>0</v>
      </c>
      <c r="AH1990" s="2325"/>
    </row>
    <row r="1991" spans="1:34" ht="12.75" customHeight="1" x14ac:dyDescent="0.2">
      <c r="A1991" s="227">
        <v>1991</v>
      </c>
      <c r="B1991" s="6042"/>
      <c r="C1991" s="279" t="str">
        <f>IF(Ki!$P$31="-",", "&amp;Ki!$M$31,"")</f>
        <v/>
      </c>
      <c r="D1991" s="2395"/>
      <c r="E1991" s="577"/>
      <c r="G1991" s="326">
        <f>COUNTIF($H$1971:H1991,H1991)</f>
        <v>21</v>
      </c>
      <c r="H1991" s="2335" t="str">
        <f>IF(Principal!G40&lt;&gt;"",Principal!G40,"")</f>
        <v/>
      </c>
      <c r="I1991" s="617" t="str">
        <f t="shared" si="324"/>
        <v/>
      </c>
      <c r="K1991" s="485" t="str">
        <f t="shared" si="325"/>
        <v/>
      </c>
      <c r="L1991" s="21"/>
      <c r="M1991" s="2153"/>
      <c r="N1991" s="2155" t="str">
        <f t="shared" si="332"/>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6"/>
        <v>-</v>
      </c>
      <c r="X1991" s="579" t="str">
        <f t="shared" si="333"/>
        <v/>
      </c>
      <c r="Y1991" s="579" t="str">
        <f t="shared" si="327"/>
        <v/>
      </c>
      <c r="Z1991" s="1201" t="str">
        <f t="shared" si="328"/>
        <v/>
      </c>
      <c r="AA1991" s="579" t="str">
        <f t="shared" si="329"/>
        <v/>
      </c>
      <c r="AB1991" s="579" t="str">
        <f t="shared" si="334"/>
        <v>Ciencia -</v>
      </c>
      <c r="AC1991" s="581">
        <f t="shared" si="330"/>
        <v>13</v>
      </c>
      <c r="AD1991" s="581" t="str">
        <f t="shared" si="331"/>
        <v/>
      </c>
      <c r="AE1991" s="6115"/>
      <c r="AF1991" s="1280">
        <f>Principal!O40</f>
        <v>0</v>
      </c>
      <c r="AH1991" s="2325"/>
    </row>
    <row r="1992" spans="1:34" ht="12.75" customHeight="1" x14ac:dyDescent="0.2">
      <c r="A1992" s="227">
        <v>1992</v>
      </c>
      <c r="B1992" s="6042"/>
      <c r="C1992" s="279" t="str">
        <f>IF(Ki!$P$32="-",", "&amp;Ki!$K$32,"")</f>
        <v/>
      </c>
      <c r="D1992" s="2395"/>
      <c r="E1992" s="577"/>
      <c r="G1992" s="326">
        <f>COUNTIF($H$1971:H1992,H1992)</f>
        <v>22</v>
      </c>
      <c r="H1992" s="2335" t="str">
        <f>IF(Principal!G41&lt;&gt;"",Principal!G41,"")</f>
        <v/>
      </c>
      <c r="I1992" s="617" t="str">
        <f t="shared" si="324"/>
        <v/>
      </c>
      <c r="K1992" s="485" t="str">
        <f t="shared" si="325"/>
        <v/>
      </c>
      <c r="L1992" s="21"/>
      <c r="M1992" s="2153"/>
      <c r="N1992" s="2155" t="str">
        <f t="shared" si="332"/>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6"/>
        <v>-30</v>
      </c>
      <c r="X1992" s="579" t="str">
        <f t="shared" si="333"/>
        <v/>
      </c>
      <c r="Y1992" s="579" t="str">
        <f t="shared" si="327"/>
        <v/>
      </c>
      <c r="Z1992" s="1201" t="str">
        <f t="shared" si="328"/>
        <v/>
      </c>
      <c r="AA1992" s="579" t="str">
        <f t="shared" si="329"/>
        <v/>
      </c>
      <c r="AB1992" s="579" t="str">
        <f t="shared" si="334"/>
        <v>Ley -30</v>
      </c>
      <c r="AC1992" s="581">
        <f t="shared" si="330"/>
        <v>25</v>
      </c>
      <c r="AD1992" s="581" t="str">
        <f t="shared" si="331"/>
        <v/>
      </c>
      <c r="AE1992" s="6115"/>
      <c r="AF1992" s="1280">
        <f>Principal!O41</f>
        <v>0</v>
      </c>
      <c r="AH1992" s="2325"/>
    </row>
    <row r="1993" spans="1:34" ht="12.75" customHeight="1" x14ac:dyDescent="0.2">
      <c r="A1993" s="227">
        <v>1993</v>
      </c>
      <c r="B1993" s="6042"/>
      <c r="C1993" s="279" t="str">
        <f>IF(Ki!$P$33="-",", "&amp;Ki!$L$33,"")</f>
        <v/>
      </c>
      <c r="D1993" s="2395"/>
      <c r="E1993" s="577"/>
      <c r="G1993" s="326">
        <f>COUNTIF($H$1971:H1993,H1993)</f>
        <v>23</v>
      </c>
      <c r="H1993" s="2335" t="str">
        <f>IF(Principal!G42&lt;&gt;"",Principal!G42,"")</f>
        <v/>
      </c>
      <c r="I1993" s="617" t="str">
        <f t="shared" si="324"/>
        <v/>
      </c>
      <c r="K1993" s="485" t="str">
        <f t="shared" si="325"/>
        <v/>
      </c>
      <c r="L1993" s="21"/>
      <c r="M1993" s="2153"/>
      <c r="N1993" s="2155" t="str">
        <f t="shared" si="332"/>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6"/>
        <v>-30</v>
      </c>
      <c r="X1993" s="579" t="str">
        <f t="shared" si="333"/>
        <v/>
      </c>
      <c r="Y1993" s="579" t="str">
        <f t="shared" si="327"/>
        <v/>
      </c>
      <c r="Z1993" s="1201" t="str">
        <f t="shared" si="328"/>
        <v/>
      </c>
      <c r="AA1993" s="579" t="str">
        <f t="shared" si="329"/>
        <v/>
      </c>
      <c r="AB1993" s="579" t="str">
        <f t="shared" si="334"/>
        <v>Herbolaria -30</v>
      </c>
      <c r="AC1993" s="581">
        <f t="shared" si="330"/>
        <v>22</v>
      </c>
      <c r="AD1993" s="581" t="str">
        <f t="shared" si="331"/>
        <v/>
      </c>
      <c r="AE1993" s="6115"/>
      <c r="AF1993" s="1280">
        <f>Principal!O42</f>
        <v>0</v>
      </c>
      <c r="AH1993" s="2325"/>
    </row>
    <row r="1994" spans="1:34" ht="12.75" customHeight="1" x14ac:dyDescent="0.2">
      <c r="A1994" s="227">
        <v>1994</v>
      </c>
      <c r="B1994" s="6042"/>
      <c r="C1994" s="279" t="str">
        <f>IF(Ki!$P$34="-",", "&amp;Ki!$M$34,"")</f>
        <v/>
      </c>
      <c r="D1994" s="2395"/>
      <c r="E1994" s="577"/>
      <c r="G1994" s="326">
        <f>COUNTIF($H$1971:H1994,H1994)</f>
        <v>24</v>
      </c>
      <c r="H1994" s="2335" t="str">
        <f>IF(Principal!G43&lt;&gt;"",Principal!G43,"")</f>
        <v/>
      </c>
      <c r="I1994" s="617" t="str">
        <f t="shared" si="324"/>
        <v/>
      </c>
      <c r="K1994" s="485" t="str">
        <f t="shared" si="325"/>
        <v/>
      </c>
      <c r="L1994" s="21"/>
      <c r="M1994" s="2153"/>
      <c r="N1994" s="2155" t="str">
        <f t="shared" si="332"/>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8"/>
        <v/>
      </c>
      <c r="AA1994" s="582" t="str">
        <f t="shared" si="329"/>
        <v/>
      </c>
      <c r="AB1994" s="582" t="str">
        <f t="shared" si="334"/>
        <v>Historia -</v>
      </c>
      <c r="AC1994" s="584">
        <f t="shared" si="330"/>
        <v>23</v>
      </c>
      <c r="AD1994" s="581" t="str">
        <f t="shared" si="331"/>
        <v/>
      </c>
      <c r="AE1994" s="6115"/>
      <c r="AF1994" s="1280">
        <f>Principal!O43</f>
        <v>0</v>
      </c>
      <c r="AH1994" s="2325"/>
    </row>
    <row r="1995" spans="1:34" ht="12.75" customHeight="1" x14ac:dyDescent="0.2">
      <c r="A1995" s="227">
        <v>1995</v>
      </c>
      <c r="B1995" s="6042"/>
      <c r="C1995" s="279" t="str">
        <f>IF(Ki!$P$35="-",", "&amp;Ki!$N$35,"")</f>
        <v/>
      </c>
      <c r="D1995" s="2395"/>
      <c r="E1995" s="577"/>
      <c r="G1995" s="326">
        <f>COUNTIF($H$1971:H1995,H1995)</f>
        <v>25</v>
      </c>
      <c r="H1995" s="2335" t="str">
        <f>IF(Principal!G44&lt;&gt;"",Principal!G44,"")</f>
        <v/>
      </c>
      <c r="I1995" s="617" t="str">
        <f t="shared" si="324"/>
        <v/>
      </c>
      <c r="K1995" s="485" t="str">
        <f t="shared" si="325"/>
        <v/>
      </c>
      <c r="L1995" s="21"/>
      <c r="M1995" s="2153"/>
      <c r="N1995" s="2155" t="str">
        <f t="shared" si="332"/>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5">IFERROR(Q1995+AF1995+IF(R1995="",0,-80)+IF(T1995="",0,IF(R1995=T1995,-S1995,0)),"-")</f>
        <v>-30</v>
      </c>
      <c r="X1995" s="579" t="str">
        <f t="shared" ref="X1995:X2020" si="336">IFERROR(IF(AND(NOT(R1995=""),R1995=T1995,$P$1969),W1995+S1995+80,""),"-")</f>
        <v/>
      </c>
      <c r="Y1995" s="579" t="str">
        <f t="shared" ref="Y1995:Y2028" si="337">IFERROR(IF(AND(X1995="",NOT(T1995=""),$P$1969),W1995+S1995,""),"")</f>
        <v/>
      </c>
      <c r="Z1995" s="1201" t="str">
        <f t="shared" si="328"/>
        <v/>
      </c>
      <c r="AA1995" s="579" t="str">
        <f t="shared" si="329"/>
        <v/>
      </c>
      <c r="AB1995" s="579" t="str">
        <f t="shared" si="334"/>
        <v>Tactica -30</v>
      </c>
      <c r="AC1995" s="581">
        <f t="shared" si="330"/>
        <v>51</v>
      </c>
      <c r="AD1995" s="581" t="str">
        <f t="shared" si="331"/>
        <v/>
      </c>
      <c r="AE1995" s="6115"/>
      <c r="AF1995" s="1280">
        <f>Principal!O44</f>
        <v>0</v>
      </c>
      <c r="AH1995" s="2325"/>
    </row>
    <row r="1996" spans="1:34" ht="12.75" customHeight="1" x14ac:dyDescent="0.2">
      <c r="A1996" s="227">
        <v>1996</v>
      </c>
      <c r="B1996" s="6042"/>
      <c r="C1996" s="279" t="str">
        <f>IF(Extensióndelauraalarma,", "&amp;Ki!$L$36,"")</f>
        <v/>
      </c>
      <c r="D1996" s="2395"/>
      <c r="E1996" s="577"/>
      <c r="G1996" s="326">
        <f>COUNTIF($H$1971:H1996,H1996)</f>
        <v>26</v>
      </c>
      <c r="H1996" s="2335" t="str">
        <f>IF(Principal!G45&lt;&gt;"",Principal!G45,"")</f>
        <v/>
      </c>
      <c r="I1996" s="617" t="str">
        <f t="shared" si="324"/>
        <v/>
      </c>
      <c r="K1996" s="485" t="str">
        <f t="shared" si="325"/>
        <v/>
      </c>
      <c r="L1996" s="21"/>
      <c r="M1996" s="2153"/>
      <c r="N1996" s="2155" t="str">
        <f t="shared" si="332"/>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5"/>
        <v>-</v>
      </c>
      <c r="X1996" s="579" t="str">
        <f t="shared" si="336"/>
        <v/>
      </c>
      <c r="Y1996" s="579" t="str">
        <f t="shared" si="337"/>
        <v/>
      </c>
      <c r="Z1996" s="1201" t="str">
        <f t="shared" si="328"/>
        <v/>
      </c>
      <c r="AA1996" s="579" t="str">
        <f t="shared" si="329"/>
        <v/>
      </c>
      <c r="AB1996" s="579" t="str">
        <f t="shared" si="334"/>
        <v>Medicina -</v>
      </c>
      <c r="AC1996" s="581">
        <f t="shared" si="330"/>
        <v>27</v>
      </c>
      <c r="AD1996" s="581" t="str">
        <f t="shared" si="331"/>
        <v/>
      </c>
      <c r="AE1996" s="6115"/>
      <c r="AF1996" s="1280">
        <f>Principal!O45</f>
        <v>0</v>
      </c>
      <c r="AH1996" s="2325"/>
    </row>
    <row r="1997" spans="1:34" ht="12.75" customHeight="1" x14ac:dyDescent="0.2">
      <c r="A1997" s="227">
        <v>1997</v>
      </c>
      <c r="B1997" s="6042"/>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4"/>
        <v/>
      </c>
      <c r="K1997" s="485" t="str">
        <f t="shared" si="325"/>
        <v/>
      </c>
      <c r="L1997" s="21"/>
      <c r="M1997" s="2153"/>
      <c r="N1997" s="2155" t="str">
        <f t="shared" si="332"/>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5"/>
        <v>-30</v>
      </c>
      <c r="X1997" s="579" t="str">
        <f t="shared" si="336"/>
        <v/>
      </c>
      <c r="Y1997" s="579" t="str">
        <f t="shared" si="337"/>
        <v/>
      </c>
      <c r="Z1997" s="1201" t="str">
        <f t="shared" si="328"/>
        <v/>
      </c>
      <c r="AA1997" s="579" t="str">
        <f t="shared" si="329"/>
        <v/>
      </c>
      <c r="AB1997" s="579" t="str">
        <f t="shared" si="334"/>
        <v>Memorizar -30</v>
      </c>
      <c r="AC1997" s="581">
        <f t="shared" si="330"/>
        <v>28</v>
      </c>
      <c r="AD1997" s="581" t="str">
        <f t="shared" si="331"/>
        <v/>
      </c>
      <c r="AE1997" s="6115"/>
      <c r="AF1997" s="1280">
        <f>Principal!O46</f>
        <v>0</v>
      </c>
      <c r="AH1997" s="2325"/>
    </row>
    <row r="1998" spans="1:34" ht="12.75" customHeight="1" x14ac:dyDescent="0.2">
      <c r="A1998" s="227">
        <v>1998</v>
      </c>
      <c r="B1998" s="6042"/>
      <c r="C1998" s="279" t="str">
        <f>IF(Ki!$P$38="-",", "&amp;Ki!$M$38,"")</f>
        <v/>
      </c>
      <c r="D1998" s="2395"/>
      <c r="E1998" s="577"/>
      <c r="G1998" s="326">
        <f>COUNTIF($H$1971:H1998,H1998)</f>
        <v>28</v>
      </c>
      <c r="H1998" s="2335" t="str">
        <f>IF(Principal!G47&lt;&gt;"",Principal!G47,"")</f>
        <v/>
      </c>
      <c r="I1998" s="617" t="str">
        <f t="shared" si="324"/>
        <v/>
      </c>
      <c r="K1998" s="485" t="str">
        <f t="shared" si="325"/>
        <v/>
      </c>
      <c r="L1998" s="21"/>
      <c r="M1998" s="2153"/>
      <c r="N1998" s="2155" t="str">
        <f t="shared" si="332"/>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5"/>
        <v>-30</v>
      </c>
      <c r="X1998" s="579" t="str">
        <f t="shared" si="336"/>
        <v/>
      </c>
      <c r="Y1998" s="579" t="str">
        <f t="shared" si="337"/>
        <v/>
      </c>
      <c r="Z1998" s="1201" t="str">
        <f t="shared" si="328"/>
        <v/>
      </c>
      <c r="AA1998" s="579" t="str">
        <f t="shared" si="329"/>
        <v/>
      </c>
      <c r="AB1998" s="579" t="str">
        <f t="shared" si="334"/>
        <v>Navegación -30</v>
      </c>
      <c r="AC1998" s="581">
        <f t="shared" si="330"/>
        <v>32</v>
      </c>
      <c r="AD1998" s="581" t="str">
        <f t="shared" si="331"/>
        <v/>
      </c>
      <c r="AE1998" s="6115"/>
      <c r="AF1998" s="1280">
        <f>Principal!O47</f>
        <v>0</v>
      </c>
      <c r="AH1998" s="2325"/>
    </row>
    <row r="1999" spans="1:34" ht="12.75" customHeight="1" x14ac:dyDescent="0.2">
      <c r="A1999" s="227">
        <v>1999</v>
      </c>
      <c r="B1999" s="6042"/>
      <c r="C1999" s="279" t="str">
        <f>IF(Ki!$P$39="-",", "&amp;Ki!$M$39,"")</f>
        <v/>
      </c>
      <c r="D1999" s="2395"/>
      <c r="E1999" s="577"/>
      <c r="G1999" s="326">
        <f>COUNTIF($H$1971:H1999,H1999)</f>
        <v>29</v>
      </c>
      <c r="H1999" s="2335" t="str">
        <f>IF(Principal!C51&lt;&gt;"",Principal!C51,"")</f>
        <v/>
      </c>
      <c r="I1999" s="617" t="str">
        <f t="shared" si="324"/>
        <v/>
      </c>
      <c r="K1999" s="485" t="str">
        <f t="shared" si="325"/>
        <v/>
      </c>
      <c r="L1999" s="21"/>
      <c r="M1999" s="2153"/>
      <c r="N1999" s="2155" t="str">
        <f t="shared" si="332"/>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5"/>
        <v>-30</v>
      </c>
      <c r="X1999" s="579" t="str">
        <f t="shared" si="336"/>
        <v/>
      </c>
      <c r="Y1999" s="579" t="str">
        <f t="shared" si="337"/>
        <v/>
      </c>
      <c r="Z1999" s="1201" t="str">
        <f t="shared" si="328"/>
        <v/>
      </c>
      <c r="AA1999" s="579" t="str">
        <f t="shared" si="329"/>
        <v/>
      </c>
      <c r="AB1999" s="579" t="str">
        <f t="shared" si="334"/>
        <v>Ocultismo -30</v>
      </c>
      <c r="AC1999" s="581">
        <f t="shared" si="330"/>
        <v>34</v>
      </c>
      <c r="AD1999" s="581" t="str">
        <f t="shared" si="331"/>
        <v/>
      </c>
      <c r="AE1999" s="6115"/>
      <c r="AF1999" s="1280">
        <f>Principal!O48</f>
        <v>0</v>
      </c>
      <c r="AH1999" s="2325"/>
    </row>
    <row r="2000" spans="1:34" ht="12.75" customHeight="1" x14ac:dyDescent="0.2">
      <c r="A2000" s="227">
        <v>2000</v>
      </c>
      <c r="B2000" s="6042"/>
      <c r="C2000" s="279" t="str">
        <f>IF(Ki!$P$40="-",", "&amp;Ki!$M$40,"")</f>
        <v/>
      </c>
      <c r="D2000" s="2395"/>
      <c r="E2000" s="577"/>
      <c r="G2000" s="326">
        <f>COUNTIF($H$1971:H2000,H2000)</f>
        <v>30</v>
      </c>
      <c r="H2000" s="2335" t="str">
        <f>IF(Principal!C52&lt;&gt;"",Principal!C52,"")</f>
        <v/>
      </c>
      <c r="I2000" s="617" t="str">
        <f t="shared" si="324"/>
        <v/>
      </c>
      <c r="K2000" s="485" t="str">
        <f t="shared" si="325"/>
        <v/>
      </c>
      <c r="L2000" s="21"/>
      <c r="M2000" s="2153"/>
      <c r="N2000" s="2155" t="str">
        <f t="shared" si="332"/>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5"/>
        <v>-</v>
      </c>
      <c r="X2000" s="579" t="str">
        <f t="shared" si="336"/>
        <v/>
      </c>
      <c r="Y2000" s="579" t="str">
        <f t="shared" si="337"/>
        <v/>
      </c>
      <c r="Z2000" s="1201" t="str">
        <f t="shared" si="328"/>
        <v/>
      </c>
      <c r="AA2000" s="579" t="str">
        <f t="shared" si="329"/>
        <v/>
      </c>
      <c r="AB2000" s="579" t="str">
        <f t="shared" si="334"/>
        <v>Tasación -</v>
      </c>
      <c r="AC2000" s="581">
        <f t="shared" si="330"/>
        <v>52</v>
      </c>
      <c r="AD2000" s="581" t="str">
        <f t="shared" si="331"/>
        <v/>
      </c>
      <c r="AE2000" s="6115"/>
      <c r="AF2000" s="1280">
        <f>Principal!O49</f>
        <v>0</v>
      </c>
      <c r="AH2000" s="2325"/>
    </row>
    <row r="2001" spans="1:34" ht="12.75" customHeight="1" thickBot="1" x14ac:dyDescent="0.25">
      <c r="A2001" s="227">
        <v>2001</v>
      </c>
      <c r="B2001" s="6042"/>
      <c r="C2001" s="279" t="str">
        <f>IF(Ki!$P$41="-",", "&amp;Ki!$L$41,"")</f>
        <v/>
      </c>
      <c r="D2001" s="2395"/>
      <c r="E2001" s="577"/>
      <c r="G2001" s="660">
        <f>COUNTIF($H$1971:H2001,H2001)</f>
        <v>31</v>
      </c>
      <c r="H2001" s="328" t="str">
        <f>IF(Principal!C53&lt;&gt;"",Principal!C53,"")</f>
        <v/>
      </c>
      <c r="I2001" s="618" t="str">
        <f t="shared" si="324"/>
        <v/>
      </c>
      <c r="K2001" s="485" t="str">
        <f t="shared" si="325"/>
        <v/>
      </c>
      <c r="L2001" s="21"/>
      <c r="M2001" s="2153"/>
      <c r="N2001" s="2155" t="str">
        <f t="shared" si="332"/>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5"/>
        <v>-</v>
      </c>
      <c r="X2001" s="579" t="str">
        <f t="shared" si="336"/>
        <v/>
      </c>
      <c r="Y2001" s="579" t="str">
        <f t="shared" si="337"/>
        <v/>
      </c>
      <c r="Z2001" s="1201" t="str">
        <f t="shared" si="328"/>
        <v/>
      </c>
      <c r="AA2001" s="579" t="str">
        <f t="shared" si="329"/>
        <v/>
      </c>
      <c r="AB2001" s="579" t="str">
        <f t="shared" si="334"/>
        <v>V. Mágica -</v>
      </c>
      <c r="AC2001" s="581">
        <f t="shared" si="330"/>
        <v>55</v>
      </c>
      <c r="AD2001" s="581" t="str">
        <f t="shared" si="331"/>
        <v/>
      </c>
      <c r="AE2001" s="6115"/>
      <c r="AF2001" s="1280">
        <f>Principal!O50</f>
        <v>0</v>
      </c>
      <c r="AH2001" s="2325"/>
    </row>
    <row r="2002" spans="1:34" ht="12.75" customHeight="1" thickBot="1" x14ac:dyDescent="0.25">
      <c r="A2002" s="227">
        <v>2002</v>
      </c>
      <c r="B2002" s="6042"/>
      <c r="C2002" s="279" t="str">
        <f>IF(Ki!$P$42="-",", "&amp;Ki!$L$42,"")</f>
        <v/>
      </c>
      <c r="D2002" s="2395"/>
      <c r="E2002" s="577"/>
      <c r="H2002"/>
      <c r="K2002" s="485" t="str">
        <f t="shared" si="325"/>
        <v/>
      </c>
      <c r="L2002" s="21"/>
      <c r="M2002" s="2153"/>
      <c r="N2002" s="2155" t="str">
        <f t="shared" si="332"/>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5"/>
        <v>-30</v>
      </c>
      <c r="X2002" s="579" t="str">
        <f t="shared" si="336"/>
        <v/>
      </c>
      <c r="Y2002" s="579" t="str">
        <f t="shared" si="337"/>
        <v/>
      </c>
      <c r="Z2002" s="1201" t="str">
        <f t="shared" si="328"/>
        <v/>
      </c>
      <c r="AA2002" s="579" t="str">
        <f t="shared" si="329"/>
        <v/>
      </c>
      <c r="AB2002" s="579" t="str">
        <f t="shared" si="334"/>
        <v>Frialdad -30</v>
      </c>
      <c r="AC2002" s="581">
        <f t="shared" si="330"/>
        <v>21</v>
      </c>
      <c r="AD2002" s="581" t="str">
        <f t="shared" si="331"/>
        <v/>
      </c>
      <c r="AE2002" s="6115"/>
      <c r="AF2002" s="1280">
        <f>Principal!O51</f>
        <v>0</v>
      </c>
      <c r="AH2002" s="2325"/>
    </row>
    <row r="2003" spans="1:34" ht="12.75" customHeight="1" thickBot="1" x14ac:dyDescent="0.25">
      <c r="A2003" s="227">
        <v>2003</v>
      </c>
      <c r="B2003" s="6042"/>
      <c r="C2003" s="279" t="str">
        <f>IF(Ki!$P$43="-",", "&amp;Ki!$L$43,"")</f>
        <v/>
      </c>
      <c r="D2003" s="2395"/>
      <c r="E2003" s="577"/>
      <c r="G2003" s="6356" t="s">
        <v>9672</v>
      </c>
      <c r="H2003" s="6357"/>
      <c r="I2003" s="6358"/>
      <c r="K2003" s="485" t="str">
        <f t="shared" si="325"/>
        <v/>
      </c>
      <c r="L2003" s="21"/>
      <c r="M2003" s="2153"/>
      <c r="N2003" s="2155" t="str">
        <f t="shared" si="332"/>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5"/>
        <v>-30</v>
      </c>
      <c r="X2003" s="579" t="str">
        <f t="shared" si="336"/>
        <v/>
      </c>
      <c r="Y2003" s="579" t="str">
        <f t="shared" si="337"/>
        <v/>
      </c>
      <c r="Z2003" s="1201" t="str">
        <f t="shared" si="328"/>
        <v/>
      </c>
      <c r="AA2003" s="579" t="str">
        <f t="shared" si="329"/>
        <v/>
      </c>
      <c r="AB2003" s="579" t="str">
        <f t="shared" si="334"/>
        <v>P. Fuerza -30</v>
      </c>
      <c r="AC2003" s="581">
        <f t="shared" si="330"/>
        <v>36</v>
      </c>
      <c r="AD2003" s="581" t="str">
        <f t="shared" si="331"/>
        <v/>
      </c>
      <c r="AE2003" s="6115"/>
      <c r="AF2003" s="1280">
        <f>Principal!O52</f>
        <v>0</v>
      </c>
      <c r="AH2003" s="2325"/>
    </row>
    <row r="2004" spans="1:34" ht="12.75" customHeight="1" thickBot="1" x14ac:dyDescent="0.25">
      <c r="A2004" s="227">
        <v>2004</v>
      </c>
      <c r="B2004" s="6042"/>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5"/>
        <v/>
      </c>
      <c r="L2004" s="21"/>
      <c r="M2004" s="2153"/>
      <c r="N2004" s="2155" t="str">
        <f t="shared" si="332"/>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5"/>
        <v>-30</v>
      </c>
      <c r="X2004" s="579" t="str">
        <f t="shared" si="336"/>
        <v/>
      </c>
      <c r="Y2004" s="579" t="str">
        <f t="shared" si="337"/>
        <v/>
      </c>
      <c r="Z2004" s="1201" t="str">
        <f t="shared" si="328"/>
        <v/>
      </c>
      <c r="AA2004" s="579" t="str">
        <f t="shared" si="329"/>
        <v/>
      </c>
      <c r="AB2004" s="579" t="str">
        <f t="shared" si="334"/>
        <v>Res. Dolor -30</v>
      </c>
      <c r="AC2004" s="581">
        <f t="shared" si="330"/>
        <v>40</v>
      </c>
      <c r="AD2004" s="581" t="str">
        <f t="shared" si="331"/>
        <v/>
      </c>
      <c r="AE2004" s="6115"/>
      <c r="AF2004" s="1280">
        <f>Principal!O53</f>
        <v>0</v>
      </c>
      <c r="AH2004" s="2325"/>
    </row>
    <row r="2005" spans="1:34" ht="12.75" customHeight="1" thickBot="1" x14ac:dyDescent="0.25">
      <c r="A2005" s="227">
        <v>2005</v>
      </c>
      <c r="B2005" s="6042"/>
      <c r="C2005" s="279" t="str">
        <f>IF(Ki!$P$45="-",", "&amp;Ki!$L$45,"")</f>
        <v/>
      </c>
      <c r="D2005" s="2395"/>
      <c r="E2005" s="577"/>
      <c r="K2005" s="485" t="str">
        <f t="shared" ref="K2005:K2028" si="338">IF(AD2005&lt;&gt;"",", "&amp;AD2005,"")</f>
        <v/>
      </c>
      <c r="L2005" s="21"/>
      <c r="M2005" s="2153"/>
      <c r="N2005" s="2155" t="str">
        <f t="shared" si="332"/>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5"/>
        <v>-30</v>
      </c>
      <c r="X2005" s="579" t="str">
        <f t="shared" si="336"/>
        <v/>
      </c>
      <c r="Y2005" s="579" t="str">
        <f t="shared" si="337"/>
        <v/>
      </c>
      <c r="Z2005" s="1201" t="str">
        <f t="shared" ref="Z2005:Z2028" si="339">IFERROR(IF(AND(X2005="",NOT(V2005="")),W2005+U2005,""),"")</f>
        <v/>
      </c>
      <c r="AA2005" s="579" t="str">
        <f t="shared" si="329"/>
        <v/>
      </c>
      <c r="AB2005" s="579" t="str">
        <f t="shared" si="334"/>
        <v>Cerrajería -30</v>
      </c>
      <c r="AC2005" s="581">
        <f t="shared" ref="AC2005:AC2028" si="340">COUNTIF($P$1973:$P$2028,"&lt;="&amp;P2005)</f>
        <v>12</v>
      </c>
      <c r="AD2005" s="581" t="str">
        <f t="shared" ref="AD2005:AD2028" si="341">IF(INDEX($O$1973:$O$2028,MATCH($A33,$AC$1973:$AC$2028,0)),INDEX($AB$1973:$AB$2028,MATCH($A33,$AC$1973:$AC$2028,0)),"")</f>
        <v/>
      </c>
      <c r="AE2005" s="6115"/>
      <c r="AF2005" s="1280">
        <f>Principal!O54</f>
        <v>0</v>
      </c>
      <c r="AH2005" s="2325"/>
    </row>
    <row r="2006" spans="1:34" ht="12.75" customHeight="1" thickBot="1" x14ac:dyDescent="0.25">
      <c r="A2006" s="227">
        <v>2006</v>
      </c>
      <c r="B2006" s="6042"/>
      <c r="C2006" s="279" t="str">
        <f>IF(Ki!$P$46="-",", "&amp;Ki!$M$46,"")</f>
        <v/>
      </c>
      <c r="D2006" s="2395"/>
      <c r="E2006" s="577"/>
      <c r="G2006" s="3684" t="s">
        <v>8732</v>
      </c>
      <c r="H2006" s="3686"/>
      <c r="K2006" s="485" t="str">
        <f t="shared" si="338"/>
        <v/>
      </c>
      <c r="L2006" s="21"/>
      <c r="M2006" s="2153"/>
      <c r="N2006" s="2155" t="str">
        <f t="shared" ref="N2006:N2028" si="342">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5"/>
        <v>-30</v>
      </c>
      <c r="X2006" s="579" t="str">
        <f t="shared" si="336"/>
        <v/>
      </c>
      <c r="Y2006" s="579" t="str">
        <f t="shared" si="337"/>
        <v/>
      </c>
      <c r="Z2006" s="1201" t="str">
        <f t="shared" si="339"/>
        <v/>
      </c>
      <c r="AA2006" s="579" t="str">
        <f t="shared" si="329"/>
        <v/>
      </c>
      <c r="AB2006" s="579" t="str">
        <f t="shared" si="334"/>
        <v>Disfraz -30</v>
      </c>
      <c r="AC2006" s="581">
        <f t="shared" si="340"/>
        <v>17</v>
      </c>
      <c r="AD2006" s="581" t="str">
        <f t="shared" si="341"/>
        <v/>
      </c>
      <c r="AE2006" s="6115"/>
      <c r="AF2006" s="1280">
        <f>Principal!O55</f>
        <v>0</v>
      </c>
      <c r="AH2006" s="2325"/>
    </row>
    <row r="2007" spans="1:34" ht="12.75" customHeight="1" thickBot="1" x14ac:dyDescent="0.25">
      <c r="A2007" s="227">
        <v>2007</v>
      </c>
      <c r="B2007" s="6042"/>
      <c r="C2007" s="279" t="str">
        <f>IF(Ki!$P$47="-",", "&amp;Ki!$M$47,"")</f>
        <v/>
      </c>
      <c r="D2007" s="2395"/>
      <c r="E2007" s="577"/>
      <c r="G2007" s="6064"/>
      <c r="H2007" s="5771"/>
      <c r="K2007" s="485" t="str">
        <f t="shared" si="338"/>
        <v/>
      </c>
      <c r="L2007" s="21"/>
      <c r="M2007" s="2153"/>
      <c r="N2007" s="2155" t="str">
        <f t="shared" si="342"/>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5"/>
        <v>-30</v>
      </c>
      <c r="X2007" s="579" t="str">
        <f t="shared" si="336"/>
        <v/>
      </c>
      <c r="Y2007" s="579" t="str">
        <f t="shared" si="337"/>
        <v/>
      </c>
      <c r="Z2007" s="1201" t="str">
        <f t="shared" si="339"/>
        <v/>
      </c>
      <c r="AA2007" s="579" t="str">
        <f t="shared" si="329"/>
        <v/>
      </c>
      <c r="AB2007" s="579" t="str">
        <f t="shared" si="334"/>
        <v>Ocultarse -30</v>
      </c>
      <c r="AC2007" s="581">
        <f t="shared" si="340"/>
        <v>33</v>
      </c>
      <c r="AD2007" s="581" t="str">
        <f t="shared" si="341"/>
        <v/>
      </c>
      <c r="AE2007" s="6115"/>
      <c r="AF2007" s="1280">
        <f>Principal!O56</f>
        <v>0</v>
      </c>
      <c r="AH2007" s="2325"/>
    </row>
    <row r="2008" spans="1:34" ht="12.75" customHeight="1" thickBot="1" x14ac:dyDescent="0.25">
      <c r="A2008" s="227">
        <v>2008</v>
      </c>
      <c r="B2008" s="6042"/>
      <c r="C2008" s="279" t="str">
        <f>IF(Ki!$P$48="-",", "&amp;Ki!$L$48,"")</f>
        <v/>
      </c>
      <c r="D2008" s="2395"/>
      <c r="E2008" s="577"/>
      <c r="G2008" s="1809"/>
      <c r="H2008" s="1812" t="s">
        <v>8738</v>
      </c>
      <c r="K2008" s="485" t="str">
        <f t="shared" si="338"/>
        <v/>
      </c>
      <c r="L2008" s="21"/>
      <c r="M2008" s="2153"/>
      <c r="N2008" s="2155" t="str">
        <f t="shared" si="342"/>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5"/>
        <v>-30</v>
      </c>
      <c r="X2008" s="579" t="str">
        <f t="shared" si="336"/>
        <v/>
      </c>
      <c r="Y2008" s="579" t="str">
        <f t="shared" si="337"/>
        <v/>
      </c>
      <c r="Z2008" s="1201" t="str">
        <f t="shared" si="339"/>
        <v/>
      </c>
      <c r="AA2008" s="579" t="str">
        <f t="shared" si="329"/>
        <v/>
      </c>
      <c r="AB2008" s="579" t="str">
        <f t="shared" si="334"/>
        <v>Robo -30</v>
      </c>
      <c r="AC2008" s="581">
        <f t="shared" si="340"/>
        <v>41</v>
      </c>
      <c r="AD2008" s="581" t="str">
        <f t="shared" si="341"/>
        <v/>
      </c>
      <c r="AE2008" s="6115"/>
      <c r="AF2008" s="1280">
        <f>Principal!O57</f>
        <v>0</v>
      </c>
      <c r="AH2008" s="2325"/>
    </row>
    <row r="2009" spans="1:34" ht="12.75" customHeight="1" thickBot="1" x14ac:dyDescent="0.25">
      <c r="A2009" s="227">
        <v>2009</v>
      </c>
      <c r="B2009" s="6042"/>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8"/>
        <v/>
      </c>
      <c r="L2009" s="21"/>
      <c r="M2009" s="2153"/>
      <c r="N2009" s="2155" t="str">
        <f t="shared" si="342"/>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5"/>
        <v>-30</v>
      </c>
      <c r="X2009" s="579" t="str">
        <f t="shared" si="336"/>
        <v/>
      </c>
      <c r="Y2009" s="579" t="str">
        <f t="shared" si="337"/>
        <v/>
      </c>
      <c r="Z2009" s="1201" t="str">
        <f t="shared" si="339"/>
        <v/>
      </c>
      <c r="AA2009" s="579" t="str">
        <f t="shared" si="329"/>
        <v/>
      </c>
      <c r="AB2009" s="579" t="str">
        <f t="shared" si="334"/>
        <v>Sigilo -30</v>
      </c>
      <c r="AC2009" s="581">
        <f t="shared" si="340"/>
        <v>49</v>
      </c>
      <c r="AD2009" s="581" t="str">
        <f t="shared" si="341"/>
        <v/>
      </c>
      <c r="AE2009" s="6115"/>
      <c r="AF2009" s="1280">
        <f>Principal!O58</f>
        <v>0</v>
      </c>
      <c r="AH2009" s="2325"/>
    </row>
    <row r="2010" spans="1:34" ht="12.75" customHeight="1" thickBot="1" x14ac:dyDescent="0.25">
      <c r="A2010" s="227">
        <v>2010</v>
      </c>
      <c r="B2010" s="6042"/>
      <c r="C2010" s="279" t="str">
        <f>IF(Ki!$P$50="-",", "&amp;Ki!$L$50&amp;" "&amp;Ki!$F$36,"")</f>
        <v/>
      </c>
      <c r="D2010" s="2395"/>
      <c r="E2010" s="577"/>
      <c r="K2010" s="485" t="str">
        <f t="shared" si="338"/>
        <v/>
      </c>
      <c r="L2010" s="21"/>
      <c r="M2010" s="2153"/>
      <c r="N2010" s="2155" t="str">
        <f t="shared" si="342"/>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5"/>
        <v>-30</v>
      </c>
      <c r="X2010" s="579" t="str">
        <f t="shared" si="336"/>
        <v/>
      </c>
      <c r="Y2010" s="579" t="str">
        <f t="shared" si="337"/>
        <v/>
      </c>
      <c r="Z2010" s="1201" t="str">
        <f t="shared" si="339"/>
        <v/>
      </c>
      <c r="AA2010" s="579" t="str">
        <f t="shared" si="329"/>
        <v/>
      </c>
      <c r="AB2010" s="579" t="str">
        <f t="shared" si="334"/>
        <v>Trampería -30</v>
      </c>
      <c r="AC2010" s="581">
        <f t="shared" si="340"/>
        <v>53</v>
      </c>
      <c r="AD2010" s="581" t="str">
        <f t="shared" si="341"/>
        <v/>
      </c>
      <c r="AE2010" s="6115"/>
      <c r="AF2010" s="1280">
        <f>Principal!O59</f>
        <v>0</v>
      </c>
      <c r="AH2010" s="2325"/>
    </row>
    <row r="2011" spans="1:34" ht="12.75" customHeight="1" thickBot="1" x14ac:dyDescent="0.25">
      <c r="A2011" s="227">
        <v>2011</v>
      </c>
      <c r="B2011" s="6042"/>
      <c r="C2011" s="279" t="str">
        <f>IF(Ki!$P$51="-",", "&amp;Ki!$M$51,"")</f>
        <v/>
      </c>
      <c r="D2011" s="2395"/>
      <c r="E2011" s="577"/>
      <c r="G2011" s="3684" t="s">
        <v>9627</v>
      </c>
      <c r="H2011" s="3686"/>
      <c r="K2011" s="485" t="str">
        <f t="shared" si="338"/>
        <v/>
      </c>
      <c r="L2011" s="21"/>
      <c r="M2011" s="2153"/>
      <c r="N2011" s="2155" t="str">
        <f t="shared" si="342"/>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5"/>
        <v>-</v>
      </c>
      <c r="X2011" s="579" t="str">
        <f t="shared" si="336"/>
        <v/>
      </c>
      <c r="Y2011" s="579" t="str">
        <f t="shared" si="337"/>
        <v/>
      </c>
      <c r="Z2011" s="1201" t="str">
        <f t="shared" si="339"/>
        <v/>
      </c>
      <c r="AA2011" s="579" t="str">
        <f t="shared" si="329"/>
        <v/>
      </c>
      <c r="AB2011" s="579" t="str">
        <f t="shared" si="334"/>
        <v>Venenos -</v>
      </c>
      <c r="AC2011" s="581">
        <f t="shared" si="340"/>
        <v>56</v>
      </c>
      <c r="AD2011" s="581" t="str">
        <f t="shared" si="341"/>
        <v/>
      </c>
      <c r="AE2011" s="6115"/>
      <c r="AF2011" s="1280">
        <f>Principal!O60</f>
        <v>0</v>
      </c>
      <c r="AH2011" s="2325"/>
    </row>
    <row r="2012" spans="1:34" ht="12.75" customHeight="1" thickBot="1" x14ac:dyDescent="0.25">
      <c r="A2012" s="227">
        <v>2012</v>
      </c>
      <c r="B2012" s="6042"/>
      <c r="C2012" s="279" t="str">
        <f>IF(Ki!$P$52="-",", "&amp;Ki!$M$52,"")</f>
        <v/>
      </c>
      <c r="D2012" s="2395"/>
      <c r="E2012" s="577"/>
      <c r="G2012" s="6064"/>
      <c r="H2012" s="5771"/>
      <c r="K2012" s="485" t="str">
        <f t="shared" si="338"/>
        <v/>
      </c>
      <c r="L2012" s="21"/>
      <c r="M2012" s="2153"/>
      <c r="N2012" s="2155" t="str">
        <f t="shared" si="342"/>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5"/>
        <v>-30</v>
      </c>
      <c r="X2012" s="579" t="str">
        <f t="shared" si="336"/>
        <v/>
      </c>
      <c r="Y2012" s="579" t="str">
        <f t="shared" si="337"/>
        <v/>
      </c>
      <c r="Z2012" s="1201" t="str">
        <f t="shared" si="339"/>
        <v/>
      </c>
      <c r="AA2012" s="579" t="str">
        <f t="shared" si="329"/>
        <v/>
      </c>
      <c r="AB2012" s="579" t="str">
        <f t="shared" si="334"/>
        <v>Arte -30</v>
      </c>
      <c r="AC2012" s="581">
        <f t="shared" si="340"/>
        <v>6</v>
      </c>
      <c r="AD2012" s="581" t="str">
        <f t="shared" si="341"/>
        <v/>
      </c>
      <c r="AE2012" s="6115"/>
      <c r="AF2012" s="1280">
        <f>Principal!O61</f>
        <v>0</v>
      </c>
      <c r="AH2012" s="2325"/>
    </row>
    <row r="2013" spans="1:34" ht="12.75" customHeight="1" thickBot="1" x14ac:dyDescent="0.25">
      <c r="A2013" s="227">
        <v>2013</v>
      </c>
      <c r="B2013" s="6042"/>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8"/>
        <v/>
      </c>
      <c r="L2013" s="21"/>
      <c r="M2013" s="2153"/>
      <c r="N2013" s="2155" t="str">
        <f t="shared" si="342"/>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5"/>
        <v>-</v>
      </c>
      <c r="X2013" s="579" t="str">
        <f t="shared" si="336"/>
        <v/>
      </c>
      <c r="Y2013" s="579" t="str">
        <f t="shared" si="337"/>
        <v/>
      </c>
      <c r="Z2013" s="1201" t="str">
        <f t="shared" si="339"/>
        <v/>
      </c>
      <c r="AA2013" s="579" t="str">
        <f t="shared" si="329"/>
        <v/>
      </c>
      <c r="AB2013" s="579" t="str">
        <f t="shared" si="334"/>
        <v>Baile -</v>
      </c>
      <c r="AC2013" s="581">
        <f t="shared" si="340"/>
        <v>8</v>
      </c>
      <c r="AD2013" s="581" t="str">
        <f t="shared" si="341"/>
        <v/>
      </c>
      <c r="AE2013" s="6115"/>
      <c r="AF2013" s="1280">
        <f>Principal!O62</f>
        <v>0</v>
      </c>
      <c r="AH2013" s="2325"/>
    </row>
    <row r="2014" spans="1:34" ht="12.75" customHeight="1" thickBot="1" x14ac:dyDescent="0.25">
      <c r="A2014" s="227">
        <v>2014</v>
      </c>
      <c r="B2014" s="6042"/>
      <c r="C2014" s="279" t="str">
        <f>IF(Ki!$P$54="-",", "&amp;Ki!$M$54,"")</f>
        <v/>
      </c>
      <c r="D2014" s="2395"/>
      <c r="E2014" s="577"/>
      <c r="K2014" s="485" t="str">
        <f t="shared" si="338"/>
        <v/>
      </c>
      <c r="L2014" s="21"/>
      <c r="M2014" s="2153"/>
      <c r="N2014" s="2155" t="str">
        <f t="shared" si="342"/>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5"/>
        <v>-</v>
      </c>
      <c r="X2014" s="579" t="str">
        <f t="shared" si="336"/>
        <v/>
      </c>
      <c r="Y2014" s="579" t="str">
        <f t="shared" si="337"/>
        <v/>
      </c>
      <c r="Z2014" s="1201" t="str">
        <f t="shared" si="339"/>
        <v/>
      </c>
      <c r="AA2014" s="579" t="str">
        <f t="shared" si="329"/>
        <v/>
      </c>
      <c r="AB2014" s="579" t="str">
        <f t="shared" si="334"/>
        <v>Forja -</v>
      </c>
      <c r="AC2014" s="581">
        <f t="shared" si="340"/>
        <v>20</v>
      </c>
      <c r="AD2014" s="581" t="str">
        <f t="shared" si="341"/>
        <v/>
      </c>
      <c r="AE2014" s="6115"/>
      <c r="AF2014" s="1280">
        <f>Principal!O63</f>
        <v>0</v>
      </c>
      <c r="AH2014" s="2325"/>
    </row>
    <row r="2015" spans="1:34" ht="12.75" customHeight="1" x14ac:dyDescent="0.2">
      <c r="A2015" s="227">
        <v>2015</v>
      </c>
      <c r="B2015" s="6042"/>
      <c r="C2015" s="279" t="str">
        <f>IF(Ki!$P$55="-",", "&amp;Ki!$M$55,"")</f>
        <v/>
      </c>
      <c r="D2015" s="2395"/>
      <c r="E2015" s="577"/>
      <c r="G2015" s="3158" t="s">
        <v>643</v>
      </c>
      <c r="H2015" s="3159"/>
      <c r="I2015" s="3160"/>
      <c r="K2015" s="485" t="str">
        <f t="shared" si="338"/>
        <v/>
      </c>
      <c r="L2015" s="21"/>
      <c r="M2015" s="2153"/>
      <c r="N2015" s="2155" t="str">
        <f t="shared" si="342"/>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5"/>
        <v>-30</v>
      </c>
      <c r="X2015" s="579" t="str">
        <f t="shared" si="336"/>
        <v/>
      </c>
      <c r="Y2015" s="579" t="str">
        <f t="shared" si="337"/>
        <v/>
      </c>
      <c r="Z2015" s="1201" t="str">
        <f t="shared" si="339"/>
        <v/>
      </c>
      <c r="AA2015" s="579" t="str">
        <f t="shared" si="329"/>
        <v/>
      </c>
      <c r="AB2015" s="579" t="str">
        <f t="shared" si="334"/>
        <v>Runas -30</v>
      </c>
      <c r="AC2015" s="581">
        <f t="shared" si="340"/>
        <v>42</v>
      </c>
      <c r="AD2015" s="581" t="str">
        <f t="shared" si="341"/>
        <v/>
      </c>
      <c r="AE2015" s="6115"/>
      <c r="AF2015" s="1280">
        <f>Principal!O64</f>
        <v>0</v>
      </c>
      <c r="AH2015" s="2325"/>
    </row>
    <row r="2016" spans="1:34" ht="12.75" customHeight="1" x14ac:dyDescent="0.2">
      <c r="A2016" s="227">
        <v>2016</v>
      </c>
      <c r="B2016" s="6042"/>
      <c r="C2016" s="279" t="str">
        <f>IF(Ki!$P$56="-",", "&amp;Ki!$M$56,"")</f>
        <v/>
      </c>
      <c r="D2016" s="2395"/>
      <c r="E2016" s="577"/>
      <c r="G2016" s="3188"/>
      <c r="H2016" s="3189"/>
      <c r="I2016" s="3247"/>
      <c r="K2016" s="485" t="str">
        <f t="shared" si="338"/>
        <v/>
      </c>
      <c r="L2016" s="21"/>
      <c r="M2016" s="2153"/>
      <c r="N2016" s="2155" t="str">
        <f t="shared" si="342"/>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5"/>
        <v>-30</v>
      </c>
      <c r="X2016" s="579" t="str">
        <f t="shared" si="336"/>
        <v/>
      </c>
      <c r="Y2016" s="579" t="str">
        <f t="shared" si="337"/>
        <v/>
      </c>
      <c r="Z2016" s="1201" t="str">
        <f t="shared" si="339"/>
        <v/>
      </c>
      <c r="AA2016" s="579" t="str">
        <f t="shared" si="329"/>
        <v/>
      </c>
      <c r="AB2016" s="579" t="str">
        <f t="shared" si="334"/>
        <v>Alquimia -30</v>
      </c>
      <c r="AC2016" s="581">
        <f t="shared" si="340"/>
        <v>3</v>
      </c>
      <c r="AD2016" s="581" t="str">
        <f t="shared" si="341"/>
        <v/>
      </c>
      <c r="AE2016" s="6115"/>
      <c r="AF2016" s="1280">
        <f>Principal!O65</f>
        <v>0</v>
      </c>
      <c r="AH2016" s="2325"/>
    </row>
    <row r="2017" spans="1:34" ht="12.75" customHeight="1" x14ac:dyDescent="0.2">
      <c r="A2017" s="227">
        <v>2017</v>
      </c>
      <c r="B2017" s="6042"/>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8"/>
        <v/>
      </c>
      <c r="L2017" s="21"/>
      <c r="M2017" s="2153"/>
      <c r="N2017" s="2155" t="str">
        <f t="shared" si="342"/>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5"/>
        <v>-30</v>
      </c>
      <c r="X2017" s="579" t="str">
        <f t="shared" si="336"/>
        <v/>
      </c>
      <c r="Y2017" s="579" t="str">
        <f t="shared" si="337"/>
        <v/>
      </c>
      <c r="Z2017" s="1201" t="str">
        <f t="shared" si="339"/>
        <v/>
      </c>
      <c r="AA2017" s="579" t="str">
        <f t="shared" si="329"/>
        <v/>
      </c>
      <c r="AB2017" s="579" t="str">
        <f t="shared" si="334"/>
        <v>Animismo -30</v>
      </c>
      <c r="AC2017" s="581">
        <f t="shared" si="340"/>
        <v>5</v>
      </c>
      <c r="AD2017" s="581" t="str">
        <f t="shared" si="341"/>
        <v/>
      </c>
      <c r="AE2017" s="6115"/>
      <c r="AF2017" s="1280">
        <f>Principal!O66</f>
        <v>0</v>
      </c>
      <c r="AH2017" s="2325"/>
    </row>
    <row r="2018" spans="1:34" ht="12.75" customHeight="1" x14ac:dyDescent="0.2">
      <c r="A2018" s="227">
        <v>2018</v>
      </c>
      <c r="B2018" s="6042"/>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8"/>
        <v/>
      </c>
      <c r="L2018" s="21"/>
      <c r="M2018" s="2153"/>
      <c r="N2018" s="2155" t="str">
        <f t="shared" si="342"/>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5"/>
        <v>-</v>
      </c>
      <c r="X2018" s="579" t="str">
        <f t="shared" si="336"/>
        <v/>
      </c>
      <c r="Y2018" s="579" t="str">
        <f t="shared" si="337"/>
        <v/>
      </c>
      <c r="Z2018" s="1201" t="str">
        <f t="shared" si="339"/>
        <v/>
      </c>
      <c r="AA2018" s="579" t="str">
        <f t="shared" si="329"/>
        <v/>
      </c>
      <c r="AB2018" s="579" t="str">
        <f t="shared" si="334"/>
        <v>Música -</v>
      </c>
      <c r="AC2018" s="581">
        <f t="shared" si="340"/>
        <v>30</v>
      </c>
      <c r="AD2018" s="581" t="str">
        <f t="shared" si="341"/>
        <v/>
      </c>
      <c r="AE2018" s="6115"/>
      <c r="AF2018" s="1280">
        <f>Principal!O67</f>
        <v>0</v>
      </c>
      <c r="AH2018" s="2325"/>
    </row>
    <row r="2019" spans="1:34" ht="12.75" customHeight="1" x14ac:dyDescent="0.2">
      <c r="A2019" s="227">
        <v>2019</v>
      </c>
      <c r="B2019" s="6042"/>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8"/>
        <v/>
      </c>
      <c r="L2019" s="21"/>
      <c r="M2019" s="2153"/>
      <c r="N2019" s="2155" t="str">
        <f t="shared" si="342"/>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5"/>
        <v>-30</v>
      </c>
      <c r="X2019" s="579" t="str">
        <f t="shared" si="336"/>
        <v/>
      </c>
      <c r="Y2019" s="579" t="str">
        <f t="shared" si="337"/>
        <v/>
      </c>
      <c r="Z2019" s="1201" t="str">
        <f t="shared" si="339"/>
        <v/>
      </c>
      <c r="AA2019" s="579" t="str">
        <f t="shared" si="329"/>
        <v/>
      </c>
      <c r="AB2019" s="579" t="str">
        <f t="shared" si="334"/>
        <v>T. Manos -30</v>
      </c>
      <c r="AC2019" s="581">
        <f t="shared" si="340"/>
        <v>50</v>
      </c>
      <c r="AD2019" s="581" t="str">
        <f t="shared" si="341"/>
        <v/>
      </c>
      <c r="AE2019" s="6115"/>
      <c r="AF2019" s="1280">
        <f>Principal!O68</f>
        <v>0</v>
      </c>
      <c r="AH2019" s="2325"/>
    </row>
    <row r="2020" spans="1:34" ht="12.75" customHeight="1" x14ac:dyDescent="0.2">
      <c r="A2020" s="227">
        <v>2020</v>
      </c>
      <c r="B2020" s="6042"/>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8"/>
        <v/>
      </c>
      <c r="L2020" s="21"/>
      <c r="M2020" s="2153"/>
      <c r="N2020" s="2155" t="str">
        <f t="shared" si="342"/>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5"/>
        <v>-30</v>
      </c>
      <c r="X2020" s="579" t="str">
        <f t="shared" si="336"/>
        <v/>
      </c>
      <c r="Y2020" s="579" t="str">
        <f t="shared" si="337"/>
        <v/>
      </c>
      <c r="Z2020" s="1201" t="str">
        <f t="shared" si="339"/>
        <v/>
      </c>
      <c r="AA2020" s="579" t="str">
        <f t="shared" si="329"/>
        <v/>
      </c>
      <c r="AB2020" s="579" t="str">
        <f t="shared" si="334"/>
        <v>Caligrafía ritual -30</v>
      </c>
      <c r="AC2020" s="581">
        <f t="shared" si="340"/>
        <v>10</v>
      </c>
      <c r="AD2020" s="581" t="str">
        <f t="shared" si="341"/>
        <v/>
      </c>
      <c r="AE2020" s="6115"/>
      <c r="AF2020" s="1280">
        <f>Principal!O69</f>
        <v>0</v>
      </c>
      <c r="AH2020" s="2325"/>
    </row>
    <row r="2021" spans="1:34" ht="12.75" customHeight="1" x14ac:dyDescent="0.2">
      <c r="A2021" s="227">
        <v>2021</v>
      </c>
      <c r="B2021" s="6042"/>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8"/>
        <v/>
      </c>
      <c r="L2021" s="21"/>
      <c r="M2021" s="2153"/>
      <c r="N2021" s="2155" t="str">
        <f t="shared" si="342"/>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7"/>
        <v/>
      </c>
      <c r="Z2021" s="1202" t="str">
        <f t="shared" si="339"/>
        <v/>
      </c>
      <c r="AA2021" s="582" t="str">
        <f>IFERROR(IF(AND(X2021="",NOT(R2021="")),W2021+120,""),"-")</f>
        <v/>
      </c>
      <c r="AB2021" s="582" t="str">
        <f t="shared" si="334"/>
        <v>Orfebrería -30</v>
      </c>
      <c r="AC2021" s="584">
        <f t="shared" si="340"/>
        <v>35</v>
      </c>
      <c r="AD2021" s="581" t="str">
        <f t="shared" si="341"/>
        <v/>
      </c>
      <c r="AE2021" s="6115"/>
      <c r="AF2021" s="1280">
        <f>Principal!O70</f>
        <v>0</v>
      </c>
      <c r="AH2021" s="2325"/>
    </row>
    <row r="2022" spans="1:34" ht="12.75" customHeight="1" x14ac:dyDescent="0.2">
      <c r="A2022" s="227">
        <v>2022</v>
      </c>
      <c r="B2022" s="6042"/>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8"/>
        <v/>
      </c>
      <c r="L2022" s="21"/>
      <c r="M2022" s="2153"/>
      <c r="N2022" s="2155" t="str">
        <f t="shared" si="342"/>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3">IFERROR(Q2022+AF2022+IF(R2022="",0,-80)+IF(T2022="",0,IF(R2022=T2022,-S2022,0)),"-")</f>
        <v>-30</v>
      </c>
      <c r="X2022" s="579" t="str">
        <f t="shared" ref="X2022:X2028" si="344">IFERROR(IF(AND(NOT(R2022=""),R2022=T2022,$P$1969),W2022+S2022+80,""),"-")</f>
        <v/>
      </c>
      <c r="Y2022" s="579" t="str">
        <f t="shared" si="337"/>
        <v/>
      </c>
      <c r="Z2022" s="1201" t="str">
        <f t="shared" si="339"/>
        <v/>
      </c>
      <c r="AA2022" s="579" t="str">
        <f t="shared" ref="AA2022:AA2028" si="345">IFERROR(IF(AND(X2022="",NOT(R2022="")),W2022+80,""),"-")</f>
        <v/>
      </c>
      <c r="AB2022" s="579" t="str">
        <f t="shared" si="334"/>
        <v>Confección -30</v>
      </c>
      <c r="AC2022" s="581">
        <f t="shared" si="340"/>
        <v>16</v>
      </c>
      <c r="AD2022" s="581" t="str">
        <f t="shared" si="341"/>
        <v/>
      </c>
      <c r="AE2022" s="6115"/>
      <c r="AF2022" s="1280">
        <f>Principal!O71</f>
        <v>0</v>
      </c>
      <c r="AH2022" s="2325"/>
    </row>
    <row r="2023" spans="1:34" ht="12.75" customHeight="1" x14ac:dyDescent="0.2">
      <c r="A2023" s="227">
        <v>2023</v>
      </c>
      <c r="B2023" s="6042"/>
      <c r="C2023" s="279"/>
      <c r="D2023" s="2395"/>
      <c r="E2023" s="577"/>
      <c r="G2023" s="485" t="str">
        <f>IF(Místicos!H21&gt;0,", "&amp;Místicos!H21&amp;" "&amp;Místicos!C21&amp;IF(I2023="",""," ("&amp;LEFT(I2023,LEN(I2023)-2)&amp;")"),"")</f>
        <v/>
      </c>
      <c r="H2023" s="2395"/>
      <c r="I2023" s="577" t="str">
        <f>IFERROR(HLOOKUP(Místicos!C21,Tablas!$C$1138:$M$1160,23,0),"")</f>
        <v/>
      </c>
      <c r="K2023" s="485" t="str">
        <f t="shared" si="338"/>
        <v/>
      </c>
      <c r="L2023" s="21"/>
      <c r="M2023" s="2153"/>
      <c r="N2023" s="2155" t="str">
        <f t="shared" si="342"/>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3"/>
        <v>-30</v>
      </c>
      <c r="X2023" s="579" t="str">
        <f t="shared" si="344"/>
        <v/>
      </c>
      <c r="Y2023" s="579" t="str">
        <f t="shared" si="337"/>
        <v/>
      </c>
      <c r="Z2023" s="1201" t="str">
        <f t="shared" si="339"/>
        <v/>
      </c>
      <c r="AA2023" s="579" t="str">
        <f t="shared" si="345"/>
        <v/>
      </c>
      <c r="AB2023" s="579" t="str">
        <f t="shared" si="334"/>
        <v>Conf. marionetas -30</v>
      </c>
      <c r="AC2023" s="581">
        <f t="shared" si="340"/>
        <v>15</v>
      </c>
      <c r="AD2023" s="581" t="str">
        <f t="shared" si="341"/>
        <v/>
      </c>
      <c r="AE2023" s="6115"/>
      <c r="AF2023" s="1280">
        <f>Principal!O72</f>
        <v>0</v>
      </c>
      <c r="AH2023" s="2325"/>
    </row>
    <row r="2024" spans="1:34" ht="12.75" customHeight="1" x14ac:dyDescent="0.2">
      <c r="A2024" s="227">
        <v>2024</v>
      </c>
      <c r="B2024" s="6042"/>
      <c r="C2024" s="279"/>
      <c r="D2024" s="2395"/>
      <c r="E2024" s="577"/>
      <c r="G2024" s="485" t="str">
        <f>IF(Místicos!H22&gt;0,", "&amp;Místicos!H22&amp;" "&amp;Místicos!C22&amp;IF(I2024="",""," ("&amp;LEFT(I2024,LEN(I2024)-2)&amp;")"),"")</f>
        <v/>
      </c>
      <c r="H2024" s="2395"/>
      <c r="I2024" s="577" t="str">
        <f>IFERROR(HLOOKUP(Místicos!C22,Tablas!$C$1138:$M$1160,23,0),"")</f>
        <v/>
      </c>
      <c r="K2024" s="485" t="str">
        <f t="shared" si="338"/>
        <v/>
      </c>
      <c r="L2024" s="21"/>
      <c r="M2024" s="2153"/>
      <c r="N2024" s="2155" t="str">
        <f t="shared" si="342"/>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3"/>
        <v>-</v>
      </c>
      <c r="X2024" s="582" t="str">
        <f t="shared" si="344"/>
        <v/>
      </c>
      <c r="Y2024" s="582" t="str">
        <f t="shared" si="337"/>
        <v/>
      </c>
      <c r="Z2024" s="1202" t="str">
        <f t="shared" si="339"/>
        <v/>
      </c>
      <c r="AA2024" s="582" t="str">
        <f t="shared" si="345"/>
        <v/>
      </c>
      <c r="AB2024" s="582" t="str">
        <f t="shared" si="334"/>
        <v>Secundaria Personal 1 -</v>
      </c>
      <c r="AC2024" s="584">
        <f t="shared" si="340"/>
        <v>44</v>
      </c>
      <c r="AD2024" s="581" t="str">
        <f t="shared" si="341"/>
        <v/>
      </c>
      <c r="AE2024" s="6115"/>
      <c r="AF2024" s="1280">
        <f>Principal!O73</f>
        <v>0</v>
      </c>
      <c r="AH2024" s="2325"/>
    </row>
    <row r="2025" spans="1:34" ht="12.75" customHeight="1" x14ac:dyDescent="0.2">
      <c r="A2025" s="227">
        <v>2025</v>
      </c>
      <c r="B2025" s="6042"/>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8"/>
        <v/>
      </c>
      <c r="L2025" s="21"/>
      <c r="M2025" s="2153"/>
      <c r="N2025" s="2155" t="str">
        <f t="shared" si="342"/>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3"/>
        <v>-</v>
      </c>
      <c r="X2025" s="582" t="str">
        <f t="shared" si="344"/>
        <v/>
      </c>
      <c r="Y2025" s="582" t="str">
        <f t="shared" si="337"/>
        <v/>
      </c>
      <c r="Z2025" s="1202" t="str">
        <f t="shared" si="339"/>
        <v/>
      </c>
      <c r="AA2025" s="582" t="str">
        <f t="shared" si="345"/>
        <v/>
      </c>
      <c r="AB2025" s="582" t="str">
        <f t="shared" si="334"/>
        <v>Secundaria Personal 2 -</v>
      </c>
      <c r="AC2025" s="584">
        <f t="shared" si="340"/>
        <v>45</v>
      </c>
      <c r="AD2025" s="581" t="str">
        <f t="shared" si="341"/>
        <v/>
      </c>
      <c r="AE2025" s="6115"/>
      <c r="AF2025" s="1280">
        <f>Principal!O74</f>
        <v>0</v>
      </c>
      <c r="AH2025" s="2325"/>
    </row>
    <row r="2026" spans="1:34" ht="12.75" customHeight="1" x14ac:dyDescent="0.2">
      <c r="A2026" s="227">
        <v>2026</v>
      </c>
      <c r="B2026" s="6042"/>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8"/>
        <v/>
      </c>
      <c r="L2026" s="21"/>
      <c r="M2026" s="2153"/>
      <c r="N2026" s="2155" t="str">
        <f t="shared" si="342"/>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3"/>
        <v>-</v>
      </c>
      <c r="X2026" s="582" t="str">
        <f t="shared" si="344"/>
        <v/>
      </c>
      <c r="Y2026" s="582" t="str">
        <f t="shared" si="337"/>
        <v/>
      </c>
      <c r="Z2026" s="1202" t="str">
        <f t="shared" si="339"/>
        <v/>
      </c>
      <c r="AA2026" s="582" t="str">
        <f t="shared" si="345"/>
        <v/>
      </c>
      <c r="AB2026" s="582" t="str">
        <f t="shared" si="334"/>
        <v>Secundaria Personal 3 -</v>
      </c>
      <c r="AC2026" s="584">
        <f t="shared" si="340"/>
        <v>46</v>
      </c>
      <c r="AD2026" s="581" t="str">
        <f t="shared" si="341"/>
        <v/>
      </c>
      <c r="AE2026" s="6115"/>
      <c r="AF2026" s="1280">
        <f>Principal!O75</f>
        <v>0</v>
      </c>
      <c r="AH2026" s="2325"/>
    </row>
    <row r="2027" spans="1:34" ht="12.75" customHeight="1" x14ac:dyDescent="0.2">
      <c r="A2027" s="227">
        <v>2027</v>
      </c>
      <c r="B2027" s="6042"/>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8"/>
        <v/>
      </c>
      <c r="L2027" s="21"/>
      <c r="M2027" s="2153"/>
      <c r="N2027" s="2155" t="str">
        <f t="shared" si="342"/>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3"/>
        <v>-</v>
      </c>
      <c r="X2027" s="582" t="str">
        <f t="shared" si="344"/>
        <v/>
      </c>
      <c r="Y2027" s="582" t="str">
        <f t="shared" si="337"/>
        <v/>
      </c>
      <c r="Z2027" s="1202" t="str">
        <f t="shared" si="339"/>
        <v/>
      </c>
      <c r="AA2027" s="582" t="str">
        <f t="shared" si="345"/>
        <v/>
      </c>
      <c r="AB2027" s="582" t="str">
        <f t="shared" si="334"/>
        <v>Secundaria Personal 4 -</v>
      </c>
      <c r="AC2027" s="584">
        <f t="shared" si="340"/>
        <v>47</v>
      </c>
      <c r="AD2027" s="581" t="str">
        <f t="shared" si="341"/>
        <v/>
      </c>
      <c r="AE2027" s="6115"/>
      <c r="AF2027" s="1280">
        <f>Principal!O76</f>
        <v>0</v>
      </c>
      <c r="AH2027" s="2325"/>
    </row>
    <row r="2028" spans="1:34" ht="12.75" customHeight="1" thickBot="1" x14ac:dyDescent="0.25">
      <c r="A2028" s="227">
        <v>2028</v>
      </c>
      <c r="B2028" s="6042"/>
      <c r="C2028" s="279" t="str">
        <f>IF(Ki!$H$47="-",", "&amp;Ki!$C$47,"")</f>
        <v/>
      </c>
      <c r="D2028" s="2395"/>
      <c r="E2028" s="577"/>
      <c r="G2028" s="2980" t="str">
        <f>IF(Místicos!H26&gt;0,", "&amp;Místicos!H26&amp;" "&amp;Místicos!C26&amp;IF(AND(I2028&lt;&gt;"",Resumen!$AP$54="Sí")," ("&amp;LEFT(I2028,LEN(I2028)-2)&amp;")",""),"")</f>
        <v/>
      </c>
      <c r="H2028" s="2979"/>
      <c r="I2028" s="2981" t="str">
        <f>Místicos!$BA$6</f>
        <v/>
      </c>
      <c r="K2028" s="487" t="str">
        <f t="shared" si="338"/>
        <v/>
      </c>
      <c r="L2028" s="573"/>
      <c r="M2028" s="2154"/>
      <c r="N2028" s="2156" t="str">
        <f t="shared" si="342"/>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3"/>
        <v>-</v>
      </c>
      <c r="X2028" s="1107" t="str">
        <f t="shared" si="344"/>
        <v/>
      </c>
      <c r="Y2028" s="1107" t="str">
        <f t="shared" si="337"/>
        <v/>
      </c>
      <c r="Z2028" s="1203" t="str">
        <f t="shared" si="339"/>
        <v/>
      </c>
      <c r="AA2028" s="1107" t="str">
        <f t="shared" si="345"/>
        <v/>
      </c>
      <c r="AB2028" s="1107" t="str">
        <f t="shared" si="334"/>
        <v>Secundaria Personal 5 -</v>
      </c>
      <c r="AC2028" s="1199">
        <f t="shared" si="340"/>
        <v>48</v>
      </c>
      <c r="AD2028" s="1103" t="str">
        <f t="shared" si="341"/>
        <v/>
      </c>
      <c r="AE2028" s="6116"/>
      <c r="AF2028" s="1281">
        <f>Principal!O77</f>
        <v>0</v>
      </c>
      <c r="AH2028" s="2325"/>
    </row>
    <row r="2029" spans="1:34" ht="12.75" customHeight="1" thickBot="1" x14ac:dyDescent="0.25">
      <c r="A2029" s="227">
        <v>2029</v>
      </c>
      <c r="B2029" s="6042"/>
      <c r="C2029" s="279" t="str">
        <f>IF(Ki!$H$48="-",", "&amp;Ki!$D$48,"")</f>
        <v/>
      </c>
      <c r="D2029" s="2395"/>
      <c r="E2029" s="577"/>
      <c r="G2029" s="2982" t="str">
        <f>IF(Metamagia!$T$37&gt;0,", "&amp;Metamagia!$T$37&amp;" Metamagia"&amp;IF(Resumen!$AP$56="Sí"," ("&amp;RIGHT(I2029,LEN(I2029)-2)&amp;")",""),"")</f>
        <v/>
      </c>
      <c r="H2029" s="2983"/>
      <c r="I2029" s="298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367"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368"/>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042"/>
      <c r="C2030" s="279" t="str">
        <f>IF(Ki!$H$49="-",", "&amp;Ki!$C$49,"")</f>
        <v/>
      </c>
      <c r="D2030" s="2395"/>
      <c r="E2030" s="577"/>
      <c r="AH2030" s="2325"/>
    </row>
    <row r="2031" spans="1:34" ht="12.75" customHeight="1" thickBot="1" x14ac:dyDescent="0.25">
      <c r="A2031" s="227">
        <v>2031</v>
      </c>
      <c r="B2031" s="6042"/>
      <c r="C2031" s="279" t="str">
        <f>IF(Ki!$H$50="-",", "&amp;Ki!$D$50,"")</f>
        <v/>
      </c>
      <c r="D2031" s="2395"/>
      <c r="E2031" s="577"/>
      <c r="G2031" s="4808" t="s">
        <v>9671</v>
      </c>
      <c r="H2031" s="4806"/>
      <c r="I2031" s="4806"/>
      <c r="J2031" s="4807"/>
      <c r="AH2031" s="2325"/>
    </row>
    <row r="2032" spans="1:34" ht="12.75" customHeight="1" x14ac:dyDescent="0.2">
      <c r="A2032" s="227">
        <v>2032</v>
      </c>
      <c r="B2032" s="6042"/>
      <c r="C2032" s="279" t="str">
        <f>IF(Ki!$H$51="-",", "&amp;Ki!$C$51,"")</f>
        <v/>
      </c>
      <c r="D2032" s="2395"/>
      <c r="E2032" s="577"/>
      <c r="G2032" s="2338" t="s">
        <v>1440</v>
      </c>
      <c r="H2032" s="2948">
        <v>1</v>
      </c>
      <c r="I2032" s="2947">
        <v>2</v>
      </c>
      <c r="J2032" s="2949">
        <v>3</v>
      </c>
      <c r="AH2032" s="2325"/>
    </row>
    <row r="2033" spans="1:41" ht="12.75" customHeight="1" x14ac:dyDescent="0.2">
      <c r="A2033" s="227">
        <v>2033</v>
      </c>
      <c r="B2033" s="6042"/>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042"/>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042"/>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042"/>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042"/>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042"/>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042"/>
      <c r="C2039" s="279" t="str">
        <f>IF(Ki!$H$55="-",", "&amp;Ki!$D$55,"")</f>
        <v/>
      </c>
      <c r="D2039" s="2395"/>
      <c r="E2039" s="577"/>
    </row>
    <row r="2040" spans="1:41" ht="12.75" customHeight="1" thickBot="1" x14ac:dyDescent="0.25">
      <c r="A2040" s="227">
        <v>2040</v>
      </c>
      <c r="B2040" s="6042"/>
      <c r="C2040" s="279" t="str">
        <f>IF(Ki!$H$59="-",", "&amp;Ki!$D$59,"")</f>
        <v/>
      </c>
      <c r="D2040" s="2395"/>
      <c r="E2040" s="577"/>
    </row>
    <row r="2041" spans="1:41" ht="12.75" customHeight="1" thickBot="1" x14ac:dyDescent="0.25">
      <c r="A2041" s="227">
        <v>2041</v>
      </c>
      <c r="B2041" s="6042"/>
      <c r="C2041" s="279" t="str">
        <f>IF(Ki!$H$60="-",", "&amp;Ki!$E$60,"")</f>
        <v/>
      </c>
      <c r="D2041" s="2395"/>
      <c r="E2041" s="577"/>
      <c r="G2041" s="3676" t="s">
        <v>646</v>
      </c>
      <c r="H2041" s="3676"/>
    </row>
    <row r="2042" spans="1:41" ht="12.75" customHeight="1" thickBot="1" x14ac:dyDescent="0.25">
      <c r="A2042" s="227">
        <v>2042</v>
      </c>
      <c r="B2042" s="6042"/>
      <c r="C2042" s="279" t="str">
        <f>IF(Ki!$H$61="-",", "&amp;Ki!$C$61,"")</f>
        <v/>
      </c>
      <c r="D2042" s="2395"/>
      <c r="E2042" s="577"/>
      <c r="G2042" s="3676"/>
      <c r="H2042" s="3676"/>
    </row>
    <row r="2043" spans="1:41" ht="12.75" customHeight="1" x14ac:dyDescent="0.2">
      <c r="A2043" s="227">
        <v>2043</v>
      </c>
      <c r="B2043" s="6042"/>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042"/>
      <c r="C2044" s="279" t="str">
        <f>IF(Tablas!$AI$50,", "&amp;"Inhumanidad","")</f>
        <v/>
      </c>
      <c r="D2044" s="2395"/>
      <c r="E2044" s="577"/>
      <c r="G2044" s="35" t="str">
        <f>IF(Combate!AB57="","",", Magnus ("&amp;Combate!AB57&amp;")")</f>
        <v/>
      </c>
      <c r="H2044" s="36"/>
    </row>
    <row r="2045" spans="1:41" ht="12.75" customHeight="1" x14ac:dyDescent="0.2">
      <c r="A2045" s="227">
        <v>2045</v>
      </c>
      <c r="B2045" s="6042"/>
      <c r="C2045" s="279" t="str">
        <f>IF(Tablas!$AJ$50,", "&amp;"Zen","")</f>
        <v/>
      </c>
      <c r="D2045" s="2395"/>
      <c r="E2045" s="577"/>
      <c r="G2045" s="35" t="str">
        <f>IF(Combate!AB59="","",", Magnus ("&amp;Combate!AB59&amp;")")</f>
        <v/>
      </c>
      <c r="H2045" s="36"/>
    </row>
    <row r="2046" spans="1:41" ht="12.75" customHeight="1" x14ac:dyDescent="0.2">
      <c r="A2046" s="227">
        <v>2046</v>
      </c>
      <c r="B2046" s="6042"/>
      <c r="C2046" s="279" t="str">
        <f>IF(Ki!C40="","",", "&amp;Ki!C40)</f>
        <v/>
      </c>
      <c r="D2046" s="2395"/>
      <c r="E2046" s="577"/>
      <c r="G2046" s="35" t="str">
        <f>IF(Combate!AB61="","",", Magnus ("&amp;Combate!AB61&amp;")")</f>
        <v/>
      </c>
      <c r="H2046" s="36"/>
    </row>
    <row r="2047" spans="1:41" ht="12.75" customHeight="1" thickBot="1" x14ac:dyDescent="0.25">
      <c r="A2047" s="227">
        <v>2047</v>
      </c>
      <c r="B2047" s="6042"/>
      <c r="C2047" s="279" t="str">
        <f>IF(Ki!C41="","",", "&amp;Ki!C41)</f>
        <v/>
      </c>
      <c r="D2047" s="2395"/>
      <c r="E2047" s="577"/>
      <c r="G2047" s="67" t="str">
        <f>IF(Combate!AB63="","",", Magnus ("&amp;Combate!AB63&amp;")")</f>
        <v/>
      </c>
      <c r="H2047" s="69"/>
    </row>
    <row r="2048" spans="1:41" ht="12.75" customHeight="1" x14ac:dyDescent="0.2">
      <c r="A2048" s="227">
        <v>2048</v>
      </c>
      <c r="B2048" s="6042"/>
      <c r="C2048" s="279" t="str">
        <f>IF(COUNTIF(C2049:C2058,"&gt;*")&gt;0,", Sellos: "&amp;IFERROR(RIGHT(C2049&amp;C2050&amp;C2051&amp;C2052&amp;C2053&amp;C2054&amp;C2055&amp;C2056&amp;C2057&amp;C2058,LEN(C2049&amp;C2050&amp;C2051&amp;C2052&amp;C2053&amp;C2054&amp;C2055&amp;C2056&amp;C2057&amp;C2058)-2),""),"")</f>
        <v/>
      </c>
      <c r="D2048" s="2395"/>
      <c r="E2048" s="577"/>
      <c r="G2048" s="2658"/>
      <c r="H2048" s="2658"/>
      <c r="N2048" s="2651"/>
      <c r="Y2048" s="2651"/>
      <c r="Z2048" s="2651"/>
      <c r="AA2048" s="2651"/>
      <c r="AB2048" s="2651"/>
      <c r="AC2048" s="2651"/>
      <c r="AD2048" s="2651"/>
      <c r="AE2048" s="2651"/>
      <c r="AF2048" s="2651"/>
      <c r="AG2048" s="2651"/>
      <c r="AH2048" s="2651"/>
      <c r="AI2048" s="2651"/>
      <c r="AJ2048" s="2651"/>
      <c r="AK2048" s="2651"/>
      <c r="AL2048" s="2651"/>
      <c r="AM2048" s="2651"/>
      <c r="AN2048" s="2651"/>
      <c r="AO2048" s="2651"/>
    </row>
    <row r="2049" spans="1:41" ht="12.75" customHeight="1" x14ac:dyDescent="0.2">
      <c r="A2049" s="227">
        <v>2049</v>
      </c>
      <c r="B2049" s="6042"/>
      <c r="C2049" s="279" t="str">
        <f>IF(Ki!X11="","",", "&amp;Ki!V11&amp;" menor")</f>
        <v/>
      </c>
      <c r="D2049" s="2395"/>
      <c r="E2049" s="577"/>
      <c r="G2049" s="2656"/>
      <c r="H2049" s="2656"/>
      <c r="N2049" s="2651"/>
      <c r="Y2049" s="2651"/>
      <c r="Z2049" s="2651"/>
      <c r="AA2049" s="2651"/>
      <c r="AB2049" s="2651"/>
      <c r="AC2049" s="2651"/>
      <c r="AD2049" s="2651"/>
      <c r="AE2049" s="2651"/>
      <c r="AF2049" s="2651"/>
      <c r="AG2049" s="2651"/>
      <c r="AH2049" s="2651"/>
      <c r="AI2049" s="2651"/>
      <c r="AJ2049" s="2651"/>
      <c r="AK2049" s="2651"/>
      <c r="AL2049" s="2651"/>
      <c r="AM2049" s="2651"/>
      <c r="AN2049" s="2651"/>
      <c r="AO2049" s="2651"/>
    </row>
    <row r="2050" spans="1:41" ht="12.75" customHeight="1" x14ac:dyDescent="0.2">
      <c r="A2050" s="227">
        <v>2050</v>
      </c>
      <c r="B2050" s="6042"/>
      <c r="C2050" s="279" t="str">
        <f>IF(Ki!Y11="","",", "&amp;Ki!V11&amp;" mayor")</f>
        <v/>
      </c>
      <c r="D2050" s="2395"/>
      <c r="E2050" s="577"/>
      <c r="G2050" s="2656"/>
      <c r="H2050" s="2656"/>
      <c r="N2050" s="2651"/>
      <c r="Y2050" s="2651"/>
      <c r="Z2050" s="2651"/>
      <c r="AA2050" s="2651"/>
      <c r="AB2050" s="2651"/>
      <c r="AC2050" s="2651"/>
      <c r="AD2050" s="2651"/>
      <c r="AE2050" s="2651"/>
      <c r="AF2050" s="2651"/>
      <c r="AG2050" s="2651"/>
      <c r="AH2050" s="2651"/>
      <c r="AI2050" s="2651"/>
      <c r="AJ2050" s="2651"/>
      <c r="AK2050" s="2651"/>
      <c r="AL2050" s="2651"/>
      <c r="AM2050" s="2651"/>
      <c r="AN2050" s="2651"/>
      <c r="AO2050" s="2651"/>
    </row>
    <row r="2051" spans="1:41" ht="12.75" customHeight="1" x14ac:dyDescent="0.2">
      <c r="A2051" s="227">
        <v>2051</v>
      </c>
      <c r="B2051" s="6042"/>
      <c r="C2051" s="279" t="str">
        <f>IF(Ki!X13="","",", "&amp;Ki!V13&amp;" menor")</f>
        <v/>
      </c>
      <c r="D2051" s="2395"/>
      <c r="E2051" s="577"/>
      <c r="G2051" s="2656"/>
      <c r="H2051" s="2656"/>
      <c r="N2051" s="2651"/>
      <c r="Y2051" s="2651"/>
      <c r="Z2051" s="2651"/>
      <c r="AA2051" s="2651"/>
      <c r="AB2051" s="2651"/>
      <c r="AC2051" s="2651"/>
      <c r="AD2051" s="2651"/>
      <c r="AE2051" s="2651"/>
      <c r="AF2051" s="2651"/>
      <c r="AG2051" s="2651"/>
      <c r="AH2051" s="2651"/>
      <c r="AI2051" s="2651"/>
      <c r="AJ2051" s="2651"/>
      <c r="AK2051" s="2651"/>
      <c r="AL2051" s="2651"/>
      <c r="AM2051" s="2651"/>
      <c r="AN2051" s="2651"/>
      <c r="AO2051" s="2651"/>
    </row>
    <row r="2052" spans="1:41" ht="12.75" customHeight="1" x14ac:dyDescent="0.2">
      <c r="A2052" s="227">
        <v>2052</v>
      </c>
      <c r="B2052" s="6042"/>
      <c r="C2052" s="279" t="str">
        <f>IF(Ki!Y13="","",", "&amp;Ki!V13&amp;" mayor")</f>
        <v/>
      </c>
      <c r="D2052" s="2395"/>
      <c r="E2052" s="577"/>
      <c r="G2052" s="2656"/>
      <c r="H2052" s="2656"/>
      <c r="N2052" s="2651"/>
      <c r="Y2052" s="2651"/>
      <c r="Z2052" s="2651"/>
      <c r="AA2052" s="2651"/>
      <c r="AB2052" s="2651"/>
      <c r="AC2052" s="2651"/>
      <c r="AD2052" s="2651"/>
      <c r="AE2052" s="2651"/>
      <c r="AF2052" s="2651"/>
      <c r="AG2052" s="2651"/>
      <c r="AH2052" s="2651"/>
      <c r="AI2052" s="2651"/>
      <c r="AJ2052" s="2651"/>
      <c r="AK2052" s="2651"/>
      <c r="AL2052" s="2651"/>
      <c r="AM2052" s="2651"/>
      <c r="AN2052" s="2651"/>
      <c r="AO2052" s="2651"/>
    </row>
    <row r="2053" spans="1:41" ht="12.75" customHeight="1" x14ac:dyDescent="0.2">
      <c r="A2053" s="227">
        <v>2053</v>
      </c>
      <c r="B2053" s="6042"/>
      <c r="C2053" s="279" t="str">
        <f>IF(Ki!X15="","",", "&amp;Ki!V15&amp;" menor")</f>
        <v/>
      </c>
      <c r="D2053" s="2395"/>
      <c r="E2053" s="577"/>
      <c r="G2053" s="2656"/>
      <c r="H2053" s="2656"/>
      <c r="N2053" s="2651"/>
      <c r="Y2053" s="2651"/>
      <c r="Z2053" s="2651"/>
      <c r="AA2053" s="2651"/>
      <c r="AB2053" s="2651"/>
      <c r="AC2053" s="2651"/>
      <c r="AD2053" s="2651"/>
      <c r="AE2053" s="2651"/>
      <c r="AF2053" s="2651"/>
      <c r="AG2053" s="2651"/>
      <c r="AH2053" s="2651"/>
      <c r="AI2053" s="2651"/>
      <c r="AJ2053" s="2651"/>
      <c r="AK2053" s="2651"/>
      <c r="AL2053" s="2651"/>
      <c r="AM2053" s="2651"/>
      <c r="AN2053" s="2651"/>
      <c r="AO2053" s="2651"/>
    </row>
    <row r="2054" spans="1:41" ht="12.75" customHeight="1" x14ac:dyDescent="0.2">
      <c r="A2054" s="227">
        <v>2054</v>
      </c>
      <c r="B2054" s="6042"/>
      <c r="C2054" s="279" t="str">
        <f>IF(Ki!Y15="","",", "&amp;Ki!V15&amp;" mayor")</f>
        <v/>
      </c>
      <c r="D2054" s="2395"/>
      <c r="E2054" s="577"/>
      <c r="G2054" s="2656"/>
      <c r="H2054" s="2656"/>
      <c r="N2054" s="2651"/>
      <c r="Y2054" s="2651"/>
      <c r="Z2054" s="2651"/>
      <c r="AA2054" s="2651"/>
      <c r="AB2054" s="2651"/>
      <c r="AC2054" s="2651"/>
      <c r="AD2054" s="2651"/>
      <c r="AE2054" s="2651"/>
      <c r="AF2054" s="2651"/>
      <c r="AG2054" s="2651"/>
      <c r="AH2054" s="2651"/>
      <c r="AI2054" s="2651"/>
      <c r="AJ2054" s="2651"/>
      <c r="AK2054" s="2651"/>
      <c r="AL2054" s="2651"/>
      <c r="AM2054" s="2651"/>
      <c r="AN2054" s="2651"/>
      <c r="AO2054" s="2651"/>
    </row>
    <row r="2055" spans="1:41" ht="12.75" customHeight="1" x14ac:dyDescent="0.2">
      <c r="A2055" s="227">
        <v>2055</v>
      </c>
      <c r="B2055" s="6042"/>
      <c r="C2055" s="279" t="str">
        <f>IF(Ki!X17="","",", "&amp;Ki!V17&amp;" menor")</f>
        <v/>
      </c>
      <c r="D2055" s="2395"/>
      <c r="E2055" s="577"/>
      <c r="G2055" s="2656"/>
      <c r="H2055" s="2656"/>
      <c r="N2055" s="2651"/>
      <c r="Y2055" s="2651"/>
      <c r="Z2055" s="2651"/>
      <c r="AA2055" s="2651"/>
      <c r="AB2055" s="2651"/>
      <c r="AC2055" s="2651"/>
      <c r="AD2055" s="2651"/>
      <c r="AE2055" s="2651"/>
      <c r="AF2055" s="2651"/>
      <c r="AG2055" s="2651"/>
      <c r="AH2055" s="2651"/>
      <c r="AI2055" s="2651"/>
      <c r="AJ2055" s="2651"/>
      <c r="AK2055" s="2651"/>
      <c r="AL2055" s="2651"/>
      <c r="AM2055" s="2651"/>
      <c r="AN2055" s="2651"/>
      <c r="AO2055" s="2651"/>
    </row>
    <row r="2056" spans="1:41" ht="12.75" customHeight="1" x14ac:dyDescent="0.2">
      <c r="A2056" s="227">
        <v>2056</v>
      </c>
      <c r="B2056" s="6042"/>
      <c r="C2056" s="279" t="str">
        <f>IF(Ki!Y17="","",", "&amp;Ki!V17&amp;" mayor")</f>
        <v/>
      </c>
      <c r="D2056" s="2395"/>
      <c r="E2056" s="577"/>
      <c r="G2056" s="2656"/>
      <c r="H2056" s="2656"/>
      <c r="N2056" s="2651"/>
      <c r="Y2056" s="2651"/>
      <c r="Z2056" s="2651"/>
      <c r="AA2056" s="2651"/>
      <c r="AB2056" s="2651"/>
      <c r="AC2056" s="2651"/>
      <c r="AD2056" s="2651"/>
      <c r="AE2056" s="2651"/>
      <c r="AF2056" s="2651"/>
      <c r="AG2056" s="2651"/>
      <c r="AH2056" s="2651"/>
      <c r="AI2056" s="2651"/>
      <c r="AJ2056" s="2651"/>
      <c r="AK2056" s="2651"/>
      <c r="AL2056" s="2651"/>
      <c r="AM2056" s="2651"/>
      <c r="AN2056" s="2651"/>
      <c r="AO2056" s="2651"/>
    </row>
    <row r="2057" spans="1:41" ht="12.75" customHeight="1" x14ac:dyDescent="0.2">
      <c r="A2057" s="227">
        <v>2057</v>
      </c>
      <c r="B2057" s="6042"/>
      <c r="C2057" s="279" t="str">
        <f>IF(Ki!X19="","",", "&amp;Ki!V19&amp;" menor")</f>
        <v/>
      </c>
      <c r="D2057" s="2395"/>
      <c r="E2057" s="577"/>
      <c r="G2057" s="2656"/>
      <c r="H2057" s="2656"/>
      <c r="N2057" s="2651"/>
      <c r="Y2057" s="2651"/>
      <c r="Z2057" s="2651"/>
      <c r="AA2057" s="2651"/>
      <c r="AB2057" s="2651"/>
      <c r="AC2057" s="2651"/>
      <c r="AD2057" s="2651"/>
      <c r="AE2057" s="2651"/>
      <c r="AF2057" s="2651"/>
      <c r="AG2057" s="2651"/>
      <c r="AH2057" s="2651"/>
      <c r="AI2057" s="2651"/>
      <c r="AJ2057" s="2651"/>
      <c r="AK2057" s="2651"/>
      <c r="AL2057" s="2651"/>
      <c r="AM2057" s="2651"/>
      <c r="AN2057" s="2651"/>
      <c r="AO2057" s="2651"/>
    </row>
    <row r="2058" spans="1:41" ht="12.75" customHeight="1" thickBot="1" x14ac:dyDescent="0.25">
      <c r="A2058" s="227">
        <v>2058</v>
      </c>
      <c r="B2058" s="6042"/>
      <c r="C2058" s="280" t="str">
        <f>IF(Ki!Y19="","",", "&amp;Ki!V19&amp;" mayor")</f>
        <v/>
      </c>
      <c r="D2058" s="573"/>
      <c r="E2058" s="578"/>
      <c r="G2058" s="2656"/>
      <c r="H2058" s="2656"/>
      <c r="N2058" s="2651"/>
      <c r="Y2058" s="2651"/>
      <c r="Z2058" s="2651"/>
      <c r="AA2058" s="2651"/>
      <c r="AB2058" s="2651"/>
      <c r="AC2058" s="2651"/>
      <c r="AD2058" s="2651"/>
      <c r="AE2058" s="2651"/>
      <c r="AF2058" s="2651"/>
      <c r="AG2058" s="2651"/>
      <c r="AH2058" s="2651"/>
      <c r="AI2058" s="2651"/>
      <c r="AJ2058" s="2651"/>
      <c r="AK2058" s="2651"/>
      <c r="AL2058" s="2651"/>
      <c r="AM2058" s="2651"/>
      <c r="AN2058" s="2651"/>
      <c r="AO2058" s="2651"/>
    </row>
    <row r="2059" spans="1:41" ht="12.75" customHeight="1" x14ac:dyDescent="0.2">
      <c r="A2059" s="227">
        <v>2059</v>
      </c>
      <c r="B2059" s="6042"/>
      <c r="H2059"/>
      <c r="I2059" s="555"/>
    </row>
    <row r="2060" spans="1:41" ht="12.75" customHeight="1" x14ac:dyDescent="0.2">
      <c r="A2060" s="227">
        <v>2060</v>
      </c>
      <c r="B2060" s="6042"/>
      <c r="C2060" s="4783" t="s">
        <v>645</v>
      </c>
      <c r="D2060" s="4783"/>
      <c r="E2060" s="4783"/>
      <c r="F2060" s="4783"/>
      <c r="G2060" s="4783"/>
      <c r="H2060"/>
      <c r="I2060" s="555"/>
    </row>
    <row r="2061" spans="1:41" ht="12.75" customHeight="1" x14ac:dyDescent="0.2">
      <c r="A2061" s="227">
        <v>2061</v>
      </c>
      <c r="B2061" s="6042"/>
      <c r="C2061" s="6346"/>
      <c r="D2061" s="6346"/>
      <c r="E2061" s="6346"/>
      <c r="F2061" s="6346"/>
      <c r="G2061" s="6346"/>
      <c r="H2061"/>
      <c r="I2061" s="555"/>
    </row>
    <row r="2062" spans="1:41" ht="12.75" customHeight="1" x14ac:dyDescent="0.2">
      <c r="A2062" s="227">
        <v>2062</v>
      </c>
      <c r="B2062" s="6042"/>
      <c r="C2062" s="854" t="s">
        <v>2636</v>
      </c>
      <c r="D2062" s="828" t="s">
        <v>1365</v>
      </c>
      <c r="E2062" s="828" t="s">
        <v>8534</v>
      </c>
      <c r="F2062" s="827" t="s">
        <v>6394</v>
      </c>
      <c r="G2062" s="829" t="s">
        <v>7083</v>
      </c>
      <c r="H2062"/>
      <c r="I2062" s="555"/>
    </row>
    <row r="2063" spans="1:41" ht="12.75" customHeight="1" x14ac:dyDescent="0.2">
      <c r="A2063" s="227">
        <v>2063</v>
      </c>
      <c r="B2063" s="6042"/>
      <c r="C2063" s="852" t="str">
        <f t="shared" ref="C2063:C2097" si="346">IF(D2063="","",COUNTIF($D$2063:$D$2105,"&lt;="&amp;D2063)-SUMPRODUCT(--($D$2063:$D$2105="")))</f>
        <v/>
      </c>
      <c r="D2063" s="485" t="str">
        <f>IF(Combate!AL11=" ","",Combate!AL11)</f>
        <v/>
      </c>
      <c r="E2063" s="485" t="str">
        <f t="shared" ref="E2063:E2068" si="347">D2063</f>
        <v/>
      </c>
      <c r="F2063" s="824" t="str">
        <f>IF(ISNA(VLOOKUP(MIN($C$2063:$C$2105)+A1-1,$C$2063:$E$2105,3,0)),"",VLOOKUP(MIN($C$2063:$C$2105)+A1-1,$C$2063:$E$2105,3,0))</f>
        <v/>
      </c>
      <c r="G2063" s="6347"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042"/>
      <c r="C2064" s="851" t="str">
        <f t="shared" si="346"/>
        <v/>
      </c>
      <c r="D2064" s="485" t="str">
        <f>IF(Combate!AL12=" ","",Combate!AL12)</f>
        <v/>
      </c>
      <c r="E2064" s="485" t="str">
        <f t="shared" si="347"/>
        <v/>
      </c>
      <c r="F2064" s="825" t="str">
        <f t="shared" ref="F2064:F2105" si="348">IF(ISNA(VLOOKUP(MIN($C$2063:$C$2105)+A2-1,$C$2063:$E$2105,3,0)),"",", "&amp;VLOOKUP(MIN($C$2063:$C$2105)+A2-1,$C$2063:$E$2105,3,0))</f>
        <v/>
      </c>
      <c r="G2064" s="6347"/>
      <c r="H2064"/>
      <c r="I2064" s="555"/>
      <c r="N2064"/>
      <c r="O2064" s="555"/>
    </row>
    <row r="2065" spans="1:43" ht="12.75" customHeight="1" x14ac:dyDescent="0.2">
      <c r="A2065" s="227">
        <v>2065</v>
      </c>
      <c r="B2065" s="6042"/>
      <c r="C2065" s="851" t="str">
        <f t="shared" si="346"/>
        <v/>
      </c>
      <c r="D2065" s="485" t="str">
        <f>IF(Combate!AL13=" ","",Combate!AL13)</f>
        <v/>
      </c>
      <c r="E2065" s="485" t="str">
        <f t="shared" si="347"/>
        <v/>
      </c>
      <c r="F2065" s="825" t="str">
        <f t="shared" si="348"/>
        <v/>
      </c>
      <c r="G2065" s="6347"/>
      <c r="J2065" s="3158" t="s">
        <v>7076</v>
      </c>
      <c r="K2065" s="3159"/>
      <c r="L2065" s="3159"/>
      <c r="M2065" s="3159"/>
      <c r="N2065" s="3159"/>
      <c r="O2065" s="3159"/>
      <c r="P2065" s="3159"/>
      <c r="Q2065" s="3159"/>
      <c r="R2065" s="3159"/>
      <c r="S2065" s="3159"/>
      <c r="T2065" s="3159"/>
      <c r="U2065" s="3159"/>
      <c r="V2065" s="3159"/>
      <c r="W2065" s="3159"/>
      <c r="X2065" s="3159"/>
      <c r="Y2065" s="3159"/>
      <c r="Z2065" s="3159"/>
      <c r="AA2065" s="3159"/>
      <c r="AB2065" s="3159"/>
      <c r="AC2065" s="3159"/>
      <c r="AD2065" s="3159"/>
      <c r="AE2065" s="3159"/>
      <c r="AF2065" s="3159"/>
      <c r="AG2065" s="3159"/>
      <c r="AH2065" s="3159"/>
      <c r="AI2065" s="3159"/>
      <c r="AJ2065" s="3159"/>
      <c r="AK2065" s="3159"/>
      <c r="AL2065" s="3159"/>
      <c r="AM2065" s="3159"/>
      <c r="AN2065" s="3159"/>
      <c r="AO2065" s="3160"/>
    </row>
    <row r="2066" spans="1:43" ht="12.75" customHeight="1" x14ac:dyDescent="0.2">
      <c r="A2066" s="227">
        <v>2066</v>
      </c>
      <c r="B2066" s="6042"/>
      <c r="C2066" s="851" t="str">
        <f t="shared" si="346"/>
        <v/>
      </c>
      <c r="D2066" s="485" t="str">
        <f>IF(Combate!AL14=" ","",Combate!AL14)</f>
        <v/>
      </c>
      <c r="E2066" s="485" t="str">
        <f t="shared" si="347"/>
        <v/>
      </c>
      <c r="F2066" s="825" t="str">
        <f t="shared" si="348"/>
        <v/>
      </c>
      <c r="G2066" s="6347"/>
      <c r="J2066" s="3181" t="s">
        <v>7075</v>
      </c>
      <c r="K2066" s="6057"/>
      <c r="L2066" s="6057" t="s">
        <v>7074</v>
      </c>
      <c r="M2066" s="6057"/>
      <c r="N2066" s="6057"/>
      <c r="O2066" s="6057"/>
      <c r="P2066" s="6057"/>
      <c r="Q2066" s="6057"/>
      <c r="R2066" s="6057"/>
      <c r="S2066" s="6057"/>
      <c r="T2066" s="6057"/>
      <c r="U2066" s="6057"/>
      <c r="V2066" s="6057"/>
      <c r="W2066" s="6057"/>
      <c r="X2066" s="6057"/>
      <c r="Y2066" s="6057"/>
      <c r="Z2066" s="6057"/>
      <c r="AA2066" s="6057"/>
      <c r="AB2066" s="6057"/>
      <c r="AC2066" s="6057"/>
      <c r="AD2066" s="6057"/>
      <c r="AE2066" s="6057"/>
      <c r="AF2066" s="6057"/>
      <c r="AG2066" s="6057"/>
      <c r="AH2066" s="6057"/>
      <c r="AI2066" s="6057"/>
      <c r="AJ2066" s="6057"/>
      <c r="AK2066" s="6057"/>
      <c r="AL2066" s="6057"/>
      <c r="AM2066" s="6057"/>
      <c r="AN2066" s="6057"/>
      <c r="AO2066" s="6058"/>
    </row>
    <row r="2067" spans="1:43" ht="12.75" customHeight="1" x14ac:dyDescent="0.2">
      <c r="A2067" s="227">
        <v>2067</v>
      </c>
      <c r="B2067" s="6042"/>
      <c r="C2067" s="851" t="str">
        <f t="shared" si="346"/>
        <v/>
      </c>
      <c r="D2067" s="485" t="str">
        <f>IF(Combate!AL15=" ","",Combate!AL15)</f>
        <v/>
      </c>
      <c r="E2067" s="485" t="str">
        <f t="shared" si="347"/>
        <v/>
      </c>
      <c r="F2067" s="825" t="str">
        <f t="shared" si="348"/>
        <v/>
      </c>
      <c r="G2067" s="6347"/>
      <c r="J2067" s="2851" t="s">
        <v>1365</v>
      </c>
      <c r="K2067" s="2852" t="s">
        <v>7082</v>
      </c>
      <c r="L2067" s="6052" t="str">
        <f>IF(ISNA(VLOOKUP(A1,$AP$2070:$AQ$2097,2,FALSE)),"",VLOOKUP(A1,$AP$2070:$AQ$2097,2,FALSE))</f>
        <v/>
      </c>
      <c r="M2067" s="6053"/>
      <c r="N2067" s="6053"/>
      <c r="O2067" s="6052" t="str">
        <f>IF(ISNA(VLOOKUP(B1,$AP$2070:$AQ$2097,2,FALSE)),"",VLOOKUP(B1,$AP$2070:$AQ$2097,2,FALSE))</f>
        <v/>
      </c>
      <c r="P2067" s="6053"/>
      <c r="Q2067" s="6053"/>
      <c r="R2067" s="6052" t="str">
        <f>IF(ISNA(VLOOKUP(C1,$AP$2070:$AQ$2097,2,FALSE)),"",VLOOKUP(C1,$AP$2070:$AQ$2097,2,FALSE))</f>
        <v/>
      </c>
      <c r="S2067" s="6053"/>
      <c r="T2067" s="6053"/>
      <c r="U2067" s="6052" t="str">
        <f>IF(ISNA(VLOOKUP(D1,$AP$2070:$AQ$2097,2,FALSE)),"",VLOOKUP(D1,$AP$2070:$AQ$2097,2,FALSE))</f>
        <v/>
      </c>
      <c r="V2067" s="6053"/>
      <c r="W2067" s="6053"/>
      <c r="X2067" s="6052" t="str">
        <f>IF(ISNA(VLOOKUP(E1,$AP$2070:$AQ$2097,2,FALSE)),"",VLOOKUP(E1,$AP$2070:$AQ$2097,2,FALSE))</f>
        <v/>
      </c>
      <c r="Y2067" s="6053"/>
      <c r="Z2067" s="6053"/>
      <c r="AA2067" s="6052" t="str">
        <f>IF(ISNA(VLOOKUP(F1,$AP$2070:$AQ$2097,2,FALSE)),"",VLOOKUP(F1,$AP$2070:$AQ$2097,2,FALSE))</f>
        <v/>
      </c>
      <c r="AB2067" s="6053"/>
      <c r="AC2067" s="6053"/>
      <c r="AD2067" s="6052" t="str">
        <f>IF(ISNA(VLOOKUP(G1,$AP$2070:$AQ$2097,2,FALSE)),"",VLOOKUP(G1,$AP$2070:$AQ$2097,2,FALSE))</f>
        <v/>
      </c>
      <c r="AE2067" s="6053"/>
      <c r="AF2067" s="6053"/>
      <c r="AG2067" s="6052" t="str">
        <f>IF(ISNA(VLOOKUP(H1,$AP$2070:$AQ$2097,2,FALSE)),"",VLOOKUP(H1,$AP$2070:$AQ$2097,2,FALSE))</f>
        <v/>
      </c>
      <c r="AH2067" s="6053"/>
      <c r="AI2067" s="6053"/>
      <c r="AJ2067" s="6052" t="str">
        <f>IF(ISNA(VLOOKUP(I1,$AP$2070:$AQ$2097,2,FALSE)),"",VLOOKUP(I1,$AP$2070:$AQ$2097,2,FALSE))</f>
        <v/>
      </c>
      <c r="AK2067" s="6053"/>
      <c r="AL2067" s="6053"/>
      <c r="AM2067" s="6052" t="str">
        <f>IF(ISNA(VLOOKUP(J1,$AP$2070:$AQ$2097,2,FALSE)),"",VLOOKUP(J1,$AP$2070:$AQ$2097,2,FALSE))</f>
        <v/>
      </c>
      <c r="AN2067" s="6053"/>
      <c r="AO2067" s="6054"/>
    </row>
    <row r="2068" spans="1:43" ht="12.75" customHeight="1" x14ac:dyDescent="0.2">
      <c r="A2068" s="227">
        <v>2068</v>
      </c>
      <c r="B2068" s="6042"/>
      <c r="C2068" s="851" t="str">
        <f t="shared" si="346"/>
        <v/>
      </c>
      <c r="D2068" s="822" t="str">
        <f>IF(Combate!AL16=" ","",Combate!AL16)</f>
        <v/>
      </c>
      <c r="E2068" s="822" t="str">
        <f t="shared" si="347"/>
        <v/>
      </c>
      <c r="F2068" s="825" t="str">
        <f t="shared" si="348"/>
        <v/>
      </c>
      <c r="G2068" s="6347"/>
      <c r="J2068" s="816" t="str">
        <f>IF(ISNA(VLOOKUP(A1,Principal!$S$42:$AH$69,10,FALSE)),"",IF(VLOOKUP(A1,Principal!$S$42:$AH$69,10,FALSE)=0,"",INDEX(PoderesDeCriatura_Adquiridos,MATCH(A1,Principal!$S$42:$S$69,0))))</f>
        <v/>
      </c>
      <c r="K2068" s="2843" t="str">
        <f>J2068</f>
        <v/>
      </c>
      <c r="L2068" s="2853" t="s">
        <v>1440</v>
      </c>
      <c r="M2068" s="2854" t="s">
        <v>1365</v>
      </c>
      <c r="N2068" s="2854" t="s">
        <v>7082</v>
      </c>
      <c r="O2068" s="2853" t="s">
        <v>1440</v>
      </c>
      <c r="P2068" s="2854" t="s">
        <v>1365</v>
      </c>
      <c r="Q2068" s="2854" t="s">
        <v>7082</v>
      </c>
      <c r="R2068" s="2853" t="s">
        <v>1440</v>
      </c>
      <c r="S2068" s="2854" t="s">
        <v>1365</v>
      </c>
      <c r="T2068" s="2854" t="s">
        <v>7082</v>
      </c>
      <c r="U2068" s="2853" t="s">
        <v>1440</v>
      </c>
      <c r="V2068" s="2854" t="s">
        <v>1365</v>
      </c>
      <c r="W2068" s="2854" t="s">
        <v>7082</v>
      </c>
      <c r="X2068" s="2853" t="s">
        <v>1440</v>
      </c>
      <c r="Y2068" s="2854" t="s">
        <v>1365</v>
      </c>
      <c r="Z2068" s="2854" t="s">
        <v>7082</v>
      </c>
      <c r="AA2068" s="2853" t="s">
        <v>1440</v>
      </c>
      <c r="AB2068" s="2854" t="s">
        <v>1365</v>
      </c>
      <c r="AC2068" s="2854" t="s">
        <v>7082</v>
      </c>
      <c r="AD2068" s="2853" t="s">
        <v>1440</v>
      </c>
      <c r="AE2068" s="2854" t="s">
        <v>1365</v>
      </c>
      <c r="AF2068" s="2854" t="s">
        <v>7082</v>
      </c>
      <c r="AG2068" s="2853" t="s">
        <v>1440</v>
      </c>
      <c r="AH2068" s="2854" t="s">
        <v>1365</v>
      </c>
      <c r="AI2068" s="2855" t="s">
        <v>7082</v>
      </c>
      <c r="AJ2068" s="2853" t="s">
        <v>1440</v>
      </c>
      <c r="AK2068" s="2855" t="s">
        <v>1365</v>
      </c>
      <c r="AL2068" s="2855" t="s">
        <v>7082</v>
      </c>
      <c r="AM2068" s="2853" t="s">
        <v>1440</v>
      </c>
      <c r="AN2068" s="2855" t="s">
        <v>1365</v>
      </c>
      <c r="AO2068" s="2856" t="s">
        <v>7082</v>
      </c>
      <c r="AP2068" s="6352" t="s">
        <v>7077</v>
      </c>
      <c r="AQ2068" s="6353"/>
    </row>
    <row r="2069" spans="1:43" ht="12.75" customHeight="1" x14ac:dyDescent="0.2">
      <c r="A2069" s="227">
        <v>2069</v>
      </c>
      <c r="B2069" s="6042"/>
      <c r="C2069" s="851" t="str">
        <f>IF(D2069="","",COUNTIF($D$2063:$D$2105,"&lt;="&amp;D2069)-SUMPRODUCT(--($D$2063:$D$2105="")))</f>
        <v/>
      </c>
      <c r="D2069" s="485" t="str">
        <f>IFERROR(LEFT(H2069,FIND("(",H2069)-2),H2069)</f>
        <v/>
      </c>
      <c r="E2069" s="485" t="str">
        <f>D2069&amp;IF(ISNUMBER(I2069)," ("&amp;SUMIFS($I$2069:$I$2078,$D$2069:$D$2078,D2069)&amp;")","")</f>
        <v/>
      </c>
      <c r="F2069" s="825" t="str">
        <f t="shared" si="348"/>
        <v/>
      </c>
      <c r="G2069" s="6348"/>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3" t="str">
        <f>IF(AND(COUNTA($K$2068:K2068)-COUNTBLANK($K$2068:K2068)&gt;0,J2069&lt;&gt;""),", ","")&amp;J2069</f>
        <v/>
      </c>
      <c r="L2069" s="2845" t="str">
        <f>IF(ISNA(INDEX(PoderesDeCriatura_AdquiridosNombres,MATCH(L$2067&amp;$A1,Principal!$U$42:$U$69,0))),"",INDEX(PoderesDeCriatura_AdquiridosNombres,MATCH(L$2067&amp;$A1,Principal!$U$42:$U$69,0)))</f>
        <v/>
      </c>
      <c r="M2069" s="2846" t="str">
        <f>IF(ISNA(INDEX(PoderesDeCriatura_Adquiridos,MATCH(L$2067&amp;$A1,Principal!$U$42:$U$69,0))),"",IF(INDEX(Principal!$AP$42:$AP$69,MATCH(L$2067&amp;$A1,Principal!$U$42:$U$69,0))&gt;0,INDEX(Principal!$AF$42:$AF$69,MATCH(L$2067&amp;$A1,Principal!$U$42:$U$69,0)),INDEX(PoderesDeCriatura_Adquiridos,MATCH(L$2067&amp;$A1,Principal!$U$42:$U$69,0))))</f>
        <v/>
      </c>
      <c r="N2069" s="2847" t="str">
        <f>M2069</f>
        <v/>
      </c>
      <c r="O2069" s="2845" t="str">
        <f>IF(ISNA(INDEX(PoderesDeCriatura_AdquiridosNombres,MATCH(O$2067&amp;$A1,Principal!$U$42:$U$69,0))),"",INDEX(PoderesDeCriatura_AdquiridosNombres,MATCH(O$2067&amp;$A1,Principal!$U$42:$U$69,0)))</f>
        <v/>
      </c>
      <c r="P2069" s="2846" t="str">
        <f>IF(ISNA(INDEX(PoderesDeCriatura_Adquiridos,MATCH(O$2067&amp;$A1,Principal!$U$42:$U$69,0))),"",IF(INDEX(Principal!$AP$42:$AP$69,MATCH(O$2067&amp;$A1,Principal!$U$42:$U$69,0))&gt;0,INDEX(Principal!$AF$42:$AF$69,MATCH(O$2067&amp;$A1,Principal!$U$42:$U$69,0)),INDEX(PoderesDeCriatura_Adquiridos,MATCH(O$2067&amp;$A1,Principal!$U$42:$U$69,0))))</f>
        <v/>
      </c>
      <c r="Q2069" s="2847" t="str">
        <f>P2069</f>
        <v/>
      </c>
      <c r="R2069" s="2845" t="str">
        <f>IF(ISNA(INDEX(PoderesDeCriatura_AdquiridosNombres,MATCH(R$2067&amp;$A1,Principal!$U$42:$U$69,0))),"",INDEX(PoderesDeCriatura_AdquiridosNombres,MATCH(R$2067&amp;$A1,Principal!$U$42:$U$69,0)))</f>
        <v/>
      </c>
      <c r="S2069" s="2846" t="str">
        <f>IF(ISNA(INDEX(PoderesDeCriatura_Adquiridos,MATCH(R$2067&amp;$A1,Principal!$U$42:$U$69,0))),"",IF(INDEX(Principal!$AP$42:$AP$69,MATCH(R$2067&amp;$A1,Principal!$U$42:$U$69,0))&gt;0,INDEX(Principal!$AF$42:$AF$69,MATCH(R$2067&amp;$A1,Principal!$U$42:$U$69,0)),INDEX(PoderesDeCriatura_Adquiridos,MATCH(R$2067&amp;$A1,Principal!$U$42:$U$69,0))))</f>
        <v/>
      </c>
      <c r="T2069" s="2847" t="str">
        <f>S2069</f>
        <v/>
      </c>
      <c r="U2069" s="2845" t="str">
        <f>IF(ISNA(INDEX(PoderesDeCriatura_AdquiridosNombres,MATCH(U$2067&amp;$A1,Principal!$U$42:$U$69,0))),"",INDEX(PoderesDeCriatura_AdquiridosNombres,MATCH(U$2067&amp;$A1,Principal!$U$42:$U$69,0)))</f>
        <v/>
      </c>
      <c r="V2069" s="2846" t="str">
        <f>IF(ISNA(INDEX(PoderesDeCriatura_Adquiridos,MATCH(U$2067&amp;$A1,Principal!$U$42:$U$69,0))),"",IF(INDEX(Principal!$AP$42:$AP$69,MATCH(U$2067&amp;$A1,Principal!$U$42:$U$69,0))&gt;0,INDEX(Principal!$AF$42:$AF$69,MATCH(U$2067&amp;$A1,Principal!$U$42:$U$69,0)),INDEX(PoderesDeCriatura_Adquiridos,MATCH(U$2067&amp;$A1,Principal!$U$42:$U$69,0))))</f>
        <v/>
      </c>
      <c r="W2069" s="2847" t="str">
        <f>V2069</f>
        <v/>
      </c>
      <c r="X2069" s="2845" t="str">
        <f>IF(ISNA(INDEX(PoderesDeCriatura_AdquiridosNombres,MATCH(X$2067&amp;$A1,Principal!$U$42:$U$69,0))),"",INDEX(PoderesDeCriatura_AdquiridosNombres,MATCH(X$2067&amp;$A1,Principal!$U$42:$U$69,0)))</f>
        <v/>
      </c>
      <c r="Y2069" s="2846" t="str">
        <f>IF(ISNA(INDEX(PoderesDeCriatura_Adquiridos,MATCH(X$2067&amp;$A1,Principal!$U$42:$U$69,0))),"",IF(INDEX(Principal!$AP$42:$AP$69,MATCH(X$2067&amp;$A1,Principal!$U$42:$U$69,0))&gt;0,INDEX(Principal!$AF$42:$AF$69,MATCH(X$2067&amp;$A1,Principal!$U$42:$U$69,0)),INDEX(PoderesDeCriatura_Adquiridos,MATCH(X$2067&amp;$A1,Principal!$U$42:$U$69,0))))</f>
        <v/>
      </c>
      <c r="Z2069" s="2847" t="str">
        <f>Y2069</f>
        <v/>
      </c>
      <c r="AA2069" s="2845" t="str">
        <f>IF(ISNA(INDEX(PoderesDeCriatura_AdquiridosNombres,MATCH(AA$2067&amp;$A1,Principal!$U$42:$U$69,0))),"",INDEX(PoderesDeCriatura_AdquiridosNombres,MATCH(AA$2067&amp;$A1,Principal!$U$42:$U$69,0)))</f>
        <v/>
      </c>
      <c r="AB2069" s="2846" t="str">
        <f>IF(ISNA(INDEX(PoderesDeCriatura_Adquiridos,MATCH(AA$2067&amp;$A1,Principal!$U$42:$U$69,0))),"",IF(INDEX(Principal!$AP$42:$AP$69,MATCH(AA$2067&amp;$A1,Principal!$U$42:$U$69,0))&gt;0,INDEX(Principal!$AF$42:$AF$69,MATCH(AA$2067&amp;$A1,Principal!$U$42:$U$69,0)),INDEX(PoderesDeCriatura_Adquiridos,MATCH(AA$2067&amp;$A1,Principal!$U$42:$U$69,0))))</f>
        <v/>
      </c>
      <c r="AC2069" s="2847" t="str">
        <f>AB2069</f>
        <v/>
      </c>
      <c r="AD2069" s="2845" t="str">
        <f>IF(ISNA(INDEX(PoderesDeCriatura_AdquiridosNombres,MATCH(AD$2067&amp;$A1,Principal!$U$42:$U$69,0))),"",INDEX(PoderesDeCriatura_AdquiridosNombres,MATCH(AD$2067&amp;$A1,Principal!$U$42:$U$69,0)))</f>
        <v/>
      </c>
      <c r="AE2069" s="2846" t="str">
        <f>IF(ISNA(INDEX(PoderesDeCriatura_Adquiridos,MATCH(AD$2067&amp;$A1,Principal!$U$42:$U$69,0))),"",IF(INDEX(Principal!$AP$42:$AP$69,MATCH(AD$2067&amp;$A1,Principal!$U$42:$U$69,0))&gt;0,INDEX(Principal!$AF$42:$AF$69,MATCH(AD$2067&amp;$A1,Principal!$U$42:$U$69,0)),INDEX(PoderesDeCriatura_Adquiridos,MATCH(AD$2067&amp;$A1,Principal!$U$42:$U$69,0))))</f>
        <v/>
      </c>
      <c r="AF2069" s="2847" t="str">
        <f>AE2069</f>
        <v/>
      </c>
      <c r="AG2069" s="2845" t="str">
        <f>IF(ISNA(INDEX(PoderesDeCriatura_AdquiridosNombres,MATCH(AG$2067&amp;$A1,Principal!$U$42:$U$69,0))),"",INDEX(PoderesDeCriatura_AdquiridosNombres,MATCH(AG$2067&amp;$A1,Principal!$U$42:$U$69,0)))</f>
        <v/>
      </c>
      <c r="AH2069" s="2846" t="str">
        <f>IF(ISNA(INDEX(PoderesDeCriatura_Adquiridos,MATCH(AG$2067&amp;$A1,Principal!$U$42:$U$69,0))),"",IF(INDEX(Principal!$AP$42:$AP$69,MATCH(AG$2067&amp;$A1,Principal!$U$42:$U$69,0))&gt;0,INDEX(Principal!$AF$42:$AF$69,MATCH(AG$2067&amp;$A1,Principal!$U$42:$U$69,0)),INDEX(PoderesDeCriatura_Adquiridos,MATCH(AG$2067&amp;$A1,Principal!$U$42:$U$69,0))))</f>
        <v/>
      </c>
      <c r="AI2069" s="2847" t="str">
        <f>AH2069</f>
        <v/>
      </c>
      <c r="AJ2069" s="2845" t="str">
        <f>IF(ISNA(INDEX(PoderesDeCriatura_AdquiridosNombres,MATCH(AJ$2067&amp;$A1,Principal!$U$42:$U$69,0))),"",INDEX(PoderesDeCriatura_AdquiridosNombres,MATCH(AJ$2067&amp;$A1,Principal!$U$42:$U$69,0)))</f>
        <v/>
      </c>
      <c r="AK2069" s="2846" t="str">
        <f>IF(ISNA(INDEX(PoderesDeCriatura_Adquiridos,MATCH(AJ$2067&amp;$A1,Principal!$U$42:$U$69,0))),"",IF(INDEX(Principal!$AP$42:$AP$69,MATCH(AJ$2067&amp;$A1,Principal!$U$42:$U$69,0))&gt;0,INDEX(Principal!$AF$42:$AF$69,MATCH(AJ$2067&amp;$A1,Principal!$U$42:$U$69,0)),INDEX(PoderesDeCriatura_Adquiridos,MATCH(AJ$2067&amp;$A1,Principal!$U$42:$U$69,0))))</f>
        <v/>
      </c>
      <c r="AL2069" s="2847" t="str">
        <f>AK2069</f>
        <v/>
      </c>
      <c r="AM2069" s="2845" t="str">
        <f>IF(ISNA(INDEX(PoderesDeCriatura_AdquiridosNombres,MATCH(AM$2067&amp;$A1,Principal!$U$42:$U$69,0))),"",INDEX(PoderesDeCriatura_AdquiridosNombres,MATCH(AM$2067&amp;$A1,Principal!$U$42:$U$69,0)))</f>
        <v/>
      </c>
      <c r="AN2069" s="2846"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042"/>
      <c r="C2070" s="851" t="str">
        <f t="shared" si="346"/>
        <v/>
      </c>
      <c r="D2070" s="485" t="str">
        <f t="shared" ref="D2070:D2078" si="349">IFERROR(LEFT(H2070,FIND("(",H2070)-2),H2070)</f>
        <v/>
      </c>
      <c r="E2070" s="485" t="str">
        <f t="shared" ref="E2070:E2078" si="350">D2070&amp;IF(ISNUMBER(I2070)," ("&amp;SUMIFS($I$2069:$I$2078,$D$2069:$D$2078,D2070)&amp;")","")</f>
        <v/>
      </c>
      <c r="F2070" s="825" t="str">
        <f t="shared" si="348"/>
        <v/>
      </c>
      <c r="G2070" s="6348"/>
      <c r="H2070" s="1348" t="str">
        <f>Combate!AB20</f>
        <v/>
      </c>
      <c r="I2070" s="1356" t="str">
        <f t="shared" ref="I2070:I2078" si="351">IFERROR(VALUE(MID(H2070,FIND("(",H2070)+1,LEN(H2070)-1-FIND("(",H2070))),"")</f>
        <v/>
      </c>
      <c r="J2070" s="816" t="str">
        <f>IF(ISNA(VLOOKUP(A3,Principal!$S$42:$AH$69,10,FALSE)),"",IF(VLOOKUP(A3,Principal!$S$42:$AH$69,10,FALSE)=0,"",INDEX(PoderesDeCriatura_Adquiridos,MATCH(A3,Principal!$S$42:$S$69,0))))</f>
        <v/>
      </c>
      <c r="K2070" s="2843" t="str">
        <f>IF(AND(COUNTA($K$2068:K2069)-COUNTBLANK($K$2068:K2069)&gt;0,J2070&lt;&gt;""),", ","")&amp;J2070</f>
        <v/>
      </c>
      <c r="L2070" s="2845" t="str">
        <f>IF(ISNA(INDEX(PoderesDeCriatura_AdquiridosNombres,MATCH(L$2067&amp;$A2,Principal!$U$42:$U$69,0))),"",INDEX(PoderesDeCriatura_AdquiridosNombres,MATCH(L$2067&amp;$A2,Principal!$U$42:$U$69,0)))</f>
        <v/>
      </c>
      <c r="M2070" s="2846" t="str">
        <f>IF(ISNA(INDEX(PoderesDeCriatura_Adquiridos,MATCH(L$2067&amp;$A2,Principal!$U$42:$U$69,0))),"",IF(INDEX(Principal!$AP$42:$AP$69,MATCH(L$2067&amp;$A2,Principal!$U$42:$U$69,0))&gt;0,INDEX(Principal!$AF$42:$AF$69,MATCH(L$2067&amp;$A2,Principal!$U$42:$U$69,0)),INDEX(PoderesDeCriatura_Adquiridos,MATCH(L$2067&amp;$A2,Principal!$U$42:$U$69,0))))</f>
        <v/>
      </c>
      <c r="N2070" s="2843" t="str">
        <f t="shared" ref="N2070:N2097" si="352">IF(M2070="","",", "&amp;M2070)</f>
        <v/>
      </c>
      <c r="O2070" s="2845" t="str">
        <f>IF(ISNA(INDEX(PoderesDeCriatura_AdquiridosNombres,MATCH(O$2067&amp;$A2,Principal!$U$42:$U$69,0))),"",INDEX(PoderesDeCriatura_AdquiridosNombres,MATCH(O$2067&amp;$A2,Principal!$U$42:$U$69,0)))</f>
        <v/>
      </c>
      <c r="P2070" s="2846" t="str">
        <f>IF(ISNA(INDEX(PoderesDeCriatura_Adquiridos,MATCH(O$2067&amp;$A2,Principal!$U$42:$U$69,0))),"",IF(INDEX(Principal!$AP$42:$AP$69,MATCH(O$2067&amp;$A2,Principal!$U$42:$U$69,0))&gt;0,INDEX(Principal!$AF$42:$AF$69,MATCH(O$2067&amp;$A2,Principal!$U$42:$U$69,0)),INDEX(PoderesDeCriatura_Adquiridos,MATCH(O$2067&amp;$A2,Principal!$U$42:$U$69,0))))</f>
        <v/>
      </c>
      <c r="Q2070" s="2843" t="str">
        <f t="shared" ref="Q2070:Q2097" si="353">IF(P2070="","",", "&amp;P2070)</f>
        <v/>
      </c>
      <c r="R2070" s="2845" t="str">
        <f>IF(ISNA(INDEX(PoderesDeCriatura_AdquiridosNombres,MATCH(R$2067&amp;$A2,Principal!$U$42:$U$69,0))),"",INDEX(PoderesDeCriatura_AdquiridosNombres,MATCH(R$2067&amp;$A2,Principal!$U$42:$U$69,0)))</f>
        <v/>
      </c>
      <c r="S2070" s="2846" t="str">
        <f>IF(ISNA(INDEX(PoderesDeCriatura_Adquiridos,MATCH(R$2067&amp;$A2,Principal!$U$42:$U$69,0))),"",IF(INDEX(Principal!$AP$42:$AP$69,MATCH(R$2067&amp;$A2,Principal!$U$42:$U$69,0))&gt;0,INDEX(Principal!$AF$42:$AF$69,MATCH(R$2067&amp;$A2,Principal!$U$42:$U$69,0)),INDEX(PoderesDeCriatura_Adquiridos,MATCH(R$2067&amp;$A2,Principal!$U$42:$U$69,0))))</f>
        <v/>
      </c>
      <c r="T2070" s="2843" t="str">
        <f t="shared" ref="T2070:T2097" si="354">IF(S2070="","",", "&amp;S2070)</f>
        <v/>
      </c>
      <c r="U2070" s="2845" t="str">
        <f>IF(ISNA(INDEX(PoderesDeCriatura_AdquiridosNombres,MATCH(U$2067&amp;$A2,Principal!$U$42:$U$69,0))),"",INDEX(PoderesDeCriatura_AdquiridosNombres,MATCH(U$2067&amp;$A2,Principal!$U$42:$U$69,0)))</f>
        <v/>
      </c>
      <c r="V2070" s="2846" t="str">
        <f>IF(ISNA(INDEX(PoderesDeCriatura_Adquiridos,MATCH(U$2067&amp;$A2,Principal!$U$42:$U$69,0))),"",IF(INDEX(Principal!$AP$42:$AP$69,MATCH(U$2067&amp;$A2,Principal!$U$42:$U$69,0))&gt;0,INDEX(Principal!$AF$42:$AF$69,MATCH(U$2067&amp;$A2,Principal!$U$42:$U$69,0)),INDEX(PoderesDeCriatura_Adquiridos,MATCH(U$2067&amp;$A2,Principal!$U$42:$U$69,0))))</f>
        <v/>
      </c>
      <c r="W2070" s="2843" t="str">
        <f t="shared" ref="W2070:W2097" si="355">IF(V2070="","",", "&amp;V2070)</f>
        <v/>
      </c>
      <c r="X2070" s="2845" t="str">
        <f>IF(ISNA(INDEX(PoderesDeCriatura_AdquiridosNombres,MATCH(X$2067&amp;$A2,Principal!$U$42:$U$69,0))),"",INDEX(PoderesDeCriatura_AdquiridosNombres,MATCH(X$2067&amp;$A2,Principal!$U$42:$U$69,0)))</f>
        <v/>
      </c>
      <c r="Y2070" s="2846" t="str">
        <f>IF(ISNA(INDEX(PoderesDeCriatura_Adquiridos,MATCH(X$2067&amp;$A2,Principal!$U$42:$U$69,0))),"",IF(INDEX(Principal!$AP$42:$AP$69,MATCH(X$2067&amp;$A2,Principal!$U$42:$U$69,0))&gt;0,INDEX(Principal!$AF$42:$AF$69,MATCH(X$2067&amp;$A2,Principal!$U$42:$U$69,0)),INDEX(PoderesDeCriatura_Adquiridos,MATCH(X$2067&amp;$A2,Principal!$U$42:$U$69,0))))</f>
        <v/>
      </c>
      <c r="Z2070" s="2843" t="str">
        <f t="shared" ref="Z2070:Z2097" si="356">IF(Y2070="","",", "&amp;Y2070)</f>
        <v/>
      </c>
      <c r="AA2070" s="2845" t="str">
        <f>IF(ISNA(INDEX(PoderesDeCriatura_AdquiridosNombres,MATCH(AA$2067&amp;$A2,Principal!$U$42:$U$69,0))),"",INDEX(PoderesDeCriatura_AdquiridosNombres,MATCH(AA$2067&amp;$A2,Principal!$U$42:$U$69,0)))</f>
        <v/>
      </c>
      <c r="AB2070" s="2846" t="str">
        <f>IF(ISNA(INDEX(PoderesDeCriatura_Adquiridos,MATCH(AA$2067&amp;$A2,Principal!$U$42:$U$69,0))),"",IF(INDEX(Principal!$AP$42:$AP$69,MATCH(AA$2067&amp;$A2,Principal!$U$42:$U$69,0))&gt;0,INDEX(Principal!$AF$42:$AF$69,MATCH(AA$2067&amp;$A2,Principal!$U$42:$U$69,0)),INDEX(PoderesDeCriatura_Adquiridos,MATCH(AA$2067&amp;$A2,Principal!$U$42:$U$69,0))))</f>
        <v/>
      </c>
      <c r="AC2070" s="2843" t="str">
        <f t="shared" ref="AC2070:AC2097" si="357">IF(AB2070="","",", "&amp;AB2070)</f>
        <v/>
      </c>
      <c r="AD2070" s="2845" t="str">
        <f>IF(ISNA(INDEX(PoderesDeCriatura_AdquiridosNombres,MATCH(AD$2067&amp;$A2,Principal!$U$42:$U$69,0))),"",INDEX(PoderesDeCriatura_AdquiridosNombres,MATCH(AD$2067&amp;$A2,Principal!$U$42:$U$69,0)))</f>
        <v/>
      </c>
      <c r="AE2070" s="2846" t="str">
        <f>IF(ISNA(INDEX(PoderesDeCriatura_Adquiridos,MATCH(AD$2067&amp;$A2,Principal!$U$42:$U$69,0))),"",IF(INDEX(Principal!$AP$42:$AP$69,MATCH(AD$2067&amp;$A2,Principal!$U$42:$U$69,0))&gt;0,INDEX(Principal!$AF$42:$AF$69,MATCH(AD$2067&amp;$A2,Principal!$U$42:$U$69,0)),INDEX(PoderesDeCriatura_Adquiridos,MATCH(AD$2067&amp;$A2,Principal!$U$42:$U$69,0))))</f>
        <v/>
      </c>
      <c r="AF2070" s="2843" t="str">
        <f t="shared" ref="AF2070:AF2097" si="358">IF(AE2070="","",", "&amp;AE2070)</f>
        <v/>
      </c>
      <c r="AG2070" s="2845" t="str">
        <f>IF(ISNA(INDEX(PoderesDeCriatura_AdquiridosNombres,MATCH(AG$2067&amp;$A2,Principal!$U$42:$U$69,0))),"",INDEX(PoderesDeCriatura_AdquiridosNombres,MATCH(AG$2067&amp;$A2,Principal!$U$42:$U$69,0)))</f>
        <v/>
      </c>
      <c r="AH2070" s="2846" t="str">
        <f>IF(ISNA(INDEX(PoderesDeCriatura_Adquiridos,MATCH(AG$2067&amp;$A2,Principal!$U$42:$U$69,0))),"",IF(INDEX(Principal!$AP$42:$AP$69,MATCH(AG$2067&amp;$A2,Principal!$U$42:$U$69,0))&gt;0,INDEX(Principal!$AF$42:$AF$69,MATCH(AG$2067&amp;$A2,Principal!$U$42:$U$69,0)),INDEX(PoderesDeCriatura_Adquiridos,MATCH(AG$2067&amp;$A2,Principal!$U$42:$U$69,0))))</f>
        <v/>
      </c>
      <c r="AI2070" s="2843" t="str">
        <f t="shared" ref="AI2070:AI2097" si="359">IF(AH2070="","",", "&amp;AH2070)</f>
        <v/>
      </c>
      <c r="AJ2070" s="2845" t="str">
        <f>IF(ISNA(INDEX(PoderesDeCriatura_AdquiridosNombres,MATCH(AJ$2067&amp;$A2,Principal!$U$42:$U$69,0))),"",INDEX(PoderesDeCriatura_AdquiridosNombres,MATCH(AJ$2067&amp;$A2,Principal!$U$42:$U$69,0)))</f>
        <v/>
      </c>
      <c r="AK2070" s="2846" t="str">
        <f>IF(ISNA(INDEX(PoderesDeCriatura_Adquiridos,MATCH(AJ$2067&amp;$A2,Principal!$U$42:$U$69,0))),"",IF(INDEX(Principal!$AP$42:$AP$69,MATCH(AJ$2067&amp;$A2,Principal!$U$42:$U$69,0))&gt;0,INDEX(Principal!$AF$42:$AF$69,MATCH(AJ$2067&amp;$A2,Principal!$U$42:$U$69,0)),INDEX(PoderesDeCriatura_Adquiridos,MATCH(AJ$2067&amp;$A2,Principal!$U$42:$U$69,0))))</f>
        <v/>
      </c>
      <c r="AL2070" s="2843" t="str">
        <f t="shared" ref="AL2070:AL2097" si="360">IF(AK2070="","",", "&amp;AK2070)</f>
        <v/>
      </c>
      <c r="AM2070" s="2845" t="str">
        <f>IF(ISNA(INDEX(PoderesDeCriatura_AdquiridosNombres,MATCH(AM$2067&amp;$A2,Principal!$U$42:$U$69,0))),"",INDEX(PoderesDeCriatura_AdquiridosNombres,MATCH(AM$2067&amp;$A2,Principal!$U$42:$U$69,0)))</f>
        <v/>
      </c>
      <c r="AN2070" s="2846"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1">IF(AN2070="","",", "&amp;AN2070)</f>
        <v/>
      </c>
      <c r="AP2070" s="830" t="str">
        <f>IF(AQ2070=0,"",MAX($AP$2069:AP2069)+1)</f>
        <v/>
      </c>
      <c r="AQ2070" s="1284">
        <f>Principal!V42</f>
        <v>0</v>
      </c>
    </row>
    <row r="2071" spans="1:43" ht="12.75" customHeight="1" x14ac:dyDescent="0.2">
      <c r="A2071" s="227">
        <v>2071</v>
      </c>
      <c r="B2071" s="6042"/>
      <c r="C2071" s="851" t="str">
        <f t="shared" si="346"/>
        <v/>
      </c>
      <c r="D2071" s="485" t="str">
        <f t="shared" si="349"/>
        <v/>
      </c>
      <c r="E2071" s="485" t="str">
        <f t="shared" si="350"/>
        <v/>
      </c>
      <c r="F2071" s="825" t="str">
        <f t="shared" si="348"/>
        <v/>
      </c>
      <c r="G2071" s="6348"/>
      <c r="H2071" s="1348" t="str">
        <f>Combate!AB21</f>
        <v/>
      </c>
      <c r="I2071" s="1356" t="str">
        <f t="shared" si="351"/>
        <v/>
      </c>
      <c r="J2071" s="816" t="str">
        <f>IF(ISNA(VLOOKUP(A4,Principal!$S$42:$AH$69,10,FALSE)),"",IF(VLOOKUP(A4,Principal!$S$42:$AH$69,10,FALSE)=0,"",INDEX(PoderesDeCriatura_Adquiridos,MATCH(A4,Principal!$S$42:$S$69,0))))</f>
        <v/>
      </c>
      <c r="K2071" s="2843" t="str">
        <f>IF(AND(COUNTA($K$2068:K2070)-COUNTBLANK($K$2068:K2070)&gt;0,J2071&lt;&gt;""),", ","")&amp;J2071</f>
        <v/>
      </c>
      <c r="L2071" s="2845" t="str">
        <f>IF(ISNA(INDEX(PoderesDeCriatura_AdquiridosNombres,MATCH(L$2067&amp;$A3,Principal!$U$42:$U$69,0))),"",INDEX(PoderesDeCriatura_AdquiridosNombres,MATCH(L$2067&amp;$A3,Principal!$U$42:$U$69,0)))</f>
        <v/>
      </c>
      <c r="M2071" s="2846" t="str">
        <f>IF(ISNA(INDEX(PoderesDeCriatura_Adquiridos,MATCH(L$2067&amp;$A3,Principal!$U$42:$U$69,0))),"",IF(INDEX(Principal!$AP$42:$AP$69,MATCH(L$2067&amp;$A3,Principal!$U$42:$U$69,0))&gt;0,INDEX(Principal!$AF$42:$AF$69,MATCH(L$2067&amp;$A3,Principal!$U$42:$U$69,0)),INDEX(PoderesDeCriatura_Adquiridos,MATCH(L$2067&amp;$A3,Principal!$U$42:$U$69,0))))</f>
        <v/>
      </c>
      <c r="N2071" s="2843" t="str">
        <f t="shared" si="352"/>
        <v/>
      </c>
      <c r="O2071" s="2845" t="str">
        <f>IF(ISNA(INDEX(PoderesDeCriatura_AdquiridosNombres,MATCH(O$2067&amp;$A3,Principal!$U$42:$U$69,0))),"",INDEX(PoderesDeCriatura_AdquiridosNombres,MATCH(O$2067&amp;$A3,Principal!$U$42:$U$69,0)))</f>
        <v/>
      </c>
      <c r="P2071" s="2846" t="str">
        <f>IF(ISNA(INDEX(PoderesDeCriatura_Adquiridos,MATCH(O$2067&amp;$A3,Principal!$U$42:$U$69,0))),"",IF(INDEX(Principal!$AP$42:$AP$69,MATCH(O$2067&amp;$A3,Principal!$U$42:$U$69,0))&gt;0,INDEX(Principal!$AF$42:$AF$69,MATCH(O$2067&amp;$A3,Principal!$U$42:$U$69,0)),INDEX(PoderesDeCriatura_Adquiridos,MATCH(O$2067&amp;$A3,Principal!$U$42:$U$69,0))))</f>
        <v/>
      </c>
      <c r="Q2071" s="2843" t="str">
        <f t="shared" si="353"/>
        <v/>
      </c>
      <c r="R2071" s="2845" t="str">
        <f>IF(ISNA(INDEX(PoderesDeCriatura_AdquiridosNombres,MATCH(R$2067&amp;$A3,Principal!$U$42:$U$69,0))),"",INDEX(PoderesDeCriatura_AdquiridosNombres,MATCH(R$2067&amp;$A3,Principal!$U$42:$U$69,0)))</f>
        <v/>
      </c>
      <c r="S2071" s="2846" t="str">
        <f>IF(ISNA(INDEX(PoderesDeCriatura_Adquiridos,MATCH(R$2067&amp;$A3,Principal!$U$42:$U$69,0))),"",IF(INDEX(Principal!$AP$42:$AP$69,MATCH(R$2067&amp;$A3,Principal!$U$42:$U$69,0))&gt;0,INDEX(Principal!$AF$42:$AF$69,MATCH(R$2067&amp;$A3,Principal!$U$42:$U$69,0)),INDEX(PoderesDeCriatura_Adquiridos,MATCH(R$2067&amp;$A3,Principal!$U$42:$U$69,0))))</f>
        <v/>
      </c>
      <c r="T2071" s="2843" t="str">
        <f t="shared" si="354"/>
        <v/>
      </c>
      <c r="U2071" s="2845" t="str">
        <f>IF(ISNA(INDEX(PoderesDeCriatura_AdquiridosNombres,MATCH(U$2067&amp;$A3,Principal!$U$42:$U$69,0))),"",INDEX(PoderesDeCriatura_AdquiridosNombres,MATCH(U$2067&amp;$A3,Principal!$U$42:$U$69,0)))</f>
        <v/>
      </c>
      <c r="V2071" s="2846" t="str">
        <f>IF(ISNA(INDEX(PoderesDeCriatura_Adquiridos,MATCH(U$2067&amp;$A3,Principal!$U$42:$U$69,0))),"",IF(INDEX(Principal!$AP$42:$AP$69,MATCH(U$2067&amp;$A3,Principal!$U$42:$U$69,0))&gt;0,INDEX(Principal!$AF$42:$AF$69,MATCH(U$2067&amp;$A3,Principal!$U$42:$U$69,0)),INDEX(PoderesDeCriatura_Adquiridos,MATCH(U$2067&amp;$A3,Principal!$U$42:$U$69,0))))</f>
        <v/>
      </c>
      <c r="W2071" s="2843" t="str">
        <f t="shared" si="355"/>
        <v/>
      </c>
      <c r="X2071" s="2845" t="str">
        <f>IF(ISNA(INDEX(PoderesDeCriatura_AdquiridosNombres,MATCH(X$2067&amp;$A3,Principal!$U$42:$U$69,0))),"",INDEX(PoderesDeCriatura_AdquiridosNombres,MATCH(X$2067&amp;$A3,Principal!$U$42:$U$69,0)))</f>
        <v/>
      </c>
      <c r="Y2071" s="2846" t="str">
        <f>IF(ISNA(INDEX(PoderesDeCriatura_Adquiridos,MATCH(X$2067&amp;$A3,Principal!$U$42:$U$69,0))),"",IF(INDEX(Principal!$AP$42:$AP$69,MATCH(X$2067&amp;$A3,Principal!$U$42:$U$69,0))&gt;0,INDEX(Principal!$AF$42:$AF$69,MATCH(X$2067&amp;$A3,Principal!$U$42:$U$69,0)),INDEX(PoderesDeCriatura_Adquiridos,MATCH(X$2067&amp;$A3,Principal!$U$42:$U$69,0))))</f>
        <v/>
      </c>
      <c r="Z2071" s="2843" t="str">
        <f t="shared" si="356"/>
        <v/>
      </c>
      <c r="AA2071" s="2845" t="str">
        <f>IF(ISNA(INDEX(PoderesDeCriatura_AdquiridosNombres,MATCH(AA$2067&amp;$A3,Principal!$U$42:$U$69,0))),"",INDEX(PoderesDeCriatura_AdquiridosNombres,MATCH(AA$2067&amp;$A3,Principal!$U$42:$U$69,0)))</f>
        <v/>
      </c>
      <c r="AB2071" s="2846" t="str">
        <f>IF(ISNA(INDEX(PoderesDeCriatura_Adquiridos,MATCH(AA$2067&amp;$A3,Principal!$U$42:$U$69,0))),"",IF(INDEX(Principal!$AP$42:$AP$69,MATCH(AA$2067&amp;$A3,Principal!$U$42:$U$69,0))&gt;0,INDEX(Principal!$AF$42:$AF$69,MATCH(AA$2067&amp;$A3,Principal!$U$42:$U$69,0)),INDEX(PoderesDeCriatura_Adquiridos,MATCH(AA$2067&amp;$A3,Principal!$U$42:$U$69,0))))</f>
        <v/>
      </c>
      <c r="AC2071" s="2843" t="str">
        <f t="shared" si="357"/>
        <v/>
      </c>
      <c r="AD2071" s="2845" t="str">
        <f>IF(ISNA(INDEX(PoderesDeCriatura_AdquiridosNombres,MATCH(AD$2067&amp;$A3,Principal!$U$42:$U$69,0))),"",INDEX(PoderesDeCriatura_AdquiridosNombres,MATCH(AD$2067&amp;$A3,Principal!$U$42:$U$69,0)))</f>
        <v/>
      </c>
      <c r="AE2071" s="2846" t="str">
        <f>IF(ISNA(INDEX(PoderesDeCriatura_Adquiridos,MATCH(AD$2067&amp;$A3,Principal!$U$42:$U$69,0))),"",IF(INDEX(Principal!$AP$42:$AP$69,MATCH(AD$2067&amp;$A3,Principal!$U$42:$U$69,0))&gt;0,INDEX(Principal!$AF$42:$AF$69,MATCH(AD$2067&amp;$A3,Principal!$U$42:$U$69,0)),INDEX(PoderesDeCriatura_Adquiridos,MATCH(AD$2067&amp;$A3,Principal!$U$42:$U$69,0))))</f>
        <v/>
      </c>
      <c r="AF2071" s="2843" t="str">
        <f t="shared" si="358"/>
        <v/>
      </c>
      <c r="AG2071" s="2845" t="str">
        <f>IF(ISNA(INDEX(PoderesDeCriatura_AdquiridosNombres,MATCH(AG$2067&amp;$A3,Principal!$U$42:$U$69,0))),"",INDEX(PoderesDeCriatura_AdquiridosNombres,MATCH(AG$2067&amp;$A3,Principal!$U$42:$U$69,0)))</f>
        <v/>
      </c>
      <c r="AH2071" s="2846" t="str">
        <f>IF(ISNA(INDEX(PoderesDeCriatura_Adquiridos,MATCH(AG$2067&amp;$A3,Principal!$U$42:$U$69,0))),"",IF(INDEX(Principal!$AP$42:$AP$69,MATCH(AG$2067&amp;$A3,Principal!$U$42:$U$69,0))&gt;0,INDEX(Principal!$AF$42:$AF$69,MATCH(AG$2067&amp;$A3,Principal!$U$42:$U$69,0)),INDEX(PoderesDeCriatura_Adquiridos,MATCH(AG$2067&amp;$A3,Principal!$U$42:$U$69,0))))</f>
        <v/>
      </c>
      <c r="AI2071" s="2843" t="str">
        <f t="shared" si="359"/>
        <v/>
      </c>
      <c r="AJ2071" s="2845" t="str">
        <f>IF(ISNA(INDEX(PoderesDeCriatura_AdquiridosNombres,MATCH(AJ$2067&amp;$A3,Principal!$U$42:$U$69,0))),"",INDEX(PoderesDeCriatura_AdquiridosNombres,MATCH(AJ$2067&amp;$A3,Principal!$U$42:$U$69,0)))</f>
        <v/>
      </c>
      <c r="AK2071" s="2846" t="str">
        <f>IF(ISNA(INDEX(PoderesDeCriatura_Adquiridos,MATCH(AJ$2067&amp;$A3,Principal!$U$42:$U$69,0))),"",IF(INDEX(Principal!$AP$42:$AP$69,MATCH(AJ$2067&amp;$A3,Principal!$U$42:$U$69,0))&gt;0,INDEX(Principal!$AF$42:$AF$69,MATCH(AJ$2067&amp;$A3,Principal!$U$42:$U$69,0)),INDEX(PoderesDeCriatura_Adquiridos,MATCH(AJ$2067&amp;$A3,Principal!$U$42:$U$69,0))))</f>
        <v/>
      </c>
      <c r="AL2071" s="2843" t="str">
        <f t="shared" si="360"/>
        <v/>
      </c>
      <c r="AM2071" s="2845" t="str">
        <f>IF(ISNA(INDEX(PoderesDeCriatura_AdquiridosNombres,MATCH(AM$2067&amp;$A3,Principal!$U$42:$U$69,0))),"",INDEX(PoderesDeCriatura_AdquiridosNombres,MATCH(AM$2067&amp;$A3,Principal!$U$42:$U$69,0)))</f>
        <v/>
      </c>
      <c r="AN2071" s="2846"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1"/>
        <v/>
      </c>
      <c r="AP2071" s="830" t="str">
        <f>IF(OR(AQ2071=0,ISNUMBER(MATCH(AQ2071,$AQ$2070:$AQ2070,0))),"",MAX($AP$2069:AP2070)+1)</f>
        <v/>
      </c>
      <c r="AQ2071" s="1284">
        <f>Principal!V43</f>
        <v>0</v>
      </c>
    </row>
    <row r="2072" spans="1:43" ht="12.75" customHeight="1" x14ac:dyDescent="0.2">
      <c r="A2072" s="227">
        <v>2072</v>
      </c>
      <c r="B2072" s="6042"/>
      <c r="C2072" s="851" t="str">
        <f t="shared" si="346"/>
        <v/>
      </c>
      <c r="D2072" s="485" t="str">
        <f t="shared" si="349"/>
        <v/>
      </c>
      <c r="E2072" s="485" t="str">
        <f t="shared" si="350"/>
        <v/>
      </c>
      <c r="F2072" s="825" t="str">
        <f t="shared" si="348"/>
        <v/>
      </c>
      <c r="G2072" s="6348"/>
      <c r="H2072" s="1348" t="str">
        <f>Combate!AB22</f>
        <v/>
      </c>
      <c r="I2072" s="1356" t="str">
        <f t="shared" si="351"/>
        <v/>
      </c>
      <c r="J2072" s="816" t="str">
        <f>IF(ISNA(VLOOKUP(A5,Principal!$S$42:$AH$69,10,FALSE)),"",IF(VLOOKUP(A5,Principal!$S$42:$AH$69,10,FALSE)=0,"",INDEX(PoderesDeCriatura_Adquiridos,MATCH(A5,Principal!$S$42:$S$69,0))))</f>
        <v/>
      </c>
      <c r="K2072" s="2843" t="str">
        <f>IF(AND(COUNTA($K$2068:K2071)-COUNTBLANK($K$2068:K2071)&gt;0,J2072&lt;&gt;""),", ","")&amp;J2072</f>
        <v/>
      </c>
      <c r="L2072" s="2845" t="str">
        <f>IF(ISNA(INDEX(PoderesDeCriatura_AdquiridosNombres,MATCH(L$2067&amp;$A4,Principal!$U$42:$U$69,0))),"",INDEX(PoderesDeCriatura_AdquiridosNombres,MATCH(L$2067&amp;$A4,Principal!$U$42:$U$69,0)))</f>
        <v/>
      </c>
      <c r="M2072" s="2846" t="str">
        <f>IF(ISNA(INDEX(PoderesDeCriatura_Adquiridos,MATCH(L$2067&amp;$A4,Principal!$U$42:$U$69,0))),"",IF(INDEX(Principal!$AP$42:$AP$69,MATCH(L$2067&amp;$A4,Principal!$U$42:$U$69,0))&gt;0,INDEX(Principal!$AF$42:$AF$69,MATCH(L$2067&amp;$A4,Principal!$U$42:$U$69,0)),INDEX(PoderesDeCriatura_Adquiridos,MATCH(L$2067&amp;$A4,Principal!$U$42:$U$69,0))))</f>
        <v/>
      </c>
      <c r="N2072" s="2843" t="str">
        <f t="shared" si="352"/>
        <v/>
      </c>
      <c r="O2072" s="2845" t="str">
        <f>IF(ISNA(INDEX(PoderesDeCriatura_AdquiridosNombres,MATCH(O$2067&amp;$A4,Principal!$U$42:$U$69,0))),"",INDEX(PoderesDeCriatura_AdquiridosNombres,MATCH(O$2067&amp;$A4,Principal!$U$42:$U$69,0)))</f>
        <v/>
      </c>
      <c r="P2072" s="2846" t="str">
        <f>IF(ISNA(INDEX(PoderesDeCriatura_Adquiridos,MATCH(O$2067&amp;$A4,Principal!$U$42:$U$69,0))),"",IF(INDEX(Principal!$AP$42:$AP$69,MATCH(O$2067&amp;$A4,Principal!$U$42:$U$69,0))&gt;0,INDEX(Principal!$AF$42:$AF$69,MATCH(O$2067&amp;$A4,Principal!$U$42:$U$69,0)),INDEX(PoderesDeCriatura_Adquiridos,MATCH(O$2067&amp;$A4,Principal!$U$42:$U$69,0))))</f>
        <v/>
      </c>
      <c r="Q2072" s="2843" t="str">
        <f t="shared" si="353"/>
        <v/>
      </c>
      <c r="R2072" s="2845" t="str">
        <f>IF(ISNA(INDEX(PoderesDeCriatura_AdquiridosNombres,MATCH(R$2067&amp;$A4,Principal!$U$42:$U$69,0))),"",INDEX(PoderesDeCriatura_AdquiridosNombres,MATCH(R$2067&amp;$A4,Principal!$U$42:$U$69,0)))</f>
        <v/>
      </c>
      <c r="S2072" s="2846" t="str">
        <f>IF(ISNA(INDEX(PoderesDeCriatura_Adquiridos,MATCH(R$2067&amp;$A4,Principal!$U$42:$U$69,0))),"",IF(INDEX(Principal!$AP$42:$AP$69,MATCH(R$2067&amp;$A4,Principal!$U$42:$U$69,0))&gt;0,INDEX(Principal!$AF$42:$AF$69,MATCH(R$2067&amp;$A4,Principal!$U$42:$U$69,0)),INDEX(PoderesDeCriatura_Adquiridos,MATCH(R$2067&amp;$A4,Principal!$U$42:$U$69,0))))</f>
        <v/>
      </c>
      <c r="T2072" s="2843" t="str">
        <f t="shared" si="354"/>
        <v/>
      </c>
      <c r="U2072" s="2845" t="str">
        <f>IF(ISNA(INDEX(PoderesDeCriatura_AdquiridosNombres,MATCH(U$2067&amp;$A4,Principal!$U$42:$U$69,0))),"",INDEX(PoderesDeCriatura_AdquiridosNombres,MATCH(U$2067&amp;$A4,Principal!$U$42:$U$69,0)))</f>
        <v/>
      </c>
      <c r="V2072" s="2846" t="str">
        <f>IF(ISNA(INDEX(PoderesDeCriatura_Adquiridos,MATCH(U$2067&amp;$A4,Principal!$U$42:$U$69,0))),"",IF(INDEX(Principal!$AP$42:$AP$69,MATCH(U$2067&amp;$A4,Principal!$U$42:$U$69,0))&gt;0,INDEX(Principal!$AF$42:$AF$69,MATCH(U$2067&amp;$A4,Principal!$U$42:$U$69,0)),INDEX(PoderesDeCriatura_Adquiridos,MATCH(U$2067&amp;$A4,Principal!$U$42:$U$69,0))))</f>
        <v/>
      </c>
      <c r="W2072" s="2843" t="str">
        <f t="shared" si="355"/>
        <v/>
      </c>
      <c r="X2072" s="2845" t="str">
        <f>IF(ISNA(INDEX(PoderesDeCriatura_AdquiridosNombres,MATCH(X$2067&amp;$A4,Principal!$U$42:$U$69,0))),"",INDEX(PoderesDeCriatura_AdquiridosNombres,MATCH(X$2067&amp;$A4,Principal!$U$42:$U$69,0)))</f>
        <v/>
      </c>
      <c r="Y2072" s="2846" t="str">
        <f>IF(ISNA(INDEX(PoderesDeCriatura_Adquiridos,MATCH(X$2067&amp;$A4,Principal!$U$42:$U$69,0))),"",IF(INDEX(Principal!$AP$42:$AP$69,MATCH(X$2067&amp;$A4,Principal!$U$42:$U$69,0))&gt;0,INDEX(Principal!$AF$42:$AF$69,MATCH(X$2067&amp;$A4,Principal!$U$42:$U$69,0)),INDEX(PoderesDeCriatura_Adquiridos,MATCH(X$2067&amp;$A4,Principal!$U$42:$U$69,0))))</f>
        <v/>
      </c>
      <c r="Z2072" s="2843" t="str">
        <f t="shared" si="356"/>
        <v/>
      </c>
      <c r="AA2072" s="2845" t="str">
        <f>IF(ISNA(INDEX(PoderesDeCriatura_AdquiridosNombres,MATCH(AA$2067&amp;$A4,Principal!$U$42:$U$69,0))),"",INDEX(PoderesDeCriatura_AdquiridosNombres,MATCH(AA$2067&amp;$A4,Principal!$U$42:$U$69,0)))</f>
        <v/>
      </c>
      <c r="AB2072" s="2846" t="str">
        <f>IF(ISNA(INDEX(PoderesDeCriatura_Adquiridos,MATCH(AA$2067&amp;$A4,Principal!$U$42:$U$69,0))),"",IF(INDEX(Principal!$AP$42:$AP$69,MATCH(AA$2067&amp;$A4,Principal!$U$42:$U$69,0))&gt;0,INDEX(Principal!$AF$42:$AF$69,MATCH(AA$2067&amp;$A4,Principal!$U$42:$U$69,0)),INDEX(PoderesDeCriatura_Adquiridos,MATCH(AA$2067&amp;$A4,Principal!$U$42:$U$69,0))))</f>
        <v/>
      </c>
      <c r="AC2072" s="2843" t="str">
        <f t="shared" si="357"/>
        <v/>
      </c>
      <c r="AD2072" s="2845" t="str">
        <f>IF(ISNA(INDEX(PoderesDeCriatura_AdquiridosNombres,MATCH(AD$2067&amp;$A4,Principal!$U$42:$U$69,0))),"",INDEX(PoderesDeCriatura_AdquiridosNombres,MATCH(AD$2067&amp;$A4,Principal!$U$42:$U$69,0)))</f>
        <v/>
      </c>
      <c r="AE2072" s="2846" t="str">
        <f>IF(ISNA(INDEX(PoderesDeCriatura_Adquiridos,MATCH(AD$2067&amp;$A4,Principal!$U$42:$U$69,0))),"",IF(INDEX(Principal!$AP$42:$AP$69,MATCH(AD$2067&amp;$A4,Principal!$U$42:$U$69,0))&gt;0,INDEX(Principal!$AF$42:$AF$69,MATCH(AD$2067&amp;$A4,Principal!$U$42:$U$69,0)),INDEX(PoderesDeCriatura_Adquiridos,MATCH(AD$2067&amp;$A4,Principal!$U$42:$U$69,0))))</f>
        <v/>
      </c>
      <c r="AF2072" s="2843" t="str">
        <f t="shared" si="358"/>
        <v/>
      </c>
      <c r="AG2072" s="2845" t="str">
        <f>IF(ISNA(INDEX(PoderesDeCriatura_AdquiridosNombres,MATCH(AG$2067&amp;$A4,Principal!$U$42:$U$69,0))),"",INDEX(PoderesDeCriatura_AdquiridosNombres,MATCH(AG$2067&amp;$A4,Principal!$U$42:$U$69,0)))</f>
        <v/>
      </c>
      <c r="AH2072" s="2846" t="str">
        <f>IF(ISNA(INDEX(PoderesDeCriatura_Adquiridos,MATCH(AG$2067&amp;$A4,Principal!$U$42:$U$69,0))),"",IF(INDEX(Principal!$AP$42:$AP$69,MATCH(AG$2067&amp;$A4,Principal!$U$42:$U$69,0))&gt;0,INDEX(Principal!$AF$42:$AF$69,MATCH(AG$2067&amp;$A4,Principal!$U$42:$U$69,0)),INDEX(PoderesDeCriatura_Adquiridos,MATCH(AG$2067&amp;$A4,Principal!$U$42:$U$69,0))))</f>
        <v/>
      </c>
      <c r="AI2072" s="2843" t="str">
        <f t="shared" si="359"/>
        <v/>
      </c>
      <c r="AJ2072" s="2845" t="str">
        <f>IF(ISNA(INDEX(PoderesDeCriatura_AdquiridosNombres,MATCH(AJ$2067&amp;$A4,Principal!$U$42:$U$69,0))),"",INDEX(PoderesDeCriatura_AdquiridosNombres,MATCH(AJ$2067&amp;$A4,Principal!$U$42:$U$69,0)))</f>
        <v/>
      </c>
      <c r="AK2072" s="2846" t="str">
        <f>IF(ISNA(INDEX(PoderesDeCriatura_Adquiridos,MATCH(AJ$2067&amp;$A4,Principal!$U$42:$U$69,0))),"",IF(INDEX(Principal!$AP$42:$AP$69,MATCH(AJ$2067&amp;$A4,Principal!$U$42:$U$69,0))&gt;0,INDEX(Principal!$AF$42:$AF$69,MATCH(AJ$2067&amp;$A4,Principal!$U$42:$U$69,0)),INDEX(PoderesDeCriatura_Adquiridos,MATCH(AJ$2067&amp;$A4,Principal!$U$42:$U$69,0))))</f>
        <v/>
      </c>
      <c r="AL2072" s="2843" t="str">
        <f t="shared" si="360"/>
        <v/>
      </c>
      <c r="AM2072" s="2845" t="str">
        <f>IF(ISNA(INDEX(PoderesDeCriatura_AdquiridosNombres,MATCH(AM$2067&amp;$A4,Principal!$U$42:$U$69,0))),"",INDEX(PoderesDeCriatura_AdquiridosNombres,MATCH(AM$2067&amp;$A4,Principal!$U$42:$U$69,0)))</f>
        <v/>
      </c>
      <c r="AN2072" s="2846"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1"/>
        <v/>
      </c>
      <c r="AP2072" s="830" t="str">
        <f>IF(OR(AQ2072=0,ISNUMBER(MATCH(AQ2072,$AQ$2070:$AQ2071,0))),"",MAX($AP$2069:AP2071)+1)</f>
        <v/>
      </c>
      <c r="AQ2072" s="1284">
        <f>Principal!V44</f>
        <v>0</v>
      </c>
    </row>
    <row r="2073" spans="1:43" ht="12.75" customHeight="1" x14ac:dyDescent="0.2">
      <c r="A2073" s="227">
        <v>2073</v>
      </c>
      <c r="B2073" s="6042"/>
      <c r="C2073" s="851" t="str">
        <f t="shared" si="346"/>
        <v/>
      </c>
      <c r="D2073" s="485" t="str">
        <f t="shared" si="349"/>
        <v/>
      </c>
      <c r="E2073" s="485" t="str">
        <f t="shared" si="350"/>
        <v/>
      </c>
      <c r="F2073" s="825" t="str">
        <f t="shared" si="348"/>
        <v/>
      </c>
      <c r="G2073" s="6348"/>
      <c r="H2073" s="1348" t="str">
        <f>Combate!AB23</f>
        <v/>
      </c>
      <c r="I2073" s="1356" t="str">
        <f t="shared" si="351"/>
        <v/>
      </c>
      <c r="J2073" s="816" t="str">
        <f>IF(ISNA(VLOOKUP(A6,Principal!$S$42:$AH$69,10,FALSE)),"",IF(VLOOKUP(A6,Principal!$S$42:$AH$69,10,FALSE)=0,"",INDEX(PoderesDeCriatura_Adquiridos,MATCH(A6,Principal!$S$42:$S$69,0))))</f>
        <v/>
      </c>
      <c r="K2073" s="2843" t="str">
        <f>IF(AND(COUNTA($K$2068:K2072)-COUNTBLANK($K$2068:K2072)&gt;0,J2073&lt;&gt;""),", ","")&amp;J2073</f>
        <v/>
      </c>
      <c r="L2073" s="2845" t="str">
        <f>IF(ISNA(INDEX(PoderesDeCriatura_AdquiridosNombres,MATCH(L$2067&amp;$A5,Principal!$U$42:$U$69,0))),"",INDEX(PoderesDeCriatura_AdquiridosNombres,MATCH(L$2067&amp;$A5,Principal!$U$42:$U$69,0)))</f>
        <v/>
      </c>
      <c r="M2073" s="2846" t="str">
        <f>IF(ISNA(INDEX(PoderesDeCriatura_Adquiridos,MATCH(L$2067&amp;$A5,Principal!$U$42:$U$69,0))),"",IF(INDEX(Principal!$AP$42:$AP$69,MATCH(L$2067&amp;$A5,Principal!$U$42:$U$69,0))&gt;0,INDEX(Principal!$AF$42:$AF$69,MATCH(L$2067&amp;$A5,Principal!$U$42:$U$69,0)),INDEX(PoderesDeCriatura_Adquiridos,MATCH(L$2067&amp;$A5,Principal!$U$42:$U$69,0))))</f>
        <v/>
      </c>
      <c r="N2073" s="2843" t="str">
        <f t="shared" si="352"/>
        <v/>
      </c>
      <c r="O2073" s="2845" t="str">
        <f>IF(ISNA(INDEX(PoderesDeCriatura_AdquiridosNombres,MATCH(O$2067&amp;$A5,Principal!$U$42:$U$69,0))),"",INDEX(PoderesDeCriatura_AdquiridosNombres,MATCH(O$2067&amp;$A5,Principal!$U$42:$U$69,0)))</f>
        <v/>
      </c>
      <c r="P2073" s="2846" t="str">
        <f>IF(ISNA(INDEX(PoderesDeCriatura_Adquiridos,MATCH(O$2067&amp;$A5,Principal!$U$42:$U$69,0))),"",IF(INDEX(Principal!$AP$42:$AP$69,MATCH(O$2067&amp;$A5,Principal!$U$42:$U$69,0))&gt;0,INDEX(Principal!$AF$42:$AF$69,MATCH(O$2067&amp;$A5,Principal!$U$42:$U$69,0)),INDEX(PoderesDeCriatura_Adquiridos,MATCH(O$2067&amp;$A5,Principal!$U$42:$U$69,0))))</f>
        <v/>
      </c>
      <c r="Q2073" s="2843" t="str">
        <f t="shared" si="353"/>
        <v/>
      </c>
      <c r="R2073" s="2845" t="str">
        <f>IF(ISNA(INDEX(PoderesDeCriatura_AdquiridosNombres,MATCH(R$2067&amp;$A5,Principal!$U$42:$U$69,0))),"",INDEX(PoderesDeCriatura_AdquiridosNombres,MATCH(R$2067&amp;$A5,Principal!$U$42:$U$69,0)))</f>
        <v/>
      </c>
      <c r="S2073" s="2846" t="str">
        <f>IF(ISNA(INDEX(PoderesDeCriatura_Adquiridos,MATCH(R$2067&amp;$A5,Principal!$U$42:$U$69,0))),"",IF(INDEX(Principal!$AP$42:$AP$69,MATCH(R$2067&amp;$A5,Principal!$U$42:$U$69,0))&gt;0,INDEX(Principal!$AF$42:$AF$69,MATCH(R$2067&amp;$A5,Principal!$U$42:$U$69,0)),INDEX(PoderesDeCriatura_Adquiridos,MATCH(R$2067&amp;$A5,Principal!$U$42:$U$69,0))))</f>
        <v/>
      </c>
      <c r="T2073" s="2843" t="str">
        <f t="shared" si="354"/>
        <v/>
      </c>
      <c r="U2073" s="2845" t="str">
        <f>IF(ISNA(INDEX(PoderesDeCriatura_AdquiridosNombres,MATCH(U$2067&amp;$A5,Principal!$U$42:$U$69,0))),"",INDEX(PoderesDeCriatura_AdquiridosNombres,MATCH(U$2067&amp;$A5,Principal!$U$42:$U$69,0)))</f>
        <v/>
      </c>
      <c r="V2073" s="2846" t="str">
        <f>IF(ISNA(INDEX(PoderesDeCriatura_Adquiridos,MATCH(U$2067&amp;$A5,Principal!$U$42:$U$69,0))),"",IF(INDEX(Principal!$AP$42:$AP$69,MATCH(U$2067&amp;$A5,Principal!$U$42:$U$69,0))&gt;0,INDEX(Principal!$AF$42:$AF$69,MATCH(U$2067&amp;$A5,Principal!$U$42:$U$69,0)),INDEX(PoderesDeCriatura_Adquiridos,MATCH(U$2067&amp;$A5,Principal!$U$42:$U$69,0))))</f>
        <v/>
      </c>
      <c r="W2073" s="2843" t="str">
        <f t="shared" si="355"/>
        <v/>
      </c>
      <c r="X2073" s="2845" t="str">
        <f>IF(ISNA(INDEX(PoderesDeCriatura_AdquiridosNombres,MATCH(X$2067&amp;$A5,Principal!$U$42:$U$69,0))),"",INDEX(PoderesDeCriatura_AdquiridosNombres,MATCH(X$2067&amp;$A5,Principal!$U$42:$U$69,0)))</f>
        <v/>
      </c>
      <c r="Y2073" s="2846" t="str">
        <f>IF(ISNA(INDEX(PoderesDeCriatura_Adquiridos,MATCH(X$2067&amp;$A5,Principal!$U$42:$U$69,0))),"",IF(INDEX(Principal!$AP$42:$AP$69,MATCH(X$2067&amp;$A5,Principal!$U$42:$U$69,0))&gt;0,INDEX(Principal!$AF$42:$AF$69,MATCH(X$2067&amp;$A5,Principal!$U$42:$U$69,0)),INDEX(PoderesDeCriatura_Adquiridos,MATCH(X$2067&amp;$A5,Principal!$U$42:$U$69,0))))</f>
        <v/>
      </c>
      <c r="Z2073" s="2843" t="str">
        <f t="shared" si="356"/>
        <v/>
      </c>
      <c r="AA2073" s="2845" t="str">
        <f>IF(ISNA(INDEX(PoderesDeCriatura_AdquiridosNombres,MATCH(AA$2067&amp;$A5,Principal!$U$42:$U$69,0))),"",INDEX(PoderesDeCriatura_AdquiridosNombres,MATCH(AA$2067&amp;$A5,Principal!$U$42:$U$69,0)))</f>
        <v/>
      </c>
      <c r="AB2073" s="2846" t="str">
        <f>IF(ISNA(INDEX(PoderesDeCriatura_Adquiridos,MATCH(AA$2067&amp;$A5,Principal!$U$42:$U$69,0))),"",IF(INDEX(Principal!$AP$42:$AP$69,MATCH(AA$2067&amp;$A5,Principal!$U$42:$U$69,0))&gt;0,INDEX(Principal!$AF$42:$AF$69,MATCH(AA$2067&amp;$A5,Principal!$U$42:$U$69,0)),INDEX(PoderesDeCriatura_Adquiridos,MATCH(AA$2067&amp;$A5,Principal!$U$42:$U$69,0))))</f>
        <v/>
      </c>
      <c r="AC2073" s="2843" t="str">
        <f t="shared" si="357"/>
        <v/>
      </c>
      <c r="AD2073" s="2845" t="str">
        <f>IF(ISNA(INDEX(PoderesDeCriatura_AdquiridosNombres,MATCH(AD$2067&amp;$A5,Principal!$U$42:$U$69,0))),"",INDEX(PoderesDeCriatura_AdquiridosNombres,MATCH(AD$2067&amp;$A5,Principal!$U$42:$U$69,0)))</f>
        <v/>
      </c>
      <c r="AE2073" s="2846" t="str">
        <f>IF(ISNA(INDEX(PoderesDeCriatura_Adquiridos,MATCH(AD$2067&amp;$A5,Principal!$U$42:$U$69,0))),"",IF(INDEX(Principal!$AP$42:$AP$69,MATCH(AD$2067&amp;$A5,Principal!$U$42:$U$69,0))&gt;0,INDEX(Principal!$AF$42:$AF$69,MATCH(AD$2067&amp;$A5,Principal!$U$42:$U$69,0)),INDEX(PoderesDeCriatura_Adquiridos,MATCH(AD$2067&amp;$A5,Principal!$U$42:$U$69,0))))</f>
        <v/>
      </c>
      <c r="AF2073" s="2843" t="str">
        <f t="shared" si="358"/>
        <v/>
      </c>
      <c r="AG2073" s="2845" t="str">
        <f>IF(ISNA(INDEX(PoderesDeCriatura_AdquiridosNombres,MATCH(AG$2067&amp;$A5,Principal!$U$42:$U$69,0))),"",INDEX(PoderesDeCriatura_AdquiridosNombres,MATCH(AG$2067&amp;$A5,Principal!$U$42:$U$69,0)))</f>
        <v/>
      </c>
      <c r="AH2073" s="2846" t="str">
        <f>IF(ISNA(INDEX(PoderesDeCriatura_Adquiridos,MATCH(AG$2067&amp;$A5,Principal!$U$42:$U$69,0))),"",IF(INDEX(Principal!$AP$42:$AP$69,MATCH(AG$2067&amp;$A5,Principal!$U$42:$U$69,0))&gt;0,INDEX(Principal!$AF$42:$AF$69,MATCH(AG$2067&amp;$A5,Principal!$U$42:$U$69,0)),INDEX(PoderesDeCriatura_Adquiridos,MATCH(AG$2067&amp;$A5,Principal!$U$42:$U$69,0))))</f>
        <v/>
      </c>
      <c r="AI2073" s="2843" t="str">
        <f t="shared" si="359"/>
        <v/>
      </c>
      <c r="AJ2073" s="2845" t="str">
        <f>IF(ISNA(INDEX(PoderesDeCriatura_AdquiridosNombres,MATCH(AJ$2067&amp;$A5,Principal!$U$42:$U$69,0))),"",INDEX(PoderesDeCriatura_AdquiridosNombres,MATCH(AJ$2067&amp;$A5,Principal!$U$42:$U$69,0)))</f>
        <v/>
      </c>
      <c r="AK2073" s="2846" t="str">
        <f>IF(ISNA(INDEX(PoderesDeCriatura_Adquiridos,MATCH(AJ$2067&amp;$A5,Principal!$U$42:$U$69,0))),"",IF(INDEX(Principal!$AP$42:$AP$69,MATCH(AJ$2067&amp;$A5,Principal!$U$42:$U$69,0))&gt;0,INDEX(Principal!$AF$42:$AF$69,MATCH(AJ$2067&amp;$A5,Principal!$U$42:$U$69,0)),INDEX(PoderesDeCriatura_Adquiridos,MATCH(AJ$2067&amp;$A5,Principal!$U$42:$U$69,0))))</f>
        <v/>
      </c>
      <c r="AL2073" s="2843" t="str">
        <f t="shared" si="360"/>
        <v/>
      </c>
      <c r="AM2073" s="2845" t="str">
        <f>IF(ISNA(INDEX(PoderesDeCriatura_AdquiridosNombres,MATCH(AM$2067&amp;$A5,Principal!$U$42:$U$69,0))),"",INDEX(PoderesDeCriatura_AdquiridosNombres,MATCH(AM$2067&amp;$A5,Principal!$U$42:$U$69,0)))</f>
        <v/>
      </c>
      <c r="AN2073" s="2846"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1"/>
        <v/>
      </c>
      <c r="AP2073" s="830" t="str">
        <f>IF(OR(AQ2073=0,ISNUMBER(MATCH(AQ2073,$AQ$2070:$AQ2072,0))),"",MAX($AP$2069:AP2072)+1)</f>
        <v/>
      </c>
      <c r="AQ2073" s="1284">
        <f>Principal!V45</f>
        <v>0</v>
      </c>
    </row>
    <row r="2074" spans="1:43" ht="12.75" customHeight="1" x14ac:dyDescent="0.2">
      <c r="A2074" s="227">
        <v>2074</v>
      </c>
      <c r="B2074" s="6042"/>
      <c r="C2074" s="851" t="str">
        <f t="shared" si="346"/>
        <v/>
      </c>
      <c r="D2074" s="485" t="str">
        <f t="shared" si="349"/>
        <v/>
      </c>
      <c r="E2074" s="485" t="str">
        <f t="shared" si="350"/>
        <v/>
      </c>
      <c r="F2074" s="825" t="str">
        <f t="shared" si="348"/>
        <v/>
      </c>
      <c r="G2074" s="6348"/>
      <c r="H2074" s="1348" t="str">
        <f>Combate!AB24</f>
        <v/>
      </c>
      <c r="I2074" s="1356" t="str">
        <f t="shared" si="351"/>
        <v/>
      </c>
      <c r="J2074" s="816" t="str">
        <f>IF(ISNA(VLOOKUP(A7,Principal!$S$42:$AH$69,10,FALSE)),"",IF(VLOOKUP(A7,Principal!$S$42:$AH$69,10,FALSE)=0,"",INDEX(PoderesDeCriatura_Adquiridos,MATCH(A7,Principal!$S$42:$S$69,0))))</f>
        <v/>
      </c>
      <c r="K2074" s="2843" t="str">
        <f>IF(AND(COUNTA($K$2068:K2073)-COUNTBLANK($K$2068:K2073)&gt;0,J2074&lt;&gt;""),", ","")&amp;J2074</f>
        <v/>
      </c>
      <c r="L2074" s="2845" t="str">
        <f>IF(ISNA(INDEX(PoderesDeCriatura_AdquiridosNombres,MATCH(L$2067&amp;$A6,Principal!$U$42:$U$69,0))),"",INDEX(PoderesDeCriatura_AdquiridosNombres,MATCH(L$2067&amp;$A6,Principal!$U$42:$U$69,0)))</f>
        <v/>
      </c>
      <c r="M2074" s="2846" t="str">
        <f>IF(ISNA(INDEX(PoderesDeCriatura_Adquiridos,MATCH(L$2067&amp;$A6,Principal!$U$42:$U$69,0))),"",IF(INDEX(Principal!$AP$42:$AP$69,MATCH(L$2067&amp;$A6,Principal!$U$42:$U$69,0))&gt;0,INDEX(Principal!$AF$42:$AF$69,MATCH(L$2067&amp;$A6,Principal!$U$42:$U$69,0)),INDEX(PoderesDeCriatura_Adquiridos,MATCH(L$2067&amp;$A6,Principal!$U$42:$U$69,0))))</f>
        <v/>
      </c>
      <c r="N2074" s="2843" t="str">
        <f t="shared" si="352"/>
        <v/>
      </c>
      <c r="O2074" s="2845" t="str">
        <f>IF(ISNA(INDEX(PoderesDeCriatura_AdquiridosNombres,MATCH(O$2067&amp;$A6,Principal!$U$42:$U$69,0))),"",INDEX(PoderesDeCriatura_AdquiridosNombres,MATCH(O$2067&amp;$A6,Principal!$U$42:$U$69,0)))</f>
        <v/>
      </c>
      <c r="P2074" s="2846" t="str">
        <f>IF(ISNA(INDEX(PoderesDeCriatura_Adquiridos,MATCH(O$2067&amp;$A6,Principal!$U$42:$U$69,0))),"",IF(INDEX(Principal!$AP$42:$AP$69,MATCH(O$2067&amp;$A6,Principal!$U$42:$U$69,0))&gt;0,INDEX(Principal!$AF$42:$AF$69,MATCH(O$2067&amp;$A6,Principal!$U$42:$U$69,0)),INDEX(PoderesDeCriatura_Adquiridos,MATCH(O$2067&amp;$A6,Principal!$U$42:$U$69,0))))</f>
        <v/>
      </c>
      <c r="Q2074" s="2843" t="str">
        <f t="shared" si="353"/>
        <v/>
      </c>
      <c r="R2074" s="2845" t="str">
        <f>IF(ISNA(INDEX(PoderesDeCriatura_AdquiridosNombres,MATCH(R$2067&amp;$A6,Principal!$U$42:$U$69,0))),"",INDEX(PoderesDeCriatura_AdquiridosNombres,MATCH(R$2067&amp;$A6,Principal!$U$42:$U$69,0)))</f>
        <v/>
      </c>
      <c r="S2074" s="2846" t="str">
        <f>IF(ISNA(INDEX(PoderesDeCriatura_Adquiridos,MATCH(R$2067&amp;$A6,Principal!$U$42:$U$69,0))),"",IF(INDEX(Principal!$AP$42:$AP$69,MATCH(R$2067&amp;$A6,Principal!$U$42:$U$69,0))&gt;0,INDEX(Principal!$AF$42:$AF$69,MATCH(R$2067&amp;$A6,Principal!$U$42:$U$69,0)),INDEX(PoderesDeCriatura_Adquiridos,MATCH(R$2067&amp;$A6,Principal!$U$42:$U$69,0))))</f>
        <v/>
      </c>
      <c r="T2074" s="2843" t="str">
        <f t="shared" si="354"/>
        <v/>
      </c>
      <c r="U2074" s="2845" t="str">
        <f>IF(ISNA(INDEX(PoderesDeCriatura_AdquiridosNombres,MATCH(U$2067&amp;$A6,Principal!$U$42:$U$69,0))),"",INDEX(PoderesDeCriatura_AdquiridosNombres,MATCH(U$2067&amp;$A6,Principal!$U$42:$U$69,0)))</f>
        <v/>
      </c>
      <c r="V2074" s="2846" t="str">
        <f>IF(ISNA(INDEX(PoderesDeCriatura_Adquiridos,MATCH(U$2067&amp;$A6,Principal!$U$42:$U$69,0))),"",IF(INDEX(Principal!$AP$42:$AP$69,MATCH(U$2067&amp;$A6,Principal!$U$42:$U$69,0))&gt;0,INDEX(Principal!$AF$42:$AF$69,MATCH(U$2067&amp;$A6,Principal!$U$42:$U$69,0)),INDEX(PoderesDeCriatura_Adquiridos,MATCH(U$2067&amp;$A6,Principal!$U$42:$U$69,0))))</f>
        <v/>
      </c>
      <c r="W2074" s="2843" t="str">
        <f t="shared" si="355"/>
        <v/>
      </c>
      <c r="X2074" s="2845" t="str">
        <f>IF(ISNA(INDEX(PoderesDeCriatura_AdquiridosNombres,MATCH(X$2067&amp;$A6,Principal!$U$42:$U$69,0))),"",INDEX(PoderesDeCriatura_AdquiridosNombres,MATCH(X$2067&amp;$A6,Principal!$U$42:$U$69,0)))</f>
        <v/>
      </c>
      <c r="Y2074" s="2846" t="str">
        <f>IF(ISNA(INDEX(PoderesDeCriatura_Adquiridos,MATCH(X$2067&amp;$A6,Principal!$U$42:$U$69,0))),"",IF(INDEX(Principal!$AP$42:$AP$69,MATCH(X$2067&amp;$A6,Principal!$U$42:$U$69,0))&gt;0,INDEX(Principal!$AF$42:$AF$69,MATCH(X$2067&amp;$A6,Principal!$U$42:$U$69,0)),INDEX(PoderesDeCriatura_Adquiridos,MATCH(X$2067&amp;$A6,Principal!$U$42:$U$69,0))))</f>
        <v/>
      </c>
      <c r="Z2074" s="2843" t="str">
        <f t="shared" si="356"/>
        <v/>
      </c>
      <c r="AA2074" s="2845" t="str">
        <f>IF(ISNA(INDEX(PoderesDeCriatura_AdquiridosNombres,MATCH(AA$2067&amp;$A6,Principal!$U$42:$U$69,0))),"",INDEX(PoderesDeCriatura_AdquiridosNombres,MATCH(AA$2067&amp;$A6,Principal!$U$42:$U$69,0)))</f>
        <v/>
      </c>
      <c r="AB2074" s="2846" t="str">
        <f>IF(ISNA(INDEX(PoderesDeCriatura_Adquiridos,MATCH(AA$2067&amp;$A6,Principal!$U$42:$U$69,0))),"",IF(INDEX(Principal!$AP$42:$AP$69,MATCH(AA$2067&amp;$A6,Principal!$U$42:$U$69,0))&gt;0,INDEX(Principal!$AF$42:$AF$69,MATCH(AA$2067&amp;$A6,Principal!$U$42:$U$69,0)),INDEX(PoderesDeCriatura_Adquiridos,MATCH(AA$2067&amp;$A6,Principal!$U$42:$U$69,0))))</f>
        <v/>
      </c>
      <c r="AC2074" s="2843" t="str">
        <f t="shared" si="357"/>
        <v/>
      </c>
      <c r="AD2074" s="2845" t="str">
        <f>IF(ISNA(INDEX(PoderesDeCriatura_AdquiridosNombres,MATCH(AD$2067&amp;$A6,Principal!$U$42:$U$69,0))),"",INDEX(PoderesDeCriatura_AdquiridosNombres,MATCH(AD$2067&amp;$A6,Principal!$U$42:$U$69,0)))</f>
        <v/>
      </c>
      <c r="AE2074" s="2846" t="str">
        <f>IF(ISNA(INDEX(PoderesDeCriatura_Adquiridos,MATCH(AD$2067&amp;$A6,Principal!$U$42:$U$69,0))),"",IF(INDEX(Principal!$AP$42:$AP$69,MATCH(AD$2067&amp;$A6,Principal!$U$42:$U$69,0))&gt;0,INDEX(Principal!$AF$42:$AF$69,MATCH(AD$2067&amp;$A6,Principal!$U$42:$U$69,0)),INDEX(PoderesDeCriatura_Adquiridos,MATCH(AD$2067&amp;$A6,Principal!$U$42:$U$69,0))))</f>
        <v/>
      </c>
      <c r="AF2074" s="2843" t="str">
        <f t="shared" si="358"/>
        <v/>
      </c>
      <c r="AG2074" s="2845" t="str">
        <f>IF(ISNA(INDEX(PoderesDeCriatura_AdquiridosNombres,MATCH(AG$2067&amp;$A6,Principal!$U$42:$U$69,0))),"",INDEX(PoderesDeCriatura_AdquiridosNombres,MATCH(AG$2067&amp;$A6,Principal!$U$42:$U$69,0)))</f>
        <v/>
      </c>
      <c r="AH2074" s="2846" t="str">
        <f>IF(ISNA(INDEX(PoderesDeCriatura_Adquiridos,MATCH(AG$2067&amp;$A6,Principal!$U$42:$U$69,0))),"",IF(INDEX(Principal!$AP$42:$AP$69,MATCH(AG$2067&amp;$A6,Principal!$U$42:$U$69,0))&gt;0,INDEX(Principal!$AF$42:$AF$69,MATCH(AG$2067&amp;$A6,Principal!$U$42:$U$69,0)),INDEX(PoderesDeCriatura_Adquiridos,MATCH(AG$2067&amp;$A6,Principal!$U$42:$U$69,0))))</f>
        <v/>
      </c>
      <c r="AI2074" s="2843" t="str">
        <f t="shared" si="359"/>
        <v/>
      </c>
      <c r="AJ2074" s="2845" t="str">
        <f>IF(ISNA(INDEX(PoderesDeCriatura_AdquiridosNombres,MATCH(AJ$2067&amp;$A6,Principal!$U$42:$U$69,0))),"",INDEX(PoderesDeCriatura_AdquiridosNombres,MATCH(AJ$2067&amp;$A6,Principal!$U$42:$U$69,0)))</f>
        <v/>
      </c>
      <c r="AK2074" s="2846" t="str">
        <f>IF(ISNA(INDEX(PoderesDeCriatura_Adquiridos,MATCH(AJ$2067&amp;$A6,Principal!$U$42:$U$69,0))),"",IF(INDEX(Principal!$AP$42:$AP$69,MATCH(AJ$2067&amp;$A6,Principal!$U$42:$U$69,0))&gt;0,INDEX(Principal!$AF$42:$AF$69,MATCH(AJ$2067&amp;$A6,Principal!$U$42:$U$69,0)),INDEX(PoderesDeCriatura_Adquiridos,MATCH(AJ$2067&amp;$A6,Principal!$U$42:$U$69,0))))</f>
        <v/>
      </c>
      <c r="AL2074" s="2843" t="str">
        <f t="shared" si="360"/>
        <v/>
      </c>
      <c r="AM2074" s="2845" t="str">
        <f>IF(ISNA(INDEX(PoderesDeCriatura_AdquiridosNombres,MATCH(AM$2067&amp;$A6,Principal!$U$42:$U$69,0))),"",INDEX(PoderesDeCriatura_AdquiridosNombres,MATCH(AM$2067&amp;$A6,Principal!$U$42:$U$69,0)))</f>
        <v/>
      </c>
      <c r="AN2074" s="2846"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1"/>
        <v/>
      </c>
      <c r="AP2074" s="830" t="str">
        <f>IF(OR(AQ2074=0,ISNUMBER(MATCH(AQ2074,$AQ$2070:$AQ2073,0))),"",MAX($AP$2069:AP2073)+1)</f>
        <v/>
      </c>
      <c r="AQ2074" s="1284">
        <f>Principal!V46</f>
        <v>0</v>
      </c>
    </row>
    <row r="2075" spans="1:43" ht="12.75" customHeight="1" x14ac:dyDescent="0.2">
      <c r="A2075" s="227">
        <v>2075</v>
      </c>
      <c r="B2075" s="6042"/>
      <c r="C2075" s="851" t="str">
        <f t="shared" si="346"/>
        <v/>
      </c>
      <c r="D2075" s="485" t="str">
        <f t="shared" si="349"/>
        <v/>
      </c>
      <c r="E2075" s="485" t="str">
        <f t="shared" si="350"/>
        <v/>
      </c>
      <c r="F2075" s="825" t="str">
        <f t="shared" si="348"/>
        <v/>
      </c>
      <c r="G2075" s="6348"/>
      <c r="H2075" s="1348" t="str">
        <f>Combate!AB25</f>
        <v/>
      </c>
      <c r="I2075" s="1356" t="str">
        <f t="shared" si="351"/>
        <v/>
      </c>
      <c r="J2075" s="816" t="str">
        <f>IF(ISNA(VLOOKUP(A8,Principal!$S$42:$AH$69,10,FALSE)),"",IF(VLOOKUP(A8,Principal!$S$42:$AH$69,10,FALSE)=0,"",INDEX(PoderesDeCriatura_Adquiridos,MATCH(A8,Principal!$S$42:$S$69,0))))</f>
        <v/>
      </c>
      <c r="K2075" s="2843" t="str">
        <f>IF(AND(COUNTA($K$2068:K2074)-COUNTBLANK($K$2068:K2074)&gt;0,J2075&lt;&gt;""),", ","")&amp;J2075</f>
        <v/>
      </c>
      <c r="L2075" s="2845" t="str">
        <f>IF(ISNA(INDEX(PoderesDeCriatura_AdquiridosNombres,MATCH(L$2067&amp;$A7,Principal!$U$42:$U$69,0))),"",INDEX(PoderesDeCriatura_AdquiridosNombres,MATCH(L$2067&amp;$A7,Principal!$U$42:$U$69,0)))</f>
        <v/>
      </c>
      <c r="M2075" s="2846" t="str">
        <f>IF(ISNA(INDEX(PoderesDeCriatura_Adquiridos,MATCH(L$2067&amp;$A7,Principal!$U$42:$U$69,0))),"",IF(INDEX(Principal!$AP$42:$AP$69,MATCH(L$2067&amp;$A7,Principal!$U$42:$U$69,0))&gt;0,INDEX(Principal!$AF$42:$AF$69,MATCH(L$2067&amp;$A7,Principal!$U$42:$U$69,0)),INDEX(PoderesDeCriatura_Adquiridos,MATCH(L$2067&amp;$A7,Principal!$U$42:$U$69,0))))</f>
        <v/>
      </c>
      <c r="N2075" s="2843" t="str">
        <f t="shared" si="352"/>
        <v/>
      </c>
      <c r="O2075" s="2845" t="str">
        <f>IF(ISNA(INDEX(PoderesDeCriatura_AdquiridosNombres,MATCH(O$2067&amp;$A7,Principal!$U$42:$U$69,0))),"",INDEX(PoderesDeCriatura_AdquiridosNombres,MATCH(O$2067&amp;$A7,Principal!$U$42:$U$69,0)))</f>
        <v/>
      </c>
      <c r="P2075" s="2846" t="str">
        <f>IF(ISNA(INDEX(PoderesDeCriatura_Adquiridos,MATCH(O$2067&amp;$A7,Principal!$U$42:$U$69,0))),"",IF(INDEX(Principal!$AP$42:$AP$69,MATCH(O$2067&amp;$A7,Principal!$U$42:$U$69,0))&gt;0,INDEX(Principal!$AF$42:$AF$69,MATCH(O$2067&amp;$A7,Principal!$U$42:$U$69,0)),INDEX(PoderesDeCriatura_Adquiridos,MATCH(O$2067&amp;$A7,Principal!$U$42:$U$69,0))))</f>
        <v/>
      </c>
      <c r="Q2075" s="2843" t="str">
        <f t="shared" si="353"/>
        <v/>
      </c>
      <c r="R2075" s="2845" t="str">
        <f>IF(ISNA(INDEX(PoderesDeCriatura_AdquiridosNombres,MATCH(R$2067&amp;$A7,Principal!$U$42:$U$69,0))),"",INDEX(PoderesDeCriatura_AdquiridosNombres,MATCH(R$2067&amp;$A7,Principal!$U$42:$U$69,0)))</f>
        <v/>
      </c>
      <c r="S2075" s="2846" t="str">
        <f>IF(ISNA(INDEX(PoderesDeCriatura_Adquiridos,MATCH(R$2067&amp;$A7,Principal!$U$42:$U$69,0))),"",IF(INDEX(Principal!$AP$42:$AP$69,MATCH(R$2067&amp;$A7,Principal!$U$42:$U$69,0))&gt;0,INDEX(Principal!$AF$42:$AF$69,MATCH(R$2067&amp;$A7,Principal!$U$42:$U$69,0)),INDEX(PoderesDeCriatura_Adquiridos,MATCH(R$2067&amp;$A7,Principal!$U$42:$U$69,0))))</f>
        <v/>
      </c>
      <c r="T2075" s="2843" t="str">
        <f t="shared" si="354"/>
        <v/>
      </c>
      <c r="U2075" s="2845" t="str">
        <f>IF(ISNA(INDEX(PoderesDeCriatura_AdquiridosNombres,MATCH(U$2067&amp;$A7,Principal!$U$42:$U$69,0))),"",INDEX(PoderesDeCriatura_AdquiridosNombres,MATCH(U$2067&amp;$A7,Principal!$U$42:$U$69,0)))</f>
        <v/>
      </c>
      <c r="V2075" s="2846" t="str">
        <f>IF(ISNA(INDEX(PoderesDeCriatura_Adquiridos,MATCH(U$2067&amp;$A7,Principal!$U$42:$U$69,0))),"",IF(INDEX(Principal!$AP$42:$AP$69,MATCH(U$2067&amp;$A7,Principal!$U$42:$U$69,0))&gt;0,INDEX(Principal!$AF$42:$AF$69,MATCH(U$2067&amp;$A7,Principal!$U$42:$U$69,0)),INDEX(PoderesDeCriatura_Adquiridos,MATCH(U$2067&amp;$A7,Principal!$U$42:$U$69,0))))</f>
        <v/>
      </c>
      <c r="W2075" s="2843" t="str">
        <f t="shared" si="355"/>
        <v/>
      </c>
      <c r="X2075" s="2845" t="str">
        <f>IF(ISNA(INDEX(PoderesDeCriatura_AdquiridosNombres,MATCH(X$2067&amp;$A7,Principal!$U$42:$U$69,0))),"",INDEX(PoderesDeCriatura_AdquiridosNombres,MATCH(X$2067&amp;$A7,Principal!$U$42:$U$69,0)))</f>
        <v/>
      </c>
      <c r="Y2075" s="2846" t="str">
        <f>IF(ISNA(INDEX(PoderesDeCriatura_Adquiridos,MATCH(X$2067&amp;$A7,Principal!$U$42:$U$69,0))),"",IF(INDEX(Principal!$AP$42:$AP$69,MATCH(X$2067&amp;$A7,Principal!$U$42:$U$69,0))&gt;0,INDEX(Principal!$AF$42:$AF$69,MATCH(X$2067&amp;$A7,Principal!$U$42:$U$69,0)),INDEX(PoderesDeCriatura_Adquiridos,MATCH(X$2067&amp;$A7,Principal!$U$42:$U$69,0))))</f>
        <v/>
      </c>
      <c r="Z2075" s="2843" t="str">
        <f t="shared" si="356"/>
        <v/>
      </c>
      <c r="AA2075" s="2845" t="str">
        <f>IF(ISNA(INDEX(PoderesDeCriatura_AdquiridosNombres,MATCH(AA$2067&amp;$A7,Principal!$U$42:$U$69,0))),"",INDEX(PoderesDeCriatura_AdquiridosNombres,MATCH(AA$2067&amp;$A7,Principal!$U$42:$U$69,0)))</f>
        <v/>
      </c>
      <c r="AB2075" s="2846" t="str">
        <f>IF(ISNA(INDEX(PoderesDeCriatura_Adquiridos,MATCH(AA$2067&amp;$A7,Principal!$U$42:$U$69,0))),"",IF(INDEX(Principal!$AP$42:$AP$69,MATCH(AA$2067&amp;$A7,Principal!$U$42:$U$69,0))&gt;0,INDEX(Principal!$AF$42:$AF$69,MATCH(AA$2067&amp;$A7,Principal!$U$42:$U$69,0)),INDEX(PoderesDeCriatura_Adquiridos,MATCH(AA$2067&amp;$A7,Principal!$U$42:$U$69,0))))</f>
        <v/>
      </c>
      <c r="AC2075" s="2843" t="str">
        <f t="shared" si="357"/>
        <v/>
      </c>
      <c r="AD2075" s="2845" t="str">
        <f>IF(ISNA(INDEX(PoderesDeCriatura_AdquiridosNombres,MATCH(AD$2067&amp;$A7,Principal!$U$42:$U$69,0))),"",INDEX(PoderesDeCriatura_AdquiridosNombres,MATCH(AD$2067&amp;$A7,Principal!$U$42:$U$69,0)))</f>
        <v/>
      </c>
      <c r="AE2075" s="2846" t="str">
        <f>IF(ISNA(INDEX(PoderesDeCriatura_Adquiridos,MATCH(AD$2067&amp;$A7,Principal!$U$42:$U$69,0))),"",IF(INDEX(Principal!$AP$42:$AP$69,MATCH(AD$2067&amp;$A7,Principal!$U$42:$U$69,0))&gt;0,INDEX(Principal!$AF$42:$AF$69,MATCH(AD$2067&amp;$A7,Principal!$U$42:$U$69,0)),INDEX(PoderesDeCriatura_Adquiridos,MATCH(AD$2067&amp;$A7,Principal!$U$42:$U$69,0))))</f>
        <v/>
      </c>
      <c r="AF2075" s="2843" t="str">
        <f t="shared" si="358"/>
        <v/>
      </c>
      <c r="AG2075" s="2845" t="str">
        <f>IF(ISNA(INDEX(PoderesDeCriatura_AdquiridosNombres,MATCH(AG$2067&amp;$A7,Principal!$U$42:$U$69,0))),"",INDEX(PoderesDeCriatura_AdquiridosNombres,MATCH(AG$2067&amp;$A7,Principal!$U$42:$U$69,0)))</f>
        <v/>
      </c>
      <c r="AH2075" s="2846" t="str">
        <f>IF(ISNA(INDEX(PoderesDeCriatura_Adquiridos,MATCH(AG$2067&amp;$A7,Principal!$U$42:$U$69,0))),"",IF(INDEX(Principal!$AP$42:$AP$69,MATCH(AG$2067&amp;$A7,Principal!$U$42:$U$69,0))&gt;0,INDEX(Principal!$AF$42:$AF$69,MATCH(AG$2067&amp;$A7,Principal!$U$42:$U$69,0)),INDEX(PoderesDeCriatura_Adquiridos,MATCH(AG$2067&amp;$A7,Principal!$U$42:$U$69,0))))</f>
        <v/>
      </c>
      <c r="AI2075" s="2843" t="str">
        <f t="shared" si="359"/>
        <v/>
      </c>
      <c r="AJ2075" s="2845" t="str">
        <f>IF(ISNA(INDEX(PoderesDeCriatura_AdquiridosNombres,MATCH(AJ$2067&amp;$A7,Principal!$U$42:$U$69,0))),"",INDEX(PoderesDeCriatura_AdquiridosNombres,MATCH(AJ$2067&amp;$A7,Principal!$U$42:$U$69,0)))</f>
        <v/>
      </c>
      <c r="AK2075" s="2846" t="str">
        <f>IF(ISNA(INDEX(PoderesDeCriatura_Adquiridos,MATCH(AJ$2067&amp;$A7,Principal!$U$42:$U$69,0))),"",IF(INDEX(Principal!$AP$42:$AP$69,MATCH(AJ$2067&amp;$A7,Principal!$U$42:$U$69,0))&gt;0,INDEX(Principal!$AF$42:$AF$69,MATCH(AJ$2067&amp;$A7,Principal!$U$42:$U$69,0)),INDEX(PoderesDeCriatura_Adquiridos,MATCH(AJ$2067&amp;$A7,Principal!$U$42:$U$69,0))))</f>
        <v/>
      </c>
      <c r="AL2075" s="2843" t="str">
        <f t="shared" si="360"/>
        <v/>
      </c>
      <c r="AM2075" s="2845" t="str">
        <f>IF(ISNA(INDEX(PoderesDeCriatura_AdquiridosNombres,MATCH(AM$2067&amp;$A7,Principal!$U$42:$U$69,0))),"",INDEX(PoderesDeCriatura_AdquiridosNombres,MATCH(AM$2067&amp;$A7,Principal!$U$42:$U$69,0)))</f>
        <v/>
      </c>
      <c r="AN2075" s="2846"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1"/>
        <v/>
      </c>
      <c r="AP2075" s="830" t="str">
        <f>IF(OR(AQ2075=0,ISNUMBER(MATCH(AQ2075,$AQ$2070:$AQ2074,0))),"",MAX($AP$2069:AP2074)+1)</f>
        <v/>
      </c>
      <c r="AQ2075" s="1284">
        <f>Principal!V47</f>
        <v>0</v>
      </c>
    </row>
    <row r="2076" spans="1:43" ht="12.75" customHeight="1" x14ac:dyDescent="0.2">
      <c r="A2076" s="227">
        <v>2076</v>
      </c>
      <c r="B2076" s="6042"/>
      <c r="C2076" s="851" t="str">
        <f t="shared" si="346"/>
        <v/>
      </c>
      <c r="D2076" s="485" t="str">
        <f t="shared" si="349"/>
        <v/>
      </c>
      <c r="E2076" s="485" t="str">
        <f t="shared" si="350"/>
        <v/>
      </c>
      <c r="F2076" s="825" t="str">
        <f t="shared" si="348"/>
        <v/>
      </c>
      <c r="G2076" s="6348"/>
      <c r="H2076" s="1348" t="str">
        <f>Combate!AB26</f>
        <v/>
      </c>
      <c r="I2076" s="1356" t="str">
        <f t="shared" si="351"/>
        <v/>
      </c>
      <c r="J2076" s="816" t="str">
        <f>IF(ISNA(VLOOKUP(A9,Principal!$S$42:$AH$69,10,FALSE)),"",IF(VLOOKUP(A9,Principal!$S$42:$AH$69,10,FALSE)=0,"",INDEX(PoderesDeCriatura_Adquiridos,MATCH(A9,Principal!$S$42:$S$69,0))))</f>
        <v/>
      </c>
      <c r="K2076" s="2843" t="str">
        <f>IF(AND(COUNTA($K$2068:K2075)-COUNTBLANK($K$2068:K2075)&gt;0,J2076&lt;&gt;""),", ","")&amp;J2076</f>
        <v/>
      </c>
      <c r="L2076" s="2845" t="str">
        <f>IF(ISNA(INDEX(PoderesDeCriatura_AdquiridosNombres,MATCH(L$2067&amp;$A8,Principal!$U$42:$U$69,0))),"",INDEX(PoderesDeCriatura_AdquiridosNombres,MATCH(L$2067&amp;$A8,Principal!$U$42:$U$69,0)))</f>
        <v/>
      </c>
      <c r="M2076" s="2846" t="str">
        <f>IF(ISNA(INDEX(PoderesDeCriatura_Adquiridos,MATCH(L$2067&amp;$A8,Principal!$U$42:$U$69,0))),"",IF(INDEX(Principal!$AP$42:$AP$69,MATCH(L$2067&amp;$A8,Principal!$U$42:$U$69,0))&gt;0,INDEX(Principal!$AF$42:$AF$69,MATCH(L$2067&amp;$A8,Principal!$U$42:$U$69,0)),INDEX(PoderesDeCriatura_Adquiridos,MATCH(L$2067&amp;$A8,Principal!$U$42:$U$69,0))))</f>
        <v/>
      </c>
      <c r="N2076" s="2843" t="str">
        <f t="shared" si="352"/>
        <v/>
      </c>
      <c r="O2076" s="2845" t="str">
        <f>IF(ISNA(INDEX(PoderesDeCriatura_AdquiridosNombres,MATCH(O$2067&amp;$A8,Principal!$U$42:$U$69,0))),"",INDEX(PoderesDeCriatura_AdquiridosNombres,MATCH(O$2067&amp;$A8,Principal!$U$42:$U$69,0)))</f>
        <v/>
      </c>
      <c r="P2076" s="2846" t="str">
        <f>IF(ISNA(INDEX(PoderesDeCriatura_Adquiridos,MATCH(O$2067&amp;$A8,Principal!$U$42:$U$69,0))),"",IF(INDEX(Principal!$AP$42:$AP$69,MATCH(O$2067&amp;$A8,Principal!$U$42:$U$69,0))&gt;0,INDEX(Principal!$AF$42:$AF$69,MATCH(O$2067&amp;$A8,Principal!$U$42:$U$69,0)),INDEX(PoderesDeCriatura_Adquiridos,MATCH(O$2067&amp;$A8,Principal!$U$42:$U$69,0))))</f>
        <v/>
      </c>
      <c r="Q2076" s="2843" t="str">
        <f t="shared" si="353"/>
        <v/>
      </c>
      <c r="R2076" s="2845" t="str">
        <f>IF(ISNA(INDEX(PoderesDeCriatura_AdquiridosNombres,MATCH(R$2067&amp;$A8,Principal!$U$42:$U$69,0))),"",INDEX(PoderesDeCriatura_AdquiridosNombres,MATCH(R$2067&amp;$A8,Principal!$U$42:$U$69,0)))</f>
        <v/>
      </c>
      <c r="S2076" s="2846" t="str">
        <f>IF(ISNA(INDEX(PoderesDeCriatura_Adquiridos,MATCH(R$2067&amp;$A8,Principal!$U$42:$U$69,0))),"",IF(INDEX(Principal!$AP$42:$AP$69,MATCH(R$2067&amp;$A8,Principal!$U$42:$U$69,0))&gt;0,INDEX(Principal!$AF$42:$AF$69,MATCH(R$2067&amp;$A8,Principal!$U$42:$U$69,0)),INDEX(PoderesDeCriatura_Adquiridos,MATCH(R$2067&amp;$A8,Principal!$U$42:$U$69,0))))</f>
        <v/>
      </c>
      <c r="T2076" s="2843" t="str">
        <f t="shared" si="354"/>
        <v/>
      </c>
      <c r="U2076" s="2845" t="str">
        <f>IF(ISNA(INDEX(PoderesDeCriatura_AdquiridosNombres,MATCH(U$2067&amp;$A8,Principal!$U$42:$U$69,0))),"",INDEX(PoderesDeCriatura_AdquiridosNombres,MATCH(U$2067&amp;$A8,Principal!$U$42:$U$69,0)))</f>
        <v/>
      </c>
      <c r="V2076" s="2846" t="str">
        <f>IF(ISNA(INDEX(PoderesDeCriatura_Adquiridos,MATCH(U$2067&amp;$A8,Principal!$U$42:$U$69,0))),"",IF(INDEX(Principal!$AP$42:$AP$69,MATCH(U$2067&amp;$A8,Principal!$U$42:$U$69,0))&gt;0,INDEX(Principal!$AF$42:$AF$69,MATCH(U$2067&amp;$A8,Principal!$U$42:$U$69,0)),INDEX(PoderesDeCriatura_Adquiridos,MATCH(U$2067&amp;$A8,Principal!$U$42:$U$69,0))))</f>
        <v/>
      </c>
      <c r="W2076" s="2843" t="str">
        <f t="shared" si="355"/>
        <v/>
      </c>
      <c r="X2076" s="2845" t="str">
        <f>IF(ISNA(INDEX(PoderesDeCriatura_AdquiridosNombres,MATCH(X$2067&amp;$A8,Principal!$U$42:$U$69,0))),"",INDEX(PoderesDeCriatura_AdquiridosNombres,MATCH(X$2067&amp;$A8,Principal!$U$42:$U$69,0)))</f>
        <v/>
      </c>
      <c r="Y2076" s="2846" t="str">
        <f>IF(ISNA(INDEX(PoderesDeCriatura_Adquiridos,MATCH(X$2067&amp;$A8,Principal!$U$42:$U$69,0))),"",IF(INDEX(Principal!$AP$42:$AP$69,MATCH(X$2067&amp;$A8,Principal!$U$42:$U$69,0))&gt;0,INDEX(Principal!$AF$42:$AF$69,MATCH(X$2067&amp;$A8,Principal!$U$42:$U$69,0)),INDEX(PoderesDeCriatura_Adquiridos,MATCH(X$2067&amp;$A8,Principal!$U$42:$U$69,0))))</f>
        <v/>
      </c>
      <c r="Z2076" s="2843" t="str">
        <f t="shared" si="356"/>
        <v/>
      </c>
      <c r="AA2076" s="2845" t="str">
        <f>IF(ISNA(INDEX(PoderesDeCriatura_AdquiridosNombres,MATCH(AA$2067&amp;$A8,Principal!$U$42:$U$69,0))),"",INDEX(PoderesDeCriatura_AdquiridosNombres,MATCH(AA$2067&amp;$A8,Principal!$U$42:$U$69,0)))</f>
        <v/>
      </c>
      <c r="AB2076" s="2846" t="str">
        <f>IF(ISNA(INDEX(PoderesDeCriatura_Adquiridos,MATCH(AA$2067&amp;$A8,Principal!$U$42:$U$69,0))),"",IF(INDEX(Principal!$AP$42:$AP$69,MATCH(AA$2067&amp;$A8,Principal!$U$42:$U$69,0))&gt;0,INDEX(Principal!$AF$42:$AF$69,MATCH(AA$2067&amp;$A8,Principal!$U$42:$U$69,0)),INDEX(PoderesDeCriatura_Adquiridos,MATCH(AA$2067&amp;$A8,Principal!$U$42:$U$69,0))))</f>
        <v/>
      </c>
      <c r="AC2076" s="2843" t="str">
        <f t="shared" si="357"/>
        <v/>
      </c>
      <c r="AD2076" s="2845" t="str">
        <f>IF(ISNA(INDEX(PoderesDeCriatura_AdquiridosNombres,MATCH(AD$2067&amp;$A8,Principal!$U$42:$U$69,0))),"",INDEX(PoderesDeCriatura_AdquiridosNombres,MATCH(AD$2067&amp;$A8,Principal!$U$42:$U$69,0)))</f>
        <v/>
      </c>
      <c r="AE2076" s="2846" t="str">
        <f>IF(ISNA(INDEX(PoderesDeCriatura_Adquiridos,MATCH(AD$2067&amp;$A8,Principal!$U$42:$U$69,0))),"",IF(INDEX(Principal!$AP$42:$AP$69,MATCH(AD$2067&amp;$A8,Principal!$U$42:$U$69,0))&gt;0,INDEX(Principal!$AF$42:$AF$69,MATCH(AD$2067&amp;$A8,Principal!$U$42:$U$69,0)),INDEX(PoderesDeCriatura_Adquiridos,MATCH(AD$2067&amp;$A8,Principal!$U$42:$U$69,0))))</f>
        <v/>
      </c>
      <c r="AF2076" s="2843" t="str">
        <f t="shared" si="358"/>
        <v/>
      </c>
      <c r="AG2076" s="2845" t="str">
        <f>IF(ISNA(INDEX(PoderesDeCriatura_AdquiridosNombres,MATCH(AG$2067&amp;$A8,Principal!$U$42:$U$69,0))),"",INDEX(PoderesDeCriatura_AdquiridosNombres,MATCH(AG$2067&amp;$A8,Principal!$U$42:$U$69,0)))</f>
        <v/>
      </c>
      <c r="AH2076" s="2846" t="str">
        <f>IF(ISNA(INDEX(PoderesDeCriatura_Adquiridos,MATCH(AG$2067&amp;$A8,Principal!$U$42:$U$69,0))),"",IF(INDEX(Principal!$AP$42:$AP$69,MATCH(AG$2067&amp;$A8,Principal!$U$42:$U$69,0))&gt;0,INDEX(Principal!$AF$42:$AF$69,MATCH(AG$2067&amp;$A8,Principal!$U$42:$U$69,0)),INDEX(PoderesDeCriatura_Adquiridos,MATCH(AG$2067&amp;$A8,Principal!$U$42:$U$69,0))))</f>
        <v/>
      </c>
      <c r="AI2076" s="2843" t="str">
        <f t="shared" si="359"/>
        <v/>
      </c>
      <c r="AJ2076" s="2845" t="str">
        <f>IF(ISNA(INDEX(PoderesDeCriatura_AdquiridosNombres,MATCH(AJ$2067&amp;$A8,Principal!$U$42:$U$69,0))),"",INDEX(PoderesDeCriatura_AdquiridosNombres,MATCH(AJ$2067&amp;$A8,Principal!$U$42:$U$69,0)))</f>
        <v/>
      </c>
      <c r="AK2076" s="2846" t="str">
        <f>IF(ISNA(INDEX(PoderesDeCriatura_Adquiridos,MATCH(AJ$2067&amp;$A8,Principal!$U$42:$U$69,0))),"",IF(INDEX(Principal!$AP$42:$AP$69,MATCH(AJ$2067&amp;$A8,Principal!$U$42:$U$69,0))&gt;0,INDEX(Principal!$AF$42:$AF$69,MATCH(AJ$2067&amp;$A8,Principal!$U$42:$U$69,0)),INDEX(PoderesDeCriatura_Adquiridos,MATCH(AJ$2067&amp;$A8,Principal!$U$42:$U$69,0))))</f>
        <v/>
      </c>
      <c r="AL2076" s="2843" t="str">
        <f t="shared" si="360"/>
        <v/>
      </c>
      <c r="AM2076" s="2845" t="str">
        <f>IF(ISNA(INDEX(PoderesDeCriatura_AdquiridosNombres,MATCH(AM$2067&amp;$A8,Principal!$U$42:$U$69,0))),"",INDEX(PoderesDeCriatura_AdquiridosNombres,MATCH(AM$2067&amp;$A8,Principal!$U$42:$U$69,0)))</f>
        <v/>
      </c>
      <c r="AN2076" s="2846"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1"/>
        <v/>
      </c>
      <c r="AP2076" s="830" t="str">
        <f>IF(OR(AQ2076=0,ISNUMBER(MATCH(AQ2076,$AQ$2070:$AQ2075,0))),"",MAX($AP$2069:AP2075)+1)</f>
        <v/>
      </c>
      <c r="AQ2076" s="1284">
        <f>Principal!V48</f>
        <v>0</v>
      </c>
    </row>
    <row r="2077" spans="1:43" ht="12.75" customHeight="1" x14ac:dyDescent="0.2">
      <c r="A2077" s="227">
        <v>2077</v>
      </c>
      <c r="B2077" s="6042"/>
      <c r="C2077" s="851" t="str">
        <f t="shared" si="346"/>
        <v/>
      </c>
      <c r="D2077" s="485" t="str">
        <f t="shared" si="349"/>
        <v/>
      </c>
      <c r="E2077" s="485" t="str">
        <f t="shared" si="350"/>
        <v/>
      </c>
      <c r="F2077" s="825" t="str">
        <f t="shared" si="348"/>
        <v/>
      </c>
      <c r="G2077" s="6348"/>
      <c r="H2077" s="1348" t="str">
        <f>Combate!AB27</f>
        <v/>
      </c>
      <c r="I2077" s="1356" t="str">
        <f t="shared" si="351"/>
        <v/>
      </c>
      <c r="J2077" s="816" t="str">
        <f>IF(ISNA(VLOOKUP(A10,Principal!$S$42:$AH$69,10,FALSE)),"",IF(VLOOKUP(A10,Principal!$S$42:$AH$69,10,FALSE)=0,"",INDEX(PoderesDeCriatura_Adquiridos,MATCH(A10,Principal!$S$42:$S$69,0))))</f>
        <v/>
      </c>
      <c r="K2077" s="2843" t="str">
        <f>IF(AND(COUNTA($K$2068:K2076)-COUNTBLANK($K$2068:K2076)&gt;0,J2077&lt;&gt;""),", ","")&amp;J2077</f>
        <v/>
      </c>
      <c r="L2077" s="2845" t="str">
        <f>IF(ISNA(INDEX(PoderesDeCriatura_AdquiridosNombres,MATCH(L$2067&amp;$A9,Principal!$U$42:$U$69,0))),"",INDEX(PoderesDeCriatura_AdquiridosNombres,MATCH(L$2067&amp;$A9,Principal!$U$42:$U$69,0)))</f>
        <v/>
      </c>
      <c r="M2077" s="2846" t="str">
        <f>IF(ISNA(INDEX(PoderesDeCriatura_Adquiridos,MATCH(L$2067&amp;$A9,Principal!$U$42:$U$69,0))),"",IF(INDEX(Principal!$AP$42:$AP$69,MATCH(L$2067&amp;$A9,Principal!$U$42:$U$69,0))&gt;0,INDEX(Principal!$AF$42:$AF$69,MATCH(L$2067&amp;$A9,Principal!$U$42:$U$69,0)),INDEX(PoderesDeCriatura_Adquiridos,MATCH(L$2067&amp;$A9,Principal!$U$42:$U$69,0))))</f>
        <v/>
      </c>
      <c r="N2077" s="2843" t="str">
        <f t="shared" si="352"/>
        <v/>
      </c>
      <c r="O2077" s="2845" t="str">
        <f>IF(ISNA(INDEX(PoderesDeCriatura_AdquiridosNombres,MATCH(O$2067&amp;$A9,Principal!$U$42:$U$69,0))),"",INDEX(PoderesDeCriatura_AdquiridosNombres,MATCH(O$2067&amp;$A9,Principal!$U$42:$U$69,0)))</f>
        <v/>
      </c>
      <c r="P2077" s="2846" t="str">
        <f>IF(ISNA(INDEX(PoderesDeCriatura_Adquiridos,MATCH(O$2067&amp;$A9,Principal!$U$42:$U$69,0))),"",IF(INDEX(Principal!$AP$42:$AP$69,MATCH(O$2067&amp;$A9,Principal!$U$42:$U$69,0))&gt;0,INDEX(Principal!$AF$42:$AF$69,MATCH(O$2067&amp;$A9,Principal!$U$42:$U$69,0)),INDEX(PoderesDeCriatura_Adquiridos,MATCH(O$2067&amp;$A9,Principal!$U$42:$U$69,0))))</f>
        <v/>
      </c>
      <c r="Q2077" s="2843" t="str">
        <f t="shared" si="353"/>
        <v/>
      </c>
      <c r="R2077" s="2845" t="str">
        <f>IF(ISNA(INDEX(PoderesDeCriatura_AdquiridosNombres,MATCH(R$2067&amp;$A9,Principal!$U$42:$U$69,0))),"",INDEX(PoderesDeCriatura_AdquiridosNombres,MATCH(R$2067&amp;$A9,Principal!$U$42:$U$69,0)))</f>
        <v/>
      </c>
      <c r="S2077" s="2846" t="str">
        <f>IF(ISNA(INDEX(PoderesDeCriatura_Adquiridos,MATCH(R$2067&amp;$A9,Principal!$U$42:$U$69,0))),"",IF(INDEX(Principal!$AP$42:$AP$69,MATCH(R$2067&amp;$A9,Principal!$U$42:$U$69,0))&gt;0,INDEX(Principal!$AF$42:$AF$69,MATCH(R$2067&amp;$A9,Principal!$U$42:$U$69,0)),INDEX(PoderesDeCriatura_Adquiridos,MATCH(R$2067&amp;$A9,Principal!$U$42:$U$69,0))))</f>
        <v/>
      </c>
      <c r="T2077" s="2843" t="str">
        <f t="shared" si="354"/>
        <v/>
      </c>
      <c r="U2077" s="2845" t="str">
        <f>IF(ISNA(INDEX(PoderesDeCriatura_AdquiridosNombres,MATCH(U$2067&amp;$A9,Principal!$U$42:$U$69,0))),"",INDEX(PoderesDeCriatura_AdquiridosNombres,MATCH(U$2067&amp;$A9,Principal!$U$42:$U$69,0)))</f>
        <v/>
      </c>
      <c r="V2077" s="2846" t="str">
        <f>IF(ISNA(INDEX(PoderesDeCriatura_Adquiridos,MATCH(U$2067&amp;$A9,Principal!$U$42:$U$69,0))),"",IF(INDEX(Principal!$AP$42:$AP$69,MATCH(U$2067&amp;$A9,Principal!$U$42:$U$69,0))&gt;0,INDEX(Principal!$AF$42:$AF$69,MATCH(U$2067&amp;$A9,Principal!$U$42:$U$69,0)),INDEX(PoderesDeCriatura_Adquiridos,MATCH(U$2067&amp;$A9,Principal!$U$42:$U$69,0))))</f>
        <v/>
      </c>
      <c r="W2077" s="2843" t="str">
        <f t="shared" si="355"/>
        <v/>
      </c>
      <c r="X2077" s="2845" t="str">
        <f>IF(ISNA(INDEX(PoderesDeCriatura_AdquiridosNombres,MATCH(X$2067&amp;$A9,Principal!$U$42:$U$69,0))),"",INDEX(PoderesDeCriatura_AdquiridosNombres,MATCH(X$2067&amp;$A9,Principal!$U$42:$U$69,0)))</f>
        <v/>
      </c>
      <c r="Y2077" s="2846" t="str">
        <f>IF(ISNA(INDEX(PoderesDeCriatura_Adquiridos,MATCH(X$2067&amp;$A9,Principal!$U$42:$U$69,0))),"",IF(INDEX(Principal!$AP$42:$AP$69,MATCH(X$2067&amp;$A9,Principal!$U$42:$U$69,0))&gt;0,INDEX(Principal!$AF$42:$AF$69,MATCH(X$2067&amp;$A9,Principal!$U$42:$U$69,0)),INDEX(PoderesDeCriatura_Adquiridos,MATCH(X$2067&amp;$A9,Principal!$U$42:$U$69,0))))</f>
        <v/>
      </c>
      <c r="Z2077" s="2843" t="str">
        <f t="shared" si="356"/>
        <v/>
      </c>
      <c r="AA2077" s="2845" t="str">
        <f>IF(ISNA(INDEX(PoderesDeCriatura_AdquiridosNombres,MATCH(AA$2067&amp;$A9,Principal!$U$42:$U$69,0))),"",INDEX(PoderesDeCriatura_AdquiridosNombres,MATCH(AA$2067&amp;$A9,Principal!$U$42:$U$69,0)))</f>
        <v/>
      </c>
      <c r="AB2077" s="2846" t="str">
        <f>IF(ISNA(INDEX(PoderesDeCriatura_Adquiridos,MATCH(AA$2067&amp;$A9,Principal!$U$42:$U$69,0))),"",IF(INDEX(Principal!$AP$42:$AP$69,MATCH(AA$2067&amp;$A9,Principal!$U$42:$U$69,0))&gt;0,INDEX(Principal!$AF$42:$AF$69,MATCH(AA$2067&amp;$A9,Principal!$U$42:$U$69,0)),INDEX(PoderesDeCriatura_Adquiridos,MATCH(AA$2067&amp;$A9,Principal!$U$42:$U$69,0))))</f>
        <v/>
      </c>
      <c r="AC2077" s="2843" t="str">
        <f t="shared" si="357"/>
        <v/>
      </c>
      <c r="AD2077" s="2845" t="str">
        <f>IF(ISNA(INDEX(PoderesDeCriatura_AdquiridosNombres,MATCH(AD$2067&amp;$A9,Principal!$U$42:$U$69,0))),"",INDEX(PoderesDeCriatura_AdquiridosNombres,MATCH(AD$2067&amp;$A9,Principal!$U$42:$U$69,0)))</f>
        <v/>
      </c>
      <c r="AE2077" s="2846" t="str">
        <f>IF(ISNA(INDEX(PoderesDeCriatura_Adquiridos,MATCH(AD$2067&amp;$A9,Principal!$U$42:$U$69,0))),"",IF(INDEX(Principal!$AP$42:$AP$69,MATCH(AD$2067&amp;$A9,Principal!$U$42:$U$69,0))&gt;0,INDEX(Principal!$AF$42:$AF$69,MATCH(AD$2067&amp;$A9,Principal!$U$42:$U$69,0)),INDEX(PoderesDeCriatura_Adquiridos,MATCH(AD$2067&amp;$A9,Principal!$U$42:$U$69,0))))</f>
        <v/>
      </c>
      <c r="AF2077" s="2843" t="str">
        <f t="shared" si="358"/>
        <v/>
      </c>
      <c r="AG2077" s="2845" t="str">
        <f>IF(ISNA(INDEX(PoderesDeCriatura_AdquiridosNombres,MATCH(AG$2067&amp;$A9,Principal!$U$42:$U$69,0))),"",INDEX(PoderesDeCriatura_AdquiridosNombres,MATCH(AG$2067&amp;$A9,Principal!$U$42:$U$69,0)))</f>
        <v/>
      </c>
      <c r="AH2077" s="2846" t="str">
        <f>IF(ISNA(INDEX(PoderesDeCriatura_Adquiridos,MATCH(AG$2067&amp;$A9,Principal!$U$42:$U$69,0))),"",IF(INDEX(Principal!$AP$42:$AP$69,MATCH(AG$2067&amp;$A9,Principal!$U$42:$U$69,0))&gt;0,INDEX(Principal!$AF$42:$AF$69,MATCH(AG$2067&amp;$A9,Principal!$U$42:$U$69,0)),INDEX(PoderesDeCriatura_Adquiridos,MATCH(AG$2067&amp;$A9,Principal!$U$42:$U$69,0))))</f>
        <v/>
      </c>
      <c r="AI2077" s="2843" t="str">
        <f t="shared" si="359"/>
        <v/>
      </c>
      <c r="AJ2077" s="2845" t="str">
        <f>IF(ISNA(INDEX(PoderesDeCriatura_AdquiridosNombres,MATCH(AJ$2067&amp;$A9,Principal!$U$42:$U$69,0))),"",INDEX(PoderesDeCriatura_AdquiridosNombres,MATCH(AJ$2067&amp;$A9,Principal!$U$42:$U$69,0)))</f>
        <v/>
      </c>
      <c r="AK2077" s="2846" t="str">
        <f>IF(ISNA(INDEX(PoderesDeCriatura_Adquiridos,MATCH(AJ$2067&amp;$A9,Principal!$U$42:$U$69,0))),"",IF(INDEX(Principal!$AP$42:$AP$69,MATCH(AJ$2067&amp;$A9,Principal!$U$42:$U$69,0))&gt;0,INDEX(Principal!$AF$42:$AF$69,MATCH(AJ$2067&amp;$A9,Principal!$U$42:$U$69,0)),INDEX(PoderesDeCriatura_Adquiridos,MATCH(AJ$2067&amp;$A9,Principal!$U$42:$U$69,0))))</f>
        <v/>
      </c>
      <c r="AL2077" s="2843" t="str">
        <f t="shared" si="360"/>
        <v/>
      </c>
      <c r="AM2077" s="2845" t="str">
        <f>IF(ISNA(INDEX(PoderesDeCriatura_AdquiridosNombres,MATCH(AM$2067&amp;$A9,Principal!$U$42:$U$69,0))),"",INDEX(PoderesDeCriatura_AdquiridosNombres,MATCH(AM$2067&amp;$A9,Principal!$U$42:$U$69,0)))</f>
        <v/>
      </c>
      <c r="AN2077" s="2846"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1"/>
        <v/>
      </c>
      <c r="AP2077" s="830" t="str">
        <f>IF(OR(AQ2077=0,ISNUMBER(MATCH(AQ2077,$AQ$2070:$AQ2076,0))),"",MAX($AP$2069:AP2076)+1)</f>
        <v/>
      </c>
      <c r="AQ2077" s="1284">
        <f>Principal!V49</f>
        <v>0</v>
      </c>
    </row>
    <row r="2078" spans="1:43" ht="12.75" customHeight="1" x14ac:dyDescent="0.2">
      <c r="A2078" s="227">
        <v>2078</v>
      </c>
      <c r="B2078" s="6042"/>
      <c r="C2078" s="851" t="str">
        <f>IF(D2078="","",COUNTIF($D$2063:$D$2105,"&lt;="&amp;D2078)-SUMPRODUCT(--($D$2063:$D$2105="")))</f>
        <v/>
      </c>
      <c r="D2078" s="823" t="str">
        <f t="shared" si="349"/>
        <v/>
      </c>
      <c r="E2078" s="823" t="str">
        <f t="shared" si="350"/>
        <v/>
      </c>
      <c r="F2078" s="825" t="str">
        <f t="shared" si="348"/>
        <v/>
      </c>
      <c r="G2078" s="6348"/>
      <c r="H2078" s="1349" t="str">
        <f>Combate!AB28</f>
        <v/>
      </c>
      <c r="I2078" s="1357" t="str">
        <f t="shared" si="351"/>
        <v/>
      </c>
      <c r="J2078" s="816" t="str">
        <f>IF(ISNA(VLOOKUP(A11,Principal!$S$42:$AH$69,10,FALSE)),"",IF(VLOOKUP(A11,Principal!$S$42:$AH$69,10,FALSE)=0,"",INDEX(PoderesDeCriatura_Adquiridos,MATCH(A11,Principal!$S$42:$S$69,0))))</f>
        <v/>
      </c>
      <c r="K2078" s="2843" t="str">
        <f>IF(AND(COUNTA($K$2068:K2077)-COUNTBLANK($K$2068:K2077)&gt;0,J2078&lt;&gt;""),", ","")&amp;J2078</f>
        <v/>
      </c>
      <c r="L2078" s="2845" t="str">
        <f>IF(ISNA(INDEX(PoderesDeCriatura_AdquiridosNombres,MATCH(L$2067&amp;$A10,Principal!$U$42:$U$69,0))),"",INDEX(PoderesDeCriatura_AdquiridosNombres,MATCH(L$2067&amp;$A10,Principal!$U$42:$U$69,0)))</f>
        <v/>
      </c>
      <c r="M2078" s="2846" t="str">
        <f>IF(ISNA(INDEX(PoderesDeCriatura_Adquiridos,MATCH(L$2067&amp;$A10,Principal!$U$42:$U$69,0))),"",IF(INDEX(Principal!$AP$42:$AP$69,MATCH(L$2067&amp;$A10,Principal!$U$42:$U$69,0))&gt;0,INDEX(Principal!$AF$42:$AF$69,MATCH(L$2067&amp;$A10,Principal!$U$42:$U$69,0)),INDEX(PoderesDeCriatura_Adquiridos,MATCH(L$2067&amp;$A10,Principal!$U$42:$U$69,0))))</f>
        <v/>
      </c>
      <c r="N2078" s="2843" t="str">
        <f t="shared" si="352"/>
        <v/>
      </c>
      <c r="O2078" s="2845" t="str">
        <f>IF(ISNA(INDEX(PoderesDeCriatura_AdquiridosNombres,MATCH(O$2067&amp;$A10,Principal!$U$42:$U$69,0))),"",INDEX(PoderesDeCriatura_AdquiridosNombres,MATCH(O$2067&amp;$A10,Principal!$U$42:$U$69,0)))</f>
        <v/>
      </c>
      <c r="P2078" s="2846" t="str">
        <f>IF(ISNA(INDEX(PoderesDeCriatura_Adquiridos,MATCH(O$2067&amp;$A10,Principal!$U$42:$U$69,0))),"",IF(INDEX(Principal!$AP$42:$AP$69,MATCH(O$2067&amp;$A10,Principal!$U$42:$U$69,0))&gt;0,INDEX(Principal!$AF$42:$AF$69,MATCH(O$2067&amp;$A10,Principal!$U$42:$U$69,0)),INDEX(PoderesDeCriatura_Adquiridos,MATCH(O$2067&amp;$A10,Principal!$U$42:$U$69,0))))</f>
        <v/>
      </c>
      <c r="Q2078" s="2843" t="str">
        <f t="shared" si="353"/>
        <v/>
      </c>
      <c r="R2078" s="2845" t="str">
        <f>IF(ISNA(INDEX(PoderesDeCriatura_AdquiridosNombres,MATCH(R$2067&amp;$A10,Principal!$U$42:$U$69,0))),"",INDEX(PoderesDeCriatura_AdquiridosNombres,MATCH(R$2067&amp;$A10,Principal!$U$42:$U$69,0)))</f>
        <v/>
      </c>
      <c r="S2078" s="2846" t="str">
        <f>IF(ISNA(INDEX(PoderesDeCriatura_Adquiridos,MATCH(R$2067&amp;$A10,Principal!$U$42:$U$69,0))),"",IF(INDEX(Principal!$AP$42:$AP$69,MATCH(R$2067&amp;$A10,Principal!$U$42:$U$69,0))&gt;0,INDEX(Principal!$AF$42:$AF$69,MATCH(R$2067&amp;$A10,Principal!$U$42:$U$69,0)),INDEX(PoderesDeCriatura_Adquiridos,MATCH(R$2067&amp;$A10,Principal!$U$42:$U$69,0))))</f>
        <v/>
      </c>
      <c r="T2078" s="2843" t="str">
        <f t="shared" si="354"/>
        <v/>
      </c>
      <c r="U2078" s="2845" t="str">
        <f>IF(ISNA(INDEX(PoderesDeCriatura_AdquiridosNombres,MATCH(U$2067&amp;$A10,Principal!$U$42:$U$69,0))),"",INDEX(PoderesDeCriatura_AdquiridosNombres,MATCH(U$2067&amp;$A10,Principal!$U$42:$U$69,0)))</f>
        <v/>
      </c>
      <c r="V2078" s="2846" t="str">
        <f>IF(ISNA(INDEX(PoderesDeCriatura_Adquiridos,MATCH(U$2067&amp;$A10,Principal!$U$42:$U$69,0))),"",IF(INDEX(Principal!$AP$42:$AP$69,MATCH(U$2067&amp;$A10,Principal!$U$42:$U$69,0))&gt;0,INDEX(Principal!$AF$42:$AF$69,MATCH(U$2067&amp;$A10,Principal!$U$42:$U$69,0)),INDEX(PoderesDeCriatura_Adquiridos,MATCH(U$2067&amp;$A10,Principal!$U$42:$U$69,0))))</f>
        <v/>
      </c>
      <c r="W2078" s="2843" t="str">
        <f t="shared" si="355"/>
        <v/>
      </c>
      <c r="X2078" s="2845" t="str">
        <f>IF(ISNA(INDEX(PoderesDeCriatura_AdquiridosNombres,MATCH(X$2067&amp;$A10,Principal!$U$42:$U$69,0))),"",INDEX(PoderesDeCriatura_AdquiridosNombres,MATCH(X$2067&amp;$A10,Principal!$U$42:$U$69,0)))</f>
        <v/>
      </c>
      <c r="Y2078" s="2846" t="str">
        <f>IF(ISNA(INDEX(PoderesDeCriatura_Adquiridos,MATCH(X$2067&amp;$A10,Principal!$U$42:$U$69,0))),"",IF(INDEX(Principal!$AP$42:$AP$69,MATCH(X$2067&amp;$A10,Principal!$U$42:$U$69,0))&gt;0,INDEX(Principal!$AF$42:$AF$69,MATCH(X$2067&amp;$A10,Principal!$U$42:$U$69,0)),INDEX(PoderesDeCriatura_Adquiridos,MATCH(X$2067&amp;$A10,Principal!$U$42:$U$69,0))))</f>
        <v/>
      </c>
      <c r="Z2078" s="2843" t="str">
        <f t="shared" si="356"/>
        <v/>
      </c>
      <c r="AA2078" s="2845" t="str">
        <f>IF(ISNA(INDEX(PoderesDeCriatura_AdquiridosNombres,MATCH(AA$2067&amp;$A10,Principal!$U$42:$U$69,0))),"",INDEX(PoderesDeCriatura_AdquiridosNombres,MATCH(AA$2067&amp;$A10,Principal!$U$42:$U$69,0)))</f>
        <v/>
      </c>
      <c r="AB2078" s="2846"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3" t="str">
        <f t="shared" si="357"/>
        <v/>
      </c>
      <c r="AD2078" s="2845" t="str">
        <f>IF(ISNA(INDEX(PoderesDeCriatura_AdquiridosNombres,MATCH(AD$2067&amp;$A10,Principal!$U$42:$U$69,0))),"",INDEX(PoderesDeCriatura_AdquiridosNombres,MATCH(AD$2067&amp;$A10,Principal!$U$42:$U$69,0)))</f>
        <v/>
      </c>
      <c r="AE2078" s="2846"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3" t="str">
        <f t="shared" si="358"/>
        <v/>
      </c>
      <c r="AG2078" s="2845" t="str">
        <f>IF(ISNA(INDEX(PoderesDeCriatura_AdquiridosNombres,MATCH(AG$2067&amp;$A10,Principal!$U$42:$U$69,0))),"",INDEX(PoderesDeCriatura_AdquiridosNombres,MATCH(AG$2067&amp;$A10,Principal!$U$42:$U$69,0)))</f>
        <v/>
      </c>
      <c r="AH2078" s="2846"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3" t="str">
        <f t="shared" si="359"/>
        <v/>
      </c>
      <c r="AJ2078" s="2845" t="str">
        <f>IF(ISNA(INDEX(PoderesDeCriatura_AdquiridosNombres,MATCH(AJ$2067&amp;$A10,Principal!$U$42:$U$69,0))),"",INDEX(PoderesDeCriatura_AdquiridosNombres,MATCH(AJ$2067&amp;$A10,Principal!$U$42:$U$69,0)))</f>
        <v/>
      </c>
      <c r="AK2078" s="2846"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3" t="str">
        <f t="shared" si="360"/>
        <v/>
      </c>
      <c r="AM2078" s="2845" t="str">
        <f>IF(ISNA(INDEX(PoderesDeCriatura_AdquiridosNombres,MATCH(AM$2067&amp;$A10,Principal!$U$42:$U$69,0))),"",INDEX(PoderesDeCriatura_AdquiridosNombres,MATCH(AM$2067&amp;$A10,Principal!$U$42:$U$69,0)))</f>
        <v/>
      </c>
      <c r="AN2078" s="2846"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1"/>
        <v/>
      </c>
      <c r="AP2078" s="830" t="str">
        <f>IF(OR(AQ2078=0,ISNUMBER(MATCH(AQ2078,$AQ$2070:$AQ2077,0))),"",MAX($AP$2069:AP2077)+1)</f>
        <v/>
      </c>
      <c r="AQ2078" s="1284">
        <f>Principal!V50</f>
        <v>0</v>
      </c>
    </row>
    <row r="2079" spans="1:43" ht="12.75" customHeight="1" x14ac:dyDescent="0.2">
      <c r="A2079" s="227">
        <v>2079</v>
      </c>
      <c r="B2079" s="6042"/>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8"/>
        <v/>
      </c>
      <c r="G2079" s="6348"/>
      <c r="H2079" s="1348" t="str">
        <f>Combate!AB31</f>
        <v/>
      </c>
      <c r="J2079" s="816" t="str">
        <f>IF(ISNA(VLOOKUP(A12,Principal!$S$42:$AH$69,10,FALSE)),"",IF(VLOOKUP(A12,Principal!$S$42:$AH$69,10,FALSE)=0,"",INDEX(PoderesDeCriatura_Adquiridos,MATCH(A12,Principal!$S$42:$S$69,0))))</f>
        <v/>
      </c>
      <c r="K2079" s="2843" t="str">
        <f>IF(AND(COUNTA($K$2068:K2078)-COUNTBLANK($K$2068:K2078)&gt;0,J2079&lt;&gt;""),", ","")&amp;J2079</f>
        <v/>
      </c>
      <c r="L2079" s="2845" t="str">
        <f>IF(ISNA(INDEX(PoderesDeCriatura_AdquiridosNombres,MATCH(L$2067&amp;$A11,Principal!$U$42:$U$69,0))),"",INDEX(PoderesDeCriatura_AdquiridosNombres,MATCH(L$2067&amp;$A11,Principal!$U$42:$U$69,0)))</f>
        <v/>
      </c>
      <c r="M2079" s="2846" t="str">
        <f>IF(ISNA(INDEX(PoderesDeCriatura_Adquiridos,MATCH(L$2067&amp;$A11,Principal!$U$42:$U$69,0))),"",IF(INDEX(Principal!$AP$42:$AP$69,MATCH(L$2067&amp;$A11,Principal!$U$42:$U$69,0))&gt;0,INDEX(Principal!$AF$42:$AF$69,MATCH(L$2067&amp;$A11,Principal!$U$42:$U$69,0)),INDEX(PoderesDeCriatura_Adquiridos,MATCH(L$2067&amp;$A11,Principal!$U$42:$U$69,0))))</f>
        <v/>
      </c>
      <c r="N2079" s="2843" t="str">
        <f t="shared" si="352"/>
        <v/>
      </c>
      <c r="O2079" s="2845" t="str">
        <f>IF(ISNA(INDEX(PoderesDeCriatura_AdquiridosNombres,MATCH(O$2067&amp;$A11,Principal!$U$42:$U$69,0))),"",INDEX(PoderesDeCriatura_AdquiridosNombres,MATCH(O$2067&amp;$A11,Principal!$U$42:$U$69,0)))</f>
        <v/>
      </c>
      <c r="P2079" s="2846" t="str">
        <f>IF(ISNA(INDEX(PoderesDeCriatura_Adquiridos,MATCH(O$2067&amp;$A11,Principal!$U$42:$U$69,0))),"",IF(INDEX(Principal!$AP$42:$AP$69,MATCH(O$2067&amp;$A11,Principal!$U$42:$U$69,0))&gt;0,INDEX(Principal!$AF$42:$AF$69,MATCH(O$2067&amp;$A11,Principal!$U$42:$U$69,0)),INDEX(PoderesDeCriatura_Adquiridos,MATCH(O$2067&amp;$A11,Principal!$U$42:$U$69,0))))</f>
        <v/>
      </c>
      <c r="Q2079" s="2843" t="str">
        <f t="shared" si="353"/>
        <v/>
      </c>
      <c r="R2079" s="2845" t="str">
        <f>IF(ISNA(INDEX(PoderesDeCriatura_AdquiridosNombres,MATCH(R$2067&amp;$A11,Principal!$U$42:$U$69,0))),"",INDEX(PoderesDeCriatura_AdquiridosNombres,MATCH(R$2067&amp;$A11,Principal!$U$42:$U$69,0)))</f>
        <v/>
      </c>
      <c r="S2079" s="2846" t="str">
        <f>IF(ISNA(INDEX(PoderesDeCriatura_Adquiridos,MATCH(R$2067&amp;$A11,Principal!$U$42:$U$69,0))),"",IF(INDEX(Principal!$AP$42:$AP$69,MATCH(R$2067&amp;$A11,Principal!$U$42:$U$69,0))&gt;0,INDEX(Principal!$AF$42:$AF$69,MATCH(R$2067&amp;$A11,Principal!$U$42:$U$69,0)),INDEX(PoderesDeCriatura_Adquiridos,MATCH(R$2067&amp;$A11,Principal!$U$42:$U$69,0))))</f>
        <v/>
      </c>
      <c r="T2079" s="2843" t="str">
        <f t="shared" si="354"/>
        <v/>
      </c>
      <c r="U2079" s="2845" t="str">
        <f>IF(ISNA(INDEX(PoderesDeCriatura_AdquiridosNombres,MATCH(U$2067&amp;$A11,Principal!$U$42:$U$69,0))),"",INDEX(PoderesDeCriatura_AdquiridosNombres,MATCH(U$2067&amp;$A11,Principal!$U$42:$U$69,0)))</f>
        <v/>
      </c>
      <c r="V2079" s="2846" t="str">
        <f>IF(ISNA(INDEX(PoderesDeCriatura_Adquiridos,MATCH(U$2067&amp;$A11,Principal!$U$42:$U$69,0))),"",IF(INDEX(Principal!$AP$42:$AP$69,MATCH(U$2067&amp;$A11,Principal!$U$42:$U$69,0))&gt;0,INDEX(Principal!$AF$42:$AF$69,MATCH(U$2067&amp;$A11,Principal!$U$42:$U$69,0)),INDEX(PoderesDeCriatura_Adquiridos,MATCH(U$2067&amp;$A11,Principal!$U$42:$U$69,0))))</f>
        <v/>
      </c>
      <c r="W2079" s="2843" t="str">
        <f t="shared" si="355"/>
        <v/>
      </c>
      <c r="X2079" s="2845" t="str">
        <f>IF(ISNA(INDEX(PoderesDeCriatura_AdquiridosNombres,MATCH(X$2067&amp;$A11,Principal!$U$42:$U$69,0))),"",INDEX(PoderesDeCriatura_AdquiridosNombres,MATCH(X$2067&amp;$A11,Principal!$U$42:$U$69,0)))</f>
        <v/>
      </c>
      <c r="Y2079" s="2846" t="str">
        <f>IF(ISNA(INDEX(PoderesDeCriatura_Adquiridos,MATCH(X$2067&amp;$A11,Principal!$U$42:$U$69,0))),"",IF(INDEX(Principal!$AP$42:$AP$69,MATCH(X$2067&amp;$A11,Principal!$U$42:$U$69,0))&gt;0,INDEX(Principal!$AF$42:$AF$69,MATCH(X$2067&amp;$A11,Principal!$U$42:$U$69,0)),INDEX(PoderesDeCriatura_Adquiridos,MATCH(X$2067&amp;$A11,Principal!$U$42:$U$69,0))))</f>
        <v/>
      </c>
      <c r="Z2079" s="2843" t="str">
        <f t="shared" si="356"/>
        <v/>
      </c>
      <c r="AA2079" s="2845" t="str">
        <f>IF(ISNA(INDEX(PoderesDeCriatura_AdquiridosNombres,MATCH(AA$2067&amp;$A11,Principal!$U$42:$U$69,0))),"",INDEX(PoderesDeCriatura_AdquiridosNombres,MATCH(AA$2067&amp;$A11,Principal!$U$42:$U$69,0)))</f>
        <v/>
      </c>
      <c r="AB2079" s="2846"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3" t="str">
        <f t="shared" si="357"/>
        <v/>
      </c>
      <c r="AD2079" s="2845" t="str">
        <f>IF(ISNA(INDEX(PoderesDeCriatura_AdquiridosNombres,MATCH(AD$2067&amp;$A11,Principal!$U$42:$U$69,0))),"",INDEX(PoderesDeCriatura_AdquiridosNombres,MATCH(AD$2067&amp;$A11,Principal!$U$42:$U$69,0)))</f>
        <v/>
      </c>
      <c r="AE2079" s="2846"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3" t="str">
        <f t="shared" si="358"/>
        <v/>
      </c>
      <c r="AG2079" s="2845" t="str">
        <f>IF(ISNA(INDEX(PoderesDeCriatura_AdquiridosNombres,MATCH(AG$2067&amp;$A11,Principal!$U$42:$U$69,0))),"",INDEX(PoderesDeCriatura_AdquiridosNombres,MATCH(AG$2067&amp;$A11,Principal!$U$42:$U$69,0)))</f>
        <v/>
      </c>
      <c r="AH2079" s="2846"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3" t="str">
        <f t="shared" si="359"/>
        <v/>
      </c>
      <c r="AJ2079" s="2845" t="str">
        <f>IF(ISNA(INDEX(PoderesDeCriatura_AdquiridosNombres,MATCH(AJ$2067&amp;$A11,Principal!$U$42:$U$69,0))),"",INDEX(PoderesDeCriatura_AdquiridosNombres,MATCH(AJ$2067&amp;$A11,Principal!$U$42:$U$69,0)))</f>
        <v/>
      </c>
      <c r="AK2079" s="2846"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3" t="str">
        <f t="shared" si="360"/>
        <v/>
      </c>
      <c r="AM2079" s="2845" t="str">
        <f>IF(ISNA(INDEX(PoderesDeCriatura_AdquiridosNombres,MATCH(AM$2067&amp;$A11,Principal!$U$42:$U$69,0))),"",INDEX(PoderesDeCriatura_AdquiridosNombres,MATCH(AM$2067&amp;$A11,Principal!$U$42:$U$69,0)))</f>
        <v/>
      </c>
      <c r="AN2079" s="2846"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1"/>
        <v/>
      </c>
      <c r="AP2079" s="830" t="str">
        <f>IF(OR(AQ2079=0,ISNUMBER(MATCH(AQ2079,$AQ$2070:$AQ2078,0))),"",MAX($AP$2069:AP2078)+1)</f>
        <v/>
      </c>
      <c r="AQ2079" s="1284">
        <f>Principal!V51</f>
        <v>0</v>
      </c>
    </row>
    <row r="2080" spans="1:43" ht="12.75" customHeight="1" x14ac:dyDescent="0.2">
      <c r="A2080" s="227">
        <v>2080</v>
      </c>
      <c r="B2080" s="6042"/>
      <c r="C2080" s="855" t="str">
        <f t="shared" si="346"/>
        <v/>
      </c>
      <c r="D2080" s="485" t="str">
        <f t="shared" ref="D2080:D2097" si="362">IFERROR(LEFT(H2080,FIND("(",H2080)-2),"")</f>
        <v/>
      </c>
      <c r="E2080" s="485" t="str">
        <f t="shared" ref="E2080:E2097" si="363">IFERROR(VLOOKUP(D2080&amp;" (Arcano)",$H$2079:$H$2097,1,0),IFERROR(VLOOKUP(D2080&amp;" (Supremo)",$H$2079:$H$2097,1,0),IFERROR(VLOOKUP(D2080&amp;" (Avanzado)",$H$2079:$H$2097,1,0),IFERROR(VLOOKUP(D2080&amp;" (Base)",$H$2079:$H$2097,1,0),""))))</f>
        <v/>
      </c>
      <c r="F2080" s="825" t="str">
        <f t="shared" si="348"/>
        <v/>
      </c>
      <c r="G2080" s="6348"/>
      <c r="H2080" s="1348" t="str">
        <f>Combate!AB32</f>
        <v/>
      </c>
      <c r="I2080" s="555"/>
      <c r="J2080" s="816" t="str">
        <f>IF(ISNA(VLOOKUP(A13,Principal!$S$42:$AH$69,10,FALSE)),"",IF(VLOOKUP(A13,Principal!$S$42:$AH$69,10,FALSE)=0,"",INDEX(PoderesDeCriatura_Adquiridos,MATCH(A13,Principal!$S$42:$S$69,0))))</f>
        <v/>
      </c>
      <c r="K2080" s="2843" t="str">
        <f>IF(AND(COUNTA($K$2068:K2079)-COUNTBLANK($K$2068:K2079)&gt;0,J2080&lt;&gt;""),", ","")&amp;J2080</f>
        <v/>
      </c>
      <c r="L2080" s="2845" t="str">
        <f>IF(ISNA(INDEX(PoderesDeCriatura_AdquiridosNombres,MATCH(L$2067&amp;$A12,Principal!$U$42:$U$69,0))),"",INDEX(PoderesDeCriatura_AdquiridosNombres,MATCH(L$2067&amp;$A12,Principal!$U$42:$U$69,0)))</f>
        <v/>
      </c>
      <c r="M2080" s="2846" t="str">
        <f>IF(ISNA(INDEX(PoderesDeCriatura_Adquiridos,MATCH(L$2067&amp;$A12,Principal!$U$42:$U$69,0))),"",IF(INDEX(Principal!$AP$42:$AP$69,MATCH(L$2067&amp;$A12,Principal!$U$42:$U$69,0))&gt;0,INDEX(Principal!$AF$42:$AF$69,MATCH(L$2067&amp;$A12,Principal!$U$42:$U$69,0)),INDEX(PoderesDeCriatura_Adquiridos,MATCH(L$2067&amp;$A12,Principal!$U$42:$U$69,0))))</f>
        <v/>
      </c>
      <c r="N2080" s="2843" t="str">
        <f t="shared" si="352"/>
        <v/>
      </c>
      <c r="O2080" s="2845" t="str">
        <f>IF(ISNA(INDEX(PoderesDeCriatura_AdquiridosNombres,MATCH(O$2067&amp;$A12,Principal!$U$42:$U$69,0))),"",INDEX(PoderesDeCriatura_AdquiridosNombres,MATCH(O$2067&amp;$A12,Principal!$U$42:$U$69,0)))</f>
        <v/>
      </c>
      <c r="P2080" s="2846" t="str">
        <f>IF(ISNA(INDEX(PoderesDeCriatura_Adquiridos,MATCH(O$2067&amp;$A12,Principal!$U$42:$U$69,0))),"",IF(INDEX(Principal!$AP$42:$AP$69,MATCH(O$2067&amp;$A12,Principal!$U$42:$U$69,0))&gt;0,INDEX(Principal!$AF$42:$AF$69,MATCH(O$2067&amp;$A12,Principal!$U$42:$U$69,0)),INDEX(PoderesDeCriatura_Adquiridos,MATCH(O$2067&amp;$A12,Principal!$U$42:$U$69,0))))</f>
        <v/>
      </c>
      <c r="Q2080" s="2843" t="str">
        <f t="shared" si="353"/>
        <v/>
      </c>
      <c r="R2080" s="2845" t="str">
        <f>IF(ISNA(INDEX(PoderesDeCriatura_AdquiridosNombres,MATCH(R$2067&amp;$A12,Principal!$U$42:$U$69,0))),"",INDEX(PoderesDeCriatura_AdquiridosNombres,MATCH(R$2067&amp;$A12,Principal!$U$42:$U$69,0)))</f>
        <v/>
      </c>
      <c r="S2080" s="2846" t="str">
        <f>IF(ISNA(INDEX(PoderesDeCriatura_Adquiridos,MATCH(R$2067&amp;$A12,Principal!$U$42:$U$69,0))),"",IF(INDEX(Principal!$AP$42:$AP$69,MATCH(R$2067&amp;$A12,Principal!$U$42:$U$69,0))&gt;0,INDEX(Principal!$AF$42:$AF$69,MATCH(R$2067&amp;$A12,Principal!$U$42:$U$69,0)),INDEX(PoderesDeCriatura_Adquiridos,MATCH(R$2067&amp;$A12,Principal!$U$42:$U$69,0))))</f>
        <v/>
      </c>
      <c r="T2080" s="2843" t="str">
        <f t="shared" si="354"/>
        <v/>
      </c>
      <c r="U2080" s="2845" t="str">
        <f>IF(ISNA(INDEX(PoderesDeCriatura_AdquiridosNombres,MATCH(U$2067&amp;$A12,Principal!$U$42:$U$69,0))),"",INDEX(PoderesDeCriatura_AdquiridosNombres,MATCH(U$2067&amp;$A12,Principal!$U$42:$U$69,0)))</f>
        <v/>
      </c>
      <c r="V2080" s="2846" t="str">
        <f>IF(ISNA(INDEX(PoderesDeCriatura_Adquiridos,MATCH(U$2067&amp;$A12,Principal!$U$42:$U$69,0))),"",IF(INDEX(Principal!$AP$42:$AP$69,MATCH(U$2067&amp;$A12,Principal!$U$42:$U$69,0))&gt;0,INDEX(Principal!$AF$42:$AF$69,MATCH(U$2067&amp;$A12,Principal!$U$42:$U$69,0)),INDEX(PoderesDeCriatura_Adquiridos,MATCH(U$2067&amp;$A12,Principal!$U$42:$U$69,0))))</f>
        <v/>
      </c>
      <c r="W2080" s="2843" t="str">
        <f t="shared" si="355"/>
        <v/>
      </c>
      <c r="X2080" s="2845" t="str">
        <f>IF(ISNA(INDEX(PoderesDeCriatura_AdquiridosNombres,MATCH(X$2067&amp;$A12,Principal!$U$42:$U$69,0))),"",INDEX(PoderesDeCriatura_AdquiridosNombres,MATCH(X$2067&amp;$A12,Principal!$U$42:$U$69,0)))</f>
        <v/>
      </c>
      <c r="Y2080" s="2846" t="str">
        <f>IF(ISNA(INDEX(PoderesDeCriatura_Adquiridos,MATCH(X$2067&amp;$A12,Principal!$U$42:$U$69,0))),"",IF(INDEX(Principal!$AP$42:$AP$69,MATCH(X$2067&amp;$A12,Principal!$U$42:$U$69,0))&gt;0,INDEX(Principal!$AF$42:$AF$69,MATCH(X$2067&amp;$A12,Principal!$U$42:$U$69,0)),INDEX(PoderesDeCriatura_Adquiridos,MATCH(X$2067&amp;$A12,Principal!$U$42:$U$69,0))))</f>
        <v/>
      </c>
      <c r="Z2080" s="2843" t="str">
        <f t="shared" si="356"/>
        <v/>
      </c>
      <c r="AA2080" s="2845" t="str">
        <f>IF(ISNA(INDEX(PoderesDeCriatura_AdquiridosNombres,MATCH(AA$2067&amp;$A12,Principal!$U$42:$U$69,0))),"",INDEX(PoderesDeCriatura_AdquiridosNombres,MATCH(AA$2067&amp;$A12,Principal!$U$42:$U$69,0)))</f>
        <v/>
      </c>
      <c r="AB2080" s="2846"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3" t="str">
        <f t="shared" si="357"/>
        <v/>
      </c>
      <c r="AD2080" s="2845" t="str">
        <f>IF(ISNA(INDEX(PoderesDeCriatura_AdquiridosNombres,MATCH(AD$2067&amp;$A12,Principal!$U$42:$U$69,0))),"",INDEX(PoderesDeCriatura_AdquiridosNombres,MATCH(AD$2067&amp;$A12,Principal!$U$42:$U$69,0)))</f>
        <v/>
      </c>
      <c r="AE2080" s="2846"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3" t="str">
        <f t="shared" si="358"/>
        <v/>
      </c>
      <c r="AG2080" s="2845" t="str">
        <f>IF(ISNA(INDEX(PoderesDeCriatura_AdquiridosNombres,MATCH(AG$2067&amp;$A12,Principal!$U$42:$U$69,0))),"",INDEX(PoderesDeCriatura_AdquiridosNombres,MATCH(AG$2067&amp;$A12,Principal!$U$42:$U$69,0)))</f>
        <v/>
      </c>
      <c r="AH2080" s="2846"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3" t="str">
        <f t="shared" si="359"/>
        <v/>
      </c>
      <c r="AJ2080" s="2845" t="str">
        <f>IF(ISNA(INDEX(PoderesDeCriatura_AdquiridosNombres,MATCH(AJ$2067&amp;$A12,Principal!$U$42:$U$69,0))),"",INDEX(PoderesDeCriatura_AdquiridosNombres,MATCH(AJ$2067&amp;$A12,Principal!$U$42:$U$69,0)))</f>
        <v/>
      </c>
      <c r="AK2080" s="2846"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3" t="str">
        <f t="shared" si="360"/>
        <v/>
      </c>
      <c r="AM2080" s="2845" t="str">
        <f>IF(ISNA(INDEX(PoderesDeCriatura_AdquiridosNombres,MATCH(AM$2067&amp;$A12,Principal!$U$42:$U$69,0))),"",INDEX(PoderesDeCriatura_AdquiridosNombres,MATCH(AM$2067&amp;$A12,Principal!$U$42:$U$69,0)))</f>
        <v/>
      </c>
      <c r="AN2080" s="2846"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1"/>
        <v/>
      </c>
      <c r="AP2080" s="830" t="str">
        <f>IF(OR(AQ2080=0,ISNUMBER(MATCH(AQ2080,$AQ$2070:$AQ2079,0))),"",MAX($AP$2069:AP2079)+1)</f>
        <v/>
      </c>
      <c r="AQ2080" s="1284">
        <f>Principal!V52</f>
        <v>0</v>
      </c>
    </row>
    <row r="2081" spans="1:43" ht="12.75" customHeight="1" x14ac:dyDescent="0.2">
      <c r="A2081" s="227">
        <v>2081</v>
      </c>
      <c r="B2081" s="6042"/>
      <c r="C2081" s="855" t="str">
        <f t="shared" si="346"/>
        <v/>
      </c>
      <c r="D2081" s="485" t="str">
        <f t="shared" si="362"/>
        <v/>
      </c>
      <c r="E2081" s="485" t="str">
        <f t="shared" si="363"/>
        <v/>
      </c>
      <c r="F2081" s="825" t="str">
        <f t="shared" si="348"/>
        <v/>
      </c>
      <c r="G2081" s="6348"/>
      <c r="H2081" s="1348" t="str">
        <f>Combate!AB33</f>
        <v/>
      </c>
      <c r="I2081" s="555"/>
      <c r="J2081" s="816" t="str">
        <f>IF(ISNA(VLOOKUP(A14,Principal!$S$42:$AH$69,10,FALSE)),"",IF(VLOOKUP(A14,Principal!$S$42:$AH$69,10,FALSE)=0,"",INDEX(PoderesDeCriatura_Adquiridos,MATCH(A14,Principal!$S$42:$S$69,0))))</f>
        <v/>
      </c>
      <c r="K2081" s="2843" t="str">
        <f>IF(AND(COUNTA($K$2068:K2080)-COUNTBLANK($K$2068:K2080)&gt;0,J2081&lt;&gt;""),", ","")&amp;J2081</f>
        <v/>
      </c>
      <c r="L2081" s="2845" t="str">
        <f>IF(ISNA(INDEX(PoderesDeCriatura_AdquiridosNombres,MATCH(L$2067&amp;$A13,Principal!$U$42:$U$69,0))),"",INDEX(PoderesDeCriatura_AdquiridosNombres,MATCH(L$2067&amp;$A13,Principal!$U$42:$U$69,0)))</f>
        <v/>
      </c>
      <c r="M2081" s="2846" t="str">
        <f>IF(ISNA(INDEX(PoderesDeCriatura_Adquiridos,MATCH(L$2067&amp;$A13,Principal!$U$42:$U$69,0))),"",IF(INDEX(Principal!$AP$42:$AP$69,MATCH(L$2067&amp;$A13,Principal!$U$42:$U$69,0))&gt;0,INDEX(Principal!$AF$42:$AF$69,MATCH(L$2067&amp;$A13,Principal!$U$42:$U$69,0)),INDEX(PoderesDeCriatura_Adquiridos,MATCH(L$2067&amp;$A13,Principal!$U$42:$U$69,0))))</f>
        <v/>
      </c>
      <c r="N2081" s="2843" t="str">
        <f t="shared" si="352"/>
        <v/>
      </c>
      <c r="O2081" s="2845" t="str">
        <f>IF(ISNA(INDEX(PoderesDeCriatura_AdquiridosNombres,MATCH(O$2067&amp;$A13,Principal!$U$42:$U$69,0))),"",INDEX(PoderesDeCriatura_AdquiridosNombres,MATCH(O$2067&amp;$A13,Principal!$U$42:$U$69,0)))</f>
        <v/>
      </c>
      <c r="P2081" s="2846" t="str">
        <f>IF(ISNA(INDEX(PoderesDeCriatura_Adquiridos,MATCH(O$2067&amp;$A13,Principal!$U$42:$U$69,0))),"",IF(INDEX(Principal!$AP$42:$AP$69,MATCH(O$2067&amp;$A13,Principal!$U$42:$U$69,0))&gt;0,INDEX(Principal!$AF$42:$AF$69,MATCH(O$2067&amp;$A13,Principal!$U$42:$U$69,0)),INDEX(PoderesDeCriatura_Adquiridos,MATCH(O$2067&amp;$A13,Principal!$U$42:$U$69,0))))</f>
        <v/>
      </c>
      <c r="Q2081" s="2843" t="str">
        <f t="shared" si="353"/>
        <v/>
      </c>
      <c r="R2081" s="2845" t="str">
        <f>IF(ISNA(INDEX(PoderesDeCriatura_AdquiridosNombres,MATCH(R$2067&amp;$A13,Principal!$U$42:$U$69,0))),"",INDEX(PoderesDeCriatura_AdquiridosNombres,MATCH(R$2067&amp;$A13,Principal!$U$42:$U$69,0)))</f>
        <v/>
      </c>
      <c r="S2081" s="2846" t="str">
        <f>IF(ISNA(INDEX(PoderesDeCriatura_Adquiridos,MATCH(R$2067&amp;$A13,Principal!$U$42:$U$69,0))),"",IF(INDEX(Principal!$AP$42:$AP$69,MATCH(R$2067&amp;$A13,Principal!$U$42:$U$69,0))&gt;0,INDEX(Principal!$AF$42:$AF$69,MATCH(R$2067&amp;$A13,Principal!$U$42:$U$69,0)),INDEX(PoderesDeCriatura_Adquiridos,MATCH(R$2067&amp;$A13,Principal!$U$42:$U$69,0))))</f>
        <v/>
      </c>
      <c r="T2081" s="2843" t="str">
        <f t="shared" si="354"/>
        <v/>
      </c>
      <c r="U2081" s="2845" t="str">
        <f>IF(ISNA(INDEX(PoderesDeCriatura_AdquiridosNombres,MATCH(U$2067&amp;$A13,Principal!$U$42:$U$69,0))),"",INDEX(PoderesDeCriatura_AdquiridosNombres,MATCH(U$2067&amp;$A13,Principal!$U$42:$U$69,0)))</f>
        <v/>
      </c>
      <c r="V2081" s="2846" t="str">
        <f>IF(ISNA(INDEX(PoderesDeCriatura_Adquiridos,MATCH(U$2067&amp;$A13,Principal!$U$42:$U$69,0))),"",IF(INDEX(Principal!$AP$42:$AP$69,MATCH(U$2067&amp;$A13,Principal!$U$42:$U$69,0))&gt;0,INDEX(Principal!$AF$42:$AF$69,MATCH(U$2067&amp;$A13,Principal!$U$42:$U$69,0)),INDEX(PoderesDeCriatura_Adquiridos,MATCH(U$2067&amp;$A13,Principal!$U$42:$U$69,0))))</f>
        <v/>
      </c>
      <c r="W2081" s="2843" t="str">
        <f t="shared" si="355"/>
        <v/>
      </c>
      <c r="X2081" s="2845" t="str">
        <f>IF(ISNA(INDEX(PoderesDeCriatura_AdquiridosNombres,MATCH(X$2067&amp;$A13,Principal!$U$42:$U$69,0))),"",INDEX(PoderesDeCriatura_AdquiridosNombres,MATCH(X$2067&amp;$A13,Principal!$U$42:$U$69,0)))</f>
        <v/>
      </c>
      <c r="Y2081" s="2846" t="str">
        <f>IF(ISNA(INDEX(PoderesDeCriatura_Adquiridos,MATCH(X$2067&amp;$A13,Principal!$U$42:$U$69,0))),"",IF(INDEX(Principal!$AP$42:$AP$69,MATCH(X$2067&amp;$A13,Principal!$U$42:$U$69,0))&gt;0,INDEX(Principal!$AF$42:$AF$69,MATCH(X$2067&amp;$A13,Principal!$U$42:$U$69,0)),INDEX(PoderesDeCriatura_Adquiridos,MATCH(X$2067&amp;$A13,Principal!$U$42:$U$69,0))))</f>
        <v/>
      </c>
      <c r="Z2081" s="2843" t="str">
        <f t="shared" si="356"/>
        <v/>
      </c>
      <c r="AA2081" s="2845" t="str">
        <f>IF(ISNA(INDEX(PoderesDeCriatura_AdquiridosNombres,MATCH(AA$2067&amp;$A13,Principal!$U$42:$U$69,0))),"",INDEX(PoderesDeCriatura_AdquiridosNombres,MATCH(AA$2067&amp;$A13,Principal!$U$42:$U$69,0)))</f>
        <v/>
      </c>
      <c r="AB2081" s="2846"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3" t="str">
        <f t="shared" si="357"/>
        <v/>
      </c>
      <c r="AD2081" s="2845" t="str">
        <f>IF(ISNA(INDEX(PoderesDeCriatura_AdquiridosNombres,MATCH(AD$2067&amp;$A13,Principal!$U$42:$U$69,0))),"",INDEX(PoderesDeCriatura_AdquiridosNombres,MATCH(AD$2067&amp;$A13,Principal!$U$42:$U$69,0)))</f>
        <v/>
      </c>
      <c r="AE2081" s="2846"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3" t="str">
        <f t="shared" si="358"/>
        <v/>
      </c>
      <c r="AG2081" s="2845" t="str">
        <f>IF(ISNA(INDEX(PoderesDeCriatura_AdquiridosNombres,MATCH(AG$2067&amp;$A13,Principal!$U$42:$U$69,0))),"",INDEX(PoderesDeCriatura_AdquiridosNombres,MATCH(AG$2067&amp;$A13,Principal!$U$42:$U$69,0)))</f>
        <v/>
      </c>
      <c r="AH2081" s="2846"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3" t="str">
        <f t="shared" si="359"/>
        <v/>
      </c>
      <c r="AJ2081" s="2845" t="str">
        <f>IF(ISNA(INDEX(PoderesDeCriatura_AdquiridosNombres,MATCH(AJ$2067&amp;$A13,Principal!$U$42:$U$69,0))),"",INDEX(PoderesDeCriatura_AdquiridosNombres,MATCH(AJ$2067&amp;$A13,Principal!$U$42:$U$69,0)))</f>
        <v/>
      </c>
      <c r="AK2081" s="2846"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3" t="str">
        <f t="shared" si="360"/>
        <v/>
      </c>
      <c r="AM2081" s="2845" t="str">
        <f>IF(ISNA(INDEX(PoderesDeCriatura_AdquiridosNombres,MATCH(AM$2067&amp;$A13,Principal!$U$42:$U$69,0))),"",INDEX(PoderesDeCriatura_AdquiridosNombres,MATCH(AM$2067&amp;$A13,Principal!$U$42:$U$69,0)))</f>
        <v/>
      </c>
      <c r="AN2081" s="2846"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1"/>
        <v/>
      </c>
      <c r="AP2081" s="830" t="str">
        <f>IF(OR(AQ2081=0,ISNUMBER(MATCH(AQ2081,$AQ$2070:$AQ2080,0))),"",MAX($AP$2069:AP2080)+1)</f>
        <v/>
      </c>
      <c r="AQ2081" s="1284">
        <f>Principal!V53</f>
        <v>0</v>
      </c>
    </row>
    <row r="2082" spans="1:43" ht="12.75" customHeight="1" x14ac:dyDescent="0.2">
      <c r="A2082" s="227">
        <v>2082</v>
      </c>
      <c r="B2082" s="6042"/>
      <c r="C2082" s="855" t="str">
        <f t="shared" si="346"/>
        <v/>
      </c>
      <c r="D2082" s="485" t="str">
        <f t="shared" si="362"/>
        <v/>
      </c>
      <c r="E2082" s="485" t="str">
        <f t="shared" si="363"/>
        <v/>
      </c>
      <c r="F2082" s="825" t="str">
        <f t="shared" si="348"/>
        <v/>
      </c>
      <c r="G2082" s="6348"/>
      <c r="H2082" s="1348" t="str">
        <f>Combate!AB34</f>
        <v/>
      </c>
      <c r="I2082" s="555"/>
      <c r="J2082" s="816" t="str">
        <f>IF(ISNA(VLOOKUP(A15,Principal!$S$42:$AH$69,10,FALSE)),"",IF(VLOOKUP(A15,Principal!$S$42:$AH$69,10,FALSE)=0,"",INDEX(PoderesDeCriatura_Adquiridos,MATCH(A15,Principal!$S$42:$S$69,0))))</f>
        <v/>
      </c>
      <c r="K2082" s="2843" t="str">
        <f>IF(AND(COUNTA($K$2068:K2081)-COUNTBLANK($K$2068:K2081)&gt;0,J2082&lt;&gt;""),", ","")&amp;J2082</f>
        <v/>
      </c>
      <c r="L2082" s="2845" t="str">
        <f>IF(ISNA(INDEX(PoderesDeCriatura_AdquiridosNombres,MATCH(L$2067&amp;$A14,Principal!$U$42:$U$69,0))),"",INDEX(PoderesDeCriatura_AdquiridosNombres,MATCH(L$2067&amp;$A14,Principal!$U$42:$U$69,0)))</f>
        <v/>
      </c>
      <c r="M2082" s="2846" t="str">
        <f>IF(ISNA(INDEX(PoderesDeCriatura_Adquiridos,MATCH(L$2067&amp;$A14,Principal!$U$42:$U$69,0))),"",IF(INDEX(Principal!$AP$42:$AP$69,MATCH(L$2067&amp;$A14,Principal!$U$42:$U$69,0))&gt;0,INDEX(Principal!$AF$42:$AF$69,MATCH(L$2067&amp;$A14,Principal!$U$42:$U$69,0)),INDEX(PoderesDeCriatura_Adquiridos,MATCH(L$2067&amp;$A14,Principal!$U$42:$U$69,0))))</f>
        <v/>
      </c>
      <c r="N2082" s="2843" t="str">
        <f t="shared" si="352"/>
        <v/>
      </c>
      <c r="O2082" s="2845" t="str">
        <f>IF(ISNA(INDEX(PoderesDeCriatura_AdquiridosNombres,MATCH(O$2067&amp;$A14,Principal!$U$42:$U$69,0))),"",INDEX(PoderesDeCriatura_AdquiridosNombres,MATCH(O$2067&amp;$A14,Principal!$U$42:$U$69,0)))</f>
        <v/>
      </c>
      <c r="P2082" s="2846" t="str">
        <f>IF(ISNA(INDEX(PoderesDeCriatura_Adquiridos,MATCH(O$2067&amp;$A14,Principal!$U$42:$U$69,0))),"",IF(INDEX(Principal!$AP$42:$AP$69,MATCH(O$2067&amp;$A14,Principal!$U$42:$U$69,0))&gt;0,INDEX(Principal!$AF$42:$AF$69,MATCH(O$2067&amp;$A14,Principal!$U$42:$U$69,0)),INDEX(PoderesDeCriatura_Adquiridos,MATCH(O$2067&amp;$A14,Principal!$U$42:$U$69,0))))</f>
        <v/>
      </c>
      <c r="Q2082" s="2843" t="str">
        <f t="shared" si="353"/>
        <v/>
      </c>
      <c r="R2082" s="2845" t="str">
        <f>IF(ISNA(INDEX(PoderesDeCriatura_AdquiridosNombres,MATCH(R$2067&amp;$A14,Principal!$U$42:$U$69,0))),"",INDEX(PoderesDeCriatura_AdquiridosNombres,MATCH(R$2067&amp;$A14,Principal!$U$42:$U$69,0)))</f>
        <v/>
      </c>
      <c r="S2082" s="2846" t="str">
        <f>IF(ISNA(INDEX(PoderesDeCriatura_Adquiridos,MATCH(R$2067&amp;$A14,Principal!$U$42:$U$69,0))),"",IF(INDEX(Principal!$AP$42:$AP$69,MATCH(R$2067&amp;$A14,Principal!$U$42:$U$69,0))&gt;0,INDEX(Principal!$AF$42:$AF$69,MATCH(R$2067&amp;$A14,Principal!$U$42:$U$69,0)),INDEX(PoderesDeCriatura_Adquiridos,MATCH(R$2067&amp;$A14,Principal!$U$42:$U$69,0))))</f>
        <v/>
      </c>
      <c r="T2082" s="2843" t="str">
        <f t="shared" si="354"/>
        <v/>
      </c>
      <c r="U2082" s="2845" t="str">
        <f>IF(ISNA(INDEX(PoderesDeCriatura_AdquiridosNombres,MATCH(U$2067&amp;$A14,Principal!$U$42:$U$69,0))),"",INDEX(PoderesDeCriatura_AdquiridosNombres,MATCH(U$2067&amp;$A14,Principal!$U$42:$U$69,0)))</f>
        <v/>
      </c>
      <c r="V2082" s="2846" t="str">
        <f>IF(ISNA(INDEX(PoderesDeCriatura_Adquiridos,MATCH(U$2067&amp;$A14,Principal!$U$42:$U$69,0))),"",IF(INDEX(Principal!$AP$42:$AP$69,MATCH(U$2067&amp;$A14,Principal!$U$42:$U$69,0))&gt;0,INDEX(Principal!$AF$42:$AF$69,MATCH(U$2067&amp;$A14,Principal!$U$42:$U$69,0)),INDEX(PoderesDeCriatura_Adquiridos,MATCH(U$2067&amp;$A14,Principal!$U$42:$U$69,0))))</f>
        <v/>
      </c>
      <c r="W2082" s="2843" t="str">
        <f t="shared" si="355"/>
        <v/>
      </c>
      <c r="X2082" s="2845" t="str">
        <f>IF(ISNA(INDEX(PoderesDeCriatura_AdquiridosNombres,MATCH(X$2067&amp;$A14,Principal!$U$42:$U$69,0))),"",INDEX(PoderesDeCriatura_AdquiridosNombres,MATCH(X$2067&amp;$A14,Principal!$U$42:$U$69,0)))</f>
        <v/>
      </c>
      <c r="Y2082" s="2846" t="str">
        <f>IF(ISNA(INDEX(PoderesDeCriatura_Adquiridos,MATCH(X$2067&amp;$A14,Principal!$U$42:$U$69,0))),"",IF(INDEX(Principal!$AP$42:$AP$69,MATCH(X$2067&amp;$A14,Principal!$U$42:$U$69,0))&gt;0,INDEX(Principal!$AF$42:$AF$69,MATCH(X$2067&amp;$A14,Principal!$U$42:$U$69,0)),INDEX(PoderesDeCriatura_Adquiridos,MATCH(X$2067&amp;$A14,Principal!$U$42:$U$69,0))))</f>
        <v/>
      </c>
      <c r="Z2082" s="2843" t="str">
        <f t="shared" si="356"/>
        <v/>
      </c>
      <c r="AA2082" s="2845" t="str">
        <f>IF(ISNA(INDEX(PoderesDeCriatura_AdquiridosNombres,MATCH(AA$2067&amp;$A14,Principal!$U$42:$U$69,0))),"",INDEX(PoderesDeCriatura_AdquiridosNombres,MATCH(AA$2067&amp;$A14,Principal!$U$42:$U$69,0)))</f>
        <v/>
      </c>
      <c r="AB2082" s="2846"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3" t="str">
        <f t="shared" si="357"/>
        <v/>
      </c>
      <c r="AD2082" s="2845" t="str">
        <f>IF(ISNA(INDEX(PoderesDeCriatura_AdquiridosNombres,MATCH(AD$2067&amp;$A14,Principal!$U$42:$U$69,0))),"",INDEX(PoderesDeCriatura_AdquiridosNombres,MATCH(AD$2067&amp;$A14,Principal!$U$42:$U$69,0)))</f>
        <v/>
      </c>
      <c r="AE2082" s="2846"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3" t="str">
        <f t="shared" si="358"/>
        <v/>
      </c>
      <c r="AG2082" s="2845" t="str">
        <f>IF(ISNA(INDEX(PoderesDeCriatura_AdquiridosNombres,MATCH(AG$2067&amp;$A14,Principal!$U$42:$U$69,0))),"",INDEX(PoderesDeCriatura_AdquiridosNombres,MATCH(AG$2067&amp;$A14,Principal!$U$42:$U$69,0)))</f>
        <v/>
      </c>
      <c r="AH2082" s="2846"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3" t="str">
        <f t="shared" si="359"/>
        <v/>
      </c>
      <c r="AJ2082" s="2845" t="str">
        <f>IF(ISNA(INDEX(PoderesDeCriatura_AdquiridosNombres,MATCH(AJ$2067&amp;$A14,Principal!$U$42:$U$69,0))),"",INDEX(PoderesDeCriatura_AdquiridosNombres,MATCH(AJ$2067&amp;$A14,Principal!$U$42:$U$69,0)))</f>
        <v/>
      </c>
      <c r="AK2082" s="2846"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3" t="str">
        <f t="shared" si="360"/>
        <v/>
      </c>
      <c r="AM2082" s="2845" t="str">
        <f>IF(ISNA(INDEX(PoderesDeCriatura_AdquiridosNombres,MATCH(AM$2067&amp;$A14,Principal!$U$42:$U$69,0))),"",INDEX(PoderesDeCriatura_AdquiridosNombres,MATCH(AM$2067&amp;$A14,Principal!$U$42:$U$69,0)))</f>
        <v/>
      </c>
      <c r="AN2082" s="2846"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1"/>
        <v/>
      </c>
      <c r="AP2082" s="830" t="str">
        <f>IF(OR(AQ2082=0,ISNUMBER(MATCH(AQ2082,$AQ$2070:$AQ2081,0))),"",MAX($AP$2069:AP2081)+1)</f>
        <v/>
      </c>
      <c r="AQ2082" s="1284">
        <f>Principal!V54</f>
        <v>0</v>
      </c>
    </row>
    <row r="2083" spans="1:43" ht="12.75" customHeight="1" x14ac:dyDescent="0.2">
      <c r="A2083" s="227">
        <v>2083</v>
      </c>
      <c r="B2083" s="6042"/>
      <c r="C2083" s="855" t="str">
        <f t="shared" si="346"/>
        <v/>
      </c>
      <c r="D2083" s="485" t="str">
        <f t="shared" si="362"/>
        <v/>
      </c>
      <c r="E2083" s="485" t="str">
        <f t="shared" si="363"/>
        <v/>
      </c>
      <c r="F2083" s="825" t="str">
        <f t="shared" si="348"/>
        <v/>
      </c>
      <c r="G2083" s="6348"/>
      <c r="H2083" s="1348" t="str">
        <f>Combate!AB35</f>
        <v/>
      </c>
      <c r="J2083" s="816" t="str">
        <f>IF(ISNA(VLOOKUP(A16,Principal!$S$42:$AH$69,10,FALSE)),"",IF(VLOOKUP(A16,Principal!$S$42:$AH$69,10,FALSE)=0,"",INDEX(PoderesDeCriatura_Adquiridos,MATCH(A16,Principal!$S$42:$S$69,0))))</f>
        <v/>
      </c>
      <c r="K2083" s="2843" t="str">
        <f>IF(AND(COUNTA($K$2068:K2082)-COUNTBLANK($K$2068:K2082)&gt;0,J2083&lt;&gt;""),", ","")&amp;J2083</f>
        <v/>
      </c>
      <c r="L2083" s="2845" t="str">
        <f>IF(ISNA(INDEX(PoderesDeCriatura_AdquiridosNombres,MATCH(L$2067&amp;$A15,Principal!$U$42:$U$69,0))),"",INDEX(PoderesDeCriatura_AdquiridosNombres,MATCH(L$2067&amp;$A15,Principal!$U$42:$U$69,0)))</f>
        <v/>
      </c>
      <c r="M2083" s="2846" t="str">
        <f>IF(ISNA(INDEX(PoderesDeCriatura_Adquiridos,MATCH(L$2067&amp;$A15,Principal!$U$42:$U$69,0))),"",IF(INDEX(Principal!$AP$42:$AP$69,MATCH(L$2067&amp;$A15,Principal!$U$42:$U$69,0))&gt;0,INDEX(Principal!$AF$42:$AF$69,MATCH(L$2067&amp;$A15,Principal!$U$42:$U$69,0)),INDEX(PoderesDeCriatura_Adquiridos,MATCH(L$2067&amp;$A15,Principal!$U$42:$U$69,0))))</f>
        <v/>
      </c>
      <c r="N2083" s="2843" t="str">
        <f t="shared" si="352"/>
        <v/>
      </c>
      <c r="O2083" s="2845" t="str">
        <f>IF(ISNA(INDEX(PoderesDeCriatura_AdquiridosNombres,MATCH(O$2067&amp;$A15,Principal!$U$42:$U$69,0))),"",INDEX(PoderesDeCriatura_AdquiridosNombres,MATCH(O$2067&amp;$A15,Principal!$U$42:$U$69,0)))</f>
        <v/>
      </c>
      <c r="P2083" s="2846" t="str">
        <f>IF(ISNA(INDEX(PoderesDeCriatura_Adquiridos,MATCH(O$2067&amp;$A15,Principal!$U$42:$U$69,0))),"",IF(INDEX(Principal!$AP$42:$AP$69,MATCH(O$2067&amp;$A15,Principal!$U$42:$U$69,0))&gt;0,INDEX(Principal!$AF$42:$AF$69,MATCH(O$2067&amp;$A15,Principal!$U$42:$U$69,0)),INDEX(PoderesDeCriatura_Adquiridos,MATCH(O$2067&amp;$A15,Principal!$U$42:$U$69,0))))</f>
        <v/>
      </c>
      <c r="Q2083" s="2843" t="str">
        <f t="shared" si="353"/>
        <v/>
      </c>
      <c r="R2083" s="2845" t="str">
        <f>IF(ISNA(INDEX(PoderesDeCriatura_AdquiridosNombres,MATCH(R$2067&amp;$A15,Principal!$U$42:$U$69,0))),"",INDEX(PoderesDeCriatura_AdquiridosNombres,MATCH(R$2067&amp;$A15,Principal!$U$42:$U$69,0)))</f>
        <v/>
      </c>
      <c r="S2083" s="2846" t="str">
        <f>IF(ISNA(INDEX(PoderesDeCriatura_Adquiridos,MATCH(R$2067&amp;$A15,Principal!$U$42:$U$69,0))),"",IF(INDEX(Principal!$AP$42:$AP$69,MATCH(R$2067&amp;$A15,Principal!$U$42:$U$69,0))&gt;0,INDEX(Principal!$AF$42:$AF$69,MATCH(R$2067&amp;$A15,Principal!$U$42:$U$69,0)),INDEX(PoderesDeCriatura_Adquiridos,MATCH(R$2067&amp;$A15,Principal!$U$42:$U$69,0))))</f>
        <v/>
      </c>
      <c r="T2083" s="2843" t="str">
        <f t="shared" si="354"/>
        <v/>
      </c>
      <c r="U2083" s="2845" t="str">
        <f>IF(ISNA(INDEX(PoderesDeCriatura_AdquiridosNombres,MATCH(U$2067&amp;$A15,Principal!$U$42:$U$69,0))),"",INDEX(PoderesDeCriatura_AdquiridosNombres,MATCH(U$2067&amp;$A15,Principal!$U$42:$U$69,0)))</f>
        <v/>
      </c>
      <c r="V2083" s="2846" t="str">
        <f>IF(ISNA(INDEX(PoderesDeCriatura_Adquiridos,MATCH(U$2067&amp;$A15,Principal!$U$42:$U$69,0))),"",IF(INDEX(Principal!$AP$42:$AP$69,MATCH(U$2067&amp;$A15,Principal!$U$42:$U$69,0))&gt;0,INDEX(Principal!$AF$42:$AF$69,MATCH(U$2067&amp;$A15,Principal!$U$42:$U$69,0)),INDEX(PoderesDeCriatura_Adquiridos,MATCH(U$2067&amp;$A15,Principal!$U$42:$U$69,0))))</f>
        <v/>
      </c>
      <c r="W2083" s="2843" t="str">
        <f t="shared" si="355"/>
        <v/>
      </c>
      <c r="X2083" s="2845" t="str">
        <f>IF(ISNA(INDEX(PoderesDeCriatura_AdquiridosNombres,MATCH(X$2067&amp;$A15,Principal!$U$42:$U$69,0))),"",INDEX(PoderesDeCriatura_AdquiridosNombres,MATCH(X$2067&amp;$A15,Principal!$U$42:$U$69,0)))</f>
        <v/>
      </c>
      <c r="Y2083" s="2846" t="str">
        <f>IF(ISNA(INDEX(PoderesDeCriatura_Adquiridos,MATCH(X$2067&amp;$A15,Principal!$U$42:$U$69,0))),"",IF(INDEX(Principal!$AP$42:$AP$69,MATCH(X$2067&amp;$A15,Principal!$U$42:$U$69,0))&gt;0,INDEX(Principal!$AF$42:$AF$69,MATCH(X$2067&amp;$A15,Principal!$U$42:$U$69,0)),INDEX(PoderesDeCriatura_Adquiridos,MATCH(X$2067&amp;$A15,Principal!$U$42:$U$69,0))))</f>
        <v/>
      </c>
      <c r="Z2083" s="2843" t="str">
        <f t="shared" si="356"/>
        <v/>
      </c>
      <c r="AA2083" s="2845" t="str">
        <f>IF(ISNA(INDEX(PoderesDeCriatura_AdquiridosNombres,MATCH(AA$2067&amp;$A15,Principal!$U$42:$U$69,0))),"",INDEX(PoderesDeCriatura_AdquiridosNombres,MATCH(AA$2067&amp;$A15,Principal!$U$42:$U$69,0)))</f>
        <v/>
      </c>
      <c r="AB2083" s="2846"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3" t="str">
        <f t="shared" si="357"/>
        <v/>
      </c>
      <c r="AD2083" s="2845" t="str">
        <f>IF(ISNA(INDEX(PoderesDeCriatura_AdquiridosNombres,MATCH(AD$2067&amp;$A15,Principal!$U$42:$U$69,0))),"",INDEX(PoderesDeCriatura_AdquiridosNombres,MATCH(AD$2067&amp;$A15,Principal!$U$42:$U$69,0)))</f>
        <v/>
      </c>
      <c r="AE2083" s="2846"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3" t="str">
        <f t="shared" si="358"/>
        <v/>
      </c>
      <c r="AG2083" s="2845" t="str">
        <f>IF(ISNA(INDEX(PoderesDeCriatura_AdquiridosNombres,MATCH(AG$2067&amp;$A15,Principal!$U$42:$U$69,0))),"",INDEX(PoderesDeCriatura_AdquiridosNombres,MATCH(AG$2067&amp;$A15,Principal!$U$42:$U$69,0)))</f>
        <v/>
      </c>
      <c r="AH2083" s="2846"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3" t="str">
        <f t="shared" si="359"/>
        <v/>
      </c>
      <c r="AJ2083" s="2845" t="str">
        <f>IF(ISNA(INDEX(PoderesDeCriatura_AdquiridosNombres,MATCH(AJ$2067&amp;$A15,Principal!$U$42:$U$69,0))),"",INDEX(PoderesDeCriatura_AdquiridosNombres,MATCH(AJ$2067&amp;$A15,Principal!$U$42:$U$69,0)))</f>
        <v/>
      </c>
      <c r="AK2083" s="2846"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3" t="str">
        <f t="shared" si="360"/>
        <v/>
      </c>
      <c r="AM2083" s="2845" t="str">
        <f>IF(ISNA(INDEX(PoderesDeCriatura_AdquiridosNombres,MATCH(AM$2067&amp;$A15,Principal!$U$42:$U$69,0))),"",INDEX(PoderesDeCriatura_AdquiridosNombres,MATCH(AM$2067&amp;$A15,Principal!$U$42:$U$69,0)))</f>
        <v/>
      </c>
      <c r="AN2083" s="2846"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1"/>
        <v/>
      </c>
      <c r="AP2083" s="830" t="str">
        <f>IF(OR(AQ2083=0,ISNUMBER(MATCH(AQ2083,$AQ$2070:$AQ2082,0))),"",MAX($AP$2069:AP2082)+1)</f>
        <v/>
      </c>
      <c r="AQ2083" s="1284">
        <f>Principal!V55</f>
        <v>0</v>
      </c>
    </row>
    <row r="2084" spans="1:43" ht="12.75" customHeight="1" x14ac:dyDescent="0.2">
      <c r="A2084" s="227">
        <v>2084</v>
      </c>
      <c r="B2084" s="6042"/>
      <c r="C2084" s="855" t="str">
        <f t="shared" si="346"/>
        <v/>
      </c>
      <c r="D2084" s="485" t="str">
        <f t="shared" si="362"/>
        <v/>
      </c>
      <c r="E2084" s="485" t="str">
        <f t="shared" si="363"/>
        <v/>
      </c>
      <c r="F2084" s="825" t="str">
        <f t="shared" si="348"/>
        <v/>
      </c>
      <c r="G2084" s="6348"/>
      <c r="H2084" s="1348" t="str">
        <f>Combate!AB36</f>
        <v/>
      </c>
      <c r="J2084" s="816" t="str">
        <f>IF(ISNA(VLOOKUP(A17,Principal!$S$42:$AH$69,10,FALSE)),"",IF(VLOOKUP(A17,Principal!$S$42:$AH$69,10,FALSE)=0,"",INDEX(PoderesDeCriatura_Adquiridos,MATCH(A17,Principal!$S$42:$S$69,0))))</f>
        <v/>
      </c>
      <c r="K2084" s="2843" t="str">
        <f>IF(AND(COUNTA($K$2068:K2083)-COUNTBLANK($K$2068:K2083)&gt;0,J2084&lt;&gt;""),", ","")&amp;J2084</f>
        <v/>
      </c>
      <c r="L2084" s="2845" t="str">
        <f>IF(ISNA(INDEX(PoderesDeCriatura_AdquiridosNombres,MATCH(L$2067&amp;$A16,Principal!$U$42:$U$69,0))),"",INDEX(PoderesDeCriatura_AdquiridosNombres,MATCH(L$2067&amp;$A16,Principal!$U$42:$U$69,0)))</f>
        <v/>
      </c>
      <c r="M2084" s="2846" t="str">
        <f>IF(ISNA(INDEX(PoderesDeCriatura_Adquiridos,MATCH(L$2067&amp;$A16,Principal!$U$42:$U$69,0))),"",IF(INDEX(Principal!$AP$42:$AP$69,MATCH(L$2067&amp;$A16,Principal!$U$42:$U$69,0))&gt;0,INDEX(Principal!$AF$42:$AF$69,MATCH(L$2067&amp;$A16,Principal!$U$42:$U$69,0)),INDEX(PoderesDeCriatura_Adquiridos,MATCH(L$2067&amp;$A16,Principal!$U$42:$U$69,0))))</f>
        <v/>
      </c>
      <c r="N2084" s="2843" t="str">
        <f t="shared" si="352"/>
        <v/>
      </c>
      <c r="O2084" s="2845" t="str">
        <f>IF(ISNA(INDEX(PoderesDeCriatura_AdquiridosNombres,MATCH(O$2067&amp;$A16,Principal!$U$42:$U$69,0))),"",INDEX(PoderesDeCriatura_AdquiridosNombres,MATCH(O$2067&amp;$A16,Principal!$U$42:$U$69,0)))</f>
        <v/>
      </c>
      <c r="P2084" s="2846" t="str">
        <f>IF(ISNA(INDEX(PoderesDeCriatura_Adquiridos,MATCH(O$2067&amp;$A16,Principal!$U$42:$U$69,0))),"",IF(INDEX(Principal!$AP$42:$AP$69,MATCH(O$2067&amp;$A16,Principal!$U$42:$U$69,0))&gt;0,INDEX(Principal!$AF$42:$AF$69,MATCH(O$2067&amp;$A16,Principal!$U$42:$U$69,0)),INDEX(PoderesDeCriatura_Adquiridos,MATCH(O$2067&amp;$A16,Principal!$U$42:$U$69,0))))</f>
        <v/>
      </c>
      <c r="Q2084" s="2843" t="str">
        <f t="shared" si="353"/>
        <v/>
      </c>
      <c r="R2084" s="2845" t="str">
        <f>IF(ISNA(INDEX(PoderesDeCriatura_AdquiridosNombres,MATCH(R$2067&amp;$A16,Principal!$U$42:$U$69,0))),"",INDEX(PoderesDeCriatura_AdquiridosNombres,MATCH(R$2067&amp;$A16,Principal!$U$42:$U$69,0)))</f>
        <v/>
      </c>
      <c r="S2084" s="2846" t="str">
        <f>IF(ISNA(INDEX(PoderesDeCriatura_Adquiridos,MATCH(R$2067&amp;$A16,Principal!$U$42:$U$69,0))),"",IF(INDEX(Principal!$AP$42:$AP$69,MATCH(R$2067&amp;$A16,Principal!$U$42:$U$69,0))&gt;0,INDEX(Principal!$AF$42:$AF$69,MATCH(R$2067&amp;$A16,Principal!$U$42:$U$69,0)),INDEX(PoderesDeCriatura_Adquiridos,MATCH(R$2067&amp;$A16,Principal!$U$42:$U$69,0))))</f>
        <v/>
      </c>
      <c r="T2084" s="2843" t="str">
        <f t="shared" si="354"/>
        <v/>
      </c>
      <c r="U2084" s="2845" t="str">
        <f>IF(ISNA(INDEX(PoderesDeCriatura_AdquiridosNombres,MATCH(U$2067&amp;$A16,Principal!$U$42:$U$69,0))),"",INDEX(PoderesDeCriatura_AdquiridosNombres,MATCH(U$2067&amp;$A16,Principal!$U$42:$U$69,0)))</f>
        <v/>
      </c>
      <c r="V2084" s="2846" t="str">
        <f>IF(ISNA(INDEX(PoderesDeCriatura_Adquiridos,MATCH(U$2067&amp;$A16,Principal!$U$42:$U$69,0))),"",IF(INDEX(Principal!$AP$42:$AP$69,MATCH(U$2067&amp;$A16,Principal!$U$42:$U$69,0))&gt;0,INDEX(Principal!$AF$42:$AF$69,MATCH(U$2067&amp;$A16,Principal!$U$42:$U$69,0)),INDEX(PoderesDeCriatura_Adquiridos,MATCH(U$2067&amp;$A16,Principal!$U$42:$U$69,0))))</f>
        <v/>
      </c>
      <c r="W2084" s="2843" t="str">
        <f t="shared" si="355"/>
        <v/>
      </c>
      <c r="X2084" s="2845" t="str">
        <f>IF(ISNA(INDEX(PoderesDeCriatura_AdquiridosNombres,MATCH(X$2067&amp;$A16,Principal!$U$42:$U$69,0))),"",INDEX(PoderesDeCriatura_AdquiridosNombres,MATCH(X$2067&amp;$A16,Principal!$U$42:$U$69,0)))</f>
        <v/>
      </c>
      <c r="Y2084" s="2846" t="str">
        <f>IF(ISNA(INDEX(PoderesDeCriatura_Adquiridos,MATCH(X$2067&amp;$A16,Principal!$U$42:$U$69,0))),"",IF(INDEX(Principal!$AP$42:$AP$69,MATCH(X$2067&amp;$A16,Principal!$U$42:$U$69,0))&gt;0,INDEX(Principal!$AF$42:$AF$69,MATCH(X$2067&amp;$A16,Principal!$U$42:$U$69,0)),INDEX(PoderesDeCriatura_Adquiridos,MATCH(X$2067&amp;$A16,Principal!$U$42:$U$69,0))))</f>
        <v/>
      </c>
      <c r="Z2084" s="2843" t="str">
        <f t="shared" si="356"/>
        <v/>
      </c>
      <c r="AA2084" s="2845" t="str">
        <f>IF(ISNA(INDEX(PoderesDeCriatura_AdquiridosNombres,MATCH(AA$2067&amp;$A16,Principal!$U$42:$U$69,0))),"",INDEX(PoderesDeCriatura_AdquiridosNombres,MATCH(AA$2067&amp;$A16,Principal!$U$42:$U$69,0)))</f>
        <v/>
      </c>
      <c r="AB2084" s="2846"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3" t="str">
        <f t="shared" si="357"/>
        <v/>
      </c>
      <c r="AD2084" s="2845" t="str">
        <f>IF(ISNA(INDEX(PoderesDeCriatura_AdquiridosNombres,MATCH(AD$2067&amp;$A16,Principal!$U$42:$U$69,0))),"",INDEX(PoderesDeCriatura_AdquiridosNombres,MATCH(AD$2067&amp;$A16,Principal!$U$42:$U$69,0)))</f>
        <v/>
      </c>
      <c r="AE2084" s="2846"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3" t="str">
        <f t="shared" si="358"/>
        <v/>
      </c>
      <c r="AG2084" s="2845" t="str">
        <f>IF(ISNA(INDEX(PoderesDeCriatura_AdquiridosNombres,MATCH(AG$2067&amp;$A16,Principal!$U$42:$U$69,0))),"",INDEX(PoderesDeCriatura_AdquiridosNombres,MATCH(AG$2067&amp;$A16,Principal!$U$42:$U$69,0)))</f>
        <v/>
      </c>
      <c r="AH2084" s="2846"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3" t="str">
        <f t="shared" si="359"/>
        <v/>
      </c>
      <c r="AJ2084" s="2845" t="str">
        <f>IF(ISNA(INDEX(PoderesDeCriatura_AdquiridosNombres,MATCH(AJ$2067&amp;$A16,Principal!$U$42:$U$69,0))),"",INDEX(PoderesDeCriatura_AdquiridosNombres,MATCH(AJ$2067&amp;$A16,Principal!$U$42:$U$69,0)))</f>
        <v/>
      </c>
      <c r="AK2084" s="2846"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3" t="str">
        <f t="shared" si="360"/>
        <v/>
      </c>
      <c r="AM2084" s="2845" t="str">
        <f>IF(ISNA(INDEX(PoderesDeCriatura_AdquiridosNombres,MATCH(AM$2067&amp;$A16,Principal!$U$42:$U$69,0))),"",INDEX(PoderesDeCriatura_AdquiridosNombres,MATCH(AM$2067&amp;$A16,Principal!$U$42:$U$69,0)))</f>
        <v/>
      </c>
      <c r="AN2084" s="2846"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1"/>
        <v/>
      </c>
      <c r="AP2084" s="830" t="str">
        <f>IF(OR(AQ2084=0,ISNUMBER(MATCH(AQ2084,$AQ$2070:$AQ2083,0))),"",MAX($AP$2069:AP2083)+1)</f>
        <v/>
      </c>
      <c r="AQ2084" s="1284">
        <f>Principal!V56</f>
        <v>0</v>
      </c>
    </row>
    <row r="2085" spans="1:43" ht="12.75" customHeight="1" x14ac:dyDescent="0.2">
      <c r="A2085" s="227">
        <v>2085</v>
      </c>
      <c r="B2085" s="6042"/>
      <c r="C2085" s="855" t="str">
        <f t="shared" si="346"/>
        <v/>
      </c>
      <c r="D2085" s="485" t="str">
        <f t="shared" si="362"/>
        <v/>
      </c>
      <c r="E2085" s="485" t="str">
        <f t="shared" si="363"/>
        <v/>
      </c>
      <c r="F2085" s="825" t="str">
        <f t="shared" si="348"/>
        <v/>
      </c>
      <c r="G2085" s="6348"/>
      <c r="H2085" s="1348" t="str">
        <f>Combate!AB37</f>
        <v/>
      </c>
      <c r="J2085" s="816" t="str">
        <f>IF(ISNA(VLOOKUP(A18,Principal!$S$42:$AH$69,10,FALSE)),"",IF(VLOOKUP(A18,Principal!$S$42:$AH$69,10,FALSE)=0,"",INDEX(PoderesDeCriatura_Adquiridos,MATCH(A18,Principal!$S$42:$S$69,0))))</f>
        <v/>
      </c>
      <c r="K2085" s="2843" t="str">
        <f>IF(AND(COUNTA($K$2068:K2084)-COUNTBLANK($K$2068:K2084)&gt;0,J2085&lt;&gt;""),", ","")&amp;J2085</f>
        <v/>
      </c>
      <c r="L2085" s="2845" t="str">
        <f>IF(ISNA(INDEX(PoderesDeCriatura_AdquiridosNombres,MATCH(L$2067&amp;$A17,Principal!$U$42:$U$69,0))),"",INDEX(PoderesDeCriatura_AdquiridosNombres,MATCH(L$2067&amp;$A17,Principal!$U$42:$U$69,0)))</f>
        <v/>
      </c>
      <c r="M2085" s="2846" t="str">
        <f>IF(ISNA(INDEX(PoderesDeCriatura_Adquiridos,MATCH(L$2067&amp;$A17,Principal!$U$42:$U$69,0))),"",IF(INDEX(Principal!$AP$42:$AP$69,MATCH(L$2067&amp;$A17,Principal!$U$42:$U$69,0))&gt;0,INDEX(Principal!$AF$42:$AF$69,MATCH(L$2067&amp;$A17,Principal!$U$42:$U$69,0)),INDEX(PoderesDeCriatura_Adquiridos,MATCH(L$2067&amp;$A17,Principal!$U$42:$U$69,0))))</f>
        <v/>
      </c>
      <c r="N2085" s="2843" t="str">
        <f t="shared" si="352"/>
        <v/>
      </c>
      <c r="O2085" s="2845" t="str">
        <f>IF(ISNA(INDEX(PoderesDeCriatura_AdquiridosNombres,MATCH(O$2067&amp;$A17,Principal!$U$42:$U$69,0))),"",INDEX(PoderesDeCriatura_AdquiridosNombres,MATCH(O$2067&amp;$A17,Principal!$U$42:$U$69,0)))</f>
        <v/>
      </c>
      <c r="P2085" s="2846" t="str">
        <f>IF(ISNA(INDEX(PoderesDeCriatura_Adquiridos,MATCH(O$2067&amp;$A17,Principal!$U$42:$U$69,0))),"",IF(INDEX(Principal!$AP$42:$AP$69,MATCH(O$2067&amp;$A17,Principal!$U$42:$U$69,0))&gt;0,INDEX(Principal!$AF$42:$AF$69,MATCH(O$2067&amp;$A17,Principal!$U$42:$U$69,0)),INDEX(PoderesDeCriatura_Adquiridos,MATCH(O$2067&amp;$A17,Principal!$U$42:$U$69,0))))</f>
        <v/>
      </c>
      <c r="Q2085" s="2843" t="str">
        <f t="shared" si="353"/>
        <v/>
      </c>
      <c r="R2085" s="2845" t="str">
        <f>IF(ISNA(INDEX(PoderesDeCriatura_AdquiridosNombres,MATCH(R$2067&amp;$A17,Principal!$U$42:$U$69,0))),"",INDEX(PoderesDeCriatura_AdquiridosNombres,MATCH(R$2067&amp;$A17,Principal!$U$42:$U$69,0)))</f>
        <v/>
      </c>
      <c r="S2085" s="2846" t="str">
        <f>IF(ISNA(INDEX(PoderesDeCriatura_Adquiridos,MATCH(R$2067&amp;$A17,Principal!$U$42:$U$69,0))),"",IF(INDEX(Principal!$AP$42:$AP$69,MATCH(R$2067&amp;$A17,Principal!$U$42:$U$69,0))&gt;0,INDEX(Principal!$AF$42:$AF$69,MATCH(R$2067&amp;$A17,Principal!$U$42:$U$69,0)),INDEX(PoderesDeCriatura_Adquiridos,MATCH(R$2067&amp;$A17,Principal!$U$42:$U$69,0))))</f>
        <v/>
      </c>
      <c r="T2085" s="2843" t="str">
        <f t="shared" si="354"/>
        <v/>
      </c>
      <c r="U2085" s="2845" t="str">
        <f>IF(ISNA(INDEX(PoderesDeCriatura_AdquiridosNombres,MATCH(U$2067&amp;$A17,Principal!$U$42:$U$69,0))),"",INDEX(PoderesDeCriatura_AdquiridosNombres,MATCH(U$2067&amp;$A17,Principal!$U$42:$U$69,0)))</f>
        <v/>
      </c>
      <c r="V2085" s="2846" t="str">
        <f>IF(ISNA(INDEX(PoderesDeCriatura_Adquiridos,MATCH(U$2067&amp;$A17,Principal!$U$42:$U$69,0))),"",IF(INDEX(Principal!$AP$42:$AP$69,MATCH(U$2067&amp;$A17,Principal!$U$42:$U$69,0))&gt;0,INDEX(Principal!$AF$42:$AF$69,MATCH(U$2067&amp;$A17,Principal!$U$42:$U$69,0)),INDEX(PoderesDeCriatura_Adquiridos,MATCH(U$2067&amp;$A17,Principal!$U$42:$U$69,0))))</f>
        <v/>
      </c>
      <c r="W2085" s="2843" t="str">
        <f t="shared" si="355"/>
        <v/>
      </c>
      <c r="X2085" s="2845" t="str">
        <f>IF(ISNA(INDEX(PoderesDeCriatura_AdquiridosNombres,MATCH(X$2067&amp;$A17,Principal!$U$42:$U$69,0))),"",INDEX(PoderesDeCriatura_AdquiridosNombres,MATCH(X$2067&amp;$A17,Principal!$U$42:$U$69,0)))</f>
        <v/>
      </c>
      <c r="Y2085" s="2846" t="str">
        <f>IF(ISNA(INDEX(PoderesDeCriatura_Adquiridos,MATCH(X$2067&amp;$A17,Principal!$U$42:$U$69,0))),"",IF(INDEX(Principal!$AP$42:$AP$69,MATCH(X$2067&amp;$A17,Principal!$U$42:$U$69,0))&gt;0,INDEX(Principal!$AF$42:$AF$69,MATCH(X$2067&amp;$A17,Principal!$U$42:$U$69,0)),INDEX(PoderesDeCriatura_Adquiridos,MATCH(X$2067&amp;$A17,Principal!$U$42:$U$69,0))))</f>
        <v/>
      </c>
      <c r="Z2085" s="2843" t="str">
        <f t="shared" si="356"/>
        <v/>
      </c>
      <c r="AA2085" s="2845" t="str">
        <f>IF(ISNA(INDEX(PoderesDeCriatura_AdquiridosNombres,MATCH(AA$2067&amp;$A17,Principal!$U$42:$U$69,0))),"",INDEX(PoderesDeCriatura_AdquiridosNombres,MATCH(AA$2067&amp;$A17,Principal!$U$42:$U$69,0)))</f>
        <v/>
      </c>
      <c r="AB2085" s="2846"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3" t="str">
        <f t="shared" si="357"/>
        <v/>
      </c>
      <c r="AD2085" s="2845" t="str">
        <f>IF(ISNA(INDEX(PoderesDeCriatura_AdquiridosNombres,MATCH(AD$2067&amp;$A17,Principal!$U$42:$U$69,0))),"",INDEX(PoderesDeCriatura_AdquiridosNombres,MATCH(AD$2067&amp;$A17,Principal!$U$42:$U$69,0)))</f>
        <v/>
      </c>
      <c r="AE2085" s="2846"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3" t="str">
        <f t="shared" si="358"/>
        <v/>
      </c>
      <c r="AG2085" s="2845" t="str">
        <f>IF(ISNA(INDEX(PoderesDeCriatura_AdquiridosNombres,MATCH(AG$2067&amp;$A17,Principal!$U$42:$U$69,0))),"",INDEX(PoderesDeCriatura_AdquiridosNombres,MATCH(AG$2067&amp;$A17,Principal!$U$42:$U$69,0)))</f>
        <v/>
      </c>
      <c r="AH2085" s="2846"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3" t="str">
        <f t="shared" si="359"/>
        <v/>
      </c>
      <c r="AJ2085" s="2845" t="str">
        <f>IF(ISNA(INDEX(PoderesDeCriatura_AdquiridosNombres,MATCH(AJ$2067&amp;$A17,Principal!$U$42:$U$69,0))),"",INDEX(PoderesDeCriatura_AdquiridosNombres,MATCH(AJ$2067&amp;$A17,Principal!$U$42:$U$69,0)))</f>
        <v/>
      </c>
      <c r="AK2085" s="2846"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3" t="str">
        <f t="shared" si="360"/>
        <v/>
      </c>
      <c r="AM2085" s="2845" t="str">
        <f>IF(ISNA(INDEX(PoderesDeCriatura_AdquiridosNombres,MATCH(AM$2067&amp;$A17,Principal!$U$42:$U$69,0))),"",INDEX(PoderesDeCriatura_AdquiridosNombres,MATCH(AM$2067&amp;$A17,Principal!$U$42:$U$69,0)))</f>
        <v/>
      </c>
      <c r="AN2085" s="2846"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1"/>
        <v/>
      </c>
      <c r="AP2085" s="830" t="str">
        <f>IF(OR(AQ2085=0,ISNUMBER(MATCH(AQ2085,$AQ$2070:$AQ2084,0))),"",MAX($AP$2069:AP2084)+1)</f>
        <v/>
      </c>
      <c r="AQ2085" s="1284">
        <f>Principal!V57</f>
        <v>0</v>
      </c>
    </row>
    <row r="2086" spans="1:43" ht="12.75" customHeight="1" x14ac:dyDescent="0.2">
      <c r="A2086" s="227">
        <v>2086</v>
      </c>
      <c r="B2086" s="6042"/>
      <c r="C2086" s="855" t="str">
        <f t="shared" si="346"/>
        <v/>
      </c>
      <c r="D2086" s="485" t="str">
        <f t="shared" si="362"/>
        <v/>
      </c>
      <c r="E2086" s="485" t="str">
        <f t="shared" si="363"/>
        <v/>
      </c>
      <c r="F2086" s="825" t="str">
        <f t="shared" si="348"/>
        <v/>
      </c>
      <c r="G2086" s="6348"/>
      <c r="H2086" s="1348" t="str">
        <f>Combate!AB38</f>
        <v/>
      </c>
      <c r="J2086" s="816" t="str">
        <f>IF(ISNA(VLOOKUP(A19,Principal!$S$42:$AH$69,10,FALSE)),"",IF(VLOOKUP(A19,Principal!$S$42:$AH$69,10,FALSE)=0,"",INDEX(PoderesDeCriatura_Adquiridos,MATCH(A19,Principal!$S$42:$S$69,0))))</f>
        <v/>
      </c>
      <c r="K2086" s="2843" t="str">
        <f>IF(AND(COUNTA($K$2068:K2085)-COUNTBLANK($K$2068:K2085)&gt;0,J2086&lt;&gt;""),", ","")&amp;J2086</f>
        <v/>
      </c>
      <c r="L2086" s="2845" t="str">
        <f>IF(ISNA(INDEX(PoderesDeCriatura_AdquiridosNombres,MATCH(L$2067&amp;$A18,Principal!$U$42:$U$69,0))),"",INDEX(PoderesDeCriatura_AdquiridosNombres,MATCH(L$2067&amp;$A18,Principal!$U$42:$U$69,0)))</f>
        <v/>
      </c>
      <c r="M2086" s="2846" t="str">
        <f>IF(ISNA(INDEX(PoderesDeCriatura_Adquiridos,MATCH(L$2067&amp;$A18,Principal!$U$42:$U$69,0))),"",IF(INDEX(Principal!$AP$42:$AP$69,MATCH(L$2067&amp;$A18,Principal!$U$42:$U$69,0))&gt;0,INDEX(Principal!$AF$42:$AF$69,MATCH(L$2067&amp;$A18,Principal!$U$42:$U$69,0)),INDEX(PoderesDeCriatura_Adquiridos,MATCH(L$2067&amp;$A18,Principal!$U$42:$U$69,0))))</f>
        <v/>
      </c>
      <c r="N2086" s="2843" t="str">
        <f t="shared" si="352"/>
        <v/>
      </c>
      <c r="O2086" s="2845" t="str">
        <f>IF(ISNA(INDEX(PoderesDeCriatura_AdquiridosNombres,MATCH(O$2067&amp;$A18,Principal!$U$42:$U$69,0))),"",INDEX(PoderesDeCriatura_AdquiridosNombres,MATCH(O$2067&amp;$A18,Principal!$U$42:$U$69,0)))</f>
        <v/>
      </c>
      <c r="P2086" s="2846" t="str">
        <f>IF(ISNA(INDEX(PoderesDeCriatura_Adquiridos,MATCH(O$2067&amp;$A18,Principal!$U$42:$U$69,0))),"",IF(INDEX(Principal!$AP$42:$AP$69,MATCH(O$2067&amp;$A18,Principal!$U$42:$U$69,0))&gt;0,INDEX(Principal!$AF$42:$AF$69,MATCH(O$2067&amp;$A18,Principal!$U$42:$U$69,0)),INDEX(PoderesDeCriatura_Adquiridos,MATCH(O$2067&amp;$A18,Principal!$U$42:$U$69,0))))</f>
        <v/>
      </c>
      <c r="Q2086" s="2843" t="str">
        <f t="shared" si="353"/>
        <v/>
      </c>
      <c r="R2086" s="2845" t="str">
        <f>IF(ISNA(INDEX(PoderesDeCriatura_AdquiridosNombres,MATCH(R$2067&amp;$A18,Principal!$U$42:$U$69,0))),"",INDEX(PoderesDeCriatura_AdquiridosNombres,MATCH(R$2067&amp;$A18,Principal!$U$42:$U$69,0)))</f>
        <v/>
      </c>
      <c r="S2086" s="2846" t="str">
        <f>IF(ISNA(INDEX(PoderesDeCriatura_Adquiridos,MATCH(R$2067&amp;$A18,Principal!$U$42:$U$69,0))),"",IF(INDEX(Principal!$AP$42:$AP$69,MATCH(R$2067&amp;$A18,Principal!$U$42:$U$69,0))&gt;0,INDEX(Principal!$AF$42:$AF$69,MATCH(R$2067&amp;$A18,Principal!$U$42:$U$69,0)),INDEX(PoderesDeCriatura_Adquiridos,MATCH(R$2067&amp;$A18,Principal!$U$42:$U$69,0))))</f>
        <v/>
      </c>
      <c r="T2086" s="2843" t="str">
        <f t="shared" si="354"/>
        <v/>
      </c>
      <c r="U2086" s="2845" t="str">
        <f>IF(ISNA(INDEX(PoderesDeCriatura_AdquiridosNombres,MATCH(U$2067&amp;$A18,Principal!$U$42:$U$69,0))),"",INDEX(PoderesDeCriatura_AdquiridosNombres,MATCH(U$2067&amp;$A18,Principal!$U$42:$U$69,0)))</f>
        <v/>
      </c>
      <c r="V2086" s="2846" t="str">
        <f>IF(ISNA(INDEX(PoderesDeCriatura_Adquiridos,MATCH(U$2067&amp;$A18,Principal!$U$42:$U$69,0))),"",IF(INDEX(Principal!$AP$42:$AP$69,MATCH(U$2067&amp;$A18,Principal!$U$42:$U$69,0))&gt;0,INDEX(Principal!$AF$42:$AF$69,MATCH(U$2067&amp;$A18,Principal!$U$42:$U$69,0)),INDEX(PoderesDeCriatura_Adquiridos,MATCH(U$2067&amp;$A18,Principal!$U$42:$U$69,0))))</f>
        <v/>
      </c>
      <c r="W2086" s="2843" t="str">
        <f t="shared" si="355"/>
        <v/>
      </c>
      <c r="X2086" s="2845" t="str">
        <f>IF(ISNA(INDEX(PoderesDeCriatura_AdquiridosNombres,MATCH(X$2067&amp;$A18,Principal!$U$42:$U$69,0))),"",INDEX(PoderesDeCriatura_AdquiridosNombres,MATCH(X$2067&amp;$A18,Principal!$U$42:$U$69,0)))</f>
        <v/>
      </c>
      <c r="Y2086" s="2846" t="str">
        <f>IF(ISNA(INDEX(PoderesDeCriatura_Adquiridos,MATCH(X$2067&amp;$A18,Principal!$U$42:$U$69,0))),"",IF(INDEX(Principal!$AP$42:$AP$69,MATCH(X$2067&amp;$A18,Principal!$U$42:$U$69,0))&gt;0,INDEX(Principal!$AF$42:$AF$69,MATCH(X$2067&amp;$A18,Principal!$U$42:$U$69,0)),INDEX(PoderesDeCriatura_Adquiridos,MATCH(X$2067&amp;$A18,Principal!$U$42:$U$69,0))))</f>
        <v/>
      </c>
      <c r="Z2086" s="2843" t="str">
        <f t="shared" si="356"/>
        <v/>
      </c>
      <c r="AA2086" s="2845" t="str">
        <f>IF(ISNA(INDEX(PoderesDeCriatura_AdquiridosNombres,MATCH(AA$2067&amp;$A18,Principal!$U$42:$U$69,0))),"",INDEX(PoderesDeCriatura_AdquiridosNombres,MATCH(AA$2067&amp;$A18,Principal!$U$42:$U$69,0)))</f>
        <v/>
      </c>
      <c r="AB2086" s="2846"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3" t="str">
        <f t="shared" si="357"/>
        <v/>
      </c>
      <c r="AD2086" s="2845" t="str">
        <f>IF(ISNA(INDEX(PoderesDeCriatura_AdquiridosNombres,MATCH(AD$2067&amp;$A18,Principal!$U$42:$U$69,0))),"",INDEX(PoderesDeCriatura_AdquiridosNombres,MATCH(AD$2067&amp;$A18,Principal!$U$42:$U$69,0)))</f>
        <v/>
      </c>
      <c r="AE2086" s="2846"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3" t="str">
        <f t="shared" si="358"/>
        <v/>
      </c>
      <c r="AG2086" s="2845" t="str">
        <f>IF(ISNA(INDEX(PoderesDeCriatura_AdquiridosNombres,MATCH(AG$2067&amp;$A18,Principal!$U$42:$U$69,0))),"",INDEX(PoderesDeCriatura_AdquiridosNombres,MATCH(AG$2067&amp;$A18,Principal!$U$42:$U$69,0)))</f>
        <v/>
      </c>
      <c r="AH2086" s="2846"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3" t="str">
        <f t="shared" si="359"/>
        <v/>
      </c>
      <c r="AJ2086" s="2845" t="str">
        <f>IF(ISNA(INDEX(PoderesDeCriatura_AdquiridosNombres,MATCH(AJ$2067&amp;$A18,Principal!$U$42:$U$69,0))),"",INDEX(PoderesDeCriatura_AdquiridosNombres,MATCH(AJ$2067&amp;$A18,Principal!$U$42:$U$69,0)))</f>
        <v/>
      </c>
      <c r="AK2086" s="2846"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3" t="str">
        <f t="shared" si="360"/>
        <v/>
      </c>
      <c r="AM2086" s="2845" t="str">
        <f>IF(ISNA(INDEX(PoderesDeCriatura_AdquiridosNombres,MATCH(AM$2067&amp;$A18,Principal!$U$42:$U$69,0))),"",INDEX(PoderesDeCriatura_AdquiridosNombres,MATCH(AM$2067&amp;$A18,Principal!$U$42:$U$69,0)))</f>
        <v/>
      </c>
      <c r="AN2086" s="2846"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1"/>
        <v/>
      </c>
      <c r="AP2086" s="830" t="str">
        <f>IF(OR(AQ2086=0,ISNUMBER(MATCH(AQ2086,$AQ$2070:$AQ2085,0))),"",MAX($AP$2069:AP2085)+1)</f>
        <v/>
      </c>
      <c r="AQ2086" s="1284">
        <f>Principal!V58</f>
        <v>0</v>
      </c>
    </row>
    <row r="2087" spans="1:43" ht="12.75" customHeight="1" x14ac:dyDescent="0.2">
      <c r="A2087" s="227">
        <v>2087</v>
      </c>
      <c r="B2087" s="6042"/>
      <c r="C2087" s="855" t="str">
        <f t="shared" si="346"/>
        <v/>
      </c>
      <c r="D2087" s="485" t="str">
        <f t="shared" si="362"/>
        <v/>
      </c>
      <c r="E2087" s="485" t="str">
        <f t="shared" si="363"/>
        <v/>
      </c>
      <c r="F2087" s="825" t="str">
        <f t="shared" si="348"/>
        <v/>
      </c>
      <c r="G2087" s="6348"/>
      <c r="H2087" s="1348" t="str">
        <f>Combate!AB39</f>
        <v/>
      </c>
      <c r="J2087" s="816" t="str">
        <f>IF(ISNA(VLOOKUP(A20,Principal!$S$42:$AH$69,10,FALSE)),"",IF(VLOOKUP(A20,Principal!$S$42:$AH$69,10,FALSE)=0,"",INDEX(PoderesDeCriatura_Adquiridos,MATCH(A20,Principal!$S$42:$S$69,0))))</f>
        <v/>
      </c>
      <c r="K2087" s="2843" t="str">
        <f>IF(AND(COUNTA($K$2068:K2086)-COUNTBLANK($K$2068:K2086)&gt;0,J2087&lt;&gt;""),", ","")&amp;J2087</f>
        <v/>
      </c>
      <c r="L2087" s="2845" t="str">
        <f>IF(ISNA(INDEX(PoderesDeCriatura_AdquiridosNombres,MATCH(L$2067&amp;$A19,Principal!$U$42:$U$69,0))),"",INDEX(PoderesDeCriatura_AdquiridosNombres,MATCH(L$2067&amp;$A19,Principal!$U$42:$U$69,0)))</f>
        <v/>
      </c>
      <c r="M2087" s="2846" t="str">
        <f>IF(ISNA(INDEX(PoderesDeCriatura_Adquiridos,MATCH(L$2067&amp;$A19,Principal!$U$42:$U$69,0))),"",IF(INDEX(Principal!$AP$42:$AP$69,MATCH(L$2067&amp;$A19,Principal!$U$42:$U$69,0))&gt;0,INDEX(Principal!$AF$42:$AF$69,MATCH(L$2067&amp;$A19,Principal!$U$42:$U$69,0)),INDEX(PoderesDeCriatura_Adquiridos,MATCH(L$2067&amp;$A19,Principal!$U$42:$U$69,0))))</f>
        <v/>
      </c>
      <c r="N2087" s="2843" t="str">
        <f t="shared" si="352"/>
        <v/>
      </c>
      <c r="O2087" s="2845" t="str">
        <f>IF(ISNA(INDEX(PoderesDeCriatura_AdquiridosNombres,MATCH(O$2067&amp;$A19,Principal!$U$42:$U$69,0))),"",INDEX(PoderesDeCriatura_AdquiridosNombres,MATCH(O$2067&amp;$A19,Principal!$U$42:$U$69,0)))</f>
        <v/>
      </c>
      <c r="P2087" s="2846" t="str">
        <f>IF(ISNA(INDEX(PoderesDeCriatura_Adquiridos,MATCH(O$2067&amp;$A19,Principal!$U$42:$U$69,0))),"",IF(INDEX(Principal!$AP$42:$AP$69,MATCH(O$2067&amp;$A19,Principal!$U$42:$U$69,0))&gt;0,INDEX(Principal!$AF$42:$AF$69,MATCH(O$2067&amp;$A19,Principal!$U$42:$U$69,0)),INDEX(PoderesDeCriatura_Adquiridos,MATCH(O$2067&amp;$A19,Principal!$U$42:$U$69,0))))</f>
        <v/>
      </c>
      <c r="Q2087" s="2843" t="str">
        <f t="shared" si="353"/>
        <v/>
      </c>
      <c r="R2087" s="2845" t="str">
        <f>IF(ISNA(INDEX(PoderesDeCriatura_AdquiridosNombres,MATCH(R$2067&amp;$A19,Principal!$U$42:$U$69,0))),"",INDEX(PoderesDeCriatura_AdquiridosNombres,MATCH(R$2067&amp;$A19,Principal!$U$42:$U$69,0)))</f>
        <v/>
      </c>
      <c r="S2087" s="2846" t="str">
        <f>IF(ISNA(INDEX(PoderesDeCriatura_Adquiridos,MATCH(R$2067&amp;$A19,Principal!$U$42:$U$69,0))),"",IF(INDEX(Principal!$AP$42:$AP$69,MATCH(R$2067&amp;$A19,Principal!$U$42:$U$69,0))&gt;0,INDEX(Principal!$AF$42:$AF$69,MATCH(R$2067&amp;$A19,Principal!$U$42:$U$69,0)),INDEX(PoderesDeCriatura_Adquiridos,MATCH(R$2067&amp;$A19,Principal!$U$42:$U$69,0))))</f>
        <v/>
      </c>
      <c r="T2087" s="2843" t="str">
        <f t="shared" si="354"/>
        <v/>
      </c>
      <c r="U2087" s="2845" t="str">
        <f>IF(ISNA(INDEX(PoderesDeCriatura_AdquiridosNombres,MATCH(U$2067&amp;$A19,Principal!$U$42:$U$69,0))),"",INDEX(PoderesDeCriatura_AdquiridosNombres,MATCH(U$2067&amp;$A19,Principal!$U$42:$U$69,0)))</f>
        <v/>
      </c>
      <c r="V2087" s="2846" t="str">
        <f>IF(ISNA(INDEX(PoderesDeCriatura_Adquiridos,MATCH(U$2067&amp;$A19,Principal!$U$42:$U$69,0))),"",IF(INDEX(Principal!$AP$42:$AP$69,MATCH(U$2067&amp;$A19,Principal!$U$42:$U$69,0))&gt;0,INDEX(Principal!$AF$42:$AF$69,MATCH(U$2067&amp;$A19,Principal!$U$42:$U$69,0)),INDEX(PoderesDeCriatura_Adquiridos,MATCH(U$2067&amp;$A19,Principal!$U$42:$U$69,0))))</f>
        <v/>
      </c>
      <c r="W2087" s="2843" t="str">
        <f t="shared" si="355"/>
        <v/>
      </c>
      <c r="X2087" s="2845" t="str">
        <f>IF(ISNA(INDEX(PoderesDeCriatura_AdquiridosNombres,MATCH(X$2067&amp;$A19,Principal!$U$42:$U$69,0))),"",INDEX(PoderesDeCriatura_AdquiridosNombres,MATCH(X$2067&amp;$A19,Principal!$U$42:$U$69,0)))</f>
        <v/>
      </c>
      <c r="Y2087" s="2846" t="str">
        <f>IF(ISNA(INDEX(PoderesDeCriatura_Adquiridos,MATCH(X$2067&amp;$A19,Principal!$U$42:$U$69,0))),"",IF(INDEX(Principal!$AP$42:$AP$69,MATCH(X$2067&amp;$A19,Principal!$U$42:$U$69,0))&gt;0,INDEX(Principal!$AF$42:$AF$69,MATCH(X$2067&amp;$A19,Principal!$U$42:$U$69,0)),INDEX(PoderesDeCriatura_Adquiridos,MATCH(X$2067&amp;$A19,Principal!$U$42:$U$69,0))))</f>
        <v/>
      </c>
      <c r="Z2087" s="2843" t="str">
        <f t="shared" si="356"/>
        <v/>
      </c>
      <c r="AA2087" s="2845" t="str">
        <f>IF(ISNA(INDEX(PoderesDeCriatura_AdquiridosNombres,MATCH(AA$2067&amp;$A19,Principal!$U$42:$U$69,0))),"",INDEX(PoderesDeCriatura_AdquiridosNombres,MATCH(AA$2067&amp;$A19,Principal!$U$42:$U$69,0)))</f>
        <v/>
      </c>
      <c r="AB2087" s="2846"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3" t="str">
        <f t="shared" si="357"/>
        <v/>
      </c>
      <c r="AD2087" s="2845" t="str">
        <f>IF(ISNA(INDEX(PoderesDeCriatura_AdquiridosNombres,MATCH(AD$2067&amp;$A19,Principal!$U$42:$U$69,0))),"",INDEX(PoderesDeCriatura_AdquiridosNombres,MATCH(AD$2067&amp;$A19,Principal!$U$42:$U$69,0)))</f>
        <v/>
      </c>
      <c r="AE2087" s="2846"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3" t="str">
        <f t="shared" si="358"/>
        <v/>
      </c>
      <c r="AG2087" s="2845" t="str">
        <f>IF(ISNA(INDEX(PoderesDeCriatura_AdquiridosNombres,MATCH(AG$2067&amp;$A19,Principal!$U$42:$U$69,0))),"",INDEX(PoderesDeCriatura_AdquiridosNombres,MATCH(AG$2067&amp;$A19,Principal!$U$42:$U$69,0)))</f>
        <v/>
      </c>
      <c r="AH2087" s="2846"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3" t="str">
        <f t="shared" si="359"/>
        <v/>
      </c>
      <c r="AJ2087" s="2845" t="str">
        <f>IF(ISNA(INDEX(PoderesDeCriatura_AdquiridosNombres,MATCH(AJ$2067&amp;$A19,Principal!$U$42:$U$69,0))),"",INDEX(PoderesDeCriatura_AdquiridosNombres,MATCH(AJ$2067&amp;$A19,Principal!$U$42:$U$69,0)))</f>
        <v/>
      </c>
      <c r="AK2087" s="2846"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3" t="str">
        <f t="shared" si="360"/>
        <v/>
      </c>
      <c r="AM2087" s="2845" t="str">
        <f>IF(ISNA(INDEX(PoderesDeCriatura_AdquiridosNombres,MATCH(AM$2067&amp;$A19,Principal!$U$42:$U$69,0))),"",INDEX(PoderesDeCriatura_AdquiridosNombres,MATCH(AM$2067&amp;$A19,Principal!$U$42:$U$69,0)))</f>
        <v/>
      </c>
      <c r="AN2087" s="2846"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1"/>
        <v/>
      </c>
      <c r="AP2087" s="830" t="str">
        <f>IF(OR(AQ2087=0,ISNUMBER(MATCH(AQ2087,$AQ$2070:$AQ2086,0))),"",MAX($AP$2069:AP2086)+1)</f>
        <v/>
      </c>
      <c r="AQ2087" s="1284">
        <f>Principal!V59</f>
        <v>0</v>
      </c>
    </row>
    <row r="2088" spans="1:43" ht="12.75" customHeight="1" x14ac:dyDescent="0.2">
      <c r="A2088" s="227">
        <v>2088</v>
      </c>
      <c r="B2088" s="6042"/>
      <c r="C2088" s="855" t="str">
        <f t="shared" si="346"/>
        <v/>
      </c>
      <c r="D2088" s="485" t="str">
        <f t="shared" si="362"/>
        <v/>
      </c>
      <c r="E2088" s="485" t="str">
        <f t="shared" si="363"/>
        <v/>
      </c>
      <c r="F2088" s="825" t="str">
        <f t="shared" si="348"/>
        <v/>
      </c>
      <c r="G2088" s="6348"/>
      <c r="H2088" s="1348" t="str">
        <f>Combate!AB40</f>
        <v/>
      </c>
      <c r="J2088" s="816" t="str">
        <f>IF(ISNA(VLOOKUP(A21,Principal!$S$42:$AH$69,10,FALSE)),"",IF(VLOOKUP(A21,Principal!$S$42:$AH$69,10,FALSE)=0,"",INDEX(PoderesDeCriatura_Adquiridos,MATCH(A21,Principal!$S$42:$S$69,0))))</f>
        <v/>
      </c>
      <c r="K2088" s="2843" t="str">
        <f>IF(AND(COUNTA($K$2068:K2087)-COUNTBLANK($K$2068:K2087)&gt;0,J2088&lt;&gt;""),", ","")&amp;J2088</f>
        <v/>
      </c>
      <c r="L2088" s="2845" t="str">
        <f>IF(ISNA(INDEX(PoderesDeCriatura_AdquiridosNombres,MATCH(L$2067&amp;$A20,Principal!$U$42:$U$69,0))),"",INDEX(PoderesDeCriatura_AdquiridosNombres,MATCH(L$2067&amp;$A20,Principal!$U$42:$U$69,0)))</f>
        <v/>
      </c>
      <c r="M2088" s="2846" t="str">
        <f>IF(ISNA(INDEX(PoderesDeCriatura_Adquiridos,MATCH(L$2067&amp;$A20,Principal!$U$42:$U$69,0))),"",IF(INDEX(Principal!$AP$42:$AP$69,MATCH(L$2067&amp;$A20,Principal!$U$42:$U$69,0))&gt;0,INDEX(Principal!$AF$42:$AF$69,MATCH(L$2067&amp;$A20,Principal!$U$42:$U$69,0)),INDEX(PoderesDeCriatura_Adquiridos,MATCH(L$2067&amp;$A20,Principal!$U$42:$U$69,0))))</f>
        <v/>
      </c>
      <c r="N2088" s="2843" t="str">
        <f t="shared" si="352"/>
        <v/>
      </c>
      <c r="O2088" s="2845" t="str">
        <f>IF(ISNA(INDEX(PoderesDeCriatura_AdquiridosNombres,MATCH(O$2067&amp;$A20,Principal!$U$42:$U$69,0))),"",INDEX(PoderesDeCriatura_AdquiridosNombres,MATCH(O$2067&amp;$A20,Principal!$U$42:$U$69,0)))</f>
        <v/>
      </c>
      <c r="P2088" s="2846" t="str">
        <f>IF(ISNA(INDEX(PoderesDeCriatura_Adquiridos,MATCH(O$2067&amp;$A20,Principal!$U$42:$U$69,0))),"",IF(INDEX(Principal!$AP$42:$AP$69,MATCH(O$2067&amp;$A20,Principal!$U$42:$U$69,0))&gt;0,INDEX(Principal!$AF$42:$AF$69,MATCH(O$2067&amp;$A20,Principal!$U$42:$U$69,0)),INDEX(PoderesDeCriatura_Adquiridos,MATCH(O$2067&amp;$A20,Principal!$U$42:$U$69,0))))</f>
        <v/>
      </c>
      <c r="Q2088" s="2843" t="str">
        <f t="shared" si="353"/>
        <v/>
      </c>
      <c r="R2088" s="2845" t="str">
        <f>IF(ISNA(INDEX(PoderesDeCriatura_AdquiridosNombres,MATCH(R$2067&amp;$A20,Principal!$U$42:$U$69,0))),"",INDEX(PoderesDeCriatura_AdquiridosNombres,MATCH(R$2067&amp;$A20,Principal!$U$42:$U$69,0)))</f>
        <v/>
      </c>
      <c r="S2088" s="2846" t="str">
        <f>IF(ISNA(INDEX(PoderesDeCriatura_Adquiridos,MATCH(R$2067&amp;$A20,Principal!$U$42:$U$69,0))),"",IF(INDEX(Principal!$AP$42:$AP$69,MATCH(R$2067&amp;$A20,Principal!$U$42:$U$69,0))&gt;0,INDEX(Principal!$AF$42:$AF$69,MATCH(R$2067&amp;$A20,Principal!$U$42:$U$69,0)),INDEX(PoderesDeCriatura_Adquiridos,MATCH(R$2067&amp;$A20,Principal!$U$42:$U$69,0))))</f>
        <v/>
      </c>
      <c r="T2088" s="2843" t="str">
        <f t="shared" si="354"/>
        <v/>
      </c>
      <c r="U2088" s="2845" t="str">
        <f>IF(ISNA(INDEX(PoderesDeCriatura_AdquiridosNombres,MATCH(U$2067&amp;$A20,Principal!$U$42:$U$69,0))),"",INDEX(PoderesDeCriatura_AdquiridosNombres,MATCH(U$2067&amp;$A20,Principal!$U$42:$U$69,0)))</f>
        <v/>
      </c>
      <c r="V2088" s="2846" t="str">
        <f>IF(ISNA(INDEX(PoderesDeCriatura_Adquiridos,MATCH(U$2067&amp;$A20,Principal!$U$42:$U$69,0))),"",IF(INDEX(Principal!$AP$42:$AP$69,MATCH(U$2067&amp;$A20,Principal!$U$42:$U$69,0))&gt;0,INDEX(Principal!$AF$42:$AF$69,MATCH(U$2067&amp;$A20,Principal!$U$42:$U$69,0)),INDEX(PoderesDeCriatura_Adquiridos,MATCH(U$2067&amp;$A20,Principal!$U$42:$U$69,0))))</f>
        <v/>
      </c>
      <c r="W2088" s="2843" t="str">
        <f t="shared" si="355"/>
        <v/>
      </c>
      <c r="X2088" s="2845" t="str">
        <f>IF(ISNA(INDEX(PoderesDeCriatura_AdquiridosNombres,MATCH(X$2067&amp;$A20,Principal!$U$42:$U$69,0))),"",INDEX(PoderesDeCriatura_AdquiridosNombres,MATCH(X$2067&amp;$A20,Principal!$U$42:$U$69,0)))</f>
        <v/>
      </c>
      <c r="Y2088" s="2846" t="str">
        <f>IF(ISNA(INDEX(PoderesDeCriatura_Adquiridos,MATCH(X$2067&amp;$A20,Principal!$U$42:$U$69,0))),"",IF(INDEX(Principal!$AP$42:$AP$69,MATCH(X$2067&amp;$A20,Principal!$U$42:$U$69,0))&gt;0,INDEX(Principal!$AF$42:$AF$69,MATCH(X$2067&amp;$A20,Principal!$U$42:$U$69,0)),INDEX(PoderesDeCriatura_Adquiridos,MATCH(X$2067&amp;$A20,Principal!$U$42:$U$69,0))))</f>
        <v/>
      </c>
      <c r="Z2088" s="2843" t="str">
        <f t="shared" si="356"/>
        <v/>
      </c>
      <c r="AA2088" s="2845" t="str">
        <f>IF(ISNA(INDEX(PoderesDeCriatura_AdquiridosNombres,MATCH(AA$2067&amp;$A20,Principal!$U$42:$U$69,0))),"",INDEX(PoderesDeCriatura_AdquiridosNombres,MATCH(AA$2067&amp;$A20,Principal!$U$42:$U$69,0)))</f>
        <v/>
      </c>
      <c r="AB2088" s="2846"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3" t="str">
        <f t="shared" si="357"/>
        <v/>
      </c>
      <c r="AD2088" s="2845" t="str">
        <f>IF(ISNA(INDEX(PoderesDeCriatura_AdquiridosNombres,MATCH(AD$2067&amp;$A20,Principal!$U$42:$U$69,0))),"",INDEX(PoderesDeCriatura_AdquiridosNombres,MATCH(AD$2067&amp;$A20,Principal!$U$42:$U$69,0)))</f>
        <v/>
      </c>
      <c r="AE2088" s="2846"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3" t="str">
        <f t="shared" si="358"/>
        <v/>
      </c>
      <c r="AG2088" s="2845" t="str">
        <f>IF(ISNA(INDEX(PoderesDeCriatura_AdquiridosNombres,MATCH(AG$2067&amp;$A20,Principal!$U$42:$U$69,0))),"",INDEX(PoderesDeCriatura_AdquiridosNombres,MATCH(AG$2067&amp;$A20,Principal!$U$42:$U$69,0)))</f>
        <v/>
      </c>
      <c r="AH2088" s="2846"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3" t="str">
        <f t="shared" si="359"/>
        <v/>
      </c>
      <c r="AJ2088" s="2845" t="str">
        <f>IF(ISNA(INDEX(PoderesDeCriatura_AdquiridosNombres,MATCH(AJ$2067&amp;$A20,Principal!$U$42:$U$69,0))),"",INDEX(PoderesDeCriatura_AdquiridosNombres,MATCH(AJ$2067&amp;$A20,Principal!$U$42:$U$69,0)))</f>
        <v/>
      </c>
      <c r="AK2088" s="2846"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3" t="str">
        <f t="shared" si="360"/>
        <v/>
      </c>
      <c r="AM2088" s="2845" t="str">
        <f>IF(ISNA(INDEX(PoderesDeCriatura_AdquiridosNombres,MATCH(AM$2067&amp;$A20,Principal!$U$42:$U$69,0))),"",INDEX(PoderesDeCriatura_AdquiridosNombres,MATCH(AM$2067&amp;$A20,Principal!$U$42:$U$69,0)))</f>
        <v/>
      </c>
      <c r="AN2088" s="2846"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1"/>
        <v/>
      </c>
      <c r="AP2088" s="830" t="str">
        <f>IF(OR(AQ2088=0,ISNUMBER(MATCH(AQ2088,$AQ$2070:$AQ2087,0))),"",MAX($AP$2069:AP2087)+1)</f>
        <v/>
      </c>
      <c r="AQ2088" s="1284">
        <f>Principal!V60</f>
        <v>0</v>
      </c>
    </row>
    <row r="2089" spans="1:43" ht="12.75" customHeight="1" x14ac:dyDescent="0.2">
      <c r="A2089" s="227">
        <v>2089</v>
      </c>
      <c r="B2089" s="6042"/>
      <c r="C2089" s="855" t="str">
        <f t="shared" si="346"/>
        <v/>
      </c>
      <c r="D2089" s="485" t="str">
        <f t="shared" si="362"/>
        <v/>
      </c>
      <c r="E2089" s="485" t="str">
        <f t="shared" si="363"/>
        <v/>
      </c>
      <c r="F2089" s="825" t="str">
        <f t="shared" si="348"/>
        <v/>
      </c>
      <c r="G2089" s="6348"/>
      <c r="H2089" s="1348" t="str">
        <f>Combate!AB41</f>
        <v/>
      </c>
      <c r="J2089" s="816" t="str">
        <f>IF(ISNA(VLOOKUP(A22,Principal!$S$42:$AH$69,10,FALSE)),"",IF(VLOOKUP(A22,Principal!$S$42:$AH$69,10,FALSE)=0,"",INDEX(PoderesDeCriatura_Adquiridos,MATCH(A22,Principal!$S$42:$S$69,0))))</f>
        <v/>
      </c>
      <c r="K2089" s="2843" t="str">
        <f>IF(AND(COUNTA($K$2068:K2088)-COUNTBLANK($K$2068:K2088)&gt;0,J2089&lt;&gt;""),", ","")&amp;J2089</f>
        <v/>
      </c>
      <c r="L2089" s="2845" t="str">
        <f>IF(ISNA(INDEX(PoderesDeCriatura_AdquiridosNombres,MATCH(L$2067&amp;$A21,Principal!$U$42:$U$69,0))),"",INDEX(PoderesDeCriatura_AdquiridosNombres,MATCH(L$2067&amp;$A21,Principal!$U$42:$U$69,0)))</f>
        <v/>
      </c>
      <c r="M2089" s="2846" t="str">
        <f>IF(ISNA(INDEX(PoderesDeCriatura_Adquiridos,MATCH(L$2067&amp;$A21,Principal!$U$42:$U$69,0))),"",IF(INDEX(Principal!$AP$42:$AP$69,MATCH(L$2067&amp;$A21,Principal!$U$42:$U$69,0))&gt;0,INDEX(Principal!$AF$42:$AF$69,MATCH(L$2067&amp;$A21,Principal!$U$42:$U$69,0)),INDEX(PoderesDeCriatura_Adquiridos,MATCH(L$2067&amp;$A21,Principal!$U$42:$U$69,0))))</f>
        <v/>
      </c>
      <c r="N2089" s="2843" t="str">
        <f t="shared" si="352"/>
        <v/>
      </c>
      <c r="O2089" s="2845" t="str">
        <f>IF(ISNA(INDEX(PoderesDeCriatura_AdquiridosNombres,MATCH(O$2067&amp;$A21,Principal!$U$42:$U$69,0))),"",INDEX(PoderesDeCriatura_AdquiridosNombres,MATCH(O$2067&amp;$A21,Principal!$U$42:$U$69,0)))</f>
        <v/>
      </c>
      <c r="P2089" s="2846" t="str">
        <f>IF(ISNA(INDEX(PoderesDeCriatura_Adquiridos,MATCH(O$2067&amp;$A21,Principal!$U$42:$U$69,0))),"",IF(INDEX(Principal!$AP$42:$AP$69,MATCH(O$2067&amp;$A21,Principal!$U$42:$U$69,0))&gt;0,INDEX(Principal!$AF$42:$AF$69,MATCH(O$2067&amp;$A21,Principal!$U$42:$U$69,0)),INDEX(PoderesDeCriatura_Adquiridos,MATCH(O$2067&amp;$A21,Principal!$U$42:$U$69,0))))</f>
        <v/>
      </c>
      <c r="Q2089" s="2843" t="str">
        <f t="shared" si="353"/>
        <v/>
      </c>
      <c r="R2089" s="2845" t="str">
        <f>IF(ISNA(INDEX(PoderesDeCriatura_AdquiridosNombres,MATCH(R$2067&amp;$A21,Principal!$U$42:$U$69,0))),"",INDEX(PoderesDeCriatura_AdquiridosNombres,MATCH(R$2067&amp;$A21,Principal!$U$42:$U$69,0)))</f>
        <v/>
      </c>
      <c r="S2089" s="2846" t="str">
        <f>IF(ISNA(INDEX(PoderesDeCriatura_Adquiridos,MATCH(R$2067&amp;$A21,Principal!$U$42:$U$69,0))),"",IF(INDEX(Principal!$AP$42:$AP$69,MATCH(R$2067&amp;$A21,Principal!$U$42:$U$69,0))&gt;0,INDEX(Principal!$AF$42:$AF$69,MATCH(R$2067&amp;$A21,Principal!$U$42:$U$69,0)),INDEX(PoderesDeCriatura_Adquiridos,MATCH(R$2067&amp;$A21,Principal!$U$42:$U$69,0))))</f>
        <v/>
      </c>
      <c r="T2089" s="2843" t="str">
        <f t="shared" si="354"/>
        <v/>
      </c>
      <c r="U2089" s="2845" t="str">
        <f>IF(ISNA(INDEX(PoderesDeCriatura_AdquiridosNombres,MATCH(U$2067&amp;$A21,Principal!$U$42:$U$69,0))),"",INDEX(PoderesDeCriatura_AdquiridosNombres,MATCH(U$2067&amp;$A21,Principal!$U$42:$U$69,0)))</f>
        <v/>
      </c>
      <c r="V2089" s="2846" t="str">
        <f>IF(ISNA(INDEX(PoderesDeCriatura_Adquiridos,MATCH(U$2067&amp;$A21,Principal!$U$42:$U$69,0))),"",IF(INDEX(Principal!$AP$42:$AP$69,MATCH(U$2067&amp;$A21,Principal!$U$42:$U$69,0))&gt;0,INDEX(Principal!$AF$42:$AF$69,MATCH(U$2067&amp;$A21,Principal!$U$42:$U$69,0)),INDEX(PoderesDeCriatura_Adquiridos,MATCH(U$2067&amp;$A21,Principal!$U$42:$U$69,0))))</f>
        <v/>
      </c>
      <c r="W2089" s="2843" t="str">
        <f t="shared" si="355"/>
        <v/>
      </c>
      <c r="X2089" s="2845" t="str">
        <f>IF(ISNA(INDEX(PoderesDeCriatura_AdquiridosNombres,MATCH(X$2067&amp;$A21,Principal!$U$42:$U$69,0))),"",INDEX(PoderesDeCriatura_AdquiridosNombres,MATCH(X$2067&amp;$A21,Principal!$U$42:$U$69,0)))</f>
        <v/>
      </c>
      <c r="Y2089" s="2846" t="str">
        <f>IF(ISNA(INDEX(PoderesDeCriatura_Adquiridos,MATCH(X$2067&amp;$A21,Principal!$U$42:$U$69,0))),"",IF(INDEX(Principal!$AP$42:$AP$69,MATCH(X$2067&amp;$A21,Principal!$U$42:$U$69,0))&gt;0,INDEX(Principal!$AF$42:$AF$69,MATCH(X$2067&amp;$A21,Principal!$U$42:$U$69,0)),INDEX(PoderesDeCriatura_Adquiridos,MATCH(X$2067&amp;$A21,Principal!$U$42:$U$69,0))))</f>
        <v/>
      </c>
      <c r="Z2089" s="2843" t="str">
        <f t="shared" si="356"/>
        <v/>
      </c>
      <c r="AA2089" s="2845" t="str">
        <f>IF(ISNA(INDEX(PoderesDeCriatura_AdquiridosNombres,MATCH(AA$2067&amp;$A21,Principal!$U$42:$U$69,0))),"",INDEX(PoderesDeCriatura_AdquiridosNombres,MATCH(AA$2067&amp;$A21,Principal!$U$42:$U$69,0)))</f>
        <v/>
      </c>
      <c r="AB2089" s="2846"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3" t="str">
        <f t="shared" si="357"/>
        <v/>
      </c>
      <c r="AD2089" s="2845" t="str">
        <f>IF(ISNA(INDEX(PoderesDeCriatura_AdquiridosNombres,MATCH(AD$2067&amp;$A21,Principal!$U$42:$U$69,0))),"",INDEX(PoderesDeCriatura_AdquiridosNombres,MATCH(AD$2067&amp;$A21,Principal!$U$42:$U$69,0)))</f>
        <v/>
      </c>
      <c r="AE2089" s="2846"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3" t="str">
        <f t="shared" si="358"/>
        <v/>
      </c>
      <c r="AG2089" s="2845" t="str">
        <f>IF(ISNA(INDEX(PoderesDeCriatura_AdquiridosNombres,MATCH(AG$2067&amp;$A21,Principal!$U$42:$U$69,0))),"",INDEX(PoderesDeCriatura_AdquiridosNombres,MATCH(AG$2067&amp;$A21,Principal!$U$42:$U$69,0)))</f>
        <v/>
      </c>
      <c r="AH2089" s="2846"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3" t="str">
        <f t="shared" si="359"/>
        <v/>
      </c>
      <c r="AJ2089" s="2845" t="str">
        <f>IF(ISNA(INDEX(PoderesDeCriatura_AdquiridosNombres,MATCH(AJ$2067&amp;$A21,Principal!$U$42:$U$69,0))),"",INDEX(PoderesDeCriatura_AdquiridosNombres,MATCH(AJ$2067&amp;$A21,Principal!$U$42:$U$69,0)))</f>
        <v/>
      </c>
      <c r="AK2089" s="2846"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3" t="str">
        <f t="shared" si="360"/>
        <v/>
      </c>
      <c r="AM2089" s="2845" t="str">
        <f>IF(ISNA(INDEX(PoderesDeCriatura_AdquiridosNombres,MATCH(AM$2067&amp;$A21,Principal!$U$42:$U$69,0))),"",INDEX(PoderesDeCriatura_AdquiridosNombres,MATCH(AM$2067&amp;$A21,Principal!$U$42:$U$69,0)))</f>
        <v/>
      </c>
      <c r="AN2089" s="2846"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1"/>
        <v/>
      </c>
      <c r="AP2089" s="830" t="str">
        <f>IF(OR(AQ2089=0,ISNUMBER(MATCH(AQ2089,$AQ$2070:$AQ2088,0))),"",MAX($AP$2069:AP2088)+1)</f>
        <v/>
      </c>
      <c r="AQ2089" s="1284">
        <f>Principal!V61</f>
        <v>0</v>
      </c>
    </row>
    <row r="2090" spans="1:43" ht="12.75" customHeight="1" x14ac:dyDescent="0.2">
      <c r="A2090" s="227">
        <v>2090</v>
      </c>
      <c r="B2090" s="6042"/>
      <c r="C2090" s="855" t="str">
        <f t="shared" si="346"/>
        <v/>
      </c>
      <c r="D2090" s="485" t="str">
        <f t="shared" si="362"/>
        <v/>
      </c>
      <c r="E2090" s="485" t="str">
        <f t="shared" si="363"/>
        <v/>
      </c>
      <c r="F2090" s="825" t="str">
        <f t="shared" si="348"/>
        <v/>
      </c>
      <c r="G2090" s="6348"/>
      <c r="H2090" s="1348" t="str">
        <f>Combate!AB42</f>
        <v/>
      </c>
      <c r="J2090" s="816" t="str">
        <f>IF(ISNA(VLOOKUP(A23,Principal!$S$42:$AH$69,10,FALSE)),"",IF(VLOOKUP(A23,Principal!$S$42:$AH$69,10,FALSE)=0,"",INDEX(PoderesDeCriatura_Adquiridos,MATCH(A23,Principal!$S$42:$S$69,0))))</f>
        <v/>
      </c>
      <c r="K2090" s="2843" t="str">
        <f>IF(AND(COUNTA($K$2068:K2089)-COUNTBLANK($K$2068:K2089)&gt;0,J2090&lt;&gt;""),", ","")&amp;J2090</f>
        <v/>
      </c>
      <c r="L2090" s="2845" t="str">
        <f>IF(ISNA(INDEX(PoderesDeCriatura_AdquiridosNombres,MATCH(L$2067&amp;$A22,Principal!$U$42:$U$69,0))),"",INDEX(PoderesDeCriatura_AdquiridosNombres,MATCH(L$2067&amp;$A22,Principal!$U$42:$U$69,0)))</f>
        <v/>
      </c>
      <c r="M2090" s="2846" t="str">
        <f>IF(ISNA(INDEX(PoderesDeCriatura_Adquiridos,MATCH(L$2067&amp;$A22,Principal!$U$42:$U$69,0))),"",IF(INDEX(Principal!$AP$42:$AP$69,MATCH(L$2067&amp;$A22,Principal!$U$42:$U$69,0))&gt;0,INDEX(Principal!$AF$42:$AF$69,MATCH(L$2067&amp;$A22,Principal!$U$42:$U$69,0)),INDEX(PoderesDeCriatura_Adquiridos,MATCH(L$2067&amp;$A22,Principal!$U$42:$U$69,0))))</f>
        <v/>
      </c>
      <c r="N2090" s="2843" t="str">
        <f t="shared" si="352"/>
        <v/>
      </c>
      <c r="O2090" s="2845" t="str">
        <f>IF(ISNA(INDEX(PoderesDeCriatura_AdquiridosNombres,MATCH(O$2067&amp;$A22,Principal!$U$42:$U$69,0))),"",INDEX(PoderesDeCriatura_AdquiridosNombres,MATCH(O$2067&amp;$A22,Principal!$U$42:$U$69,0)))</f>
        <v/>
      </c>
      <c r="P2090" s="2846" t="str">
        <f>IF(ISNA(INDEX(PoderesDeCriatura_Adquiridos,MATCH(O$2067&amp;$A22,Principal!$U$42:$U$69,0))),"",IF(INDEX(Principal!$AP$42:$AP$69,MATCH(O$2067&amp;$A22,Principal!$U$42:$U$69,0))&gt;0,INDEX(Principal!$AF$42:$AF$69,MATCH(O$2067&amp;$A22,Principal!$U$42:$U$69,0)),INDEX(PoderesDeCriatura_Adquiridos,MATCH(O$2067&amp;$A22,Principal!$U$42:$U$69,0))))</f>
        <v/>
      </c>
      <c r="Q2090" s="2843" t="str">
        <f t="shared" si="353"/>
        <v/>
      </c>
      <c r="R2090" s="2845" t="str">
        <f>IF(ISNA(INDEX(PoderesDeCriatura_AdquiridosNombres,MATCH(R$2067&amp;$A22,Principal!$U$42:$U$69,0))),"",INDEX(PoderesDeCriatura_AdquiridosNombres,MATCH(R$2067&amp;$A22,Principal!$U$42:$U$69,0)))</f>
        <v/>
      </c>
      <c r="S2090" s="2846" t="str">
        <f>IF(ISNA(INDEX(PoderesDeCriatura_Adquiridos,MATCH(R$2067&amp;$A22,Principal!$U$42:$U$69,0))),"",IF(INDEX(Principal!$AP$42:$AP$69,MATCH(R$2067&amp;$A22,Principal!$U$42:$U$69,0))&gt;0,INDEX(Principal!$AF$42:$AF$69,MATCH(R$2067&amp;$A22,Principal!$U$42:$U$69,0)),INDEX(PoderesDeCriatura_Adquiridos,MATCH(R$2067&amp;$A22,Principal!$U$42:$U$69,0))))</f>
        <v/>
      </c>
      <c r="T2090" s="2843" t="str">
        <f t="shared" si="354"/>
        <v/>
      </c>
      <c r="U2090" s="2845" t="str">
        <f>IF(ISNA(INDEX(PoderesDeCriatura_AdquiridosNombres,MATCH(U$2067&amp;$A22,Principal!$U$42:$U$69,0))),"",INDEX(PoderesDeCriatura_AdquiridosNombres,MATCH(U$2067&amp;$A22,Principal!$U$42:$U$69,0)))</f>
        <v/>
      </c>
      <c r="V2090" s="2846" t="str">
        <f>IF(ISNA(INDEX(PoderesDeCriatura_Adquiridos,MATCH(U$2067&amp;$A22,Principal!$U$42:$U$69,0))),"",IF(INDEX(Principal!$AP$42:$AP$69,MATCH(U$2067&amp;$A22,Principal!$U$42:$U$69,0))&gt;0,INDEX(Principal!$AF$42:$AF$69,MATCH(U$2067&amp;$A22,Principal!$U$42:$U$69,0)),INDEX(PoderesDeCriatura_Adquiridos,MATCH(U$2067&amp;$A22,Principal!$U$42:$U$69,0))))</f>
        <v/>
      </c>
      <c r="W2090" s="2843" t="str">
        <f t="shared" si="355"/>
        <v/>
      </c>
      <c r="X2090" s="2845" t="str">
        <f>IF(ISNA(INDEX(PoderesDeCriatura_AdquiridosNombres,MATCH(X$2067&amp;$A22,Principal!$U$42:$U$69,0))),"",INDEX(PoderesDeCriatura_AdquiridosNombres,MATCH(X$2067&amp;$A22,Principal!$U$42:$U$69,0)))</f>
        <v/>
      </c>
      <c r="Y2090" s="2846" t="str">
        <f>IF(ISNA(INDEX(PoderesDeCriatura_Adquiridos,MATCH(X$2067&amp;$A22,Principal!$U$42:$U$69,0))),"",IF(INDEX(Principal!$AP$42:$AP$69,MATCH(X$2067&amp;$A22,Principal!$U$42:$U$69,0))&gt;0,INDEX(Principal!$AF$42:$AF$69,MATCH(X$2067&amp;$A22,Principal!$U$42:$U$69,0)),INDEX(PoderesDeCriatura_Adquiridos,MATCH(X$2067&amp;$A22,Principal!$U$42:$U$69,0))))</f>
        <v/>
      </c>
      <c r="Z2090" s="2843" t="str">
        <f t="shared" si="356"/>
        <v/>
      </c>
      <c r="AA2090" s="2845" t="str">
        <f>IF(ISNA(INDEX(PoderesDeCriatura_AdquiridosNombres,MATCH(AA$2067&amp;$A22,Principal!$U$42:$U$69,0))),"",INDEX(PoderesDeCriatura_AdquiridosNombres,MATCH(AA$2067&amp;$A22,Principal!$U$42:$U$69,0)))</f>
        <v/>
      </c>
      <c r="AB2090" s="2846"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3" t="str">
        <f t="shared" si="357"/>
        <v/>
      </c>
      <c r="AD2090" s="2845" t="str">
        <f>IF(ISNA(INDEX(PoderesDeCriatura_AdquiridosNombres,MATCH(AD$2067&amp;$A22,Principal!$U$42:$U$69,0))),"",INDEX(PoderesDeCriatura_AdquiridosNombres,MATCH(AD$2067&amp;$A22,Principal!$U$42:$U$69,0)))</f>
        <v/>
      </c>
      <c r="AE2090" s="2846"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3" t="str">
        <f t="shared" si="358"/>
        <v/>
      </c>
      <c r="AG2090" s="2845" t="str">
        <f>IF(ISNA(INDEX(PoderesDeCriatura_AdquiridosNombres,MATCH(AG$2067&amp;$A22,Principal!$U$42:$U$69,0))),"",INDEX(PoderesDeCriatura_AdquiridosNombres,MATCH(AG$2067&amp;$A22,Principal!$U$42:$U$69,0)))</f>
        <v/>
      </c>
      <c r="AH2090" s="2846"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3" t="str">
        <f t="shared" si="359"/>
        <v/>
      </c>
      <c r="AJ2090" s="2845" t="str">
        <f>IF(ISNA(INDEX(PoderesDeCriatura_AdquiridosNombres,MATCH(AJ$2067&amp;$A22,Principal!$U$42:$U$69,0))),"",INDEX(PoderesDeCriatura_AdquiridosNombres,MATCH(AJ$2067&amp;$A22,Principal!$U$42:$U$69,0)))</f>
        <v/>
      </c>
      <c r="AK2090" s="2846"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3" t="str">
        <f t="shared" si="360"/>
        <v/>
      </c>
      <c r="AM2090" s="2845" t="str">
        <f>IF(ISNA(INDEX(PoderesDeCriatura_AdquiridosNombres,MATCH(AM$2067&amp;$A22,Principal!$U$42:$U$69,0))),"",INDEX(PoderesDeCriatura_AdquiridosNombres,MATCH(AM$2067&amp;$A22,Principal!$U$42:$U$69,0)))</f>
        <v/>
      </c>
      <c r="AN2090" s="2846"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1"/>
        <v/>
      </c>
      <c r="AP2090" s="830" t="str">
        <f>IF(OR(AQ2090=0,ISNUMBER(MATCH(AQ2090,$AQ$2070:$AQ2089,0))),"",MAX($AP$2069:AP2089)+1)</f>
        <v/>
      </c>
      <c r="AQ2090" s="1284">
        <f>Principal!V62</f>
        <v>0</v>
      </c>
    </row>
    <row r="2091" spans="1:43" ht="12.75" customHeight="1" x14ac:dyDescent="0.2">
      <c r="A2091" s="227">
        <v>2091</v>
      </c>
      <c r="B2091" s="6042"/>
      <c r="C2091" s="855" t="str">
        <f t="shared" si="346"/>
        <v/>
      </c>
      <c r="D2091" s="485" t="str">
        <f t="shared" si="362"/>
        <v/>
      </c>
      <c r="E2091" s="485" t="str">
        <f t="shared" si="363"/>
        <v/>
      </c>
      <c r="F2091" s="825" t="str">
        <f t="shared" si="348"/>
        <v/>
      </c>
      <c r="G2091" s="6348"/>
      <c r="H2091" s="1348" t="str">
        <f>Combate!AB43</f>
        <v/>
      </c>
      <c r="J2091" s="816" t="str">
        <f>IF(ISNA(VLOOKUP(A24,Principal!$S$42:$AH$69,10,FALSE)),"",IF(VLOOKUP(A24,Principal!$S$42:$AH$69,10,FALSE)=0,"",INDEX(PoderesDeCriatura_Adquiridos,MATCH(A24,Principal!$S$42:$S$69,0))))</f>
        <v/>
      </c>
      <c r="K2091" s="2843" t="str">
        <f>IF(AND(COUNTA($K$2068:K2090)-COUNTBLANK($K$2068:K2090)&gt;0,J2091&lt;&gt;""),", ","")&amp;J2091</f>
        <v/>
      </c>
      <c r="L2091" s="2845" t="str">
        <f>IF(ISNA(INDEX(PoderesDeCriatura_AdquiridosNombres,MATCH(L$2067&amp;$A23,Principal!$U$42:$U$69,0))),"",INDEX(PoderesDeCriatura_AdquiridosNombres,MATCH(L$2067&amp;$A23,Principal!$U$42:$U$69,0)))</f>
        <v/>
      </c>
      <c r="M2091" s="2846" t="str">
        <f>IF(ISNA(INDEX(PoderesDeCriatura_Adquiridos,MATCH(L$2067&amp;$A23,Principal!$U$42:$U$69,0))),"",IF(INDEX(Principal!$AP$42:$AP$69,MATCH(L$2067&amp;$A23,Principal!$U$42:$U$69,0))&gt;0,INDEX(Principal!$AF$42:$AF$69,MATCH(L$2067&amp;$A23,Principal!$U$42:$U$69,0)),INDEX(PoderesDeCriatura_Adquiridos,MATCH(L$2067&amp;$A23,Principal!$U$42:$U$69,0))))</f>
        <v/>
      </c>
      <c r="N2091" s="2843" t="str">
        <f t="shared" si="352"/>
        <v/>
      </c>
      <c r="O2091" s="2845" t="str">
        <f>IF(ISNA(INDEX(PoderesDeCriatura_AdquiridosNombres,MATCH(O$2067&amp;$A23,Principal!$U$42:$U$69,0))),"",INDEX(PoderesDeCriatura_AdquiridosNombres,MATCH(O$2067&amp;$A23,Principal!$U$42:$U$69,0)))</f>
        <v/>
      </c>
      <c r="P2091" s="2846" t="str">
        <f>IF(ISNA(INDEX(PoderesDeCriatura_Adquiridos,MATCH(O$2067&amp;$A23,Principal!$U$42:$U$69,0))),"",IF(INDEX(Principal!$AP$42:$AP$69,MATCH(O$2067&amp;$A23,Principal!$U$42:$U$69,0))&gt;0,INDEX(Principal!$AF$42:$AF$69,MATCH(O$2067&amp;$A23,Principal!$U$42:$U$69,0)),INDEX(PoderesDeCriatura_Adquiridos,MATCH(O$2067&amp;$A23,Principal!$U$42:$U$69,0))))</f>
        <v/>
      </c>
      <c r="Q2091" s="2843" t="str">
        <f t="shared" si="353"/>
        <v/>
      </c>
      <c r="R2091" s="2845" t="str">
        <f>IF(ISNA(INDEX(PoderesDeCriatura_AdquiridosNombres,MATCH(R$2067&amp;$A23,Principal!$U$42:$U$69,0))),"",INDEX(PoderesDeCriatura_AdquiridosNombres,MATCH(R$2067&amp;$A23,Principal!$U$42:$U$69,0)))</f>
        <v/>
      </c>
      <c r="S2091" s="2846" t="str">
        <f>IF(ISNA(INDEX(PoderesDeCriatura_Adquiridos,MATCH(R$2067&amp;$A23,Principal!$U$42:$U$69,0))),"",IF(INDEX(Principal!$AP$42:$AP$69,MATCH(R$2067&amp;$A23,Principal!$U$42:$U$69,0))&gt;0,INDEX(Principal!$AF$42:$AF$69,MATCH(R$2067&amp;$A23,Principal!$U$42:$U$69,0)),INDEX(PoderesDeCriatura_Adquiridos,MATCH(R$2067&amp;$A23,Principal!$U$42:$U$69,0))))</f>
        <v/>
      </c>
      <c r="T2091" s="2843" t="str">
        <f t="shared" si="354"/>
        <v/>
      </c>
      <c r="U2091" s="2845" t="str">
        <f>IF(ISNA(INDEX(PoderesDeCriatura_AdquiridosNombres,MATCH(U$2067&amp;$A23,Principal!$U$42:$U$69,0))),"",INDEX(PoderesDeCriatura_AdquiridosNombres,MATCH(U$2067&amp;$A23,Principal!$U$42:$U$69,0)))</f>
        <v/>
      </c>
      <c r="V2091" s="2846" t="str">
        <f>IF(ISNA(INDEX(PoderesDeCriatura_Adquiridos,MATCH(U$2067&amp;$A23,Principal!$U$42:$U$69,0))),"",IF(INDEX(Principal!$AP$42:$AP$69,MATCH(U$2067&amp;$A23,Principal!$U$42:$U$69,0))&gt;0,INDEX(Principal!$AF$42:$AF$69,MATCH(U$2067&amp;$A23,Principal!$U$42:$U$69,0)),INDEX(PoderesDeCriatura_Adquiridos,MATCH(U$2067&amp;$A23,Principal!$U$42:$U$69,0))))</f>
        <v/>
      </c>
      <c r="W2091" s="2843" t="str">
        <f t="shared" si="355"/>
        <v/>
      </c>
      <c r="X2091" s="2845" t="str">
        <f>IF(ISNA(INDEX(PoderesDeCriatura_AdquiridosNombres,MATCH(X$2067&amp;$A23,Principal!$U$42:$U$69,0))),"",INDEX(PoderesDeCriatura_AdquiridosNombres,MATCH(X$2067&amp;$A23,Principal!$U$42:$U$69,0)))</f>
        <v/>
      </c>
      <c r="Y2091" s="2846" t="str">
        <f>IF(ISNA(INDEX(PoderesDeCriatura_Adquiridos,MATCH(X$2067&amp;$A23,Principal!$U$42:$U$69,0))),"",IF(INDEX(Principal!$AP$42:$AP$69,MATCH(X$2067&amp;$A23,Principal!$U$42:$U$69,0))&gt;0,INDEX(Principal!$AF$42:$AF$69,MATCH(X$2067&amp;$A23,Principal!$U$42:$U$69,0)),INDEX(PoderesDeCriatura_Adquiridos,MATCH(X$2067&amp;$A23,Principal!$U$42:$U$69,0))))</f>
        <v/>
      </c>
      <c r="Z2091" s="2843" t="str">
        <f t="shared" si="356"/>
        <v/>
      </c>
      <c r="AA2091" s="2845" t="str">
        <f>IF(ISNA(INDEX(PoderesDeCriatura_AdquiridosNombres,MATCH(AA$2067&amp;$A23,Principal!$U$42:$U$69,0))),"",INDEX(PoderesDeCriatura_AdquiridosNombres,MATCH(AA$2067&amp;$A23,Principal!$U$42:$U$69,0)))</f>
        <v/>
      </c>
      <c r="AB2091" s="2846"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3" t="str">
        <f t="shared" si="357"/>
        <v/>
      </c>
      <c r="AD2091" s="2845" t="str">
        <f>IF(ISNA(INDEX(PoderesDeCriatura_AdquiridosNombres,MATCH(AD$2067&amp;$A23,Principal!$U$42:$U$69,0))),"",INDEX(PoderesDeCriatura_AdquiridosNombres,MATCH(AD$2067&amp;$A23,Principal!$U$42:$U$69,0)))</f>
        <v/>
      </c>
      <c r="AE2091" s="2846"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3" t="str">
        <f t="shared" si="358"/>
        <v/>
      </c>
      <c r="AG2091" s="2845" t="str">
        <f>IF(ISNA(INDEX(PoderesDeCriatura_AdquiridosNombres,MATCH(AG$2067&amp;$A23,Principal!$U$42:$U$69,0))),"",INDEX(PoderesDeCriatura_AdquiridosNombres,MATCH(AG$2067&amp;$A23,Principal!$U$42:$U$69,0)))</f>
        <v/>
      </c>
      <c r="AH2091" s="2846"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3" t="str">
        <f t="shared" si="359"/>
        <v/>
      </c>
      <c r="AJ2091" s="2845" t="str">
        <f>IF(ISNA(INDEX(PoderesDeCriatura_AdquiridosNombres,MATCH(AJ$2067&amp;$A23,Principal!$U$42:$U$69,0))),"",INDEX(PoderesDeCriatura_AdquiridosNombres,MATCH(AJ$2067&amp;$A23,Principal!$U$42:$U$69,0)))</f>
        <v/>
      </c>
      <c r="AK2091" s="2846"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3" t="str">
        <f t="shared" si="360"/>
        <v/>
      </c>
      <c r="AM2091" s="2845" t="str">
        <f>IF(ISNA(INDEX(PoderesDeCriatura_AdquiridosNombres,MATCH(AM$2067&amp;$A23,Principal!$U$42:$U$69,0))),"",INDEX(PoderesDeCriatura_AdquiridosNombres,MATCH(AM$2067&amp;$A23,Principal!$U$42:$U$69,0)))</f>
        <v/>
      </c>
      <c r="AN2091" s="2846"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1"/>
        <v/>
      </c>
      <c r="AP2091" s="830" t="str">
        <f>IF(OR(AQ2091=0,ISNUMBER(MATCH(AQ2091,$AQ$2070:$AQ2090,0))),"",MAX($AP$2069:AP2090)+1)</f>
        <v/>
      </c>
      <c r="AQ2091" s="1284">
        <f>Principal!V63</f>
        <v>0</v>
      </c>
    </row>
    <row r="2092" spans="1:43" ht="12.75" customHeight="1" x14ac:dyDescent="0.2">
      <c r="A2092" s="227">
        <v>2092</v>
      </c>
      <c r="B2092" s="6042"/>
      <c r="C2092" s="855" t="str">
        <f t="shared" si="346"/>
        <v/>
      </c>
      <c r="D2092" s="485" t="str">
        <f t="shared" si="362"/>
        <v/>
      </c>
      <c r="E2092" s="485" t="str">
        <f t="shared" si="363"/>
        <v/>
      </c>
      <c r="F2092" s="825" t="str">
        <f t="shared" si="348"/>
        <v/>
      </c>
      <c r="G2092" s="6348"/>
      <c r="H2092" s="1348" t="str">
        <f>Combate!AB44</f>
        <v/>
      </c>
      <c r="J2092" s="816" t="str">
        <f>IF(ISNA(VLOOKUP(A25,Principal!$S$42:$AH$69,10,FALSE)),"",IF(VLOOKUP(A25,Principal!$S$42:$AH$69,10,FALSE)=0,"",INDEX(PoderesDeCriatura_Adquiridos,MATCH(A25,Principal!$S$42:$S$69,0))))</f>
        <v/>
      </c>
      <c r="K2092" s="2843" t="str">
        <f>IF(AND(COUNTA($K$2068:K2091)-COUNTBLANK($K$2068:K2091)&gt;0,J2092&lt;&gt;""),", ","")&amp;J2092</f>
        <v/>
      </c>
      <c r="L2092" s="2845" t="str">
        <f>IF(ISNA(INDEX(PoderesDeCriatura_AdquiridosNombres,MATCH(L$2067&amp;$A24,Principal!$U$42:$U$69,0))),"",INDEX(PoderesDeCriatura_AdquiridosNombres,MATCH(L$2067&amp;$A24,Principal!$U$42:$U$69,0)))</f>
        <v/>
      </c>
      <c r="M2092" s="2846" t="str">
        <f>IF(ISNA(INDEX(PoderesDeCriatura_Adquiridos,MATCH(L$2067&amp;$A24,Principal!$U$42:$U$69,0))),"",IF(INDEX(Principal!$AP$42:$AP$69,MATCH(L$2067&amp;$A24,Principal!$U$42:$U$69,0))&gt;0,INDEX(Principal!$AF$42:$AF$69,MATCH(L$2067&amp;$A24,Principal!$U$42:$U$69,0)),INDEX(PoderesDeCriatura_Adquiridos,MATCH(L$2067&amp;$A24,Principal!$U$42:$U$69,0))))</f>
        <v/>
      </c>
      <c r="N2092" s="2843" t="str">
        <f t="shared" si="352"/>
        <v/>
      </c>
      <c r="O2092" s="2845" t="str">
        <f>IF(ISNA(INDEX(PoderesDeCriatura_AdquiridosNombres,MATCH(O$2067&amp;$A24,Principal!$U$42:$U$69,0))),"",INDEX(PoderesDeCriatura_AdquiridosNombres,MATCH(O$2067&amp;$A24,Principal!$U$42:$U$69,0)))</f>
        <v/>
      </c>
      <c r="P2092" s="2846" t="str">
        <f>IF(ISNA(INDEX(PoderesDeCriatura_Adquiridos,MATCH(O$2067&amp;$A24,Principal!$U$42:$U$69,0))),"",IF(INDEX(Principal!$AP$42:$AP$69,MATCH(O$2067&amp;$A24,Principal!$U$42:$U$69,0))&gt;0,INDEX(Principal!$AF$42:$AF$69,MATCH(O$2067&amp;$A24,Principal!$U$42:$U$69,0)),INDEX(PoderesDeCriatura_Adquiridos,MATCH(O$2067&amp;$A24,Principal!$U$42:$U$69,0))))</f>
        <v/>
      </c>
      <c r="Q2092" s="2843" t="str">
        <f t="shared" si="353"/>
        <v/>
      </c>
      <c r="R2092" s="2845" t="str">
        <f>IF(ISNA(INDEX(PoderesDeCriatura_AdquiridosNombres,MATCH(R$2067&amp;$A24,Principal!$U$42:$U$69,0))),"",INDEX(PoderesDeCriatura_AdquiridosNombres,MATCH(R$2067&amp;$A24,Principal!$U$42:$U$69,0)))</f>
        <v/>
      </c>
      <c r="S2092" s="2846" t="str">
        <f>IF(ISNA(INDEX(PoderesDeCriatura_Adquiridos,MATCH(R$2067&amp;$A24,Principal!$U$42:$U$69,0))),"",IF(INDEX(Principal!$AP$42:$AP$69,MATCH(R$2067&amp;$A24,Principal!$U$42:$U$69,0))&gt;0,INDEX(Principal!$AF$42:$AF$69,MATCH(R$2067&amp;$A24,Principal!$U$42:$U$69,0)),INDEX(PoderesDeCriatura_Adquiridos,MATCH(R$2067&amp;$A24,Principal!$U$42:$U$69,0))))</f>
        <v/>
      </c>
      <c r="T2092" s="2843" t="str">
        <f t="shared" si="354"/>
        <v/>
      </c>
      <c r="U2092" s="2845" t="str">
        <f>IF(ISNA(INDEX(PoderesDeCriatura_AdquiridosNombres,MATCH(U$2067&amp;$A24,Principal!$U$42:$U$69,0))),"",INDEX(PoderesDeCriatura_AdquiridosNombres,MATCH(U$2067&amp;$A24,Principal!$U$42:$U$69,0)))</f>
        <v/>
      </c>
      <c r="V2092" s="2846" t="str">
        <f>IF(ISNA(INDEX(PoderesDeCriatura_Adquiridos,MATCH(U$2067&amp;$A24,Principal!$U$42:$U$69,0))),"",IF(INDEX(Principal!$AP$42:$AP$69,MATCH(U$2067&amp;$A24,Principal!$U$42:$U$69,0))&gt;0,INDEX(Principal!$AF$42:$AF$69,MATCH(U$2067&amp;$A24,Principal!$U$42:$U$69,0)),INDEX(PoderesDeCriatura_Adquiridos,MATCH(U$2067&amp;$A24,Principal!$U$42:$U$69,0))))</f>
        <v/>
      </c>
      <c r="W2092" s="2843" t="str">
        <f t="shared" si="355"/>
        <v/>
      </c>
      <c r="X2092" s="2845" t="str">
        <f>IF(ISNA(INDEX(PoderesDeCriatura_AdquiridosNombres,MATCH(X$2067&amp;$A24,Principal!$U$42:$U$69,0))),"",INDEX(PoderesDeCriatura_AdquiridosNombres,MATCH(X$2067&amp;$A24,Principal!$U$42:$U$69,0)))</f>
        <v/>
      </c>
      <c r="Y2092" s="2846" t="str">
        <f>IF(ISNA(INDEX(PoderesDeCriatura_Adquiridos,MATCH(X$2067&amp;$A24,Principal!$U$42:$U$69,0))),"",IF(INDEX(Principal!$AP$42:$AP$69,MATCH(X$2067&amp;$A24,Principal!$U$42:$U$69,0))&gt;0,INDEX(Principal!$AF$42:$AF$69,MATCH(X$2067&amp;$A24,Principal!$U$42:$U$69,0)),INDEX(PoderesDeCriatura_Adquiridos,MATCH(X$2067&amp;$A24,Principal!$U$42:$U$69,0))))</f>
        <v/>
      </c>
      <c r="Z2092" s="2843" t="str">
        <f t="shared" si="356"/>
        <v/>
      </c>
      <c r="AA2092" s="2845" t="str">
        <f>IF(ISNA(INDEX(PoderesDeCriatura_AdquiridosNombres,MATCH(AA$2067&amp;$A24,Principal!$U$42:$U$69,0))),"",INDEX(PoderesDeCriatura_AdquiridosNombres,MATCH(AA$2067&amp;$A24,Principal!$U$42:$U$69,0)))</f>
        <v/>
      </c>
      <c r="AB2092" s="2846"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3" t="str">
        <f t="shared" si="357"/>
        <v/>
      </c>
      <c r="AD2092" s="2845" t="str">
        <f>IF(ISNA(INDEX(PoderesDeCriatura_AdquiridosNombres,MATCH(AD$2067&amp;$A24,Principal!$U$42:$U$69,0))),"",INDEX(PoderesDeCriatura_AdquiridosNombres,MATCH(AD$2067&amp;$A24,Principal!$U$42:$U$69,0)))</f>
        <v/>
      </c>
      <c r="AE2092" s="2846"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3" t="str">
        <f t="shared" si="358"/>
        <v/>
      </c>
      <c r="AG2092" s="2845" t="str">
        <f>IF(ISNA(INDEX(PoderesDeCriatura_AdquiridosNombres,MATCH(AG$2067&amp;$A24,Principal!$U$42:$U$69,0))),"",INDEX(PoderesDeCriatura_AdquiridosNombres,MATCH(AG$2067&amp;$A24,Principal!$U$42:$U$69,0)))</f>
        <v/>
      </c>
      <c r="AH2092" s="2846"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3" t="str">
        <f t="shared" si="359"/>
        <v/>
      </c>
      <c r="AJ2092" s="2845" t="str">
        <f>IF(ISNA(INDEX(PoderesDeCriatura_AdquiridosNombres,MATCH(AJ$2067&amp;$A24,Principal!$U$42:$U$69,0))),"",INDEX(PoderesDeCriatura_AdquiridosNombres,MATCH(AJ$2067&amp;$A24,Principal!$U$42:$U$69,0)))</f>
        <v/>
      </c>
      <c r="AK2092" s="2846"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3" t="str">
        <f t="shared" si="360"/>
        <v/>
      </c>
      <c r="AM2092" s="2845" t="str">
        <f>IF(ISNA(INDEX(PoderesDeCriatura_AdquiridosNombres,MATCH(AM$2067&amp;$A24,Principal!$U$42:$U$69,0))),"",INDEX(PoderesDeCriatura_AdquiridosNombres,MATCH(AM$2067&amp;$A24,Principal!$U$42:$U$69,0)))</f>
        <v/>
      </c>
      <c r="AN2092" s="2846"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1"/>
        <v/>
      </c>
      <c r="AP2092" s="830" t="str">
        <f>IF(OR(AQ2092=0,ISNUMBER(MATCH(AQ2092,$AQ$2070:$AQ2091,0))),"",MAX($AP$2069:AP2091)+1)</f>
        <v/>
      </c>
      <c r="AQ2092" s="1284">
        <f>Principal!V64</f>
        <v>0</v>
      </c>
    </row>
    <row r="2093" spans="1:43" ht="12.75" customHeight="1" x14ac:dyDescent="0.2">
      <c r="A2093" s="227">
        <v>2093</v>
      </c>
      <c r="B2093" s="6042"/>
      <c r="C2093" s="855" t="str">
        <f t="shared" si="346"/>
        <v/>
      </c>
      <c r="D2093" s="485" t="str">
        <f t="shared" si="362"/>
        <v/>
      </c>
      <c r="E2093" s="485" t="str">
        <f t="shared" si="363"/>
        <v/>
      </c>
      <c r="F2093" s="825" t="str">
        <f t="shared" si="348"/>
        <v/>
      </c>
      <c r="G2093" s="6348"/>
      <c r="H2093" s="1348" t="str">
        <f>Combate!AB45</f>
        <v/>
      </c>
      <c r="J2093" s="816" t="str">
        <f>IF(ISNA(VLOOKUP(A26,Principal!$S$42:$AH$69,10,FALSE)),"",IF(VLOOKUP(A26,Principal!$S$42:$AH$69,10,FALSE)=0,"",INDEX(PoderesDeCriatura_Adquiridos,MATCH(A26,Principal!$S$42:$S$69,0))))</f>
        <v/>
      </c>
      <c r="K2093" s="2843" t="str">
        <f>IF(AND(COUNTA($K$2068:K2092)-COUNTBLANK($K$2068:K2092)&gt;0,J2093&lt;&gt;""),", ","")&amp;J2093</f>
        <v/>
      </c>
      <c r="L2093" s="2845" t="str">
        <f>IF(ISNA(INDEX(PoderesDeCriatura_AdquiridosNombres,MATCH(L$2067&amp;$A25,Principal!$U$42:$U$69,0))),"",INDEX(PoderesDeCriatura_AdquiridosNombres,MATCH(L$2067&amp;$A25,Principal!$U$42:$U$69,0)))</f>
        <v/>
      </c>
      <c r="M2093" s="2846" t="str">
        <f>IF(ISNA(INDEX(PoderesDeCriatura_Adquiridos,MATCH(L$2067&amp;$A25,Principal!$U$42:$U$69,0))),"",IF(INDEX(Principal!$AP$42:$AP$69,MATCH(L$2067&amp;$A25,Principal!$U$42:$U$69,0))&gt;0,INDEX(Principal!$AF$42:$AF$69,MATCH(L$2067&amp;$A25,Principal!$U$42:$U$69,0)),INDEX(PoderesDeCriatura_Adquiridos,MATCH(L$2067&amp;$A25,Principal!$U$42:$U$69,0))))</f>
        <v/>
      </c>
      <c r="N2093" s="2843" t="str">
        <f t="shared" si="352"/>
        <v/>
      </c>
      <c r="O2093" s="2845" t="str">
        <f>IF(ISNA(INDEX(PoderesDeCriatura_AdquiridosNombres,MATCH(O$2067&amp;$A25,Principal!$U$42:$U$69,0))),"",INDEX(PoderesDeCriatura_AdquiridosNombres,MATCH(O$2067&amp;$A25,Principal!$U$42:$U$69,0)))</f>
        <v/>
      </c>
      <c r="P2093" s="2846" t="str">
        <f>IF(ISNA(INDEX(PoderesDeCriatura_Adquiridos,MATCH(O$2067&amp;$A25,Principal!$U$42:$U$69,0))),"",IF(INDEX(Principal!$AP$42:$AP$69,MATCH(O$2067&amp;$A25,Principal!$U$42:$U$69,0))&gt;0,INDEX(Principal!$AF$42:$AF$69,MATCH(O$2067&amp;$A25,Principal!$U$42:$U$69,0)),INDEX(PoderesDeCriatura_Adquiridos,MATCH(O$2067&amp;$A25,Principal!$U$42:$U$69,0))))</f>
        <v/>
      </c>
      <c r="Q2093" s="2843" t="str">
        <f t="shared" si="353"/>
        <v/>
      </c>
      <c r="R2093" s="2845" t="str">
        <f>IF(ISNA(INDEX(PoderesDeCriatura_AdquiridosNombres,MATCH(R$2067&amp;$A25,Principal!$U$42:$U$69,0))),"",INDEX(PoderesDeCriatura_AdquiridosNombres,MATCH(R$2067&amp;$A25,Principal!$U$42:$U$69,0)))</f>
        <v/>
      </c>
      <c r="S2093" s="2846" t="str">
        <f>IF(ISNA(INDEX(PoderesDeCriatura_Adquiridos,MATCH(R$2067&amp;$A25,Principal!$U$42:$U$69,0))),"",IF(INDEX(Principal!$AP$42:$AP$69,MATCH(R$2067&amp;$A25,Principal!$U$42:$U$69,0))&gt;0,INDEX(Principal!$AF$42:$AF$69,MATCH(R$2067&amp;$A25,Principal!$U$42:$U$69,0)),INDEX(PoderesDeCriatura_Adquiridos,MATCH(R$2067&amp;$A25,Principal!$U$42:$U$69,0))))</f>
        <v/>
      </c>
      <c r="T2093" s="2843" t="str">
        <f t="shared" si="354"/>
        <v/>
      </c>
      <c r="U2093" s="2845" t="str">
        <f>IF(ISNA(INDEX(PoderesDeCriatura_AdquiridosNombres,MATCH(U$2067&amp;$A25,Principal!$U$42:$U$69,0))),"",INDEX(PoderesDeCriatura_AdquiridosNombres,MATCH(U$2067&amp;$A25,Principal!$U$42:$U$69,0)))</f>
        <v/>
      </c>
      <c r="V2093" s="2846" t="str">
        <f>IF(ISNA(INDEX(PoderesDeCriatura_Adquiridos,MATCH(U$2067&amp;$A25,Principal!$U$42:$U$69,0))),"",IF(INDEX(Principal!$AP$42:$AP$69,MATCH(U$2067&amp;$A25,Principal!$U$42:$U$69,0))&gt;0,INDEX(Principal!$AF$42:$AF$69,MATCH(U$2067&amp;$A25,Principal!$U$42:$U$69,0)),INDEX(PoderesDeCriatura_Adquiridos,MATCH(U$2067&amp;$A25,Principal!$U$42:$U$69,0))))</f>
        <v/>
      </c>
      <c r="W2093" s="2843" t="str">
        <f t="shared" si="355"/>
        <v/>
      </c>
      <c r="X2093" s="2845" t="str">
        <f>IF(ISNA(INDEX(PoderesDeCriatura_AdquiridosNombres,MATCH(X$2067&amp;$A25,Principal!$U$42:$U$69,0))),"",INDEX(PoderesDeCriatura_AdquiridosNombres,MATCH(X$2067&amp;$A25,Principal!$U$42:$U$69,0)))</f>
        <v/>
      </c>
      <c r="Y2093" s="2846" t="str">
        <f>IF(ISNA(INDEX(PoderesDeCriatura_Adquiridos,MATCH(X$2067&amp;$A25,Principal!$U$42:$U$69,0))),"",IF(INDEX(Principal!$AP$42:$AP$69,MATCH(X$2067&amp;$A25,Principal!$U$42:$U$69,0))&gt;0,INDEX(Principal!$AF$42:$AF$69,MATCH(X$2067&amp;$A25,Principal!$U$42:$U$69,0)),INDEX(PoderesDeCriatura_Adquiridos,MATCH(X$2067&amp;$A25,Principal!$U$42:$U$69,0))))</f>
        <v/>
      </c>
      <c r="Z2093" s="2843" t="str">
        <f t="shared" si="356"/>
        <v/>
      </c>
      <c r="AA2093" s="2845" t="str">
        <f>IF(ISNA(INDEX(PoderesDeCriatura_AdquiridosNombres,MATCH(AA$2067&amp;$A25,Principal!$U$42:$U$69,0))),"",INDEX(PoderesDeCriatura_AdquiridosNombres,MATCH(AA$2067&amp;$A25,Principal!$U$42:$U$69,0)))</f>
        <v/>
      </c>
      <c r="AB2093" s="2846"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3" t="str">
        <f t="shared" si="357"/>
        <v/>
      </c>
      <c r="AD2093" s="2845" t="str">
        <f>IF(ISNA(INDEX(PoderesDeCriatura_AdquiridosNombres,MATCH(AD$2067&amp;$A25,Principal!$U$42:$U$69,0))),"",INDEX(PoderesDeCriatura_AdquiridosNombres,MATCH(AD$2067&amp;$A25,Principal!$U$42:$U$69,0)))</f>
        <v/>
      </c>
      <c r="AE2093" s="2846"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3" t="str">
        <f t="shared" si="358"/>
        <v/>
      </c>
      <c r="AG2093" s="2845" t="str">
        <f>IF(ISNA(INDEX(PoderesDeCriatura_AdquiridosNombres,MATCH(AG$2067&amp;$A25,Principal!$U$42:$U$69,0))),"",INDEX(PoderesDeCriatura_AdquiridosNombres,MATCH(AG$2067&amp;$A25,Principal!$U$42:$U$69,0)))</f>
        <v/>
      </c>
      <c r="AH2093" s="2846"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3" t="str">
        <f t="shared" si="359"/>
        <v/>
      </c>
      <c r="AJ2093" s="2845" t="str">
        <f>IF(ISNA(INDEX(PoderesDeCriatura_AdquiridosNombres,MATCH(AJ$2067&amp;$A25,Principal!$U$42:$U$69,0))),"",INDEX(PoderesDeCriatura_AdquiridosNombres,MATCH(AJ$2067&amp;$A25,Principal!$U$42:$U$69,0)))</f>
        <v/>
      </c>
      <c r="AK2093" s="2846"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3" t="str">
        <f t="shared" si="360"/>
        <v/>
      </c>
      <c r="AM2093" s="2845" t="str">
        <f>IF(ISNA(INDEX(PoderesDeCriatura_AdquiridosNombres,MATCH(AM$2067&amp;$A25,Principal!$U$42:$U$69,0))),"",INDEX(PoderesDeCriatura_AdquiridosNombres,MATCH(AM$2067&amp;$A25,Principal!$U$42:$U$69,0)))</f>
        <v/>
      </c>
      <c r="AN2093" s="2846"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1"/>
        <v/>
      </c>
      <c r="AP2093" s="830" t="str">
        <f>IF(OR(AQ2093=0,ISNUMBER(MATCH(AQ2093,$AQ$2070:$AQ2092,0))),"",MAX($AP$2069:AP2092)+1)</f>
        <v/>
      </c>
      <c r="AQ2093" s="1284">
        <f>Principal!V65</f>
        <v>0</v>
      </c>
    </row>
    <row r="2094" spans="1:43" ht="12.75" customHeight="1" x14ac:dyDescent="0.2">
      <c r="A2094" s="227">
        <v>2094</v>
      </c>
      <c r="B2094" s="6042"/>
      <c r="C2094" s="855" t="str">
        <f t="shared" si="346"/>
        <v/>
      </c>
      <c r="D2094" s="485" t="str">
        <f t="shared" si="362"/>
        <v/>
      </c>
      <c r="E2094" s="485" t="str">
        <f t="shared" si="363"/>
        <v/>
      </c>
      <c r="F2094" s="825" t="str">
        <f t="shared" si="348"/>
        <v/>
      </c>
      <c r="G2094" s="6348"/>
      <c r="H2094" s="1348" t="str">
        <f>Combate!AB46</f>
        <v/>
      </c>
      <c r="J2094" s="816" t="str">
        <f>IF(ISNA(VLOOKUP(A27,Principal!$S$42:$AH$69,10,FALSE)),"",IF(VLOOKUP(A27,Principal!$S$42:$AH$69,10,FALSE)=0,"",INDEX(PoderesDeCriatura_Adquiridos,MATCH(A27,Principal!$S$42:$S$69,0))))</f>
        <v/>
      </c>
      <c r="K2094" s="2843" t="str">
        <f>IF(AND(COUNTA($K$2068:K2093)-COUNTBLANK($K$2068:K2093)&gt;0,J2094&lt;&gt;""),", ","")&amp;J2094</f>
        <v/>
      </c>
      <c r="L2094" s="2845" t="str">
        <f>IF(ISNA(INDEX(PoderesDeCriatura_AdquiridosNombres,MATCH(L$2067&amp;$A26,Principal!$U$42:$U$69,0))),"",INDEX(PoderesDeCriatura_AdquiridosNombres,MATCH(L$2067&amp;$A26,Principal!$U$42:$U$69,0)))</f>
        <v/>
      </c>
      <c r="M2094" s="2846" t="str">
        <f>IF(ISNA(INDEX(PoderesDeCriatura_Adquiridos,MATCH(L$2067&amp;$A26,Principal!$U$42:$U$69,0))),"",IF(INDEX(Principal!$AP$42:$AP$69,MATCH(L$2067&amp;$A26,Principal!$U$42:$U$69,0))&gt;0,INDEX(Principal!$AF$42:$AF$69,MATCH(L$2067&amp;$A26,Principal!$U$42:$U$69,0)),INDEX(PoderesDeCriatura_Adquiridos,MATCH(L$2067&amp;$A26,Principal!$U$42:$U$69,0))))</f>
        <v/>
      </c>
      <c r="N2094" s="2843" t="str">
        <f t="shared" si="352"/>
        <v/>
      </c>
      <c r="O2094" s="2845" t="str">
        <f>IF(ISNA(INDEX(PoderesDeCriatura_AdquiridosNombres,MATCH(O$2067&amp;$A26,Principal!$U$42:$U$69,0))),"",INDEX(PoderesDeCriatura_AdquiridosNombres,MATCH(O$2067&amp;$A26,Principal!$U$42:$U$69,0)))</f>
        <v/>
      </c>
      <c r="P2094" s="2846" t="str">
        <f>IF(ISNA(INDEX(PoderesDeCriatura_Adquiridos,MATCH(O$2067&amp;$A26,Principal!$U$42:$U$69,0))),"",IF(INDEX(Principal!$AP$42:$AP$69,MATCH(O$2067&amp;$A26,Principal!$U$42:$U$69,0))&gt;0,INDEX(Principal!$AF$42:$AF$69,MATCH(O$2067&amp;$A26,Principal!$U$42:$U$69,0)),INDEX(PoderesDeCriatura_Adquiridos,MATCH(O$2067&amp;$A26,Principal!$U$42:$U$69,0))))</f>
        <v/>
      </c>
      <c r="Q2094" s="2843" t="str">
        <f t="shared" si="353"/>
        <v/>
      </c>
      <c r="R2094" s="2845" t="str">
        <f>IF(ISNA(INDEX(PoderesDeCriatura_AdquiridosNombres,MATCH(R$2067&amp;$A26,Principal!$U$42:$U$69,0))),"",INDEX(PoderesDeCriatura_AdquiridosNombres,MATCH(R$2067&amp;$A26,Principal!$U$42:$U$69,0)))</f>
        <v/>
      </c>
      <c r="S2094" s="2846" t="str">
        <f>IF(ISNA(INDEX(PoderesDeCriatura_Adquiridos,MATCH(R$2067&amp;$A26,Principal!$U$42:$U$69,0))),"",IF(INDEX(Principal!$AP$42:$AP$69,MATCH(R$2067&amp;$A26,Principal!$U$42:$U$69,0))&gt;0,INDEX(Principal!$AF$42:$AF$69,MATCH(R$2067&amp;$A26,Principal!$U$42:$U$69,0)),INDEX(PoderesDeCriatura_Adquiridos,MATCH(R$2067&amp;$A26,Principal!$U$42:$U$69,0))))</f>
        <v/>
      </c>
      <c r="T2094" s="2843" t="str">
        <f t="shared" si="354"/>
        <v/>
      </c>
      <c r="U2094" s="2845" t="str">
        <f>IF(ISNA(INDEX(PoderesDeCriatura_AdquiridosNombres,MATCH(U$2067&amp;$A26,Principal!$U$42:$U$69,0))),"",INDEX(PoderesDeCriatura_AdquiridosNombres,MATCH(U$2067&amp;$A26,Principal!$U$42:$U$69,0)))</f>
        <v/>
      </c>
      <c r="V2094" s="2846" t="str">
        <f>IF(ISNA(INDEX(PoderesDeCriatura_Adquiridos,MATCH(U$2067&amp;$A26,Principal!$U$42:$U$69,0))),"",IF(INDEX(Principal!$AP$42:$AP$69,MATCH(U$2067&amp;$A26,Principal!$U$42:$U$69,0))&gt;0,INDEX(Principal!$AF$42:$AF$69,MATCH(U$2067&amp;$A26,Principal!$U$42:$U$69,0)),INDEX(PoderesDeCriatura_Adquiridos,MATCH(U$2067&amp;$A26,Principal!$U$42:$U$69,0))))</f>
        <v/>
      </c>
      <c r="W2094" s="2843" t="str">
        <f t="shared" si="355"/>
        <v/>
      </c>
      <c r="X2094" s="2845" t="str">
        <f>IF(ISNA(INDEX(PoderesDeCriatura_AdquiridosNombres,MATCH(X$2067&amp;$A26,Principal!$U$42:$U$69,0))),"",INDEX(PoderesDeCriatura_AdquiridosNombres,MATCH(X$2067&amp;$A26,Principal!$U$42:$U$69,0)))</f>
        <v/>
      </c>
      <c r="Y2094" s="2846" t="str">
        <f>IF(ISNA(INDEX(PoderesDeCriatura_Adquiridos,MATCH(X$2067&amp;$A26,Principal!$U$42:$U$69,0))),"",IF(INDEX(Principal!$AP$42:$AP$69,MATCH(X$2067&amp;$A26,Principal!$U$42:$U$69,0))&gt;0,INDEX(Principal!$AF$42:$AF$69,MATCH(X$2067&amp;$A26,Principal!$U$42:$U$69,0)),INDEX(PoderesDeCriatura_Adquiridos,MATCH(X$2067&amp;$A26,Principal!$U$42:$U$69,0))))</f>
        <v/>
      </c>
      <c r="Z2094" s="2843" t="str">
        <f t="shared" si="356"/>
        <v/>
      </c>
      <c r="AA2094" s="2845" t="str">
        <f>IF(ISNA(INDEX(PoderesDeCriatura_AdquiridosNombres,MATCH(AA$2067&amp;$A26,Principal!$U$42:$U$69,0))),"",INDEX(PoderesDeCriatura_AdquiridosNombres,MATCH(AA$2067&amp;$A26,Principal!$U$42:$U$69,0)))</f>
        <v/>
      </c>
      <c r="AB2094" s="2846"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3" t="str">
        <f t="shared" si="357"/>
        <v/>
      </c>
      <c r="AD2094" s="2845" t="str">
        <f>IF(ISNA(INDEX(PoderesDeCriatura_AdquiridosNombres,MATCH(AD$2067&amp;$A26,Principal!$U$42:$U$69,0))),"",INDEX(PoderesDeCriatura_AdquiridosNombres,MATCH(AD$2067&amp;$A26,Principal!$U$42:$U$69,0)))</f>
        <v/>
      </c>
      <c r="AE2094" s="2846"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3" t="str">
        <f t="shared" si="358"/>
        <v/>
      </c>
      <c r="AG2094" s="2845" t="str">
        <f>IF(ISNA(INDEX(PoderesDeCriatura_AdquiridosNombres,MATCH(AG$2067&amp;$A26,Principal!$U$42:$U$69,0))),"",INDEX(PoderesDeCriatura_AdquiridosNombres,MATCH(AG$2067&amp;$A26,Principal!$U$42:$U$69,0)))</f>
        <v/>
      </c>
      <c r="AH2094" s="2846"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3" t="str">
        <f t="shared" si="359"/>
        <v/>
      </c>
      <c r="AJ2094" s="2845" t="str">
        <f>IF(ISNA(INDEX(PoderesDeCriatura_AdquiridosNombres,MATCH(AJ$2067&amp;$A26,Principal!$U$42:$U$69,0))),"",INDEX(PoderesDeCriatura_AdquiridosNombres,MATCH(AJ$2067&amp;$A26,Principal!$U$42:$U$69,0)))</f>
        <v/>
      </c>
      <c r="AK2094" s="2846"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3" t="str">
        <f t="shared" si="360"/>
        <v/>
      </c>
      <c r="AM2094" s="2845" t="str">
        <f>IF(ISNA(INDEX(PoderesDeCriatura_AdquiridosNombres,MATCH(AM$2067&amp;$A26,Principal!$U$42:$U$69,0))),"",INDEX(PoderesDeCriatura_AdquiridosNombres,MATCH(AM$2067&amp;$A26,Principal!$U$42:$U$69,0)))</f>
        <v/>
      </c>
      <c r="AN2094" s="2846"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1"/>
        <v/>
      </c>
      <c r="AP2094" s="830" t="str">
        <f>IF(OR(AQ2094=0,ISNUMBER(MATCH(AQ2094,$AQ$2070:$AQ2093,0))),"",MAX($AP$2069:AP2093)+1)</f>
        <v/>
      </c>
      <c r="AQ2094" s="1284">
        <f>Principal!V66</f>
        <v>0</v>
      </c>
    </row>
    <row r="2095" spans="1:43" ht="12.75" customHeight="1" x14ac:dyDescent="0.2">
      <c r="A2095" s="227">
        <v>2095</v>
      </c>
      <c r="B2095" s="6042"/>
      <c r="C2095" s="855" t="str">
        <f t="shared" si="346"/>
        <v/>
      </c>
      <c r="D2095" s="485" t="str">
        <f t="shared" si="362"/>
        <v/>
      </c>
      <c r="E2095" s="485" t="str">
        <f t="shared" si="363"/>
        <v/>
      </c>
      <c r="F2095" s="825" t="str">
        <f t="shared" si="348"/>
        <v/>
      </c>
      <c r="G2095" s="6348"/>
      <c r="H2095" s="1348" t="str">
        <f>Combate!AB47</f>
        <v/>
      </c>
      <c r="J2095" s="816" t="str">
        <f>IF(ISNA(VLOOKUP(A28,Principal!$S$42:$AH$69,10,FALSE)),"",IF(VLOOKUP(A28,Principal!$S$42:$AH$69,10,FALSE)=0,"",INDEX(PoderesDeCriatura_Adquiridos,MATCH(A28,Principal!$S$42:$S$69,0))))</f>
        <v/>
      </c>
      <c r="K2095" s="2843" t="str">
        <f>IF(AND(COUNTA($K$2068:K2094)-COUNTBLANK($K$2068:K2094)&gt;0,J2095&lt;&gt;""),", ","")&amp;J2095</f>
        <v/>
      </c>
      <c r="L2095" s="2845" t="str">
        <f>IF(ISNA(INDEX(PoderesDeCriatura_AdquiridosNombres,MATCH(L$2067&amp;$A27,Principal!$U$42:$U$69,0))),"",INDEX(PoderesDeCriatura_AdquiridosNombres,MATCH(L$2067&amp;$A27,Principal!$U$42:$U$69,0)))</f>
        <v/>
      </c>
      <c r="M2095" s="2846" t="str">
        <f>IF(ISNA(INDEX(PoderesDeCriatura_Adquiridos,MATCH(L$2067&amp;$A27,Principal!$U$42:$U$69,0))),"",IF(INDEX(Principal!$AP$42:$AP$69,MATCH(L$2067&amp;$A27,Principal!$U$42:$U$69,0))&gt;0,INDEX(Principal!$AF$42:$AF$69,MATCH(L$2067&amp;$A27,Principal!$U$42:$U$69,0)),INDEX(PoderesDeCriatura_Adquiridos,MATCH(L$2067&amp;$A27,Principal!$U$42:$U$69,0))))</f>
        <v/>
      </c>
      <c r="N2095" s="2843" t="str">
        <f t="shared" si="352"/>
        <v/>
      </c>
      <c r="O2095" s="2845" t="str">
        <f>IF(ISNA(INDEX(PoderesDeCriatura_AdquiridosNombres,MATCH(O$2067&amp;$A27,Principal!$U$42:$U$69,0))),"",INDEX(PoderesDeCriatura_AdquiridosNombres,MATCH(O$2067&amp;$A27,Principal!$U$42:$U$69,0)))</f>
        <v/>
      </c>
      <c r="P2095" s="2846" t="str">
        <f>IF(ISNA(INDEX(PoderesDeCriatura_Adquiridos,MATCH(O$2067&amp;$A27,Principal!$U$42:$U$69,0))),"",IF(INDEX(Principal!$AP$42:$AP$69,MATCH(O$2067&amp;$A27,Principal!$U$42:$U$69,0))&gt;0,INDEX(Principal!$AF$42:$AF$69,MATCH(O$2067&amp;$A27,Principal!$U$42:$U$69,0)),INDEX(PoderesDeCriatura_Adquiridos,MATCH(O$2067&amp;$A27,Principal!$U$42:$U$69,0))))</f>
        <v/>
      </c>
      <c r="Q2095" s="2843" t="str">
        <f t="shared" si="353"/>
        <v/>
      </c>
      <c r="R2095" s="2845" t="str">
        <f>IF(ISNA(INDEX(PoderesDeCriatura_AdquiridosNombres,MATCH(R$2067&amp;$A27,Principal!$U$42:$U$69,0))),"",INDEX(PoderesDeCriatura_AdquiridosNombres,MATCH(R$2067&amp;$A27,Principal!$U$42:$U$69,0)))</f>
        <v/>
      </c>
      <c r="S2095" s="2846" t="str">
        <f>IF(ISNA(INDEX(PoderesDeCriatura_Adquiridos,MATCH(R$2067&amp;$A27,Principal!$U$42:$U$69,0))),"",IF(INDEX(Principal!$AP$42:$AP$69,MATCH(R$2067&amp;$A27,Principal!$U$42:$U$69,0))&gt;0,INDEX(Principal!$AF$42:$AF$69,MATCH(R$2067&amp;$A27,Principal!$U$42:$U$69,0)),INDEX(PoderesDeCriatura_Adquiridos,MATCH(R$2067&amp;$A27,Principal!$U$42:$U$69,0))))</f>
        <v/>
      </c>
      <c r="T2095" s="2843" t="str">
        <f t="shared" si="354"/>
        <v/>
      </c>
      <c r="U2095" s="2845" t="str">
        <f>IF(ISNA(INDEX(PoderesDeCriatura_AdquiridosNombres,MATCH(U$2067&amp;$A27,Principal!$U$42:$U$69,0))),"",INDEX(PoderesDeCriatura_AdquiridosNombres,MATCH(U$2067&amp;$A27,Principal!$U$42:$U$69,0)))</f>
        <v/>
      </c>
      <c r="V2095" s="2846" t="str">
        <f>IF(ISNA(INDEX(PoderesDeCriatura_Adquiridos,MATCH(U$2067&amp;$A27,Principal!$U$42:$U$69,0))),"",IF(INDEX(Principal!$AP$42:$AP$69,MATCH(U$2067&amp;$A27,Principal!$U$42:$U$69,0))&gt;0,INDEX(Principal!$AF$42:$AF$69,MATCH(U$2067&amp;$A27,Principal!$U$42:$U$69,0)),INDEX(PoderesDeCriatura_Adquiridos,MATCH(U$2067&amp;$A27,Principal!$U$42:$U$69,0))))</f>
        <v/>
      </c>
      <c r="W2095" s="2843" t="str">
        <f t="shared" si="355"/>
        <v/>
      </c>
      <c r="X2095" s="2845" t="str">
        <f>IF(ISNA(INDEX(PoderesDeCriatura_AdquiridosNombres,MATCH(X$2067&amp;$A27,Principal!$U$42:$U$69,0))),"",INDEX(PoderesDeCriatura_AdquiridosNombres,MATCH(X$2067&amp;$A27,Principal!$U$42:$U$69,0)))</f>
        <v/>
      </c>
      <c r="Y2095" s="2846" t="str">
        <f>IF(ISNA(INDEX(PoderesDeCriatura_Adquiridos,MATCH(X$2067&amp;$A27,Principal!$U$42:$U$69,0))),"",IF(INDEX(Principal!$AP$42:$AP$69,MATCH(X$2067&amp;$A27,Principal!$U$42:$U$69,0))&gt;0,INDEX(Principal!$AF$42:$AF$69,MATCH(X$2067&amp;$A27,Principal!$U$42:$U$69,0)),INDEX(PoderesDeCriatura_Adquiridos,MATCH(X$2067&amp;$A27,Principal!$U$42:$U$69,0))))</f>
        <v/>
      </c>
      <c r="Z2095" s="2843" t="str">
        <f t="shared" si="356"/>
        <v/>
      </c>
      <c r="AA2095" s="2845" t="str">
        <f>IF(ISNA(INDEX(PoderesDeCriatura_AdquiridosNombres,MATCH(AA$2067&amp;$A27,Principal!$U$42:$U$69,0))),"",INDEX(PoderesDeCriatura_AdquiridosNombres,MATCH(AA$2067&amp;$A27,Principal!$U$42:$U$69,0)))</f>
        <v/>
      </c>
      <c r="AB2095" s="2846"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3" t="str">
        <f t="shared" si="357"/>
        <v/>
      </c>
      <c r="AD2095" s="2845" t="str">
        <f>IF(ISNA(INDEX(PoderesDeCriatura_AdquiridosNombres,MATCH(AD$2067&amp;$A27,Principal!$U$42:$U$69,0))),"",INDEX(PoderesDeCriatura_AdquiridosNombres,MATCH(AD$2067&amp;$A27,Principal!$U$42:$U$69,0)))</f>
        <v/>
      </c>
      <c r="AE2095" s="2846"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3" t="str">
        <f t="shared" si="358"/>
        <v/>
      </c>
      <c r="AG2095" s="2845" t="str">
        <f>IF(ISNA(INDEX(PoderesDeCriatura_AdquiridosNombres,MATCH(AG$2067&amp;$A27,Principal!$U$42:$U$69,0))),"",INDEX(PoderesDeCriatura_AdquiridosNombres,MATCH(AG$2067&amp;$A27,Principal!$U$42:$U$69,0)))</f>
        <v/>
      </c>
      <c r="AH2095" s="2846"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3" t="str">
        <f t="shared" si="359"/>
        <v/>
      </c>
      <c r="AJ2095" s="2845" t="str">
        <f>IF(ISNA(INDEX(PoderesDeCriatura_AdquiridosNombres,MATCH(AJ$2067&amp;$A27,Principal!$U$42:$U$69,0))),"",INDEX(PoderesDeCriatura_AdquiridosNombres,MATCH(AJ$2067&amp;$A27,Principal!$U$42:$U$69,0)))</f>
        <v/>
      </c>
      <c r="AK2095" s="2846"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3" t="str">
        <f t="shared" si="360"/>
        <v/>
      </c>
      <c r="AM2095" s="2845" t="str">
        <f>IF(ISNA(INDEX(PoderesDeCriatura_AdquiridosNombres,MATCH(AM$2067&amp;$A27,Principal!$U$42:$U$69,0))),"",INDEX(PoderesDeCriatura_AdquiridosNombres,MATCH(AM$2067&amp;$A27,Principal!$U$42:$U$69,0)))</f>
        <v/>
      </c>
      <c r="AN2095" s="2846"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1"/>
        <v/>
      </c>
      <c r="AP2095" s="830" t="str">
        <f>IF(OR(AQ2095=0,ISNUMBER(MATCH(AQ2095,$AQ$2070:$AQ2094,0))),"",MAX($AP$2069:AP2094)+1)</f>
        <v/>
      </c>
      <c r="AQ2095" s="1284">
        <f>Principal!V67</f>
        <v>0</v>
      </c>
    </row>
    <row r="2096" spans="1:43" ht="12.75" customHeight="1" x14ac:dyDescent="0.2">
      <c r="A2096" s="227">
        <v>2096</v>
      </c>
      <c r="B2096" s="6042"/>
      <c r="C2096" s="855" t="str">
        <f t="shared" si="346"/>
        <v/>
      </c>
      <c r="D2096" s="485" t="str">
        <f t="shared" si="362"/>
        <v/>
      </c>
      <c r="E2096" s="485" t="str">
        <f t="shared" si="363"/>
        <v/>
      </c>
      <c r="F2096" s="825" t="str">
        <f t="shared" si="348"/>
        <v/>
      </c>
      <c r="G2096" s="6348"/>
      <c r="H2096" s="1348" t="str">
        <f>Combate!AB48</f>
        <v/>
      </c>
      <c r="J2096" s="816" t="str">
        <f>IF(ISNA(VLOOKUP(A29,Principal!$S$42:$AH$69,10,FALSE)),"",IF(VLOOKUP(A29,Principal!$S$42:$AH$69,10,FALSE)=0,"",INDEX(PoderesDeCriatura_Adquiridos,MATCH(A29,Principal!$S$42:$S$69,0))))</f>
        <v/>
      </c>
      <c r="K2096" s="2843" t="str">
        <f>IF(AND(COUNTA($K$2068:K2095)-COUNTBLANK($K$2068:K2095)&gt;0,J2096&lt;&gt;""),", ","")&amp;J2096</f>
        <v/>
      </c>
      <c r="L2096" s="2845" t="str">
        <f>IF(ISNA(INDEX(PoderesDeCriatura_AdquiridosNombres,MATCH(L$2067&amp;$A28,Principal!$U$42:$U$69,0))),"",INDEX(PoderesDeCriatura_AdquiridosNombres,MATCH(L$2067&amp;$A28,Principal!$U$42:$U$69,0)))</f>
        <v/>
      </c>
      <c r="M2096" s="2846" t="str">
        <f>IF(ISNA(INDEX(PoderesDeCriatura_Adquiridos,MATCH(L$2067&amp;$A28,Principal!$U$42:$U$69,0))),"",IF(INDEX(Principal!$AP$42:$AP$69,MATCH(L$2067&amp;$A28,Principal!$U$42:$U$69,0))&gt;0,INDEX(Principal!$AF$42:$AF$69,MATCH(L$2067&amp;$A28,Principal!$U$42:$U$69,0)),INDEX(PoderesDeCriatura_Adquiridos,MATCH(L$2067&amp;$A28,Principal!$U$42:$U$69,0))))</f>
        <v/>
      </c>
      <c r="N2096" s="2843" t="str">
        <f t="shared" si="352"/>
        <v/>
      </c>
      <c r="O2096" s="2845" t="str">
        <f>IF(ISNA(INDEX(PoderesDeCriatura_AdquiridosNombres,MATCH(O$2067&amp;$A28,Principal!$U$42:$U$69,0))),"",INDEX(PoderesDeCriatura_AdquiridosNombres,MATCH(O$2067&amp;$A28,Principal!$U$42:$U$69,0)))</f>
        <v/>
      </c>
      <c r="P2096" s="2846" t="str">
        <f>IF(ISNA(INDEX(PoderesDeCriatura_Adquiridos,MATCH(O$2067&amp;$A28,Principal!$U$42:$U$69,0))),"",IF(INDEX(Principal!$AP$42:$AP$69,MATCH(O$2067&amp;$A28,Principal!$U$42:$U$69,0))&gt;0,INDEX(Principal!$AF$42:$AF$69,MATCH(O$2067&amp;$A28,Principal!$U$42:$U$69,0)),INDEX(PoderesDeCriatura_Adquiridos,MATCH(O$2067&amp;$A28,Principal!$U$42:$U$69,0))))</f>
        <v/>
      </c>
      <c r="Q2096" s="2843" t="str">
        <f t="shared" si="353"/>
        <v/>
      </c>
      <c r="R2096" s="2845" t="str">
        <f>IF(ISNA(INDEX(PoderesDeCriatura_AdquiridosNombres,MATCH(R$2067&amp;$A28,Principal!$U$42:$U$69,0))),"",INDEX(PoderesDeCriatura_AdquiridosNombres,MATCH(R$2067&amp;$A28,Principal!$U$42:$U$69,0)))</f>
        <v/>
      </c>
      <c r="S2096" s="2846" t="str">
        <f>IF(ISNA(INDEX(PoderesDeCriatura_Adquiridos,MATCH(R$2067&amp;$A28,Principal!$U$42:$U$69,0))),"",IF(INDEX(Principal!$AP$42:$AP$69,MATCH(R$2067&amp;$A28,Principal!$U$42:$U$69,0))&gt;0,INDEX(Principal!$AF$42:$AF$69,MATCH(R$2067&amp;$A28,Principal!$U$42:$U$69,0)),INDEX(PoderesDeCriatura_Adquiridos,MATCH(R$2067&amp;$A28,Principal!$U$42:$U$69,0))))</f>
        <v/>
      </c>
      <c r="T2096" s="2843" t="str">
        <f t="shared" si="354"/>
        <v/>
      </c>
      <c r="U2096" s="2845" t="str">
        <f>IF(ISNA(INDEX(PoderesDeCriatura_AdquiridosNombres,MATCH(U$2067&amp;$A28,Principal!$U$42:$U$69,0))),"",INDEX(PoderesDeCriatura_AdquiridosNombres,MATCH(U$2067&amp;$A28,Principal!$U$42:$U$69,0)))</f>
        <v/>
      </c>
      <c r="V2096" s="2846" t="str">
        <f>IF(ISNA(INDEX(PoderesDeCriatura_Adquiridos,MATCH(U$2067&amp;$A28,Principal!$U$42:$U$69,0))),"",IF(INDEX(Principal!$AP$42:$AP$69,MATCH(U$2067&amp;$A28,Principal!$U$42:$U$69,0))&gt;0,INDEX(Principal!$AF$42:$AF$69,MATCH(U$2067&amp;$A28,Principal!$U$42:$U$69,0)),INDEX(PoderesDeCriatura_Adquiridos,MATCH(U$2067&amp;$A28,Principal!$U$42:$U$69,0))))</f>
        <v/>
      </c>
      <c r="W2096" s="2843" t="str">
        <f t="shared" si="355"/>
        <v/>
      </c>
      <c r="X2096" s="2845" t="str">
        <f>IF(ISNA(INDEX(PoderesDeCriatura_AdquiridosNombres,MATCH(X$2067&amp;$A28,Principal!$U$42:$U$69,0))),"",INDEX(PoderesDeCriatura_AdquiridosNombres,MATCH(X$2067&amp;$A28,Principal!$U$42:$U$69,0)))</f>
        <v/>
      </c>
      <c r="Y2096" s="2846" t="str">
        <f>IF(ISNA(INDEX(PoderesDeCriatura_Adquiridos,MATCH(X$2067&amp;$A28,Principal!$U$42:$U$69,0))),"",IF(INDEX(Principal!$AP$42:$AP$69,MATCH(X$2067&amp;$A28,Principal!$U$42:$U$69,0))&gt;0,INDEX(Principal!$AF$42:$AF$69,MATCH(X$2067&amp;$A28,Principal!$U$42:$U$69,0)),INDEX(PoderesDeCriatura_Adquiridos,MATCH(X$2067&amp;$A28,Principal!$U$42:$U$69,0))))</f>
        <v/>
      </c>
      <c r="Z2096" s="2843" t="str">
        <f t="shared" si="356"/>
        <v/>
      </c>
      <c r="AA2096" s="2845" t="str">
        <f>IF(ISNA(INDEX(PoderesDeCriatura_AdquiridosNombres,MATCH(AA$2067&amp;$A28,Principal!$U$42:$U$69,0))),"",INDEX(PoderesDeCriatura_AdquiridosNombres,MATCH(AA$2067&amp;$A28,Principal!$U$42:$U$69,0)))</f>
        <v/>
      </c>
      <c r="AB2096" s="2846"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3" t="str">
        <f t="shared" si="357"/>
        <v/>
      </c>
      <c r="AD2096" s="2845" t="str">
        <f>IF(ISNA(INDEX(PoderesDeCriatura_AdquiridosNombres,MATCH(AD$2067&amp;$A28,Principal!$U$42:$U$69,0))),"",INDEX(PoderesDeCriatura_AdquiridosNombres,MATCH(AD$2067&amp;$A28,Principal!$U$42:$U$69,0)))</f>
        <v/>
      </c>
      <c r="AE2096" s="2846"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3" t="str">
        <f t="shared" si="358"/>
        <v/>
      </c>
      <c r="AG2096" s="2845" t="str">
        <f>IF(ISNA(INDEX(PoderesDeCriatura_AdquiridosNombres,MATCH(AG$2067&amp;$A28,Principal!$U$42:$U$69,0))),"",INDEX(PoderesDeCriatura_AdquiridosNombres,MATCH(AG$2067&amp;$A28,Principal!$U$42:$U$69,0)))</f>
        <v/>
      </c>
      <c r="AH2096" s="2846"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3" t="str">
        <f t="shared" si="359"/>
        <v/>
      </c>
      <c r="AJ2096" s="2845" t="str">
        <f>IF(ISNA(INDEX(PoderesDeCriatura_AdquiridosNombres,MATCH(AJ$2067&amp;$A28,Principal!$U$42:$U$69,0))),"",INDEX(PoderesDeCriatura_AdquiridosNombres,MATCH(AJ$2067&amp;$A28,Principal!$U$42:$U$69,0)))</f>
        <v/>
      </c>
      <c r="AK2096" s="2846"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3" t="str">
        <f t="shared" si="360"/>
        <v/>
      </c>
      <c r="AM2096" s="2845" t="str">
        <f>IF(ISNA(INDEX(PoderesDeCriatura_AdquiridosNombres,MATCH(AM$2067&amp;$A28,Principal!$U$42:$U$69,0))),"",INDEX(PoderesDeCriatura_AdquiridosNombres,MATCH(AM$2067&amp;$A28,Principal!$U$42:$U$69,0)))</f>
        <v/>
      </c>
      <c r="AN2096" s="2846"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1"/>
        <v/>
      </c>
      <c r="AP2096" s="830" t="str">
        <f>IF(OR(AQ2096=0,ISNUMBER(MATCH(AQ2096,$AQ$2070:$AQ2095,0))),"",MAX($AP$2069:AP2095)+1)</f>
        <v/>
      </c>
      <c r="AQ2096" s="1284">
        <f>Principal!V68</f>
        <v>0</v>
      </c>
    </row>
    <row r="2097" spans="1:43" ht="12.75" customHeight="1" x14ac:dyDescent="0.2">
      <c r="A2097" s="227">
        <v>2097</v>
      </c>
      <c r="B2097" s="6042"/>
      <c r="C2097" s="855" t="str">
        <f t="shared" si="346"/>
        <v/>
      </c>
      <c r="D2097" s="485" t="str">
        <f t="shared" si="362"/>
        <v/>
      </c>
      <c r="E2097" s="485" t="str">
        <f t="shared" si="363"/>
        <v/>
      </c>
      <c r="F2097" s="825" t="str">
        <f t="shared" si="348"/>
        <v/>
      </c>
      <c r="G2097" s="6348"/>
      <c r="H2097" s="1349" t="str">
        <f>Combate!AB49</f>
        <v/>
      </c>
      <c r="J2097" s="816" t="str">
        <f>IF(ISNA(VLOOKUP(A30,Principal!$S$42:$AH$69,10,FALSE)),"",IF(VLOOKUP(A30,Principal!$S$42:$AH$69,10,FALSE)=0,"",INDEX(PoderesDeCriatura_Adquiridos,MATCH(A30,Principal!$S$42:$S$69,0))))</f>
        <v/>
      </c>
      <c r="K2097" s="2844" t="str">
        <f>IF(AND(COUNTA($K$2068:K2096)-COUNTBLANK($K$2068:K2096)&gt;0,J2097&lt;&gt;""),", ","")&amp;J2097</f>
        <v/>
      </c>
      <c r="L2097" s="2848" t="str">
        <f>IF(ISNA(INDEX(PoderesDeCriatura_AdquiridosNombres,MATCH(L$2067&amp;$A29,Principal!$U$42:$U$69,0))),"",INDEX(PoderesDeCriatura_AdquiridosNombres,MATCH(L$2067&amp;$A29,Principal!$U$42:$U$69,0)))</f>
        <v/>
      </c>
      <c r="M2097" s="2849" t="str">
        <f>IF(ISNA(INDEX(PoderesDeCriatura_Adquiridos,MATCH(L$2067&amp;$A29,Principal!$U$42:$U$69,0))),"",IF(INDEX(Principal!$AP$42:$AP$69,MATCH(L$2067&amp;$A29,Principal!$U$42:$U$69,0))&gt;0,INDEX(Principal!$AF$42:$AF$69,MATCH(L$2067&amp;$A29,Principal!$U$42:$U$69,0)),INDEX(PoderesDeCriatura_Adquiridos,MATCH(L$2067&amp;$A29,Principal!$U$42:$U$69,0))))</f>
        <v/>
      </c>
      <c r="N2097" s="2844" t="str">
        <f t="shared" si="352"/>
        <v/>
      </c>
      <c r="O2097" s="2848" t="str">
        <f>IF(ISNA(INDEX(PoderesDeCriatura_AdquiridosNombres,MATCH(O$2067&amp;$A29,Principal!$U$42:$U$69,0))),"",INDEX(PoderesDeCriatura_AdquiridosNombres,MATCH(O$2067&amp;$A29,Principal!$U$42:$U$69,0)))</f>
        <v/>
      </c>
      <c r="P2097" s="2849" t="str">
        <f>IF(ISNA(INDEX(PoderesDeCriatura_Adquiridos,MATCH(O$2067&amp;$A29,Principal!$U$42:$U$69,0))),"",IF(INDEX(Principal!$AP$42:$AP$69,MATCH(O$2067&amp;$A29,Principal!$U$42:$U$69,0))&gt;0,INDEX(Principal!$AF$42:$AF$69,MATCH(O$2067&amp;$A29,Principal!$U$42:$U$69,0)),INDEX(PoderesDeCriatura_Adquiridos,MATCH(O$2067&amp;$A29,Principal!$U$42:$U$69,0))))</f>
        <v/>
      </c>
      <c r="Q2097" s="2844" t="str">
        <f t="shared" si="353"/>
        <v/>
      </c>
      <c r="R2097" s="2848" t="str">
        <f>IF(ISNA(INDEX(PoderesDeCriatura_AdquiridosNombres,MATCH(R$2067&amp;$A29,Principal!$U$42:$U$69,0))),"",INDEX(PoderesDeCriatura_AdquiridosNombres,MATCH(R$2067&amp;$A29,Principal!$U$42:$U$69,0)))</f>
        <v/>
      </c>
      <c r="S2097" s="2849" t="str">
        <f>IF(ISNA(INDEX(PoderesDeCriatura_Adquiridos,MATCH(R$2067&amp;$A29,Principal!$U$42:$U$69,0))),"",IF(INDEX(Principal!$AP$42:$AP$69,MATCH(R$2067&amp;$A29,Principal!$U$42:$U$69,0))&gt;0,INDEX(Principal!$AF$42:$AF$69,MATCH(R$2067&amp;$A29,Principal!$U$42:$U$69,0)),INDEX(PoderesDeCriatura_Adquiridos,MATCH(R$2067&amp;$A29,Principal!$U$42:$U$69,0))))</f>
        <v/>
      </c>
      <c r="T2097" s="2844" t="str">
        <f t="shared" si="354"/>
        <v/>
      </c>
      <c r="U2097" s="2848" t="str">
        <f>IF(ISNA(INDEX(PoderesDeCriatura_AdquiridosNombres,MATCH(U$2067&amp;$A29,Principal!$U$42:$U$69,0))),"",INDEX(PoderesDeCriatura_AdquiridosNombres,MATCH(U$2067&amp;$A29,Principal!$U$42:$U$69,0)))</f>
        <v/>
      </c>
      <c r="V2097" s="2849" t="str">
        <f>IF(ISNA(INDEX(PoderesDeCriatura_Adquiridos,MATCH(U$2067&amp;$A29,Principal!$U$42:$U$69,0))),"",IF(INDEX(Principal!$AP$42:$AP$69,MATCH(U$2067&amp;$A29,Principal!$U$42:$U$69,0))&gt;0,INDEX(Principal!$AF$42:$AF$69,MATCH(U$2067&amp;$A29,Principal!$U$42:$U$69,0)),INDEX(PoderesDeCriatura_Adquiridos,MATCH(U$2067&amp;$A29,Principal!$U$42:$U$69,0))))</f>
        <v/>
      </c>
      <c r="W2097" s="2844" t="str">
        <f t="shared" si="355"/>
        <v/>
      </c>
      <c r="X2097" s="2848" t="str">
        <f>IF(ISNA(INDEX(PoderesDeCriatura_AdquiridosNombres,MATCH(X$2067&amp;$A29,Principal!$U$42:$U$69,0))),"",INDEX(PoderesDeCriatura_AdquiridosNombres,MATCH(X$2067&amp;$A29,Principal!$U$42:$U$69,0)))</f>
        <v/>
      </c>
      <c r="Y2097" s="2849" t="str">
        <f>IF(ISNA(INDEX(PoderesDeCriatura_Adquiridos,MATCH(X$2067&amp;$A29,Principal!$U$42:$U$69,0))),"",IF(INDEX(Principal!$AP$42:$AP$69,MATCH(X$2067&amp;$A29,Principal!$U$42:$U$69,0))&gt;0,INDEX(Principal!$AF$42:$AF$69,MATCH(X$2067&amp;$A29,Principal!$U$42:$U$69,0)),INDEX(PoderesDeCriatura_Adquiridos,MATCH(X$2067&amp;$A29,Principal!$U$42:$U$69,0))))</f>
        <v/>
      </c>
      <c r="Z2097" s="2844" t="str">
        <f t="shared" si="356"/>
        <v/>
      </c>
      <c r="AA2097" s="2848" t="str">
        <f>IF(ISNA(INDEX(PoderesDeCriatura_AdquiridosNombres,MATCH(AA$2067&amp;$A29,Principal!$U$42:$U$69,0))),"",INDEX(PoderesDeCriatura_AdquiridosNombres,MATCH(AA$2067&amp;$A29,Principal!$U$42:$U$69,0)))</f>
        <v/>
      </c>
      <c r="AB2097" s="2849"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4" t="str">
        <f t="shared" si="357"/>
        <v/>
      </c>
      <c r="AD2097" s="2848" t="str">
        <f>IF(ISNA(INDEX(PoderesDeCriatura_AdquiridosNombres,MATCH(AD$2067&amp;$A29,Principal!$U$42:$U$69,0))),"",INDEX(PoderesDeCriatura_AdquiridosNombres,MATCH(AD$2067&amp;$A29,Principal!$U$42:$U$69,0)))</f>
        <v/>
      </c>
      <c r="AE2097" s="2849"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4" t="str">
        <f t="shared" si="358"/>
        <v/>
      </c>
      <c r="AG2097" s="2848" t="str">
        <f>IF(ISNA(INDEX(PoderesDeCriatura_AdquiridosNombres,MATCH(AG$2067&amp;$A29,Principal!$U$42:$U$69,0))),"",INDEX(PoderesDeCriatura_AdquiridosNombres,MATCH(AG$2067&amp;$A29,Principal!$U$42:$U$69,0)))</f>
        <v/>
      </c>
      <c r="AH2097" s="2849"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4" t="str">
        <f t="shared" si="359"/>
        <v/>
      </c>
      <c r="AJ2097" s="2848" t="str">
        <f>IF(ISNA(INDEX(PoderesDeCriatura_AdquiridosNombres,MATCH(AJ$2067&amp;$A29,Principal!$U$42:$U$69,0))),"",INDEX(PoderesDeCriatura_AdquiridosNombres,MATCH(AJ$2067&amp;$A29,Principal!$U$42:$U$69,0)))</f>
        <v/>
      </c>
      <c r="AK2097" s="2849"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4" t="str">
        <f t="shared" si="360"/>
        <v/>
      </c>
      <c r="AM2097" s="2848" t="str">
        <f>IF(ISNA(INDEX(PoderesDeCriatura_AdquiridosNombres,MATCH(AM$2067&amp;$A29,Principal!$U$42:$U$69,0))),"",INDEX(PoderesDeCriatura_AdquiridosNombres,MATCH(AM$2067&amp;$A29,Principal!$U$42:$U$69,0)))</f>
        <v/>
      </c>
      <c r="AN2097" s="2849"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0" t="str">
        <f t="shared" si="361"/>
        <v/>
      </c>
      <c r="AP2097" s="1285" t="str">
        <f>IF(OR(AQ2097=0,ISNUMBER(MATCH(AQ2097,$AQ$2070:$AQ2096,0))),"",MAX($AP$2069:AP2096)+1)</f>
        <v/>
      </c>
      <c r="AQ2097" s="1286">
        <f>Principal!V69</f>
        <v>0</v>
      </c>
    </row>
    <row r="2098" spans="1:43" ht="12.75" customHeight="1" x14ac:dyDescent="0.2">
      <c r="A2098" s="227">
        <v>2098</v>
      </c>
      <c r="B2098" s="6042"/>
      <c r="C2098" s="851" t="str">
        <f t="shared" ref="C2098:C2105" si="364">IF(D2098="","",COUNTIF($D$2063:$D$2105,"&lt;="&amp;D2098)-SUMPRODUCT(--($D$2063:$D$2105="")))</f>
        <v/>
      </c>
      <c r="D2098" s="485" t="str">
        <f>Combate!AB50</f>
        <v/>
      </c>
      <c r="E2098" s="485" t="str">
        <f t="shared" ref="E2098:E2105" si="365">D2098</f>
        <v/>
      </c>
      <c r="F2098" s="825" t="str">
        <f t="shared" si="348"/>
        <v/>
      </c>
      <c r="G2098" s="6347"/>
      <c r="J2098" s="6350" t="str">
        <f>K2068&amp;K2069&amp;K2070&amp;K2071&amp;K2072&amp;K2073&amp;K2074&amp;K2075&amp;K2076&amp;K2077&amp;K2078&amp;K2079&amp;K2080&amp;K2081&amp;K2082&amp;K2083&amp;K2084&amp;K2085&amp;K2086&amp;K2087&amp;K2088&amp;K2089&amp;K2090&amp;K2092&amp;K2091&amp;K2093&amp;K2094&amp;K2096&amp;K2095&amp;K2097</f>
        <v/>
      </c>
      <c r="K2098" s="6351"/>
      <c r="L2098" s="6049" t="str">
        <f>IF(L2067="","",L2067&amp;" ("&amp;N2069&amp;N2070&amp;N2071&amp;N2072&amp;N2073&amp;N2074&amp;N2075&amp;N2076&amp;N2077&amp;N2078&amp;N2079&amp;N2080&amp;N2081&amp;N2082&amp;N2083&amp;N2084&amp;N2085&amp;N2086&amp;N2087&amp;N2088&amp;N2089&amp;N2090&amp;N2091&amp;N2092&amp;N2093&amp;N2094&amp;N2095&amp;N2096&amp;N2097&amp;")")</f>
        <v/>
      </c>
      <c r="M2098" s="6050"/>
      <c r="N2098" s="6051"/>
      <c r="O2098" s="6049" t="str">
        <f>IF(O2067="","",O2067&amp;" ("&amp;Q2069&amp;Q2070&amp;Q2071&amp;Q2072&amp;Q2073&amp;Q2074&amp;Q2075&amp;Q2076&amp;Q2077&amp;Q2078&amp;Q2079&amp;Q2080&amp;Q2081&amp;Q2082&amp;Q2083&amp;Q2084&amp;Q2085&amp;Q2086&amp;Q2087&amp;Q2088&amp;Q2089&amp;Q2090&amp;Q2091&amp;Q2092&amp;Q2093&amp;Q2094&amp;Q2095&amp;Q2096&amp;Q2097&amp;")")</f>
        <v/>
      </c>
      <c r="P2098" s="6050"/>
      <c r="Q2098" s="6051"/>
      <c r="R2098" s="6049" t="str">
        <f>IF(R2067="","",R2067&amp;" ("&amp;T2069&amp;T2070&amp;T2071&amp;T2072&amp;T2073&amp;T2074&amp;T2075&amp;T2076&amp;T2077&amp;T2078&amp;T2079&amp;T2080&amp;T2081&amp;T2082&amp;T2083&amp;T2084&amp;T2085&amp;T2086&amp;T2087&amp;T2088&amp;T2089&amp;T2090&amp;T2091&amp;T2092&amp;T2093&amp;T2094&amp;T2095&amp;T2096&amp;T2097&amp;")")</f>
        <v/>
      </c>
      <c r="S2098" s="6050"/>
      <c r="T2098" s="6051"/>
      <c r="U2098" s="6049" t="str">
        <f>IF(U2067="","",U2067&amp;" ("&amp;W2069&amp;W2070&amp;W2071&amp;W2072&amp;W2073&amp;W2074&amp;W2075&amp;W2076&amp;W2077&amp;W2078&amp;W2079&amp;W2080&amp;W2081&amp;W2082&amp;W2083&amp;W2084&amp;W2085&amp;W2086&amp;W2087&amp;W2088&amp;W2089&amp;W2090&amp;W2091&amp;W2092&amp;W2093&amp;W2094&amp;W2095&amp;W2096&amp;W2097&amp;")")</f>
        <v/>
      </c>
      <c r="V2098" s="6050"/>
      <c r="W2098" s="6051"/>
      <c r="X2098" s="6049" t="str">
        <f>IF(X2067="","",X2067&amp;" ("&amp;Z2069&amp;Z2070&amp;Z2071&amp;Z2072&amp;Z2073&amp;Z2074&amp;Z2075&amp;Z2076&amp;Z2077&amp;Z2078&amp;Z2079&amp;Z2080&amp;Z2081&amp;Z2082&amp;Z2083&amp;Z2084&amp;Z2085&amp;Z2086&amp;Z2087&amp;Z2088&amp;Z2089&amp;Z2090&amp;Z2091&amp;Z2092&amp;Z2093&amp;Z2094&amp;Z2095&amp;Z2096&amp;Z2097&amp;")")</f>
        <v/>
      </c>
      <c r="Y2098" s="6050"/>
      <c r="Z2098" s="6051"/>
      <c r="AA2098" s="6049"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050"/>
      <c r="AC2098" s="6051"/>
      <c r="AD2098" s="6045"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046"/>
      <c r="AF2098" s="6048"/>
      <c r="AG2098" s="6045"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046"/>
      <c r="AI2098" s="6048"/>
      <c r="AJ2098" s="6045"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046"/>
      <c r="AL2098" s="6048"/>
      <c r="AM2098" s="6045"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046"/>
      <c r="AO2098" s="6047"/>
    </row>
    <row r="2099" spans="1:43" ht="12.75" customHeight="1" x14ac:dyDescent="0.2">
      <c r="A2099" s="227">
        <v>2099</v>
      </c>
      <c r="B2099" s="6042"/>
      <c r="C2099" s="851" t="str">
        <f t="shared" si="364"/>
        <v/>
      </c>
      <c r="D2099" s="485" t="str">
        <f>Combate!AB51</f>
        <v/>
      </c>
      <c r="E2099" s="485" t="str">
        <f t="shared" si="365"/>
        <v/>
      </c>
      <c r="F2099" s="825" t="str">
        <f t="shared" si="348"/>
        <v/>
      </c>
      <c r="G2099" s="6347"/>
      <c r="J2099" s="6350"/>
      <c r="K2099" s="6351"/>
      <c r="L2099" s="6126" t="str">
        <f>L2098&amp;IF(O2098="","",", "&amp;O2098)&amp;IF(R2098="","",", "&amp;R2098)&amp;IF(U2098="","",", "&amp;U2098)&amp;IF(X2098="","",", "&amp;X2098)&amp;IF(AA2098="","",", "&amp;AA2098)&amp;IF(AD2098="","",", "&amp;AD2098)&amp;IF(AG2098="","",", "&amp;AG2098)&amp;IF(AJ2098="","",", "&amp;AJ2098)&amp;IF(AM2098="","",", "&amp;AM2098)</f>
        <v/>
      </c>
      <c r="M2099" s="6127"/>
      <c r="N2099" s="6127"/>
      <c r="O2099" s="6127"/>
      <c r="P2099" s="6127"/>
      <c r="Q2099" s="6127"/>
      <c r="R2099" s="6127"/>
      <c r="S2099" s="6127"/>
      <c r="T2099" s="6127"/>
      <c r="U2099" s="6127"/>
      <c r="V2099" s="6127"/>
      <c r="W2099" s="6127"/>
      <c r="X2099" s="6127"/>
      <c r="Y2099" s="6127"/>
      <c r="Z2099" s="6127"/>
      <c r="AA2099" s="6127"/>
      <c r="AB2099" s="6127"/>
      <c r="AC2099" s="6127"/>
      <c r="AD2099" s="6127"/>
      <c r="AE2099" s="6127"/>
      <c r="AF2099" s="6127"/>
      <c r="AG2099" s="6127"/>
      <c r="AH2099" s="6127"/>
      <c r="AI2099" s="6127"/>
      <c r="AJ2099" s="6127"/>
      <c r="AK2099" s="6127"/>
      <c r="AL2099" s="6127"/>
      <c r="AM2099" s="6127"/>
      <c r="AN2099" s="6127"/>
      <c r="AO2099" s="6128"/>
    </row>
    <row r="2100" spans="1:43" ht="12.75" customHeight="1" x14ac:dyDescent="0.2">
      <c r="A2100" s="227">
        <v>2100</v>
      </c>
      <c r="B2100" s="6042"/>
      <c r="C2100" s="851" t="str">
        <f t="shared" si="364"/>
        <v/>
      </c>
      <c r="D2100" s="485" t="str">
        <f>Combate!AB52</f>
        <v/>
      </c>
      <c r="E2100" s="485" t="str">
        <f t="shared" si="365"/>
        <v/>
      </c>
      <c r="F2100" s="825" t="str">
        <f t="shared" si="348"/>
        <v/>
      </c>
      <c r="G2100" s="6347"/>
      <c r="J2100" s="6369" t="str">
        <f>L2099&amp;IF(OR(L2099="",J2098=""),"",", ")&amp;J2098</f>
        <v/>
      </c>
      <c r="K2100" s="6370"/>
      <c r="L2100" s="6370"/>
      <c r="M2100" s="6370"/>
      <c r="N2100" s="6370"/>
      <c r="O2100" s="6370"/>
      <c r="P2100" s="6370"/>
      <c r="Q2100" s="6370"/>
      <c r="R2100" s="6370"/>
      <c r="S2100" s="6370"/>
      <c r="T2100" s="6370"/>
      <c r="U2100" s="6370"/>
      <c r="V2100" s="6370"/>
      <c r="W2100" s="6370"/>
      <c r="X2100" s="6370"/>
      <c r="Y2100" s="6370"/>
      <c r="Z2100" s="6370"/>
      <c r="AA2100" s="6370"/>
      <c r="AB2100" s="6370"/>
      <c r="AC2100" s="6370"/>
      <c r="AD2100" s="6370"/>
      <c r="AE2100" s="6370"/>
      <c r="AF2100" s="6370"/>
      <c r="AG2100" s="6370"/>
      <c r="AH2100" s="6370"/>
      <c r="AI2100" s="6370"/>
      <c r="AJ2100" s="6370"/>
      <c r="AK2100" s="6370"/>
      <c r="AL2100" s="6370"/>
      <c r="AM2100" s="6370"/>
      <c r="AN2100" s="6370"/>
      <c r="AO2100" s="6371"/>
    </row>
    <row r="2101" spans="1:43" ht="12.75" customHeight="1" thickBot="1" x14ac:dyDescent="0.25">
      <c r="A2101" s="227">
        <v>2101</v>
      </c>
      <c r="B2101" s="6042"/>
      <c r="C2101" s="851" t="str">
        <f t="shared" si="364"/>
        <v/>
      </c>
      <c r="D2101" s="733" t="str">
        <f>Combate!AB55</f>
        <v/>
      </c>
      <c r="E2101" s="733" t="str">
        <f t="shared" si="365"/>
        <v/>
      </c>
      <c r="F2101" s="825" t="str">
        <f t="shared" si="348"/>
        <v/>
      </c>
      <c r="G2101" s="6347"/>
      <c r="J2101" s="6372"/>
      <c r="K2101" s="6373"/>
      <c r="L2101" s="6373"/>
      <c r="M2101" s="6373"/>
      <c r="N2101" s="6373"/>
      <c r="O2101" s="6373"/>
      <c r="P2101" s="6373"/>
      <c r="Q2101" s="6373"/>
      <c r="R2101" s="6373"/>
      <c r="S2101" s="6373"/>
      <c r="T2101" s="6373"/>
      <c r="U2101" s="6373"/>
      <c r="V2101" s="6373"/>
      <c r="W2101" s="6373"/>
      <c r="X2101" s="6373"/>
      <c r="Y2101" s="6373"/>
      <c r="Z2101" s="6373"/>
      <c r="AA2101" s="6373"/>
      <c r="AB2101" s="6373"/>
      <c r="AC2101" s="6373"/>
      <c r="AD2101" s="6373"/>
      <c r="AE2101" s="6373"/>
      <c r="AF2101" s="6373"/>
      <c r="AG2101" s="6373"/>
      <c r="AH2101" s="6373"/>
      <c r="AI2101" s="6373"/>
      <c r="AJ2101" s="6373"/>
      <c r="AK2101" s="6373"/>
      <c r="AL2101" s="6373"/>
      <c r="AM2101" s="6373"/>
      <c r="AN2101" s="6373"/>
      <c r="AO2101" s="6374"/>
    </row>
    <row r="2102" spans="1:43" ht="12.75" customHeight="1" x14ac:dyDescent="0.2">
      <c r="A2102" s="227">
        <v>2102</v>
      </c>
      <c r="B2102" s="6042"/>
      <c r="C2102" s="851" t="str">
        <f t="shared" si="364"/>
        <v/>
      </c>
      <c r="D2102" s="485" t="str">
        <f>Combate!AB57</f>
        <v/>
      </c>
      <c r="E2102" s="485" t="str">
        <f t="shared" si="365"/>
        <v/>
      </c>
      <c r="F2102" s="825" t="str">
        <f t="shared" si="348"/>
        <v/>
      </c>
      <c r="G2102" s="6347"/>
      <c r="H2102" s="831"/>
      <c r="I2102" s="831"/>
      <c r="J2102" s="831"/>
      <c r="K2102" s="831"/>
      <c r="L2102" s="831"/>
      <c r="M2102" s="831"/>
      <c r="N2102" s="831"/>
      <c r="O2102" s="831"/>
      <c r="P2102" s="831"/>
      <c r="Q2102" s="831"/>
      <c r="R2102" s="831"/>
      <c r="S2102" s="831"/>
      <c r="T2102" s="831"/>
    </row>
    <row r="2103" spans="1:43" ht="12.75" customHeight="1" x14ac:dyDescent="0.2">
      <c r="A2103" s="227">
        <v>2103</v>
      </c>
      <c r="B2103" s="6042"/>
      <c r="C2103" s="851" t="str">
        <f t="shared" si="364"/>
        <v/>
      </c>
      <c r="D2103" s="485" t="str">
        <f>Combate!AB59</f>
        <v/>
      </c>
      <c r="E2103" s="485" t="str">
        <f t="shared" si="365"/>
        <v/>
      </c>
      <c r="F2103" s="825" t="str">
        <f t="shared" si="348"/>
        <v/>
      </c>
      <c r="G2103" s="6347"/>
      <c r="H2103" s="831"/>
      <c r="I2103" s="831"/>
      <c r="J2103" s="831"/>
      <c r="K2103" s="831"/>
      <c r="L2103" s="831"/>
      <c r="M2103" s="831"/>
      <c r="N2103" s="831"/>
      <c r="O2103" s="831"/>
      <c r="P2103" s="831"/>
      <c r="Q2103" s="831"/>
      <c r="R2103" s="831"/>
      <c r="S2103" s="831"/>
      <c r="T2103" s="831"/>
    </row>
    <row r="2104" spans="1:43" ht="12.75" customHeight="1" x14ac:dyDescent="0.2">
      <c r="A2104" s="227">
        <v>2104</v>
      </c>
      <c r="B2104" s="6042"/>
      <c r="C2104" s="851" t="str">
        <f t="shared" si="364"/>
        <v/>
      </c>
      <c r="D2104" s="485" t="str">
        <f>Combate!AB61</f>
        <v/>
      </c>
      <c r="E2104" s="485" t="str">
        <f t="shared" si="365"/>
        <v/>
      </c>
      <c r="F2104" s="825" t="str">
        <f t="shared" si="348"/>
        <v/>
      </c>
      <c r="G2104" s="6347"/>
      <c r="H2104"/>
      <c r="I2104" s="555"/>
      <c r="N2104"/>
      <c r="O2104" s="555"/>
    </row>
    <row r="2105" spans="1:43" ht="12.75" customHeight="1" thickBot="1" x14ac:dyDescent="0.25">
      <c r="A2105" s="227">
        <v>2105</v>
      </c>
      <c r="B2105" s="6042"/>
      <c r="C2105" s="853" t="str">
        <f t="shared" si="364"/>
        <v/>
      </c>
      <c r="D2105" s="487" t="str">
        <f>Combate!AB63</f>
        <v/>
      </c>
      <c r="E2105" s="487" t="str">
        <f t="shared" si="365"/>
        <v/>
      </c>
      <c r="F2105" s="826" t="str">
        <f t="shared" si="348"/>
        <v/>
      </c>
      <c r="G2105" s="6349"/>
      <c r="H2105"/>
      <c r="I2105" s="555"/>
      <c r="N2105"/>
      <c r="O2105" s="555"/>
    </row>
  </sheetData>
  <sheetProtection sheet="1" scenarios="1" selectLockedCells="1"/>
  <sortState ref="AC648:AC707">
    <sortCondition ref="AC700"/>
  </sortState>
  <dataConsolidate/>
  <mergeCells count="564">
    <mergeCell ref="L1919:Q1919"/>
    <mergeCell ref="L1929:Q1929"/>
    <mergeCell ref="L1937:Q1937"/>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36:Q1936"/>
    <mergeCell ref="L1918:Q1918"/>
    <mergeCell ref="L1922:Q1922"/>
    <mergeCell ref="L1926:Q1926"/>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46:Q1946"/>
    <mergeCell ref="L1952:Q1952"/>
    <mergeCell ref="L1949:Q1949"/>
    <mergeCell ref="L1944:Q1944"/>
    <mergeCell ref="L1948:Q1948"/>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J2100:AO210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L1771:Q1771"/>
    <mergeCell ref="L1772:Q1772"/>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Z1245:CB1246"/>
    <mergeCell ref="Z1064:AB1064"/>
    <mergeCell ref="Z1062:AD1063"/>
    <mergeCell ref="R1209:W1209"/>
    <mergeCell ref="T589:U589"/>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F1064:M1064"/>
    <mergeCell ref="O940:O941"/>
    <mergeCell ref="C944:N944"/>
    <mergeCell ref="P944:AC945"/>
    <mergeCell ref="T598:U598"/>
    <mergeCell ref="T586:U586"/>
    <mergeCell ref="T1035:U1036"/>
    <mergeCell ref="T591:U591"/>
    <mergeCell ref="L1819:Q1819"/>
    <mergeCell ref="L1810:Q1810"/>
    <mergeCell ref="L1811:Q1811"/>
    <mergeCell ref="L1812:Q1812"/>
    <mergeCell ref="C6:C7"/>
    <mergeCell ref="C35:H36"/>
    <mergeCell ref="J35:K36"/>
    <mergeCell ref="M35:O35"/>
    <mergeCell ref="Q35:R36"/>
    <mergeCell ref="C11:E12"/>
    <mergeCell ref="F105:G106"/>
    <mergeCell ref="C67:N67"/>
    <mergeCell ref="C238:H239"/>
    <mergeCell ref="C634:Y635"/>
    <mergeCell ref="I940:I941"/>
    <mergeCell ref="V789:X789"/>
    <mergeCell ref="V779:X779"/>
    <mergeCell ref="G1075:H1076"/>
    <mergeCell ref="N849:R849"/>
    <mergeCell ref="H940:H941"/>
    <mergeCell ref="E1073:E1074"/>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C111:D112"/>
    <mergeCell ref="BA108:BB108"/>
    <mergeCell ref="BD107:BE107"/>
    <mergeCell ref="AU108:AV108"/>
    <mergeCell ref="AX107:AY107"/>
    <mergeCell ref="AL107:AM107"/>
    <mergeCell ref="AD138:AE138"/>
    <mergeCell ref="DA138:DC13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L1913:Q1913"/>
    <mergeCell ref="L2067:N2067"/>
    <mergeCell ref="O2067:Q2067"/>
    <mergeCell ref="R2067:T2067"/>
    <mergeCell ref="L1827:Q1827"/>
    <mergeCell ref="L1832:Q1832"/>
    <mergeCell ref="L1864:Q1864"/>
    <mergeCell ref="L1838:Q1838"/>
    <mergeCell ref="L1849:Q1849"/>
    <mergeCell ref="L1923:Q1923"/>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AM2098:AO2098"/>
    <mergeCell ref="AJ2098:AL2098"/>
    <mergeCell ref="AG2098:AI2098"/>
    <mergeCell ref="AD2098:AF2098"/>
    <mergeCell ref="AA2098:AC2098"/>
    <mergeCell ref="U2098:W2098"/>
    <mergeCell ref="O2098:Q2098"/>
    <mergeCell ref="X2098:Z2098"/>
    <mergeCell ref="L1925:Q1925"/>
    <mergeCell ref="L1932:Q1932"/>
    <mergeCell ref="AM2067:AO2067"/>
    <mergeCell ref="AJ2067:AL2067"/>
    <mergeCell ref="AG2067:AI2067"/>
    <mergeCell ref="AD2067:AF2067"/>
    <mergeCell ref="AA2067:AC2067"/>
    <mergeCell ref="X2067:Z2067"/>
    <mergeCell ref="U2067:W2067"/>
    <mergeCell ref="L2098:N2098"/>
    <mergeCell ref="L1927:Q1927"/>
    <mergeCell ref="L1928:Q1928"/>
    <mergeCell ref="O1969:O1970"/>
    <mergeCell ref="L1950:Q1950"/>
    <mergeCell ref="L1956:Q1956"/>
    <mergeCell ref="L1955:Q1955"/>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0"/>
      <c r="B2" s="6059" t="s">
        <v>8814</v>
      </c>
      <c r="C2" s="6059"/>
      <c r="D2" s="6059"/>
      <c r="E2" s="6059"/>
      <c r="F2" s="6059"/>
      <c r="G2" s="6059"/>
      <c r="H2" s="6059"/>
      <c r="I2" s="6059"/>
      <c r="J2" s="6059"/>
      <c r="K2" s="6059"/>
      <c r="L2" s="6059"/>
      <c r="M2" s="6059"/>
      <c r="N2" s="6059"/>
      <c r="O2" s="6059"/>
      <c r="P2" s="6059"/>
      <c r="Q2" s="6059"/>
      <c r="R2" s="6059"/>
      <c r="S2" s="6059"/>
      <c r="T2" s="6059"/>
      <c r="U2" s="6059"/>
      <c r="V2" s="6059"/>
      <c r="W2" s="6059"/>
      <c r="X2" s="6059"/>
    </row>
    <row r="3" spans="1:24" ht="12" customHeight="1" x14ac:dyDescent="0.2">
      <c r="A3" s="6400"/>
      <c r="B3" s="6059"/>
      <c r="C3" s="6059"/>
      <c r="D3" s="6059"/>
      <c r="E3" s="6059"/>
      <c r="F3" s="6059"/>
      <c r="G3" s="6059"/>
      <c r="H3" s="6059"/>
      <c r="I3" s="6059"/>
      <c r="J3" s="6059"/>
      <c r="K3" s="6059"/>
      <c r="L3" s="6059"/>
      <c r="M3" s="6059"/>
      <c r="N3" s="6059"/>
      <c r="O3" s="6059"/>
      <c r="P3" s="6059"/>
      <c r="Q3" s="6059"/>
      <c r="R3" s="6059"/>
      <c r="S3" s="6059"/>
      <c r="T3" s="6059"/>
      <c r="U3" s="6059"/>
      <c r="V3" s="6059"/>
      <c r="W3" s="6059"/>
      <c r="X3" s="6059"/>
    </row>
    <row r="4" spans="1:24" ht="12" customHeight="1" x14ac:dyDescent="0.2">
      <c r="A4" s="6400"/>
      <c r="B4" s="6059"/>
      <c r="C4" s="6059"/>
      <c r="D4" s="6059"/>
      <c r="E4" s="6059"/>
      <c r="F4" s="6059"/>
      <c r="G4" s="6059"/>
      <c r="H4" s="6059"/>
      <c r="I4" s="6059"/>
      <c r="J4" s="6059"/>
      <c r="K4" s="6059"/>
      <c r="L4" s="6059"/>
      <c r="M4" s="6059"/>
      <c r="N4" s="6059"/>
      <c r="O4" s="6059"/>
      <c r="P4" s="6059"/>
      <c r="Q4" s="6059"/>
      <c r="R4" s="6059"/>
      <c r="S4" s="6059"/>
      <c r="T4" s="6059"/>
      <c r="U4" s="6059"/>
      <c r="V4" s="6059"/>
      <c r="W4" s="6059"/>
      <c r="X4" s="6059"/>
    </row>
    <row r="5" spans="1:24" ht="12" customHeight="1" thickBot="1" x14ac:dyDescent="0.25">
      <c r="A5" s="6400"/>
      <c r="C5"/>
      <c r="D5" s="555"/>
      <c r="E5"/>
      <c r="F5"/>
      <c r="G5"/>
      <c r="H5"/>
      <c r="I5"/>
      <c r="J5"/>
      <c r="L5" s="1935"/>
      <c r="M5" s="1934"/>
      <c r="N5" s="1935"/>
      <c r="O5" s="1934"/>
      <c r="Q5" s="1934"/>
      <c r="R5" s="1934"/>
      <c r="S5" s="2062"/>
      <c r="T5" s="1934"/>
      <c r="U5" s="1934"/>
      <c r="V5"/>
      <c r="W5"/>
    </row>
    <row r="6" spans="1:24" ht="12" customHeight="1" x14ac:dyDescent="0.2">
      <c r="A6" s="6400"/>
      <c r="B6" s="6415"/>
      <c r="C6" s="6401" t="s">
        <v>8816</v>
      </c>
      <c r="D6" s="6401"/>
      <c r="E6" s="6401"/>
      <c r="F6" s="6401"/>
      <c r="G6" s="6401"/>
      <c r="H6" s="6401"/>
      <c r="I6" s="6401"/>
      <c r="J6" s="6401"/>
      <c r="K6" s="6401"/>
      <c r="L6" s="6402"/>
      <c r="M6" s="227"/>
      <c r="N6" s="6394"/>
      <c r="O6" s="6401" t="s">
        <v>8815</v>
      </c>
      <c r="P6" s="6401"/>
      <c r="Q6" s="6401"/>
      <c r="R6" s="6401"/>
      <c r="S6" s="6401"/>
      <c r="T6" s="6401"/>
      <c r="U6" s="6401"/>
      <c r="V6" s="6401"/>
      <c r="W6" s="6401"/>
      <c r="X6" s="6402"/>
    </row>
    <row r="7" spans="1:24" ht="12" customHeight="1" x14ac:dyDescent="0.2">
      <c r="A7" s="6400"/>
      <c r="B7" s="6416"/>
      <c r="C7" s="4775"/>
      <c r="D7" s="4775"/>
      <c r="E7" s="4775"/>
      <c r="F7" s="4775"/>
      <c r="G7" s="4775"/>
      <c r="H7" s="4775"/>
      <c r="I7" s="4775"/>
      <c r="J7" s="4775"/>
      <c r="K7" s="4775"/>
      <c r="L7" s="6403"/>
      <c r="M7" s="227"/>
      <c r="N7" s="6395"/>
      <c r="O7" s="4775"/>
      <c r="P7" s="4775"/>
      <c r="Q7" s="4775"/>
      <c r="R7" s="4775"/>
      <c r="S7" s="4775"/>
      <c r="T7" s="4775"/>
      <c r="U7" s="4775"/>
      <c r="V7" s="4775"/>
      <c r="W7" s="4775"/>
      <c r="X7" s="6403"/>
    </row>
    <row r="8" spans="1:24" ht="12" customHeight="1" x14ac:dyDescent="0.2">
      <c r="A8" s="6400"/>
      <c r="B8" s="6416"/>
      <c r="C8" s="2036" t="s">
        <v>1234</v>
      </c>
      <c r="D8" s="2036" t="s">
        <v>2826</v>
      </c>
      <c r="E8" s="2036" t="s">
        <v>8819</v>
      </c>
      <c r="F8" s="2036" t="s">
        <v>1841</v>
      </c>
      <c r="G8" s="2036" t="s">
        <v>1499</v>
      </c>
      <c r="H8" s="2036" t="s">
        <v>8820</v>
      </c>
      <c r="I8" s="2036" t="s">
        <v>2828</v>
      </c>
      <c r="J8" s="2036" t="s">
        <v>2829</v>
      </c>
      <c r="K8" s="2036" t="s">
        <v>2820</v>
      </c>
      <c r="L8" s="1937" t="s">
        <v>8450</v>
      </c>
      <c r="M8" s="227"/>
      <c r="N8" s="6395"/>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400"/>
      <c r="B9" s="6416"/>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5"/>
      <c r="O9" s="78" t="s">
        <v>2817</v>
      </c>
      <c r="P9" s="78"/>
      <c r="Q9" s="72" t="s">
        <v>1455</v>
      </c>
      <c r="R9" s="72" t="s">
        <v>1455</v>
      </c>
      <c r="S9" s="80" t="s">
        <v>1455</v>
      </c>
      <c r="T9" s="78" t="s">
        <v>1455</v>
      </c>
      <c r="U9" s="78"/>
      <c r="V9" s="78"/>
      <c r="W9" s="78"/>
      <c r="X9" s="1938"/>
    </row>
    <row r="10" spans="1:24" ht="12" customHeight="1" x14ac:dyDescent="0.2">
      <c r="A10" s="6400"/>
      <c r="B10" s="6416"/>
      <c r="C10" s="39" t="s">
        <v>8824</v>
      </c>
      <c r="D10" s="78"/>
      <c r="E10" s="1142"/>
      <c r="F10" s="1143"/>
      <c r="G10" s="1142"/>
      <c r="H10" s="1142"/>
      <c r="I10" s="1142"/>
      <c r="J10" s="1142"/>
      <c r="K10" s="1142"/>
      <c r="L10" s="1940"/>
      <c r="M10" s="227"/>
      <c r="N10" s="6395"/>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400"/>
      <c r="B11" s="6416"/>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5"/>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400"/>
      <c r="B12" s="6416"/>
      <c r="C12" s="39" t="s">
        <v>8826</v>
      </c>
      <c r="D12" s="78" t="s">
        <v>7627</v>
      </c>
      <c r="E12" s="1142">
        <v>3</v>
      </c>
      <c r="F12" s="1143">
        <v>5</v>
      </c>
      <c r="G12" s="1142">
        <v>5</v>
      </c>
      <c r="H12" s="1142">
        <v>2</v>
      </c>
      <c r="I12" s="1142">
        <v>4</v>
      </c>
      <c r="J12" s="1142">
        <v>7</v>
      </c>
      <c r="K12" s="1142">
        <v>1</v>
      </c>
      <c r="L12" s="1940" t="str">
        <f t="shared" si="2"/>
        <v>Habilidad De Ataque+25</v>
      </c>
      <c r="M12" s="227"/>
      <c r="N12" s="6395"/>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400"/>
      <c r="B13" s="6416"/>
      <c r="C13" s="39" t="s">
        <v>8826</v>
      </c>
      <c r="D13" s="78" t="s">
        <v>7485</v>
      </c>
      <c r="E13" s="1142">
        <v>4</v>
      </c>
      <c r="F13" s="1143">
        <v>6</v>
      </c>
      <c r="G13" s="1142">
        <v>10</v>
      </c>
      <c r="H13" s="1142">
        <v>3</v>
      </c>
      <c r="I13" s="1142">
        <v>6</v>
      </c>
      <c r="J13" s="1142">
        <v>11</v>
      </c>
      <c r="K13" s="1142">
        <v>1</v>
      </c>
      <c r="L13" s="1940" t="str">
        <f t="shared" si="2"/>
        <v>Habilidad De Ataque+40</v>
      </c>
      <c r="M13" s="227"/>
      <c r="N13" s="6395"/>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400"/>
      <c r="B14" s="6416"/>
      <c r="C14" s="39" t="s">
        <v>8826</v>
      </c>
      <c r="D14" s="78" t="s">
        <v>7486</v>
      </c>
      <c r="E14" s="1142">
        <v>5</v>
      </c>
      <c r="F14" s="1143">
        <v>8</v>
      </c>
      <c r="G14" s="1142">
        <v>15</v>
      </c>
      <c r="H14" s="1142">
        <v>4</v>
      </c>
      <c r="I14" s="1142">
        <v>8</v>
      </c>
      <c r="J14" s="1142">
        <v>14</v>
      </c>
      <c r="K14" s="1142">
        <v>1</v>
      </c>
      <c r="L14" s="1940" t="str">
        <f t="shared" si="2"/>
        <v>Habilidad De Ataque+50</v>
      </c>
      <c r="M14" s="227"/>
      <c r="N14" s="6395"/>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400"/>
      <c r="B15" s="6416"/>
      <c r="C15" s="39" t="s">
        <v>8826</v>
      </c>
      <c r="D15" s="78" t="s">
        <v>8837</v>
      </c>
      <c r="E15" s="1142">
        <v>9</v>
      </c>
      <c r="F15" s="1143">
        <v>12</v>
      </c>
      <c r="G15" s="1142">
        <v>20</v>
      </c>
      <c r="H15" s="1142">
        <v>6</v>
      </c>
      <c r="I15" s="1142">
        <v>12</v>
      </c>
      <c r="J15" s="1142">
        <v>21</v>
      </c>
      <c r="K15" s="1142">
        <v>1</v>
      </c>
      <c r="L15" s="1940" t="str">
        <f t="shared" si="2"/>
        <v>Habilidad De Ataque+75</v>
      </c>
      <c r="M15" s="227"/>
      <c r="N15" s="6395"/>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400"/>
      <c r="B16" s="6416"/>
      <c r="C16" s="39" t="s">
        <v>8826</v>
      </c>
      <c r="D16" s="78" t="s">
        <v>8841</v>
      </c>
      <c r="E16" s="1142">
        <v>12</v>
      </c>
      <c r="F16" s="1143">
        <v>15</v>
      </c>
      <c r="G16" s="1142">
        <v>25</v>
      </c>
      <c r="H16" s="1142">
        <v>8</v>
      </c>
      <c r="I16" s="1142">
        <v>16</v>
      </c>
      <c r="J16" s="1142">
        <v>28</v>
      </c>
      <c r="K16" s="1142">
        <v>1</v>
      </c>
      <c r="L16" s="1940" t="str">
        <f t="shared" si="2"/>
        <v>Habilidad De Ataque+90</v>
      </c>
      <c r="M16" s="227"/>
      <c r="N16" s="6395"/>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400"/>
      <c r="B17" s="6416"/>
      <c r="C17" s="39" t="s">
        <v>8826</v>
      </c>
      <c r="D17" s="78" t="s">
        <v>8844</v>
      </c>
      <c r="E17" s="1142">
        <v>14</v>
      </c>
      <c r="F17" s="1143">
        <v>18</v>
      </c>
      <c r="G17" s="1142">
        <v>30</v>
      </c>
      <c r="H17" s="1142">
        <v>10</v>
      </c>
      <c r="I17" s="1142">
        <v>20</v>
      </c>
      <c r="J17" s="1142">
        <v>35</v>
      </c>
      <c r="K17" s="1142">
        <v>1</v>
      </c>
      <c r="L17" s="1940" t="str">
        <f t="shared" si="2"/>
        <v>Habilidad De Ataque+100</v>
      </c>
      <c r="M17" s="227"/>
      <c r="N17" s="6395"/>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400"/>
      <c r="B18" s="6416"/>
      <c r="C18" s="39" t="s">
        <v>8826</v>
      </c>
      <c r="D18" s="78" t="s">
        <v>8845</v>
      </c>
      <c r="E18" s="1142">
        <v>18</v>
      </c>
      <c r="F18" s="1143">
        <v>22</v>
      </c>
      <c r="G18" s="1142">
        <v>35</v>
      </c>
      <c r="H18" s="1142">
        <v>12</v>
      </c>
      <c r="I18" s="1142">
        <v>24</v>
      </c>
      <c r="J18" s="1142">
        <v>42</v>
      </c>
      <c r="K18" s="1142">
        <v>2</v>
      </c>
      <c r="L18" s="1940" t="str">
        <f t="shared" si="2"/>
        <v>Habilidad De Ataque+125</v>
      </c>
      <c r="M18" s="227"/>
      <c r="N18" s="6395"/>
      <c r="O18" s="78" t="s">
        <v>2825</v>
      </c>
      <c r="P18" s="78"/>
      <c r="Q18" s="72"/>
      <c r="R18" s="72"/>
      <c r="S18" s="80"/>
      <c r="T18" s="78"/>
      <c r="U18" s="78" t="s">
        <v>6921</v>
      </c>
      <c r="V18" s="78" t="s">
        <v>6921</v>
      </c>
      <c r="W18" s="78" t="s">
        <v>6921</v>
      </c>
      <c r="X18" s="1938" t="b">
        <f t="shared" si="1"/>
        <v>0</v>
      </c>
    </row>
    <row r="19" spans="1:24" ht="12" customHeight="1" x14ac:dyDescent="0.2">
      <c r="A19" s="6400"/>
      <c r="B19" s="6416"/>
      <c r="C19" s="39" t="s">
        <v>8826</v>
      </c>
      <c r="D19" s="78" t="s">
        <v>8847</v>
      </c>
      <c r="E19" s="1142">
        <v>22</v>
      </c>
      <c r="F19" s="1143">
        <v>26</v>
      </c>
      <c r="G19" s="1142">
        <v>40</v>
      </c>
      <c r="H19" s="1142">
        <v>14</v>
      </c>
      <c r="I19" s="1142">
        <v>28</v>
      </c>
      <c r="J19" s="1142">
        <v>49</v>
      </c>
      <c r="K19" s="1142">
        <v>2</v>
      </c>
      <c r="L19" s="1940" t="str">
        <f t="shared" si="2"/>
        <v>Habilidad De Ataque+150</v>
      </c>
      <c r="M19" s="227"/>
      <c r="N19" s="6395"/>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400"/>
      <c r="B20" s="6416"/>
      <c r="C20" s="39" t="s">
        <v>8826</v>
      </c>
      <c r="D20" s="78" t="s">
        <v>8850</v>
      </c>
      <c r="E20" s="1142">
        <v>26</v>
      </c>
      <c r="F20" s="1143">
        <v>32</v>
      </c>
      <c r="G20" s="1142">
        <v>45</v>
      </c>
      <c r="H20" s="1142">
        <v>16</v>
      </c>
      <c r="I20" s="1142">
        <v>32</v>
      </c>
      <c r="J20" s="1142">
        <v>56</v>
      </c>
      <c r="K20" s="1142">
        <v>3</v>
      </c>
      <c r="L20" s="1940" t="str">
        <f t="shared" si="2"/>
        <v>Habilidad De Ataque+175</v>
      </c>
      <c r="M20" s="227"/>
      <c r="N20" s="6395"/>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400"/>
      <c r="B21" s="6416"/>
      <c r="C21" s="39" t="s">
        <v>8826</v>
      </c>
      <c r="D21" s="78" t="s">
        <v>8852</v>
      </c>
      <c r="E21" s="1142">
        <v>30</v>
      </c>
      <c r="F21" s="1143">
        <v>36</v>
      </c>
      <c r="G21" s="1142">
        <v>50</v>
      </c>
      <c r="H21" s="1142">
        <v>18</v>
      </c>
      <c r="I21" s="1142">
        <v>36</v>
      </c>
      <c r="J21" s="1142">
        <v>63</v>
      </c>
      <c r="K21" s="1142">
        <v>3</v>
      </c>
      <c r="L21" s="1940" t="str">
        <f t="shared" si="2"/>
        <v>Habilidad De Ataque+200</v>
      </c>
      <c r="M21" s="227"/>
      <c r="N21" s="6395"/>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400"/>
      <c r="B22" s="6416"/>
      <c r="C22" s="39" t="s">
        <v>8855</v>
      </c>
      <c r="D22" s="78"/>
      <c r="E22" s="1142"/>
      <c r="F22" s="1143"/>
      <c r="G22" s="1142"/>
      <c r="H22" s="1142"/>
      <c r="I22" s="1142"/>
      <c r="J22" s="1142"/>
      <c r="K22" s="1142"/>
      <c r="L22" s="1940" t="str">
        <f t="shared" si="2"/>
        <v>&gt; HABILIDAD DE ATAQUE COMPLETA</v>
      </c>
      <c r="M22" s="227"/>
      <c r="N22" s="6395"/>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400"/>
      <c r="B23" s="6416"/>
      <c r="C23" s="39" t="s">
        <v>8857</v>
      </c>
      <c r="D23" s="78" t="s">
        <v>7483</v>
      </c>
      <c r="E23" s="1142">
        <v>4</v>
      </c>
      <c r="F23" s="1143">
        <v>6</v>
      </c>
      <c r="G23" s="1142">
        <v>10</v>
      </c>
      <c r="H23" s="1142">
        <v>2</v>
      </c>
      <c r="I23" s="1142">
        <v>4</v>
      </c>
      <c r="J23" s="1142">
        <v>7</v>
      </c>
      <c r="K23" s="1142">
        <v>1</v>
      </c>
      <c r="L23" s="1940" t="str">
        <f t="shared" si="2"/>
        <v>Habilidad De Ataque Completa+10</v>
      </c>
      <c r="M23" s="227"/>
      <c r="N23" s="6395"/>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400"/>
      <c r="B24" s="6416"/>
      <c r="C24" s="39" t="s">
        <v>8857</v>
      </c>
      <c r="D24" s="78" t="s">
        <v>7627</v>
      </c>
      <c r="E24" s="1142">
        <v>8</v>
      </c>
      <c r="F24" s="1143">
        <v>11</v>
      </c>
      <c r="G24" s="1142">
        <v>15</v>
      </c>
      <c r="H24" s="1142">
        <v>5</v>
      </c>
      <c r="I24" s="1142">
        <v>10</v>
      </c>
      <c r="J24" s="1142">
        <v>18</v>
      </c>
      <c r="K24" s="1142">
        <v>1</v>
      </c>
      <c r="L24" s="1940" t="str">
        <f t="shared" si="2"/>
        <v>Habilidad De Ataque Completa+25</v>
      </c>
      <c r="M24" s="227"/>
      <c r="N24" s="6395"/>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400"/>
      <c r="B25" s="6416"/>
      <c r="C25" s="39" t="s">
        <v>8857</v>
      </c>
      <c r="D25" s="78" t="s">
        <v>7485</v>
      </c>
      <c r="E25" s="1142">
        <v>10</v>
      </c>
      <c r="F25" s="1143">
        <v>13</v>
      </c>
      <c r="G25" s="1142">
        <v>20</v>
      </c>
      <c r="H25" s="1142">
        <v>8</v>
      </c>
      <c r="I25" s="1142">
        <v>16</v>
      </c>
      <c r="J25" s="1142">
        <v>28</v>
      </c>
      <c r="K25" s="1142">
        <v>1</v>
      </c>
      <c r="L25" s="1940" t="str">
        <f t="shared" si="2"/>
        <v>Habilidad De Ataque Completa+40</v>
      </c>
      <c r="M25" s="227"/>
      <c r="N25" s="6395"/>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400"/>
      <c r="B26" s="6416"/>
      <c r="C26" s="39" t="s">
        <v>8857</v>
      </c>
      <c r="D26" s="78" t="s">
        <v>7486</v>
      </c>
      <c r="E26" s="1142">
        <v>12</v>
      </c>
      <c r="F26" s="1143">
        <v>15</v>
      </c>
      <c r="G26" s="1142">
        <v>30</v>
      </c>
      <c r="H26" s="1142">
        <v>10</v>
      </c>
      <c r="I26" s="1142">
        <v>20</v>
      </c>
      <c r="J26" s="1142">
        <v>35</v>
      </c>
      <c r="K26" s="1142">
        <v>2</v>
      </c>
      <c r="L26" s="1940" t="str">
        <f t="shared" si="2"/>
        <v>Habilidad De Ataque Completa+50</v>
      </c>
      <c r="M26" s="227"/>
      <c r="N26" s="6395"/>
      <c r="O26" s="78" t="s">
        <v>9028</v>
      </c>
      <c r="P26" s="78"/>
      <c r="Q26" s="72"/>
      <c r="R26" s="72"/>
      <c r="S26" s="80"/>
      <c r="T26" s="78"/>
      <c r="U26" s="78" t="s">
        <v>6921</v>
      </c>
      <c r="V26" s="78" t="s">
        <v>6921</v>
      </c>
      <c r="W26" s="78" t="s">
        <v>6921</v>
      </c>
      <c r="X26" s="1938" t="b">
        <f t="shared" si="1"/>
        <v>0</v>
      </c>
    </row>
    <row r="27" spans="1:24" ht="12" customHeight="1" x14ac:dyDescent="0.2">
      <c r="A27" s="6400"/>
      <c r="B27" s="6416"/>
      <c r="C27" s="39" t="s">
        <v>8857</v>
      </c>
      <c r="D27" s="78" t="s">
        <v>8837</v>
      </c>
      <c r="E27" s="1142">
        <v>18</v>
      </c>
      <c r="F27" s="1143">
        <v>22</v>
      </c>
      <c r="G27" s="1142">
        <v>50</v>
      </c>
      <c r="H27" s="1142">
        <v>14</v>
      </c>
      <c r="I27" s="1142">
        <v>28</v>
      </c>
      <c r="J27" s="1142">
        <v>49</v>
      </c>
      <c r="K27" s="1142">
        <v>2</v>
      </c>
      <c r="L27" s="1940" t="str">
        <f t="shared" si="2"/>
        <v>Habilidad De Ataque Completa+75</v>
      </c>
      <c r="M27" s="227"/>
      <c r="N27" s="6395"/>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400"/>
      <c r="B28" s="6416"/>
      <c r="C28" s="39" t="s">
        <v>8857</v>
      </c>
      <c r="D28" s="78" t="s">
        <v>8841</v>
      </c>
      <c r="E28" s="1142">
        <v>24</v>
      </c>
      <c r="F28" s="1143">
        <v>29</v>
      </c>
      <c r="G28" s="1142">
        <v>60</v>
      </c>
      <c r="H28" s="1142">
        <v>18</v>
      </c>
      <c r="I28" s="1142">
        <v>36</v>
      </c>
      <c r="J28" s="1142">
        <v>63</v>
      </c>
      <c r="K28" s="1142">
        <v>3</v>
      </c>
      <c r="L28" s="1940" t="str">
        <f t="shared" si="2"/>
        <v>Habilidad De Ataque Completa+90</v>
      </c>
      <c r="M28" s="227"/>
      <c r="N28" s="6395"/>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400"/>
      <c r="B29" s="6416"/>
      <c r="C29" s="39" t="s">
        <v>8857</v>
      </c>
      <c r="D29" s="78" t="s">
        <v>8844</v>
      </c>
      <c r="E29" s="1142">
        <v>28</v>
      </c>
      <c r="F29" s="1143">
        <v>32</v>
      </c>
      <c r="G29" s="1142">
        <v>70</v>
      </c>
      <c r="H29" s="1142">
        <v>20</v>
      </c>
      <c r="I29" s="1142">
        <v>40</v>
      </c>
      <c r="J29" s="1142">
        <v>70</v>
      </c>
      <c r="K29" s="1142">
        <v>3</v>
      </c>
      <c r="L29" s="1940" t="str">
        <f t="shared" si="2"/>
        <v>Habilidad De Ataque Completa+100</v>
      </c>
      <c r="M29" s="227"/>
      <c r="N29" s="6395"/>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400"/>
      <c r="B30" s="6416"/>
      <c r="C30" s="39" t="s">
        <v>8870</v>
      </c>
      <c r="D30" s="78"/>
      <c r="E30" s="1142"/>
      <c r="F30" s="1143"/>
      <c r="G30" s="1142"/>
      <c r="H30" s="1142"/>
      <c r="I30" s="1142"/>
      <c r="J30" s="1142"/>
      <c r="K30" s="1142"/>
      <c r="L30" s="1940" t="str">
        <f t="shared" si="2"/>
        <v>&gt; ATAQUE PREDETERMINADO</v>
      </c>
      <c r="M30" s="227"/>
      <c r="N30" s="6395"/>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400"/>
      <c r="B31" s="6416"/>
      <c r="C31" s="39" t="s">
        <v>8827</v>
      </c>
      <c r="D31" s="78" t="s">
        <v>8872</v>
      </c>
      <c r="E31" s="1142">
        <v>2</v>
      </c>
      <c r="F31" s="1143">
        <v>4</v>
      </c>
      <c r="G31" s="1142">
        <v>5</v>
      </c>
      <c r="H31" s="1142">
        <v>1</v>
      </c>
      <c r="I31" s="1142">
        <v>2</v>
      </c>
      <c r="J31" s="1142">
        <v>4</v>
      </c>
      <c r="K31" s="1142">
        <v>1</v>
      </c>
      <c r="L31" s="1940" t="str">
        <f t="shared" si="2"/>
        <v>Ataque PredeterminadoMedia (80)</v>
      </c>
      <c r="M31" s="227"/>
      <c r="N31" s="6395"/>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400"/>
      <c r="B32" s="6416"/>
      <c r="C32" s="39" t="s">
        <v>8827</v>
      </c>
      <c r="D32" s="78" t="s">
        <v>8873</v>
      </c>
      <c r="E32" s="1142">
        <v>4</v>
      </c>
      <c r="F32" s="1143">
        <v>6</v>
      </c>
      <c r="G32" s="1142">
        <v>5</v>
      </c>
      <c r="H32" s="1142">
        <v>2</v>
      </c>
      <c r="I32" s="1142">
        <v>4</v>
      </c>
      <c r="J32" s="1142">
        <v>7</v>
      </c>
      <c r="K32" s="1142">
        <v>1</v>
      </c>
      <c r="L32" s="1940" t="str">
        <f t="shared" si="2"/>
        <v>Ataque PredeterminadoDifícil (120)</v>
      </c>
      <c r="M32" s="227"/>
      <c r="N32" s="6395"/>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400"/>
      <c r="B33" s="6416"/>
      <c r="C33" s="39" t="s">
        <v>8827</v>
      </c>
      <c r="D33" s="78" t="s">
        <v>8876</v>
      </c>
      <c r="E33" s="1142">
        <v>6</v>
      </c>
      <c r="F33" s="1143">
        <v>9</v>
      </c>
      <c r="G33" s="1142">
        <v>5</v>
      </c>
      <c r="H33" s="1142">
        <v>3</v>
      </c>
      <c r="I33" s="1142">
        <v>6</v>
      </c>
      <c r="J33" s="1142">
        <v>11</v>
      </c>
      <c r="K33" s="1142">
        <v>1</v>
      </c>
      <c r="L33" s="1940" t="str">
        <f t="shared" si="2"/>
        <v>Ataque PredeterminadoMuy Difícil (140)</v>
      </c>
      <c r="M33" s="227"/>
      <c r="N33" s="6395"/>
      <c r="O33" s="78" t="s">
        <v>2846</v>
      </c>
      <c r="P33" s="78"/>
      <c r="Q33" s="72"/>
      <c r="R33" s="72"/>
      <c r="S33" s="80"/>
      <c r="T33" s="78" t="s">
        <v>2764</v>
      </c>
      <c r="U33" s="78" t="s">
        <v>6921</v>
      </c>
      <c r="V33" s="78" t="s">
        <v>6921</v>
      </c>
      <c r="W33" s="78" t="s">
        <v>2764</v>
      </c>
      <c r="X33" s="1938" t="b">
        <f t="shared" si="1"/>
        <v>0</v>
      </c>
    </row>
    <row r="34" spans="1:24" ht="12" customHeight="1" x14ac:dyDescent="0.2">
      <c r="A34" s="6400"/>
      <c r="B34" s="6416"/>
      <c r="C34" s="39" t="s">
        <v>8827</v>
      </c>
      <c r="D34" s="78" t="s">
        <v>8878</v>
      </c>
      <c r="E34" s="1142">
        <v>8</v>
      </c>
      <c r="F34" s="1143">
        <v>11</v>
      </c>
      <c r="G34" s="1142">
        <v>10</v>
      </c>
      <c r="H34" s="1142">
        <v>4</v>
      </c>
      <c r="I34" s="1142">
        <v>8</v>
      </c>
      <c r="J34" s="1142">
        <v>14</v>
      </c>
      <c r="K34" s="1142">
        <v>1</v>
      </c>
      <c r="L34" s="1940" t="str">
        <f t="shared" si="2"/>
        <v>Ataque PredeterminadoAbsurdo (180)</v>
      </c>
      <c r="M34" s="227"/>
      <c r="N34" s="6395"/>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400"/>
      <c r="B35" s="6416"/>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5"/>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400"/>
      <c r="B36" s="6416"/>
      <c r="C36" s="39" t="s">
        <v>8827</v>
      </c>
      <c r="D36" s="78" t="s">
        <v>8884</v>
      </c>
      <c r="E36" s="1142">
        <v>16</v>
      </c>
      <c r="F36" s="1143">
        <v>20</v>
      </c>
      <c r="G36" s="1142">
        <v>25</v>
      </c>
      <c r="H36" s="1142">
        <v>8</v>
      </c>
      <c r="I36" s="1142">
        <v>16</v>
      </c>
      <c r="J36" s="1142">
        <v>28</v>
      </c>
      <c r="K36" s="1142">
        <v>2</v>
      </c>
      <c r="L36" s="1940" t="str">
        <f t="shared" si="2"/>
        <v>Ataque PredeterminadoImposible (280)</v>
      </c>
      <c r="M36" s="227"/>
      <c r="N36" s="6395"/>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400"/>
      <c r="B37" s="6416"/>
      <c r="C37" s="39" t="s">
        <v>8827</v>
      </c>
      <c r="D37" s="78" t="s">
        <v>8885</v>
      </c>
      <c r="E37" s="1142">
        <v>20</v>
      </c>
      <c r="F37" s="1143">
        <v>24</v>
      </c>
      <c r="G37" s="1142">
        <v>35</v>
      </c>
      <c r="H37" s="1142">
        <v>10</v>
      </c>
      <c r="I37" s="1142">
        <v>20</v>
      </c>
      <c r="J37" s="1142">
        <v>35</v>
      </c>
      <c r="K37" s="1142">
        <v>2</v>
      </c>
      <c r="L37" s="1940" t="str">
        <f t="shared" si="2"/>
        <v>Ataque PredeterminadoInhumano (320)</v>
      </c>
      <c r="M37" s="227"/>
      <c r="N37" s="6395"/>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400"/>
      <c r="B38" s="6416"/>
      <c r="C38" s="39" t="s">
        <v>8827</v>
      </c>
      <c r="D38" s="78" t="s">
        <v>8887</v>
      </c>
      <c r="E38" s="1142">
        <v>26</v>
      </c>
      <c r="F38" s="1143">
        <v>32</v>
      </c>
      <c r="G38" s="1142">
        <v>45</v>
      </c>
      <c r="H38" s="1142">
        <v>12</v>
      </c>
      <c r="I38" s="1142">
        <v>24</v>
      </c>
      <c r="J38" s="1142">
        <v>42</v>
      </c>
      <c r="K38" s="1142">
        <v>3</v>
      </c>
      <c r="L38" s="1940" t="str">
        <f t="shared" si="2"/>
        <v>Ataque PredeterminadoZen (440)</v>
      </c>
      <c r="M38" s="227"/>
      <c r="N38" s="6395"/>
      <c r="O38" s="78" t="s">
        <v>2856</v>
      </c>
      <c r="P38" s="78"/>
      <c r="Q38" s="72"/>
      <c r="R38" s="72"/>
      <c r="S38" s="80"/>
      <c r="T38" s="78" t="s">
        <v>6921</v>
      </c>
      <c r="U38" s="78" t="s">
        <v>6921</v>
      </c>
      <c r="V38" s="78" t="s">
        <v>6921</v>
      </c>
      <c r="W38" s="78" t="s">
        <v>6921</v>
      </c>
      <c r="X38" s="1938" t="b">
        <f t="shared" si="1"/>
        <v>0</v>
      </c>
    </row>
    <row r="39" spans="1:24" ht="12" customHeight="1" x14ac:dyDescent="0.2">
      <c r="A39" s="6400"/>
      <c r="B39" s="6416"/>
      <c r="C39" s="39" t="s">
        <v>8890</v>
      </c>
      <c r="D39" s="78"/>
      <c r="E39" s="1142"/>
      <c r="F39" s="1143"/>
      <c r="G39" s="1142"/>
      <c r="H39" s="1142"/>
      <c r="I39" s="1142"/>
      <c r="J39" s="1142"/>
      <c r="K39" s="1142"/>
      <c r="L39" s="1940" t="str">
        <f t="shared" si="2"/>
        <v>&gt; HABILIDAD DE CONTRAATAQUE</v>
      </c>
      <c r="M39" s="227"/>
      <c r="N39" s="6395"/>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400"/>
      <c r="B40" s="6416"/>
      <c r="C40" s="39" t="s">
        <v>8893</v>
      </c>
      <c r="D40" s="78" t="s">
        <v>7483</v>
      </c>
      <c r="E40" s="1142">
        <v>1</v>
      </c>
      <c r="F40" s="1143">
        <v>2</v>
      </c>
      <c r="G40" s="1142">
        <v>5</v>
      </c>
      <c r="H40" s="1142">
        <v>1</v>
      </c>
      <c r="I40" s="1142">
        <v>2</v>
      </c>
      <c r="J40" s="1142">
        <v>4</v>
      </c>
      <c r="K40" s="1142">
        <v>1</v>
      </c>
      <c r="L40" s="1940" t="str">
        <f t="shared" si="2"/>
        <v>Habilidad De Contraataque+10</v>
      </c>
      <c r="M40" s="227"/>
      <c r="N40" s="6395"/>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400"/>
      <c r="B41" s="6416"/>
      <c r="C41" s="39" t="s">
        <v>8893</v>
      </c>
      <c r="D41" s="78" t="s">
        <v>7627</v>
      </c>
      <c r="E41" s="1142">
        <v>2</v>
      </c>
      <c r="F41" s="1143">
        <v>4</v>
      </c>
      <c r="G41" s="1142">
        <v>5</v>
      </c>
      <c r="H41" s="1142">
        <v>2</v>
      </c>
      <c r="I41" s="1142">
        <v>4</v>
      </c>
      <c r="J41" s="1142">
        <v>7</v>
      </c>
      <c r="K41" s="1142">
        <v>1</v>
      </c>
      <c r="L41" s="1940" t="str">
        <f t="shared" si="2"/>
        <v>Habilidad De Contraataque+25</v>
      </c>
      <c r="M41" s="227"/>
      <c r="N41" s="6395"/>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400"/>
      <c r="B42" s="6416"/>
      <c r="C42" s="39" t="s">
        <v>8893</v>
      </c>
      <c r="D42" s="78" t="s">
        <v>7485</v>
      </c>
      <c r="E42" s="1142">
        <v>3</v>
      </c>
      <c r="F42" s="1143">
        <v>5</v>
      </c>
      <c r="G42" s="1142">
        <v>10</v>
      </c>
      <c r="H42" s="1142">
        <v>3</v>
      </c>
      <c r="I42" s="1142">
        <v>6</v>
      </c>
      <c r="J42" s="1142">
        <v>11</v>
      </c>
      <c r="K42" s="1142">
        <v>1</v>
      </c>
      <c r="L42" s="1940" t="str">
        <f t="shared" si="2"/>
        <v>Habilidad De Contraataque+40</v>
      </c>
      <c r="M42" s="227"/>
      <c r="N42" s="6395"/>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400"/>
      <c r="B43" s="6416"/>
      <c r="C43" s="39" t="s">
        <v>8893</v>
      </c>
      <c r="D43" s="78" t="s">
        <v>7486</v>
      </c>
      <c r="E43" s="1142">
        <v>4</v>
      </c>
      <c r="F43" s="1143">
        <v>6</v>
      </c>
      <c r="G43" s="1142">
        <v>10</v>
      </c>
      <c r="H43" s="1142">
        <v>4</v>
      </c>
      <c r="I43" s="1142">
        <v>8</v>
      </c>
      <c r="J43" s="1142">
        <v>14</v>
      </c>
      <c r="K43" s="1142">
        <v>1</v>
      </c>
      <c r="L43" s="1940" t="str">
        <f t="shared" si="2"/>
        <v>Habilidad De Contraataque+50</v>
      </c>
      <c r="M43" s="227"/>
      <c r="N43" s="6395"/>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400"/>
      <c r="B44" s="6416"/>
      <c r="C44" s="39" t="s">
        <v>8893</v>
      </c>
      <c r="D44" s="78" t="s">
        <v>8837</v>
      </c>
      <c r="E44" s="1142">
        <v>6</v>
      </c>
      <c r="F44" s="1143">
        <v>9</v>
      </c>
      <c r="G44" s="1142">
        <v>15</v>
      </c>
      <c r="H44" s="1142">
        <v>6</v>
      </c>
      <c r="I44" s="1142">
        <v>12</v>
      </c>
      <c r="J44" s="1142">
        <v>21</v>
      </c>
      <c r="K44" s="1142">
        <v>1</v>
      </c>
      <c r="L44" s="1940" t="str">
        <f t="shared" si="2"/>
        <v>Habilidad De Contraataque+75</v>
      </c>
      <c r="M44" s="227"/>
      <c r="N44" s="6395"/>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400"/>
      <c r="B45" s="6416"/>
      <c r="C45" s="39" t="s">
        <v>8893</v>
      </c>
      <c r="D45" s="78" t="s">
        <v>8841</v>
      </c>
      <c r="E45" s="1142">
        <v>9</v>
      </c>
      <c r="F45" s="1143">
        <v>12</v>
      </c>
      <c r="G45" s="1142">
        <v>20</v>
      </c>
      <c r="H45" s="1142">
        <v>8</v>
      </c>
      <c r="I45" s="1142">
        <v>16</v>
      </c>
      <c r="J45" s="1142">
        <v>28</v>
      </c>
      <c r="K45" s="1142">
        <v>1</v>
      </c>
      <c r="L45" s="1940" t="str">
        <f t="shared" si="2"/>
        <v>Habilidad De Contraataque+90</v>
      </c>
      <c r="M45" s="227"/>
      <c r="N45" s="6395"/>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400"/>
      <c r="B46" s="6416"/>
      <c r="C46" s="39" t="s">
        <v>8893</v>
      </c>
      <c r="D46" s="78" t="s">
        <v>8844</v>
      </c>
      <c r="E46" s="1142">
        <v>12</v>
      </c>
      <c r="F46" s="1143">
        <v>15</v>
      </c>
      <c r="G46" s="1142">
        <v>25</v>
      </c>
      <c r="H46" s="1142">
        <v>10</v>
      </c>
      <c r="I46" s="1142">
        <v>20</v>
      </c>
      <c r="J46" s="1142">
        <v>35</v>
      </c>
      <c r="K46" s="1142">
        <v>1</v>
      </c>
      <c r="L46" s="1940" t="str">
        <f t="shared" si="2"/>
        <v>Habilidad De Contraataque+100</v>
      </c>
      <c r="M46" s="227"/>
      <c r="N46" s="6395"/>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400"/>
      <c r="B47" s="6416"/>
      <c r="C47" s="39" t="s">
        <v>8893</v>
      </c>
      <c r="D47" s="78" t="s">
        <v>8845</v>
      </c>
      <c r="E47" s="1142">
        <v>14</v>
      </c>
      <c r="F47" s="1143">
        <v>18</v>
      </c>
      <c r="G47" s="1142">
        <v>30</v>
      </c>
      <c r="H47" s="1142">
        <v>12</v>
      </c>
      <c r="I47" s="1142">
        <v>24</v>
      </c>
      <c r="J47" s="1142">
        <v>42</v>
      </c>
      <c r="K47" s="1142">
        <v>2</v>
      </c>
      <c r="L47" s="1940" t="str">
        <f t="shared" si="2"/>
        <v>Habilidad De Contraataque+125</v>
      </c>
      <c r="M47" s="227"/>
      <c r="N47" s="6395"/>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400"/>
      <c r="B48" s="6416"/>
      <c r="C48" s="39" t="s">
        <v>8893</v>
      </c>
      <c r="D48" s="78" t="s">
        <v>8847</v>
      </c>
      <c r="E48" s="1142">
        <v>18</v>
      </c>
      <c r="F48" s="1143">
        <v>22</v>
      </c>
      <c r="G48" s="1142">
        <v>35</v>
      </c>
      <c r="H48" s="1142">
        <v>14</v>
      </c>
      <c r="I48" s="1142">
        <v>28</v>
      </c>
      <c r="J48" s="1142">
        <v>49</v>
      </c>
      <c r="K48" s="1142">
        <v>2</v>
      </c>
      <c r="L48" s="1940" t="str">
        <f t="shared" si="2"/>
        <v>Habilidad De Contraataque+150</v>
      </c>
      <c r="M48" s="227"/>
      <c r="N48" s="6395"/>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400"/>
      <c r="B49" s="6416"/>
      <c r="C49" s="39" t="s">
        <v>8893</v>
      </c>
      <c r="D49" s="78" t="s">
        <v>8850</v>
      </c>
      <c r="E49" s="1142">
        <v>22</v>
      </c>
      <c r="F49" s="1143">
        <v>26</v>
      </c>
      <c r="G49" s="1142">
        <v>40</v>
      </c>
      <c r="H49" s="1142">
        <v>16</v>
      </c>
      <c r="I49" s="1142">
        <v>32</v>
      </c>
      <c r="J49" s="1142">
        <v>56</v>
      </c>
      <c r="K49" s="1142">
        <v>3</v>
      </c>
      <c r="L49" s="1940" t="str">
        <f t="shared" si="2"/>
        <v>Habilidad De Contraataque+175</v>
      </c>
      <c r="M49" s="227"/>
      <c r="N49" s="6395"/>
      <c r="O49" s="78" t="s">
        <v>2880</v>
      </c>
      <c r="P49" s="78"/>
      <c r="Q49" s="72"/>
      <c r="R49" s="72"/>
      <c r="S49" s="80"/>
      <c r="T49" s="78" t="s">
        <v>6921</v>
      </c>
      <c r="U49" s="78" t="s">
        <v>6921</v>
      </c>
      <c r="V49" s="78" t="s">
        <v>6921</v>
      </c>
      <c r="W49" s="78" t="s">
        <v>6921</v>
      </c>
      <c r="X49" s="1938" t="b">
        <f t="shared" si="4"/>
        <v>0</v>
      </c>
    </row>
    <row r="50" spans="1:24" ht="12" customHeight="1" x14ac:dyDescent="0.2">
      <c r="A50" s="6400"/>
      <c r="B50" s="6416"/>
      <c r="C50" s="39" t="s">
        <v>8893</v>
      </c>
      <c r="D50" s="78" t="s">
        <v>8852</v>
      </c>
      <c r="E50" s="1142">
        <v>26</v>
      </c>
      <c r="F50" s="1143">
        <v>32</v>
      </c>
      <c r="G50" s="1142">
        <v>45</v>
      </c>
      <c r="H50" s="1142">
        <v>18</v>
      </c>
      <c r="I50" s="1142">
        <v>36</v>
      </c>
      <c r="J50" s="1142">
        <v>63</v>
      </c>
      <c r="K50" s="1142">
        <v>3</v>
      </c>
      <c r="L50" s="1940" t="str">
        <f t="shared" si="2"/>
        <v>Habilidad De Contraataque+200</v>
      </c>
      <c r="M50" s="227"/>
      <c r="N50" s="6395"/>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400"/>
      <c r="B51" s="6416"/>
      <c r="C51" s="39" t="s">
        <v>8914</v>
      </c>
      <c r="D51" s="78"/>
      <c r="E51" s="1142"/>
      <c r="F51" s="1143"/>
      <c r="G51" s="1142"/>
      <c r="H51" s="1142"/>
      <c r="I51" s="1142"/>
      <c r="J51" s="1142"/>
      <c r="K51" s="1142"/>
      <c r="L51" s="1940" t="str">
        <f t="shared" si="2"/>
        <v>&gt; MANIOBRAS DE COMBATE Y APUNTAR</v>
      </c>
      <c r="M51" s="227"/>
      <c r="N51" s="6395"/>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400"/>
      <c r="B52" s="6416"/>
      <c r="C52" s="39" t="s">
        <v>8916</v>
      </c>
      <c r="D52" s="78" t="s">
        <v>8917</v>
      </c>
      <c r="E52" s="1142">
        <v>1</v>
      </c>
      <c r="F52" s="1143">
        <v>2</v>
      </c>
      <c r="G52" s="1142">
        <v>5</v>
      </c>
      <c r="H52" s="1142">
        <v>1</v>
      </c>
      <c r="I52" s="1142">
        <v>2</v>
      </c>
      <c r="J52" s="1142">
        <v>4</v>
      </c>
      <c r="K52" s="1142">
        <v>1</v>
      </c>
      <c r="L52" s="1940" t="str">
        <f t="shared" si="2"/>
        <v>Maniobras De Combate Y Apuntar-10</v>
      </c>
      <c r="M52" s="227"/>
      <c r="N52" s="6395"/>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400"/>
      <c r="B53" s="6416"/>
      <c r="C53" s="39" t="s">
        <v>8916</v>
      </c>
      <c r="D53" s="78" t="s">
        <v>8918</v>
      </c>
      <c r="E53" s="1142">
        <v>2</v>
      </c>
      <c r="F53" s="1143">
        <v>4</v>
      </c>
      <c r="G53" s="1142">
        <v>5</v>
      </c>
      <c r="H53" s="1142">
        <v>1</v>
      </c>
      <c r="I53" s="1142">
        <v>2</v>
      </c>
      <c r="J53" s="1142">
        <v>4</v>
      </c>
      <c r="K53" s="1142">
        <v>1</v>
      </c>
      <c r="L53" s="1940" t="str">
        <f t="shared" si="2"/>
        <v>Maniobras De Combate Y Apuntar-25</v>
      </c>
      <c r="M53" s="227"/>
      <c r="N53" s="6395"/>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400"/>
      <c r="B54" s="6416"/>
      <c r="C54" s="39" t="s">
        <v>8916</v>
      </c>
      <c r="D54" s="78" t="s">
        <v>8921</v>
      </c>
      <c r="E54" s="1142">
        <v>3</v>
      </c>
      <c r="F54" s="1143">
        <v>5</v>
      </c>
      <c r="G54" s="1142">
        <v>10</v>
      </c>
      <c r="H54" s="1142">
        <v>2</v>
      </c>
      <c r="I54" s="1142">
        <v>4</v>
      </c>
      <c r="J54" s="1142">
        <v>7</v>
      </c>
      <c r="K54" s="1142">
        <v>1</v>
      </c>
      <c r="L54" s="1940" t="str">
        <f t="shared" si="2"/>
        <v>Maniobras De Combate Y Apuntar-50</v>
      </c>
      <c r="M54" s="227"/>
      <c r="N54" s="6395"/>
      <c r="O54" s="78" t="s">
        <v>2891</v>
      </c>
      <c r="P54" s="78"/>
      <c r="Q54" s="72"/>
      <c r="R54" s="72"/>
      <c r="S54" s="80"/>
      <c r="T54" s="78" t="s">
        <v>6921</v>
      </c>
      <c r="U54" s="78" t="s">
        <v>6921</v>
      </c>
      <c r="V54" s="78" t="s">
        <v>6921</v>
      </c>
      <c r="W54" s="78" t="s">
        <v>6921</v>
      </c>
      <c r="X54" s="1938" t="b">
        <f t="shared" si="4"/>
        <v>0</v>
      </c>
    </row>
    <row r="55" spans="1:24" ht="12" customHeight="1" x14ac:dyDescent="0.2">
      <c r="A55" s="6400"/>
      <c r="B55" s="6416"/>
      <c r="C55" s="39" t="s">
        <v>8916</v>
      </c>
      <c r="D55" s="78" t="s">
        <v>8924</v>
      </c>
      <c r="E55" s="1142">
        <v>4</v>
      </c>
      <c r="F55" s="1143">
        <v>6</v>
      </c>
      <c r="G55" s="1142">
        <v>10</v>
      </c>
      <c r="H55" s="1142">
        <v>2</v>
      </c>
      <c r="I55" s="1142">
        <v>4</v>
      </c>
      <c r="J55" s="1142">
        <v>7</v>
      </c>
      <c r="K55" s="1142">
        <v>2</v>
      </c>
      <c r="L55" s="1940" t="str">
        <f t="shared" si="2"/>
        <v>Maniobras De Combate Y Apuntar-75</v>
      </c>
      <c r="M55" s="227"/>
      <c r="N55" s="6395"/>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400"/>
      <c r="B56" s="6416"/>
      <c r="C56" s="39" t="s">
        <v>8916</v>
      </c>
      <c r="D56" s="78" t="s">
        <v>8927</v>
      </c>
      <c r="E56" s="1142">
        <v>6</v>
      </c>
      <c r="F56" s="1143">
        <v>9</v>
      </c>
      <c r="G56" s="1142">
        <v>15</v>
      </c>
      <c r="H56" s="1142">
        <v>3</v>
      </c>
      <c r="I56" s="1142">
        <v>6</v>
      </c>
      <c r="J56" s="1142">
        <v>11</v>
      </c>
      <c r="K56" s="1142">
        <v>2</v>
      </c>
      <c r="L56" s="1940" t="str">
        <f t="shared" si="2"/>
        <v>Maniobras De Combate Y Apuntar-100</v>
      </c>
      <c r="M56" s="227"/>
      <c r="N56" s="6395"/>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400"/>
      <c r="B57" s="6416"/>
      <c r="C57" s="39" t="s">
        <v>8916</v>
      </c>
      <c r="D57" s="78" t="s">
        <v>8929</v>
      </c>
      <c r="E57" s="1142">
        <v>8</v>
      </c>
      <c r="F57" s="1143">
        <v>11</v>
      </c>
      <c r="G57" s="1142">
        <v>20</v>
      </c>
      <c r="H57" s="1142">
        <v>3</v>
      </c>
      <c r="I57" s="1142">
        <v>6</v>
      </c>
      <c r="J57" s="1142">
        <v>11</v>
      </c>
      <c r="K57" s="1142">
        <v>3</v>
      </c>
      <c r="L57" s="1940" t="str">
        <f t="shared" si="2"/>
        <v>Maniobras De Combate Y Apuntar-120</v>
      </c>
      <c r="M57" s="227"/>
      <c r="N57" s="6395"/>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400"/>
      <c r="B58" s="6416"/>
      <c r="C58" s="39" t="s">
        <v>8931</v>
      </c>
      <c r="D58" s="78"/>
      <c r="E58" s="1142"/>
      <c r="F58" s="1143"/>
      <c r="G58" s="1142"/>
      <c r="H58" s="1142"/>
      <c r="I58" s="1142"/>
      <c r="J58" s="1142"/>
      <c r="K58" s="1142"/>
      <c r="L58" s="1940" t="str">
        <f t="shared" si="2"/>
        <v>&gt; MANIOBRAS DE COMBATE Y APUNTAR REALES</v>
      </c>
      <c r="M58" s="227"/>
      <c r="N58" s="6395"/>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400"/>
      <c r="B59" s="6416"/>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5"/>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400"/>
      <c r="B60" s="6416"/>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5"/>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400"/>
      <c r="B61" s="6416"/>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5"/>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400"/>
      <c r="B62" s="6416"/>
      <c r="C62" s="39" t="s">
        <v>8942</v>
      </c>
      <c r="D62" s="78"/>
      <c r="E62" s="1142"/>
      <c r="F62" s="1143"/>
      <c r="G62" s="1142"/>
      <c r="H62" s="1142"/>
      <c r="I62" s="1142"/>
      <c r="J62" s="1142"/>
      <c r="K62" s="1142"/>
      <c r="L62" s="1940" t="str">
        <f t="shared" si="2"/>
        <v>&gt; ATAQUE INDIRECTO</v>
      </c>
      <c r="M62" s="227"/>
      <c r="N62" s="6395"/>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400"/>
      <c r="B63" s="6416"/>
      <c r="C63" s="39" t="s">
        <v>8838</v>
      </c>
      <c r="D63" s="78" t="s">
        <v>9076</v>
      </c>
      <c r="E63" s="1142">
        <v>3</v>
      </c>
      <c r="F63" s="1143">
        <v>5</v>
      </c>
      <c r="G63" s="1142">
        <v>10</v>
      </c>
      <c r="H63" s="1142">
        <v>2</v>
      </c>
      <c r="I63" s="1142">
        <v>4</v>
      </c>
      <c r="J63" s="1142">
        <v>7</v>
      </c>
      <c r="K63" s="1142">
        <v>1</v>
      </c>
      <c r="L63" s="1940" t="str">
        <f t="shared" si="2"/>
        <v>Ataque IndirectoNv 1</v>
      </c>
      <c r="M63" s="227"/>
      <c r="N63" s="6395"/>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400"/>
      <c r="B64" s="6416"/>
      <c r="C64" s="39" t="s">
        <v>8838</v>
      </c>
      <c r="D64" s="78" t="s">
        <v>9078</v>
      </c>
      <c r="E64" s="1142">
        <v>6</v>
      </c>
      <c r="F64" s="1143">
        <v>9</v>
      </c>
      <c r="G64" s="1142">
        <v>20</v>
      </c>
      <c r="H64" s="1142">
        <v>4</v>
      </c>
      <c r="I64" s="1142">
        <v>8</v>
      </c>
      <c r="J64" s="1142">
        <v>14</v>
      </c>
      <c r="K64" s="1142">
        <v>2</v>
      </c>
      <c r="L64" s="1940" t="str">
        <f t="shared" si="2"/>
        <v>Ataque IndirectoNv 2</v>
      </c>
      <c r="M64" s="227"/>
      <c r="N64" s="6395"/>
      <c r="O64" s="78" t="s">
        <v>2910</v>
      </c>
      <c r="P64" s="78"/>
      <c r="Q64" s="72"/>
      <c r="R64" s="72"/>
      <c r="S64" s="80"/>
      <c r="T64" s="78" t="s">
        <v>6921</v>
      </c>
      <c r="U64" s="78" t="s">
        <v>6921</v>
      </c>
      <c r="V64" s="78" t="s">
        <v>6921</v>
      </c>
      <c r="W64" s="78" t="s">
        <v>6921</v>
      </c>
      <c r="X64" s="1938" t="b">
        <f t="shared" si="4"/>
        <v>0</v>
      </c>
    </row>
    <row r="65" spans="1:24" ht="12" customHeight="1" x14ac:dyDescent="0.2">
      <c r="A65" s="6400"/>
      <c r="B65" s="6416"/>
      <c r="C65" s="39" t="s">
        <v>8838</v>
      </c>
      <c r="D65" s="78" t="s">
        <v>9079</v>
      </c>
      <c r="E65" s="1142">
        <v>9</v>
      </c>
      <c r="F65" s="1143">
        <v>12</v>
      </c>
      <c r="G65" s="1142">
        <v>30</v>
      </c>
      <c r="H65" s="1142">
        <v>6</v>
      </c>
      <c r="I65" s="1142">
        <v>12</v>
      </c>
      <c r="J65" s="1142">
        <v>21</v>
      </c>
      <c r="K65" s="1142">
        <v>3</v>
      </c>
      <c r="L65" s="1940" t="str">
        <f t="shared" si="2"/>
        <v>Ataque IndirectoNv 3</v>
      </c>
      <c r="M65" s="227"/>
      <c r="N65" s="6395"/>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400"/>
      <c r="B66" s="6416"/>
      <c r="C66" s="39" t="s">
        <v>8947</v>
      </c>
      <c r="D66" s="78"/>
      <c r="E66" s="1142"/>
      <c r="F66" s="1143"/>
      <c r="G66" s="1142"/>
      <c r="H66" s="1142"/>
      <c r="I66" s="1142"/>
      <c r="J66" s="1142"/>
      <c r="K66" s="1142"/>
      <c r="L66" s="1940" t="str">
        <f t="shared" si="2"/>
        <v>&gt; CAMUFLAR ATAQUE</v>
      </c>
      <c r="M66" s="227"/>
      <c r="N66" s="6395"/>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400"/>
      <c r="B67" s="6416"/>
      <c r="C67" s="39" t="s">
        <v>8842</v>
      </c>
      <c r="D67" s="78" t="s">
        <v>8872</v>
      </c>
      <c r="E67" s="1142">
        <v>1</v>
      </c>
      <c r="F67" s="1143">
        <v>2</v>
      </c>
      <c r="G67" s="1142">
        <v>5</v>
      </c>
      <c r="H67" s="1142">
        <v>1</v>
      </c>
      <c r="I67" s="1142">
        <v>2</v>
      </c>
      <c r="J67" s="1142">
        <v>4</v>
      </c>
      <c r="K67" s="1142">
        <v>1</v>
      </c>
      <c r="L67" s="1940" t="str">
        <f t="shared" si="2"/>
        <v>Camuflar AtaqueMedia (80)</v>
      </c>
      <c r="M67" s="227"/>
      <c r="N67" s="6395"/>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400"/>
      <c r="B68" s="6416"/>
      <c r="C68" s="39" t="s">
        <v>8842</v>
      </c>
      <c r="D68" s="78" t="s">
        <v>8873</v>
      </c>
      <c r="E68" s="1142">
        <v>2</v>
      </c>
      <c r="F68" s="1143">
        <v>4</v>
      </c>
      <c r="G68" s="1142">
        <v>5</v>
      </c>
      <c r="H68" s="1142">
        <v>1</v>
      </c>
      <c r="I68" s="1142">
        <v>2</v>
      </c>
      <c r="J68" s="1142">
        <v>4</v>
      </c>
      <c r="K68" s="1142">
        <v>1</v>
      </c>
      <c r="L68" s="1940" t="str">
        <f t="shared" si="2"/>
        <v>Camuflar AtaqueDifícil (120)</v>
      </c>
      <c r="M68" s="227"/>
      <c r="N68" s="6395"/>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400"/>
      <c r="B69" s="6416"/>
      <c r="C69" s="39" t="s">
        <v>8842</v>
      </c>
      <c r="D69" s="78" t="s">
        <v>8876</v>
      </c>
      <c r="E69" s="1142">
        <v>3</v>
      </c>
      <c r="F69" s="1143">
        <v>5</v>
      </c>
      <c r="G69" s="1142">
        <v>5</v>
      </c>
      <c r="H69" s="1142">
        <v>1</v>
      </c>
      <c r="I69" s="1142">
        <v>2</v>
      </c>
      <c r="J69" s="1142">
        <v>4</v>
      </c>
      <c r="K69" s="1142">
        <v>1</v>
      </c>
      <c r="L69" s="1940" t="str">
        <f t="shared" si="2"/>
        <v>Camuflar AtaqueMuy Difícil (140)</v>
      </c>
      <c r="M69" s="227"/>
      <c r="N69" s="6395"/>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400"/>
      <c r="B70" s="6416"/>
      <c r="C70" s="39" t="s">
        <v>8842</v>
      </c>
      <c r="D70" s="78" t="s">
        <v>8878</v>
      </c>
      <c r="E70" s="1142">
        <v>5</v>
      </c>
      <c r="F70" s="1143">
        <v>8</v>
      </c>
      <c r="G70" s="1142">
        <v>10</v>
      </c>
      <c r="H70" s="1142">
        <v>2</v>
      </c>
      <c r="I70" s="1142">
        <v>4</v>
      </c>
      <c r="J70" s="1142">
        <v>7</v>
      </c>
      <c r="K70" s="1142">
        <v>1</v>
      </c>
      <c r="L70" s="1940" t="str">
        <f t="shared" si="2"/>
        <v>Camuflar AtaqueAbsurdo (180)</v>
      </c>
      <c r="M70" s="227"/>
      <c r="N70" s="6395"/>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400"/>
      <c r="B71" s="6416"/>
      <c r="C71" s="39" t="s">
        <v>8842</v>
      </c>
      <c r="D71" s="78" t="s">
        <v>8881</v>
      </c>
      <c r="E71" s="1142">
        <v>6</v>
      </c>
      <c r="F71" s="1143">
        <v>9</v>
      </c>
      <c r="G71" s="1142">
        <v>10</v>
      </c>
      <c r="H71" s="1142">
        <v>3</v>
      </c>
      <c r="I71" s="1142">
        <v>6</v>
      </c>
      <c r="J71" s="1142">
        <v>11</v>
      </c>
      <c r="K71" s="1142">
        <v>1</v>
      </c>
      <c r="L71" s="1940" t="str">
        <f t="shared" si="2"/>
        <v>Camuflar AtaqueCasi Imposible (240)</v>
      </c>
      <c r="M71" s="227"/>
      <c r="N71" s="6395"/>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400"/>
      <c r="B72" s="6416"/>
      <c r="C72" s="39" t="s">
        <v>8842</v>
      </c>
      <c r="D72" s="78" t="s">
        <v>8884</v>
      </c>
      <c r="E72" s="1142">
        <v>7</v>
      </c>
      <c r="F72" s="1143">
        <v>10</v>
      </c>
      <c r="G72" s="1142">
        <v>15</v>
      </c>
      <c r="H72" s="1142">
        <v>4</v>
      </c>
      <c r="I72" s="1142">
        <v>8</v>
      </c>
      <c r="J72" s="1142">
        <v>14</v>
      </c>
      <c r="K72" s="1142">
        <v>2</v>
      </c>
      <c r="L72" s="1940" t="str">
        <f t="shared" si="2"/>
        <v>Camuflar AtaqueImposible (280)</v>
      </c>
      <c r="M72" s="227"/>
      <c r="N72" s="6395"/>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400"/>
      <c r="B73" s="6416"/>
      <c r="C73" s="39" t="s">
        <v>8842</v>
      </c>
      <c r="D73" s="78" t="s">
        <v>8885</v>
      </c>
      <c r="E73" s="1142">
        <v>8</v>
      </c>
      <c r="F73" s="1143">
        <v>11</v>
      </c>
      <c r="G73" s="1142">
        <v>20</v>
      </c>
      <c r="H73" s="1142">
        <v>5</v>
      </c>
      <c r="I73" s="1142">
        <v>10</v>
      </c>
      <c r="J73" s="1142">
        <v>18</v>
      </c>
      <c r="K73" s="1142">
        <v>2</v>
      </c>
      <c r="L73" s="1940" t="str">
        <f t="shared" si="2"/>
        <v>Camuflar AtaqueInhumano (320)</v>
      </c>
      <c r="M73" s="227"/>
      <c r="N73" s="6395"/>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400"/>
      <c r="B74" s="6416"/>
      <c r="C74" s="39" t="s">
        <v>8842</v>
      </c>
      <c r="D74" s="78" t="s">
        <v>8887</v>
      </c>
      <c r="E74" s="1142">
        <v>10</v>
      </c>
      <c r="F74" s="1143">
        <v>13</v>
      </c>
      <c r="G74" s="1142">
        <v>25</v>
      </c>
      <c r="H74" s="1142">
        <v>6</v>
      </c>
      <c r="I74" s="1142">
        <v>12</v>
      </c>
      <c r="J74" s="1142">
        <v>21</v>
      </c>
      <c r="K74" s="1142">
        <v>3</v>
      </c>
      <c r="L74" s="1940" t="str">
        <f t="shared" si="2"/>
        <v>Camuflar AtaqueZen (440)</v>
      </c>
      <c r="M74" s="227"/>
      <c r="N74" s="6395"/>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400"/>
      <c r="B75" s="6416"/>
      <c r="C75" s="39" t="s">
        <v>2825</v>
      </c>
      <c r="D75" s="78"/>
      <c r="E75" s="1142"/>
      <c r="F75" s="1143"/>
      <c r="G75" s="1142"/>
      <c r="H75" s="1142"/>
      <c r="I75" s="1142"/>
      <c r="J75" s="1142"/>
      <c r="K75" s="1142"/>
      <c r="L75" s="1940" t="str">
        <f t="shared" ref="L75:L138" si="7">C75&amp;D75</f>
        <v>&gt;&gt;EFECTOS DEFENSIVOS</v>
      </c>
      <c r="M75" s="227"/>
      <c r="N75" s="6395"/>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400"/>
      <c r="B76" s="6416"/>
      <c r="C76" s="39" t="s">
        <v>8960</v>
      </c>
      <c r="D76" s="78"/>
      <c r="E76" s="1142"/>
      <c r="F76" s="1143"/>
      <c r="G76" s="1142"/>
      <c r="H76" s="1142"/>
      <c r="I76" s="1142"/>
      <c r="J76" s="1142"/>
      <c r="K76" s="1142"/>
      <c r="L76" s="1940" t="str">
        <f t="shared" si="7"/>
        <v>&gt; HABILIDAD DE PARADA</v>
      </c>
      <c r="M76" s="227"/>
      <c r="N76" s="6395"/>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400"/>
      <c r="B77" s="6416"/>
      <c r="C77" s="39" t="s">
        <v>8963</v>
      </c>
      <c r="D77" s="78" t="s">
        <v>7483</v>
      </c>
      <c r="E77" s="1142">
        <v>2</v>
      </c>
      <c r="F77" s="1143">
        <v>4</v>
      </c>
      <c r="G77" s="1142">
        <v>5</v>
      </c>
      <c r="H77" s="1142">
        <v>1</v>
      </c>
      <c r="I77" s="1142">
        <v>2</v>
      </c>
      <c r="J77" s="1142">
        <v>4</v>
      </c>
      <c r="K77" s="1142">
        <v>1</v>
      </c>
      <c r="L77" s="1940" t="str">
        <f t="shared" si="7"/>
        <v>Habilidad De Parada+10</v>
      </c>
      <c r="M77" s="227"/>
      <c r="N77" s="6395"/>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400"/>
      <c r="B78" s="6416"/>
      <c r="C78" s="39" t="s">
        <v>8963</v>
      </c>
      <c r="D78" s="78" t="s">
        <v>7627</v>
      </c>
      <c r="E78" s="1142">
        <v>3</v>
      </c>
      <c r="F78" s="1143">
        <v>5</v>
      </c>
      <c r="G78" s="1142">
        <v>5</v>
      </c>
      <c r="H78" s="1142">
        <v>1</v>
      </c>
      <c r="I78" s="1142">
        <v>2</v>
      </c>
      <c r="J78" s="1142">
        <v>4</v>
      </c>
      <c r="K78" s="1142">
        <v>1</v>
      </c>
      <c r="L78" s="1940" t="str">
        <f t="shared" si="7"/>
        <v>Habilidad De Parada+25</v>
      </c>
      <c r="M78" s="227"/>
      <c r="N78" s="6395"/>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400"/>
      <c r="B79" s="6416"/>
      <c r="C79" s="39" t="s">
        <v>8963</v>
      </c>
      <c r="D79" s="78" t="s">
        <v>7485</v>
      </c>
      <c r="E79" s="1142">
        <v>4</v>
      </c>
      <c r="F79" s="1143">
        <v>6</v>
      </c>
      <c r="G79" s="1142">
        <v>10</v>
      </c>
      <c r="H79" s="1142">
        <v>2</v>
      </c>
      <c r="I79" s="1142">
        <v>4</v>
      </c>
      <c r="J79" s="1142">
        <v>7</v>
      </c>
      <c r="K79" s="1142">
        <v>1</v>
      </c>
      <c r="L79" s="1940" t="str">
        <f t="shared" si="7"/>
        <v>Habilidad De Parada+40</v>
      </c>
      <c r="M79" s="227"/>
      <c r="N79" s="6395"/>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400"/>
      <c r="B80" s="6416"/>
      <c r="C80" s="39" t="s">
        <v>8963</v>
      </c>
      <c r="D80" s="78" t="s">
        <v>7486</v>
      </c>
      <c r="E80" s="1142">
        <v>5</v>
      </c>
      <c r="F80" s="1143">
        <v>8</v>
      </c>
      <c r="G80" s="1142">
        <v>15</v>
      </c>
      <c r="H80" s="1142">
        <v>3</v>
      </c>
      <c r="I80" s="1142">
        <v>6</v>
      </c>
      <c r="J80" s="1142">
        <v>11</v>
      </c>
      <c r="K80" s="1142">
        <v>1</v>
      </c>
      <c r="L80" s="1940" t="str">
        <f t="shared" si="7"/>
        <v>Habilidad De Parada+50</v>
      </c>
      <c r="M80" s="227"/>
      <c r="N80" s="6395"/>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400"/>
      <c r="B81" s="6416"/>
      <c r="C81" s="39" t="s">
        <v>8963</v>
      </c>
      <c r="D81" s="78" t="s">
        <v>8837</v>
      </c>
      <c r="E81" s="1142">
        <v>9</v>
      </c>
      <c r="F81" s="1143">
        <v>12</v>
      </c>
      <c r="G81" s="1142">
        <v>20</v>
      </c>
      <c r="H81" s="1142">
        <v>4</v>
      </c>
      <c r="I81" s="1142">
        <v>8</v>
      </c>
      <c r="J81" s="1142">
        <v>14</v>
      </c>
      <c r="K81" s="1142">
        <v>1</v>
      </c>
      <c r="L81" s="1940" t="str">
        <f t="shared" si="7"/>
        <v>Habilidad De Parada+75</v>
      </c>
      <c r="M81" s="227"/>
      <c r="N81" s="6395"/>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400"/>
      <c r="B82" s="6416"/>
      <c r="C82" s="39" t="s">
        <v>8963</v>
      </c>
      <c r="D82" s="78" t="s">
        <v>8841</v>
      </c>
      <c r="E82" s="1142">
        <v>12</v>
      </c>
      <c r="F82" s="1143">
        <v>15</v>
      </c>
      <c r="G82" s="1142">
        <v>25</v>
      </c>
      <c r="H82" s="1142">
        <v>5</v>
      </c>
      <c r="I82" s="1142">
        <v>10</v>
      </c>
      <c r="J82" s="1142">
        <v>18</v>
      </c>
      <c r="K82" s="1142">
        <v>1</v>
      </c>
      <c r="L82" s="1940" t="str">
        <f t="shared" si="7"/>
        <v>Habilidad De Parada+90</v>
      </c>
      <c r="M82" s="227"/>
      <c r="N82" s="6395"/>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400"/>
      <c r="B83" s="6416"/>
      <c r="C83" s="39" t="s">
        <v>8963</v>
      </c>
      <c r="D83" s="78" t="s">
        <v>8844</v>
      </c>
      <c r="E83" s="1142">
        <v>14</v>
      </c>
      <c r="F83" s="1143">
        <v>18</v>
      </c>
      <c r="G83" s="1142">
        <v>30</v>
      </c>
      <c r="H83" s="1142">
        <v>8</v>
      </c>
      <c r="I83" s="1142">
        <v>16</v>
      </c>
      <c r="J83" s="1142">
        <v>28</v>
      </c>
      <c r="K83" s="1142">
        <v>1</v>
      </c>
      <c r="L83" s="1940" t="str">
        <f t="shared" si="7"/>
        <v>Habilidad De Parada+100</v>
      </c>
      <c r="M83" s="227"/>
      <c r="N83" s="6395"/>
      <c r="O83" s="78" t="s">
        <v>9583</v>
      </c>
      <c r="P83" s="78"/>
      <c r="Q83" s="78"/>
      <c r="R83" s="78"/>
      <c r="S83" s="78"/>
      <c r="T83" s="78"/>
      <c r="U83" s="78"/>
      <c r="V83" s="78"/>
      <c r="W83" s="78"/>
      <c r="X83" s="1938"/>
    </row>
    <row r="84" spans="1:24" ht="12" customHeight="1" x14ac:dyDescent="0.2">
      <c r="A84" s="6400"/>
      <c r="B84" s="6416"/>
      <c r="C84" s="39" t="s">
        <v>8963</v>
      </c>
      <c r="D84" s="78" t="s">
        <v>8845</v>
      </c>
      <c r="E84" s="1142">
        <v>18</v>
      </c>
      <c r="F84" s="1143">
        <v>22</v>
      </c>
      <c r="G84" s="1142">
        <v>35</v>
      </c>
      <c r="H84" s="1142">
        <v>10</v>
      </c>
      <c r="I84" s="1142">
        <v>20</v>
      </c>
      <c r="J84" s="1142">
        <v>35</v>
      </c>
      <c r="K84" s="1142">
        <v>2</v>
      </c>
      <c r="L84" s="1940" t="str">
        <f t="shared" si="7"/>
        <v>Habilidad De Parada+125</v>
      </c>
      <c r="M84" s="227"/>
      <c r="N84" s="6395"/>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400"/>
      <c r="B85" s="6416"/>
      <c r="C85" s="39" t="s">
        <v>8963</v>
      </c>
      <c r="D85" s="78" t="s">
        <v>8847</v>
      </c>
      <c r="E85" s="1142">
        <v>22</v>
      </c>
      <c r="F85" s="1143">
        <v>26</v>
      </c>
      <c r="G85" s="1142">
        <v>40</v>
      </c>
      <c r="H85" s="1142">
        <v>12</v>
      </c>
      <c r="I85" s="1142">
        <v>24</v>
      </c>
      <c r="J85" s="1142">
        <v>42</v>
      </c>
      <c r="K85" s="1142">
        <v>2</v>
      </c>
      <c r="L85" s="1940" t="str">
        <f t="shared" si="7"/>
        <v>Habilidad De Parada+150</v>
      </c>
      <c r="M85" s="227"/>
      <c r="N85" s="6395"/>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400"/>
      <c r="B86" s="6416"/>
      <c r="C86" s="39" t="s">
        <v>8963</v>
      </c>
      <c r="D86" s="78" t="s">
        <v>8850</v>
      </c>
      <c r="E86" s="1142">
        <v>26</v>
      </c>
      <c r="F86" s="1143">
        <v>32</v>
      </c>
      <c r="G86" s="1142">
        <v>45</v>
      </c>
      <c r="H86" s="1142">
        <v>14</v>
      </c>
      <c r="I86" s="1142">
        <v>28</v>
      </c>
      <c r="J86" s="1142">
        <v>49</v>
      </c>
      <c r="K86" s="1142">
        <v>3</v>
      </c>
      <c r="L86" s="1940" t="str">
        <f t="shared" si="7"/>
        <v>Habilidad De Parada+175</v>
      </c>
      <c r="M86" s="227"/>
      <c r="N86" s="6395"/>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400"/>
      <c r="B87" s="6416"/>
      <c r="C87" s="39" t="s">
        <v>8963</v>
      </c>
      <c r="D87" s="78" t="s">
        <v>8852</v>
      </c>
      <c r="E87" s="1142">
        <v>30</v>
      </c>
      <c r="F87" s="1143">
        <v>36</v>
      </c>
      <c r="G87" s="1142">
        <v>50</v>
      </c>
      <c r="H87" s="1142">
        <v>16</v>
      </c>
      <c r="I87" s="1142">
        <v>32</v>
      </c>
      <c r="J87" s="1142">
        <v>56</v>
      </c>
      <c r="K87" s="1142">
        <v>3</v>
      </c>
      <c r="L87" s="1940" t="str">
        <f t="shared" si="7"/>
        <v>Habilidad De Parada+200</v>
      </c>
      <c r="M87" s="227"/>
      <c r="N87" s="6395"/>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400"/>
      <c r="B88" s="6416"/>
      <c r="C88" s="39" t="s">
        <v>8971</v>
      </c>
      <c r="D88" s="78"/>
      <c r="E88" s="1142"/>
      <c r="F88" s="1143"/>
      <c r="G88" s="1142"/>
      <c r="H88" s="1142"/>
      <c r="I88" s="1142"/>
      <c r="J88" s="1142"/>
      <c r="K88" s="1142"/>
      <c r="L88" s="1940" t="str">
        <f t="shared" si="7"/>
        <v>&gt; HABILIDAD DE PARADA COMPLETA</v>
      </c>
      <c r="M88" s="227"/>
      <c r="N88" s="6396"/>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400"/>
      <c r="B89" s="6416"/>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400"/>
      <c r="B90" s="6416"/>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400"/>
      <c r="B91" s="6416"/>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400"/>
      <c r="B92" s="6416"/>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400"/>
      <c r="B93" s="6416"/>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400"/>
      <c r="B94" s="6416"/>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400"/>
      <c r="B95" s="6416"/>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400"/>
      <c r="B96" s="6416"/>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400"/>
      <c r="B97" s="6416"/>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400"/>
      <c r="B98" s="6416"/>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400"/>
      <c r="B99" s="6416"/>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400"/>
      <c r="B100" s="6416"/>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400"/>
      <c r="B101" s="6416"/>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400"/>
      <c r="B102" s="6416"/>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400"/>
      <c r="B103" s="6416"/>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400"/>
      <c r="B104" s="6416"/>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400"/>
      <c r="B105" s="6416"/>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400"/>
      <c r="B106" s="6416"/>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400"/>
      <c r="B107" s="6416"/>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400"/>
      <c r="B108" s="6416"/>
      <c r="C108" s="39" t="s">
        <v>8988</v>
      </c>
      <c r="D108" s="78"/>
      <c r="E108" s="1142"/>
      <c r="F108" s="1143"/>
      <c r="G108" s="1142"/>
      <c r="H108" s="1142"/>
      <c r="I108" s="1142"/>
      <c r="J108" s="1142"/>
      <c r="K108" s="1142"/>
      <c r="L108" s="1940" t="str">
        <f t="shared" si="7"/>
        <v>&gt; HABILIDAD DE ESQUIVA</v>
      </c>
      <c r="M108" s="227"/>
    </row>
    <row r="109" spans="1:16" ht="12" customHeight="1" x14ac:dyDescent="0.2">
      <c r="A109" s="6400"/>
      <c r="B109" s="6416"/>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400"/>
      <c r="B110" s="6416"/>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400"/>
      <c r="B111" s="6416"/>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400"/>
      <c r="B112" s="6416"/>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400"/>
      <c r="B113" s="6416"/>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400"/>
      <c r="B114" s="6416"/>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400"/>
      <c r="B115" s="6416"/>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400"/>
      <c r="B116" s="6416"/>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400"/>
      <c r="B117" s="6416"/>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400"/>
      <c r="B118" s="6416"/>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400"/>
      <c r="B119" s="6416"/>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400"/>
      <c r="B120" s="6416"/>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400"/>
      <c r="B121" s="6416"/>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400"/>
      <c r="B122" s="6416"/>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400"/>
      <c r="B123" s="6416"/>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400"/>
      <c r="B124" s="6416"/>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400"/>
      <c r="B125" s="6416"/>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400"/>
      <c r="B126" s="6416"/>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400"/>
      <c r="B127" s="6416"/>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400"/>
      <c r="B128" s="6416"/>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400"/>
      <c r="B129" s="6416"/>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400"/>
      <c r="B130" s="6416"/>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400"/>
      <c r="B131" s="6416"/>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400"/>
      <c r="B132" s="6416"/>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400"/>
      <c r="B133" s="6416"/>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400"/>
      <c r="B134" s="6416"/>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400"/>
      <c r="B135" s="6416"/>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400"/>
      <c r="B136" s="6416"/>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400"/>
      <c r="B137" s="6416"/>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400"/>
      <c r="B138" s="6416"/>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400"/>
      <c r="B139" s="6416"/>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400"/>
      <c r="B140" s="6416"/>
      <c r="C140" s="39" t="s">
        <v>9019</v>
      </c>
      <c r="D140" s="78"/>
      <c r="E140" s="1142"/>
      <c r="F140" s="1143"/>
      <c r="G140" s="1142"/>
      <c r="H140" s="1142"/>
      <c r="I140" s="1142"/>
      <c r="J140" s="1142"/>
      <c r="K140" s="1142"/>
      <c r="L140" s="1940" t="str">
        <f t="shared" si="8"/>
        <v>&gt; DEFENSA PREDETERMINADA</v>
      </c>
      <c r="M140" s="227"/>
    </row>
    <row r="141" spans="1:13" ht="12" customHeight="1" x14ac:dyDescent="0.2">
      <c r="A141" s="6400"/>
      <c r="B141" s="6416"/>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400"/>
      <c r="B142" s="6416"/>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400"/>
      <c r="B143" s="6416"/>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400"/>
      <c r="B144" s="6416"/>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400"/>
      <c r="B145" s="6416"/>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400"/>
      <c r="B146" s="6416"/>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400"/>
      <c r="B147" s="6416"/>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400"/>
      <c r="B148" s="6416"/>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400"/>
      <c r="B149" s="6416"/>
      <c r="C149" s="39" t="s">
        <v>9028</v>
      </c>
      <c r="D149" s="78"/>
      <c r="E149" s="1142"/>
      <c r="F149" s="1143"/>
      <c r="G149" s="1142"/>
      <c r="H149" s="1142"/>
      <c r="I149" s="1142"/>
      <c r="J149" s="1142"/>
      <c r="K149" s="1142"/>
      <c r="L149" s="1940" t="str">
        <f t="shared" si="8"/>
        <v>&gt;&gt;EFECTOS DESTRUCTIVOS</v>
      </c>
      <c r="M149" s="227"/>
    </row>
    <row r="150" spans="1:13" ht="12" customHeight="1" x14ac:dyDescent="0.2">
      <c r="A150" s="6400"/>
      <c r="B150" s="6416"/>
      <c r="C150" s="39" t="s">
        <v>9030</v>
      </c>
      <c r="D150" s="78"/>
      <c r="E150" s="1142"/>
      <c r="F150" s="1143"/>
      <c r="G150" s="1142"/>
      <c r="H150" s="1142"/>
      <c r="I150" s="1142"/>
      <c r="J150" s="1142"/>
      <c r="K150" s="1142"/>
      <c r="L150" s="1940" t="str">
        <f t="shared" si="8"/>
        <v>&gt; AUMENTO DE DAÑO</v>
      </c>
      <c r="M150" s="227"/>
    </row>
    <row r="151" spans="1:13" ht="12" customHeight="1" x14ac:dyDescent="0.2">
      <c r="A151" s="6400"/>
      <c r="B151" s="6416"/>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400"/>
      <c r="B152" s="6416"/>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400"/>
      <c r="B153" s="6416"/>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400"/>
      <c r="B154" s="6416"/>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400"/>
      <c r="B155" s="6416"/>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400"/>
      <c r="B156" s="6416"/>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400"/>
      <c r="B157" s="6416"/>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400"/>
      <c r="B158" s="6416"/>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400"/>
      <c r="B159" s="6416"/>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400"/>
      <c r="B160" s="6416"/>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400"/>
      <c r="B161" s="6416"/>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400"/>
      <c r="B162" s="6416"/>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7"/>
      <c r="O162" s="6401" t="s">
        <v>8968</v>
      </c>
      <c r="P162" s="6401"/>
      <c r="Q162" s="6402"/>
    </row>
    <row r="163" spans="1:17" ht="12" customHeight="1" x14ac:dyDescent="0.2">
      <c r="A163" s="6400"/>
      <c r="B163" s="6416"/>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398"/>
      <c r="O163" s="4775"/>
      <c r="P163" s="4775"/>
      <c r="Q163" s="6403"/>
    </row>
    <row r="164" spans="1:17" ht="12" customHeight="1" x14ac:dyDescent="0.2">
      <c r="A164" s="6400"/>
      <c r="B164" s="6416"/>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398"/>
      <c r="O164" s="2035" t="s">
        <v>8817</v>
      </c>
      <c r="P164" s="2035" t="s">
        <v>8818</v>
      </c>
      <c r="Q164" s="1937" t="s">
        <v>1370</v>
      </c>
    </row>
    <row r="165" spans="1:17" ht="12" customHeight="1" x14ac:dyDescent="0.2">
      <c r="A165" s="6400"/>
      <c r="B165" s="6416"/>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398"/>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400"/>
      <c r="B166" s="6416"/>
      <c r="C166" s="39" t="s">
        <v>9031</v>
      </c>
      <c r="D166" s="78" t="s">
        <v>3130</v>
      </c>
      <c r="E166" s="1142">
        <v>12</v>
      </c>
      <c r="F166" s="1143">
        <v>12</v>
      </c>
      <c r="G166" s="1142">
        <v>30</v>
      </c>
      <c r="H166" s="1142">
        <v>4</v>
      </c>
      <c r="I166" s="1142">
        <v>8</v>
      </c>
      <c r="J166" s="1142">
        <v>14</v>
      </c>
      <c r="K166" s="1142"/>
      <c r="L166" s="1940" t="str">
        <f t="shared" si="8"/>
        <v>Aumento De DañoDaño Límite</v>
      </c>
      <c r="M166" s="227"/>
      <c r="N166" s="6398"/>
      <c r="O166" s="78" t="s">
        <v>8802</v>
      </c>
      <c r="P166" s="78" t="str">
        <f t="shared" si="9"/>
        <v>'Tablas Técnicas'!$P$205:$P$206</v>
      </c>
      <c r="Q166" s="1938" t="s">
        <v>3177</v>
      </c>
    </row>
    <row r="167" spans="1:17" ht="12" customHeight="1" x14ac:dyDescent="0.2">
      <c r="A167" s="6400"/>
      <c r="B167" s="6416"/>
      <c r="C167" s="39" t="s">
        <v>9042</v>
      </c>
      <c r="D167" s="78"/>
      <c r="E167" s="1142"/>
      <c r="F167" s="1143"/>
      <c r="G167" s="1142"/>
      <c r="H167" s="1142"/>
      <c r="I167" s="1142"/>
      <c r="J167" s="1142"/>
      <c r="K167" s="1142"/>
      <c r="L167" s="1940" t="str">
        <f t="shared" si="8"/>
        <v>&gt; AUMENTO DE DAÑO REAL</v>
      </c>
      <c r="M167" s="227"/>
      <c r="N167" s="6398"/>
      <c r="O167" s="78" t="s">
        <v>8970</v>
      </c>
      <c r="P167" s="78" t="str">
        <f t="shared" si="9"/>
        <v>'Tablas Técnicas'!$P$208:$P$210</v>
      </c>
      <c r="Q167" s="1938" t="s">
        <v>1232</v>
      </c>
    </row>
    <row r="168" spans="1:17" ht="12" customHeight="1" x14ac:dyDescent="0.2">
      <c r="A168" s="6400"/>
      <c r="B168" s="6416"/>
      <c r="C168" s="39" t="s">
        <v>9044</v>
      </c>
      <c r="D168" s="78" t="s">
        <v>7483</v>
      </c>
      <c r="E168" s="1142">
        <v>2</v>
      </c>
      <c r="F168" s="1143">
        <v>4</v>
      </c>
      <c r="G168" s="1142">
        <v>10</v>
      </c>
      <c r="H168" s="1142">
        <v>1</v>
      </c>
      <c r="I168" s="1142">
        <v>2</v>
      </c>
      <c r="J168" s="1142">
        <v>4</v>
      </c>
      <c r="K168" s="1142">
        <v>1</v>
      </c>
      <c r="L168" s="1940" t="str">
        <f t="shared" si="8"/>
        <v>Aumento De Daño Real+10</v>
      </c>
      <c r="M168" s="227"/>
      <c r="N168" s="6398"/>
      <c r="O168" s="78" t="s">
        <v>8972</v>
      </c>
      <c r="P168" s="78" t="str">
        <f t="shared" si="9"/>
        <v>'Tablas Técnicas'!$P$212:$P$213</v>
      </c>
      <c r="Q168" s="1938" t="s">
        <v>3177</v>
      </c>
    </row>
    <row r="169" spans="1:17" ht="12" customHeight="1" x14ac:dyDescent="0.2">
      <c r="A169" s="6400"/>
      <c r="B169" s="6416"/>
      <c r="C169" s="39" t="s">
        <v>9044</v>
      </c>
      <c r="D169" s="78" t="s">
        <v>7627</v>
      </c>
      <c r="E169" s="1142">
        <v>3</v>
      </c>
      <c r="F169" s="1143">
        <v>5</v>
      </c>
      <c r="G169" s="1142">
        <v>15</v>
      </c>
      <c r="H169" s="1142">
        <v>2</v>
      </c>
      <c r="I169" s="1142">
        <v>4</v>
      </c>
      <c r="J169" s="1142">
        <v>7</v>
      </c>
      <c r="K169" s="1142">
        <v>1</v>
      </c>
      <c r="L169" s="1940" t="str">
        <f t="shared" si="8"/>
        <v>Aumento De Daño Real+25</v>
      </c>
      <c r="M169" s="227"/>
      <c r="N169" s="6398"/>
      <c r="O169" s="78" t="s">
        <v>8974</v>
      </c>
      <c r="P169" s="78" t="str">
        <f t="shared" si="9"/>
        <v>'Tablas Técnicas'!$P$215:$P$218</v>
      </c>
      <c r="Q169" s="1938" t="s">
        <v>3177</v>
      </c>
    </row>
    <row r="170" spans="1:17" ht="12" customHeight="1" x14ac:dyDescent="0.2">
      <c r="A170" s="6400"/>
      <c r="B170" s="6416"/>
      <c r="C170" s="39" t="s">
        <v>9044</v>
      </c>
      <c r="D170" s="78" t="s">
        <v>7485</v>
      </c>
      <c r="E170" s="1142">
        <v>5</v>
      </c>
      <c r="F170" s="1143">
        <v>8</v>
      </c>
      <c r="G170" s="1142">
        <v>20</v>
      </c>
      <c r="H170" s="1142">
        <v>3</v>
      </c>
      <c r="I170" s="1142">
        <v>6</v>
      </c>
      <c r="J170" s="1142">
        <v>11</v>
      </c>
      <c r="K170" s="1142">
        <v>1</v>
      </c>
      <c r="L170" s="1940" t="str">
        <f t="shared" si="8"/>
        <v>Aumento De Daño Real+40</v>
      </c>
      <c r="M170" s="227"/>
      <c r="N170" s="6398"/>
      <c r="O170" s="78" t="s">
        <v>8975</v>
      </c>
      <c r="P170" s="78" t="str">
        <f t="shared" si="9"/>
        <v>'Tablas Técnicas'!$P$220:$P$220</v>
      </c>
      <c r="Q170" s="1938" t="s">
        <v>1232</v>
      </c>
    </row>
    <row r="171" spans="1:17" ht="12" customHeight="1" x14ac:dyDescent="0.2">
      <c r="A171" s="6400"/>
      <c r="B171" s="6416"/>
      <c r="C171" s="39" t="s">
        <v>9044</v>
      </c>
      <c r="D171" s="78" t="s">
        <v>7486</v>
      </c>
      <c r="E171" s="1142">
        <v>7</v>
      </c>
      <c r="F171" s="1143">
        <v>10</v>
      </c>
      <c r="G171" s="1142">
        <v>25</v>
      </c>
      <c r="H171" s="1142">
        <v>4</v>
      </c>
      <c r="I171" s="1142">
        <v>8</v>
      </c>
      <c r="J171" s="1142">
        <v>14</v>
      </c>
      <c r="K171" s="1142">
        <v>2</v>
      </c>
      <c r="L171" s="1940" t="str">
        <f t="shared" si="8"/>
        <v>Aumento De Daño Real+50</v>
      </c>
      <c r="M171" s="227"/>
      <c r="N171" s="6398"/>
      <c r="O171" s="78" t="s">
        <v>2156</v>
      </c>
      <c r="P171" s="78" t="str">
        <f t="shared" si="9"/>
        <v>'Tablas Técnicas'!$P$222:$P$222</v>
      </c>
      <c r="Q171" s="1938" t="s">
        <v>3177</v>
      </c>
    </row>
    <row r="172" spans="1:17" ht="12" customHeight="1" x14ac:dyDescent="0.2">
      <c r="A172" s="6400"/>
      <c r="B172" s="6416"/>
      <c r="C172" s="39" t="s">
        <v>9044</v>
      </c>
      <c r="D172" s="78" t="s">
        <v>8837</v>
      </c>
      <c r="E172" s="1142">
        <v>10</v>
      </c>
      <c r="F172" s="1143">
        <v>13</v>
      </c>
      <c r="G172" s="1142">
        <v>35</v>
      </c>
      <c r="H172" s="1142">
        <v>6</v>
      </c>
      <c r="I172" s="1142">
        <v>12</v>
      </c>
      <c r="J172" s="1142">
        <v>21</v>
      </c>
      <c r="K172" s="1142">
        <v>2</v>
      </c>
      <c r="L172" s="1940" t="str">
        <f t="shared" si="8"/>
        <v>Aumento De Daño Real+75</v>
      </c>
      <c r="M172" s="227"/>
      <c r="N172" s="6398"/>
      <c r="O172" s="78" t="s">
        <v>7521</v>
      </c>
      <c r="P172" s="78" t="str">
        <f t="shared" si="9"/>
        <v>'Tablas Técnicas'!$P$224:$P$231</v>
      </c>
      <c r="Q172" s="1938" t="s">
        <v>3177</v>
      </c>
    </row>
    <row r="173" spans="1:17" ht="12" customHeight="1" x14ac:dyDescent="0.2">
      <c r="A173" s="6400"/>
      <c r="B173" s="6416"/>
      <c r="C173" s="39" t="s">
        <v>9044</v>
      </c>
      <c r="D173" s="78" t="s">
        <v>8841</v>
      </c>
      <c r="E173" s="1142">
        <v>12</v>
      </c>
      <c r="F173" s="1143">
        <v>15</v>
      </c>
      <c r="G173" s="1142">
        <v>40</v>
      </c>
      <c r="H173" s="1142">
        <v>8</v>
      </c>
      <c r="I173" s="1142">
        <v>16</v>
      </c>
      <c r="J173" s="1142">
        <v>28</v>
      </c>
      <c r="K173" s="1142">
        <v>3</v>
      </c>
      <c r="L173" s="1940" t="str">
        <f t="shared" si="8"/>
        <v>Aumento De Daño Real+90</v>
      </c>
      <c r="M173" s="227"/>
      <c r="N173" s="6398"/>
      <c r="O173" s="78" t="s">
        <v>8804</v>
      </c>
      <c r="P173" s="78" t="str">
        <f t="shared" si="9"/>
        <v>'Tablas Técnicas'!$P$233:$P$234</v>
      </c>
      <c r="Q173" s="1938" t="s">
        <v>1232</v>
      </c>
    </row>
    <row r="174" spans="1:17" ht="12" customHeight="1" x14ac:dyDescent="0.2">
      <c r="A174" s="6400"/>
      <c r="B174" s="6416"/>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398"/>
      <c r="O174" s="78" t="s">
        <v>8976</v>
      </c>
      <c r="P174" s="78" t="str">
        <f t="shared" si="9"/>
        <v>'Tablas Técnicas'!$P$236:$P$240</v>
      </c>
      <c r="Q174" s="1938" t="s">
        <v>1564</v>
      </c>
    </row>
    <row r="175" spans="1:17" ht="12" customHeight="1" x14ac:dyDescent="0.2">
      <c r="A175" s="6400"/>
      <c r="B175" s="6416"/>
      <c r="C175" s="39" t="s">
        <v>9048</v>
      </c>
      <c r="D175" s="78"/>
      <c r="E175" s="1142"/>
      <c r="F175" s="1143"/>
      <c r="G175" s="1142"/>
      <c r="H175" s="1142"/>
      <c r="I175" s="1142"/>
      <c r="J175" s="1142"/>
      <c r="K175" s="1142"/>
      <c r="L175" s="1940" t="str">
        <f t="shared" si="8"/>
        <v>&gt; MULTIPLICADOR AL DAÑO</v>
      </c>
      <c r="M175" s="227"/>
      <c r="N175" s="6398"/>
      <c r="O175" s="78" t="s">
        <v>7106</v>
      </c>
      <c r="P175" s="78" t="str">
        <f t="shared" si="9"/>
        <v>'Tablas Técnicas'!$P$242:$P$244</v>
      </c>
      <c r="Q175" s="1938" t="s">
        <v>1232</v>
      </c>
    </row>
    <row r="176" spans="1:17" ht="12" customHeight="1" x14ac:dyDescent="0.2">
      <c r="A176" s="6400"/>
      <c r="B176" s="6416"/>
      <c r="C176" s="39" t="s">
        <v>9050</v>
      </c>
      <c r="D176" s="78" t="s">
        <v>9051</v>
      </c>
      <c r="E176" s="1142">
        <v>10</v>
      </c>
      <c r="F176" s="1143">
        <v>15</v>
      </c>
      <c r="G176" s="1142">
        <v>25</v>
      </c>
      <c r="H176" s="1142">
        <v>4</v>
      </c>
      <c r="I176" s="1142">
        <v>8</v>
      </c>
      <c r="J176" s="1142">
        <v>14</v>
      </c>
      <c r="K176" s="1142">
        <v>1</v>
      </c>
      <c r="L176" s="1940" t="str">
        <f t="shared" si="8"/>
        <v>Multiplicador Al Dañox2</v>
      </c>
      <c r="M176" s="227"/>
      <c r="N176" s="6398"/>
      <c r="O176" s="78" t="s">
        <v>8978</v>
      </c>
      <c r="P176" s="78" t="str">
        <f t="shared" si="9"/>
        <v>'Tablas Técnicas'!$P$246:$P$246</v>
      </c>
      <c r="Q176" s="1938" t="s">
        <v>3177</v>
      </c>
    </row>
    <row r="177" spans="1:17" ht="12" customHeight="1" x14ac:dyDescent="0.2">
      <c r="A177" s="6400"/>
      <c r="B177" s="6416"/>
      <c r="C177" s="39" t="s">
        <v>9050</v>
      </c>
      <c r="D177" s="78" t="s">
        <v>9053</v>
      </c>
      <c r="E177" s="1142">
        <v>15</v>
      </c>
      <c r="F177" s="1143">
        <v>20</v>
      </c>
      <c r="G177" s="1142">
        <v>40</v>
      </c>
      <c r="H177" s="1142">
        <v>8</v>
      </c>
      <c r="I177" s="1142">
        <v>16</v>
      </c>
      <c r="J177" s="1142">
        <v>28</v>
      </c>
      <c r="K177" s="1142">
        <v>2</v>
      </c>
      <c r="L177" s="1940" t="str">
        <f t="shared" si="8"/>
        <v>Multiplicador Al Dañox3</v>
      </c>
      <c r="M177" s="227"/>
      <c r="N177" s="6398"/>
      <c r="O177" s="78" t="s">
        <v>8980</v>
      </c>
      <c r="P177" s="78" t="str">
        <f t="shared" si="9"/>
        <v>'Tablas Técnicas'!$P$248:$P$248</v>
      </c>
      <c r="Q177" s="1938" t="s">
        <v>3177</v>
      </c>
    </row>
    <row r="178" spans="1:17" ht="12" customHeight="1" x14ac:dyDescent="0.2">
      <c r="A178" s="6400"/>
      <c r="B178" s="6416"/>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398"/>
      <c r="O178" s="78" t="s">
        <v>8981</v>
      </c>
      <c r="P178" s="78" t="str">
        <f t="shared" si="9"/>
        <v>'Tablas Técnicas'!$P$250:$P$254</v>
      </c>
      <c r="Q178" s="1938" t="s">
        <v>3177</v>
      </c>
    </row>
    <row r="179" spans="1:17" ht="12" customHeight="1" x14ac:dyDescent="0.2">
      <c r="A179" s="6400"/>
      <c r="B179" s="6416"/>
      <c r="C179" s="39" t="s">
        <v>9057</v>
      </c>
      <c r="D179" s="78"/>
      <c r="E179" s="1142"/>
      <c r="F179" s="1143"/>
      <c r="G179" s="1142"/>
      <c r="H179" s="1142"/>
      <c r="I179" s="1142"/>
      <c r="J179" s="1142"/>
      <c r="K179" s="1142"/>
      <c r="L179" s="1940" t="str">
        <f t="shared" si="8"/>
        <v>&gt; MULTIPLICADOR AL DAÑO REAL</v>
      </c>
      <c r="M179" s="227"/>
      <c r="N179" s="6398"/>
      <c r="O179" s="78" t="s">
        <v>3178</v>
      </c>
      <c r="P179" s="78" t="str">
        <f t="shared" si="9"/>
        <v>'Tablas Técnicas'!$P$256:$P$256</v>
      </c>
      <c r="Q179" s="1938" t="s">
        <v>3177</v>
      </c>
    </row>
    <row r="180" spans="1:17" ht="12" customHeight="1" x14ac:dyDescent="0.2">
      <c r="A180" s="6400"/>
      <c r="B180" s="6416"/>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398"/>
      <c r="O180" s="78" t="s">
        <v>8982</v>
      </c>
      <c r="P180" s="78" t="str">
        <f t="shared" si="9"/>
        <v>'Tablas Técnicas'!$P$258:$P$260</v>
      </c>
      <c r="Q180" s="1938" t="s">
        <v>3177</v>
      </c>
    </row>
    <row r="181" spans="1:17" ht="12" customHeight="1" x14ac:dyDescent="0.2">
      <c r="A181" s="6400"/>
      <c r="B181" s="6416"/>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398"/>
      <c r="O181" s="78" t="s">
        <v>8983</v>
      </c>
      <c r="P181" s="78" t="str">
        <f t="shared" si="9"/>
        <v>'Tablas Técnicas'!$P$262:$P$263</v>
      </c>
      <c r="Q181" s="1938" t="s">
        <v>3177</v>
      </c>
    </row>
    <row r="182" spans="1:17" ht="12" customHeight="1" x14ac:dyDescent="0.2">
      <c r="A182" s="6400"/>
      <c r="B182" s="6416"/>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398"/>
      <c r="O182" s="78" t="s">
        <v>8984</v>
      </c>
      <c r="P182" s="78" t="str">
        <f t="shared" si="9"/>
        <v>'Tablas Técnicas'!$P$265:$P$269</v>
      </c>
      <c r="Q182" s="1938" t="s">
        <v>3177</v>
      </c>
    </row>
    <row r="183" spans="1:17" ht="12" customHeight="1" x14ac:dyDescent="0.2">
      <c r="A183" s="6400"/>
      <c r="B183" s="6416"/>
      <c r="C183" s="39" t="s">
        <v>9062</v>
      </c>
      <c r="D183" s="78"/>
      <c r="E183" s="1142"/>
      <c r="F183" s="1143"/>
      <c r="G183" s="1142"/>
      <c r="H183" s="1142"/>
      <c r="I183" s="1142"/>
      <c r="J183" s="1142"/>
      <c r="K183" s="1142"/>
      <c r="L183" s="1940" t="str">
        <f t="shared" si="8"/>
        <v>&gt; SUSTITUCIÓN DE DAÑO</v>
      </c>
      <c r="M183" s="227"/>
      <c r="N183" s="6398"/>
      <c r="O183" s="78" t="s">
        <v>8985</v>
      </c>
      <c r="P183" s="78" t="str">
        <f t="shared" si="9"/>
        <v>'Tablas Técnicas'!$P$271:$P$278</v>
      </c>
      <c r="Q183" s="1938" t="s">
        <v>3177</v>
      </c>
    </row>
    <row r="184" spans="1:17" ht="12" customHeight="1" x14ac:dyDescent="0.2">
      <c r="A184" s="6400"/>
      <c r="B184" s="6416"/>
      <c r="C184" s="39" t="s">
        <v>9064</v>
      </c>
      <c r="D184" s="78" t="s">
        <v>9065</v>
      </c>
      <c r="E184" s="1142">
        <v>1</v>
      </c>
      <c r="F184" s="1143">
        <v>2</v>
      </c>
      <c r="G184" s="1142">
        <v>5</v>
      </c>
      <c r="H184" s="1142">
        <v>1</v>
      </c>
      <c r="I184" s="1142">
        <v>2</v>
      </c>
      <c r="J184" s="1142">
        <v>4</v>
      </c>
      <c r="K184" s="1142">
        <v>1</v>
      </c>
      <c r="L184" s="1940" t="str">
        <f t="shared" si="8"/>
        <v>Sustitución De Daño50</v>
      </c>
      <c r="M184" s="227"/>
      <c r="N184" s="6398"/>
      <c r="O184" s="78" t="s">
        <v>3179</v>
      </c>
      <c r="P184" s="78" t="str">
        <f t="shared" si="9"/>
        <v>'Tablas Técnicas'!$P$280:$P$280</v>
      </c>
      <c r="Q184" s="1938" t="s">
        <v>1232</v>
      </c>
    </row>
    <row r="185" spans="1:17" ht="12" customHeight="1" x14ac:dyDescent="0.2">
      <c r="A185" s="6400"/>
      <c r="B185" s="6416"/>
      <c r="C185" s="39" t="s">
        <v>9064</v>
      </c>
      <c r="D185" s="78" t="s">
        <v>7532</v>
      </c>
      <c r="E185" s="1142">
        <v>3</v>
      </c>
      <c r="F185" s="1143">
        <v>5</v>
      </c>
      <c r="G185" s="1142">
        <v>10</v>
      </c>
      <c r="H185" s="1142">
        <v>2</v>
      </c>
      <c r="I185" s="1142">
        <v>4</v>
      </c>
      <c r="J185" s="1142">
        <v>7</v>
      </c>
      <c r="K185" s="1142">
        <v>1</v>
      </c>
      <c r="L185" s="1940" t="str">
        <f t="shared" si="8"/>
        <v>Sustitución De Daño100</v>
      </c>
      <c r="M185" s="227"/>
      <c r="N185" s="6398"/>
      <c r="O185" s="78" t="s">
        <v>3180</v>
      </c>
      <c r="P185" s="78" t="str">
        <f t="shared" si="9"/>
        <v>'Tablas Técnicas'!$P$282:$P$283</v>
      </c>
      <c r="Q185" s="1938" t="s">
        <v>3177</v>
      </c>
    </row>
    <row r="186" spans="1:17" ht="12" customHeight="1" x14ac:dyDescent="0.2">
      <c r="A186" s="6400"/>
      <c r="B186" s="6416"/>
      <c r="C186" s="39" t="s">
        <v>9064</v>
      </c>
      <c r="D186" s="78" t="s">
        <v>7533</v>
      </c>
      <c r="E186" s="1142">
        <v>5</v>
      </c>
      <c r="F186" s="1143">
        <v>8</v>
      </c>
      <c r="G186" s="1142">
        <v>15</v>
      </c>
      <c r="H186" s="1142">
        <v>3</v>
      </c>
      <c r="I186" s="1142">
        <v>6</v>
      </c>
      <c r="J186" s="1142">
        <v>11</v>
      </c>
      <c r="K186" s="1142">
        <v>1</v>
      </c>
      <c r="L186" s="1940" t="str">
        <f t="shared" si="8"/>
        <v>Sustitución De Daño120</v>
      </c>
      <c r="M186" s="227"/>
      <c r="N186" s="6398"/>
      <c r="O186" s="78" t="s">
        <v>10090</v>
      </c>
      <c r="P186" s="78" t="str">
        <f t="shared" si="9"/>
        <v>'Tablas Técnicas'!$P$285:$P$285</v>
      </c>
      <c r="Q186" s="1938" t="s">
        <v>3177</v>
      </c>
    </row>
    <row r="187" spans="1:17" ht="12" customHeight="1" x14ac:dyDescent="0.2">
      <c r="A187" s="6400"/>
      <c r="B187" s="6416"/>
      <c r="C187" s="39" t="s">
        <v>9064</v>
      </c>
      <c r="D187" s="78" t="s">
        <v>9067</v>
      </c>
      <c r="E187" s="1142">
        <v>7</v>
      </c>
      <c r="F187" s="1143">
        <v>10</v>
      </c>
      <c r="G187" s="1142">
        <v>20</v>
      </c>
      <c r="H187" s="1142">
        <v>5</v>
      </c>
      <c r="I187" s="1142">
        <v>10</v>
      </c>
      <c r="J187" s="1142">
        <v>18</v>
      </c>
      <c r="K187" s="1142">
        <v>2</v>
      </c>
      <c r="L187" s="1940" t="str">
        <f t="shared" si="8"/>
        <v>Sustitución De Daño150</v>
      </c>
      <c r="M187" s="227"/>
      <c r="N187" s="6398"/>
      <c r="O187" s="78" t="s">
        <v>8986</v>
      </c>
      <c r="P187" s="78" t="str">
        <f t="shared" si="9"/>
        <v>'Tablas Técnicas'!$P$287:$P$289</v>
      </c>
      <c r="Q187" s="1938" t="s">
        <v>3177</v>
      </c>
    </row>
    <row r="188" spans="1:17" ht="12" customHeight="1" x14ac:dyDescent="0.2">
      <c r="A188" s="6400"/>
      <c r="B188" s="6416"/>
      <c r="C188" s="39" t="s">
        <v>9064</v>
      </c>
      <c r="D188" s="78" t="s">
        <v>9069</v>
      </c>
      <c r="E188" s="1142">
        <v>9</v>
      </c>
      <c r="F188" s="1143">
        <v>12</v>
      </c>
      <c r="G188" s="1142">
        <v>25</v>
      </c>
      <c r="H188" s="1142">
        <v>7</v>
      </c>
      <c r="I188" s="1142">
        <v>14</v>
      </c>
      <c r="J188" s="1142">
        <v>25</v>
      </c>
      <c r="K188" s="1142">
        <v>2</v>
      </c>
      <c r="L188" s="1940" t="str">
        <f t="shared" si="8"/>
        <v>Sustitución De Daño180</v>
      </c>
      <c r="M188" s="227"/>
      <c r="N188" s="6398"/>
      <c r="O188" s="78" t="s">
        <v>8987</v>
      </c>
      <c r="P188" s="78" t="str">
        <f t="shared" si="9"/>
        <v>'Tablas Técnicas'!$P$291:$P$295</v>
      </c>
      <c r="Q188" s="1938" t="s">
        <v>3177</v>
      </c>
    </row>
    <row r="189" spans="1:17" ht="12" customHeight="1" x14ac:dyDescent="0.2">
      <c r="A189" s="6400"/>
      <c r="B189" s="6416"/>
      <c r="C189" s="39" t="s">
        <v>9064</v>
      </c>
      <c r="D189" s="78" t="s">
        <v>9071</v>
      </c>
      <c r="E189" s="1142">
        <v>12</v>
      </c>
      <c r="F189" s="1143">
        <v>15</v>
      </c>
      <c r="G189" s="1142">
        <v>30</v>
      </c>
      <c r="H189" s="1142">
        <v>9</v>
      </c>
      <c r="I189" s="1142">
        <v>18</v>
      </c>
      <c r="J189" s="1142">
        <v>32</v>
      </c>
      <c r="K189" s="1142">
        <v>3</v>
      </c>
      <c r="L189" s="1940" t="str">
        <f t="shared" si="8"/>
        <v>Sustitución De Daño200</v>
      </c>
      <c r="M189" s="227"/>
      <c r="N189" s="6398"/>
      <c r="O189" s="78" t="s">
        <v>8790</v>
      </c>
      <c r="P189" s="78"/>
      <c r="Q189" s="1938"/>
    </row>
    <row r="190" spans="1:17" ht="12" customHeight="1" x14ac:dyDescent="0.2">
      <c r="A190" s="6400"/>
      <c r="B190" s="6416"/>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398"/>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400"/>
      <c r="B191" s="6416"/>
      <c r="C191" s="39" t="s">
        <v>9075</v>
      </c>
      <c r="D191" s="78"/>
      <c r="E191" s="1142"/>
      <c r="F191" s="1143"/>
      <c r="G191" s="1142"/>
      <c r="H191" s="1142"/>
      <c r="I191" s="1142"/>
      <c r="J191" s="1142"/>
      <c r="K191" s="1142"/>
      <c r="L191" s="1940" t="str">
        <f t="shared" si="8"/>
        <v>&gt; SUSTITUCIÓN DE DAÑO REAL</v>
      </c>
      <c r="M191" s="227"/>
      <c r="N191" s="6398"/>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400"/>
      <c r="B192" s="6416"/>
      <c r="C192" s="39" t="s">
        <v>9077</v>
      </c>
      <c r="D192" s="78" t="s">
        <v>9065</v>
      </c>
      <c r="E192" s="1142">
        <v>3</v>
      </c>
      <c r="F192" s="1143">
        <v>5</v>
      </c>
      <c r="G192" s="1142">
        <v>10</v>
      </c>
      <c r="H192" s="1142">
        <v>2</v>
      </c>
      <c r="I192" s="1142">
        <v>4</v>
      </c>
      <c r="J192" s="1142">
        <v>7</v>
      </c>
      <c r="K192" s="1142">
        <v>1</v>
      </c>
      <c r="L192" s="1940" t="str">
        <f t="shared" si="8"/>
        <v>Sustitución De Daño Real50</v>
      </c>
      <c r="M192" s="227"/>
      <c r="N192" s="6399"/>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400"/>
      <c r="B193" s="6416"/>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400"/>
      <c r="B194" s="6416"/>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400"/>
      <c r="B195" s="6416"/>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400"/>
      <c r="B196" s="6416"/>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4"/>
      <c r="O196" s="6401" t="s">
        <v>8990</v>
      </c>
      <c r="P196" s="6401"/>
      <c r="Q196" s="6401"/>
      <c r="R196" s="6401"/>
      <c r="S196" s="6402"/>
      <c r="T196" s="227"/>
    </row>
    <row r="197" spans="1:20" ht="12" customHeight="1" x14ac:dyDescent="0.2">
      <c r="A197" s="6400"/>
      <c r="B197" s="6416"/>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5"/>
      <c r="O197" s="6404"/>
      <c r="P197" s="4775"/>
      <c r="Q197" s="4775"/>
      <c r="R197" s="4775"/>
      <c r="S197" s="6403"/>
      <c r="T197" s="227"/>
    </row>
    <row r="198" spans="1:20" ht="12" customHeight="1" x14ac:dyDescent="0.2">
      <c r="A198" s="6400"/>
      <c r="B198" s="6416"/>
      <c r="C198" s="39" t="s">
        <v>2846</v>
      </c>
      <c r="D198" s="78"/>
      <c r="E198" s="1142"/>
      <c r="F198" s="1143"/>
      <c r="G198" s="1142"/>
      <c r="H198" s="1142"/>
      <c r="I198" s="1142"/>
      <c r="J198" s="1142"/>
      <c r="K198" s="1142"/>
      <c r="L198" s="1940" t="str">
        <f t="shared" si="8"/>
        <v>&gt;&gt;EFECTOS DE ACCION</v>
      </c>
      <c r="M198" s="227"/>
      <c r="N198" s="6395"/>
      <c r="O198" s="2036" t="s">
        <v>8991</v>
      </c>
      <c r="P198" s="2035" t="s">
        <v>2826</v>
      </c>
      <c r="Q198" s="2036" t="s">
        <v>1499</v>
      </c>
      <c r="R198" s="2036" t="s">
        <v>1402</v>
      </c>
      <c r="S198" s="1937" t="s">
        <v>8450</v>
      </c>
      <c r="T198" s="227"/>
    </row>
    <row r="199" spans="1:20" ht="12" customHeight="1" x14ac:dyDescent="0.2">
      <c r="A199" s="6400"/>
      <c r="B199" s="6416"/>
      <c r="C199" s="39" t="s">
        <v>9085</v>
      </c>
      <c r="D199" s="78"/>
      <c r="E199" s="1142"/>
      <c r="F199" s="1143"/>
      <c r="G199" s="1142"/>
      <c r="H199" s="1142"/>
      <c r="I199" s="1142"/>
      <c r="J199" s="1142"/>
      <c r="K199" s="1142"/>
      <c r="L199" s="1940" t="str">
        <f t="shared" si="8"/>
        <v>&gt; ATAQUE ADICIONAL</v>
      </c>
      <c r="M199" s="227"/>
      <c r="N199" s="6395"/>
      <c r="O199" s="2036">
        <v>1</v>
      </c>
      <c r="P199" s="2035">
        <v>2</v>
      </c>
      <c r="Q199" s="2036">
        <v>3</v>
      </c>
      <c r="R199" s="2036">
        <v>4</v>
      </c>
      <c r="S199" s="1937">
        <v>5</v>
      </c>
      <c r="T199" s="227"/>
    </row>
    <row r="200" spans="1:20" ht="12" customHeight="1" x14ac:dyDescent="0.2">
      <c r="A200" s="6400"/>
      <c r="B200" s="6416"/>
      <c r="C200" s="39" t="s">
        <v>8874</v>
      </c>
      <c r="D200" s="78" t="s">
        <v>2869</v>
      </c>
      <c r="E200" s="1142">
        <v>6</v>
      </c>
      <c r="F200" s="1143">
        <v>9</v>
      </c>
      <c r="G200" s="1142">
        <v>20</v>
      </c>
      <c r="H200" s="1142">
        <v>3</v>
      </c>
      <c r="I200" s="1142">
        <v>6</v>
      </c>
      <c r="J200" s="1142">
        <v>11</v>
      </c>
      <c r="K200" s="1142">
        <v>1</v>
      </c>
      <c r="L200" s="1940" t="str">
        <f t="shared" si="8"/>
        <v>Ataque Adicional+1</v>
      </c>
      <c r="M200" s="227"/>
      <c r="N200" s="6395"/>
      <c r="O200" s="78" t="s">
        <v>8992</v>
      </c>
      <c r="P200" s="78"/>
      <c r="Q200" s="72"/>
      <c r="R200" s="72"/>
      <c r="S200" s="1940" t="str">
        <f>O200&amp;P200</f>
        <v>&gt; AGOTAMIENTO</v>
      </c>
      <c r="T200" s="227"/>
    </row>
    <row r="201" spans="1:20" ht="12" customHeight="1" x14ac:dyDescent="0.2">
      <c r="A201" s="6400"/>
      <c r="B201" s="6416"/>
      <c r="C201" s="39" t="s">
        <v>8874</v>
      </c>
      <c r="D201" s="78" t="s">
        <v>2830</v>
      </c>
      <c r="E201" s="1142">
        <v>12</v>
      </c>
      <c r="F201" s="1143">
        <v>15</v>
      </c>
      <c r="G201" s="1142">
        <v>30</v>
      </c>
      <c r="H201" s="1142">
        <v>6</v>
      </c>
      <c r="I201" s="1142">
        <v>12</v>
      </c>
      <c r="J201" s="1142">
        <v>21</v>
      </c>
      <c r="K201" s="1142">
        <v>1</v>
      </c>
      <c r="L201" s="1940" t="str">
        <f t="shared" si="8"/>
        <v>Ataque Adicional+2</v>
      </c>
      <c r="M201" s="227"/>
      <c r="N201" s="6395"/>
      <c r="O201" s="78" t="s">
        <v>8969</v>
      </c>
      <c r="P201" s="78" t="s">
        <v>8993</v>
      </c>
      <c r="Q201" s="72">
        <v>-5</v>
      </c>
      <c r="R201" s="72">
        <v>1</v>
      </c>
      <c r="S201" s="1940" t="str">
        <f t="shared" ref="S201:S264" si="10">O201&amp;P201</f>
        <v>Agotamiento-2 Cansancio</v>
      </c>
      <c r="T201" s="227"/>
    </row>
    <row r="202" spans="1:20" ht="12" customHeight="1" x14ac:dyDescent="0.2">
      <c r="A202" s="6400"/>
      <c r="B202" s="6416"/>
      <c r="C202" s="39" t="s">
        <v>8874</v>
      </c>
      <c r="D202" s="78" t="s">
        <v>2831</v>
      </c>
      <c r="E202" s="1142">
        <v>18</v>
      </c>
      <c r="F202" s="1143">
        <v>22</v>
      </c>
      <c r="G202" s="1142">
        <v>40</v>
      </c>
      <c r="H202" s="1142">
        <v>9</v>
      </c>
      <c r="I202" s="1142">
        <v>18</v>
      </c>
      <c r="J202" s="1142">
        <v>32</v>
      </c>
      <c r="K202" s="1142">
        <v>1</v>
      </c>
      <c r="L202" s="1940" t="str">
        <f t="shared" si="8"/>
        <v>Ataque Adicional+3</v>
      </c>
      <c r="M202" s="227"/>
      <c r="N202" s="6395"/>
      <c r="O202" s="78" t="s">
        <v>8969</v>
      </c>
      <c r="P202" s="78" t="s">
        <v>8994</v>
      </c>
      <c r="Q202" s="72">
        <v>-10</v>
      </c>
      <c r="R202" s="72">
        <v>1</v>
      </c>
      <c r="S202" s="1940" t="str">
        <f t="shared" si="10"/>
        <v>Agotamiento-4 Cansancio</v>
      </c>
      <c r="T202" s="227"/>
    </row>
    <row r="203" spans="1:20" ht="12" customHeight="1" x14ac:dyDescent="0.2">
      <c r="A203" s="6400"/>
      <c r="B203" s="6416"/>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5"/>
      <c r="O203" s="78" t="s">
        <v>8969</v>
      </c>
      <c r="P203" s="78" t="s">
        <v>8995</v>
      </c>
      <c r="Q203" s="72">
        <v>-15</v>
      </c>
      <c r="R203" s="72">
        <v>2</v>
      </c>
      <c r="S203" s="1940" t="str">
        <f t="shared" si="10"/>
        <v>Agotamiento-6 Cansancio</v>
      </c>
      <c r="T203" s="227"/>
    </row>
    <row r="204" spans="1:20" ht="12" customHeight="1" x14ac:dyDescent="0.2">
      <c r="A204" s="6400"/>
      <c r="B204" s="6416"/>
      <c r="C204" s="39" t="s">
        <v>8874</v>
      </c>
      <c r="D204" s="78" t="s">
        <v>6874</v>
      </c>
      <c r="E204" s="1142">
        <v>30</v>
      </c>
      <c r="F204" s="1143">
        <v>36</v>
      </c>
      <c r="G204" s="1142">
        <v>60</v>
      </c>
      <c r="H204" s="1142">
        <v>15</v>
      </c>
      <c r="I204" s="1142">
        <v>30</v>
      </c>
      <c r="J204" s="1142">
        <v>53</v>
      </c>
      <c r="K204" s="1142">
        <v>3</v>
      </c>
      <c r="L204" s="1940" t="str">
        <f t="shared" si="11"/>
        <v>Ataque Adicional+5</v>
      </c>
      <c r="M204" s="227"/>
      <c r="N204" s="6395"/>
      <c r="O204" s="78" t="s">
        <v>8996</v>
      </c>
      <c r="P204" s="78"/>
      <c r="Q204" s="72"/>
      <c r="R204" s="72"/>
      <c r="S204" s="1940" t="str">
        <f t="shared" si="10"/>
        <v>&gt; ATADURA ELEMENTAL</v>
      </c>
      <c r="T204" s="227"/>
    </row>
    <row r="205" spans="1:20" ht="12" customHeight="1" x14ac:dyDescent="0.2">
      <c r="A205" s="6400"/>
      <c r="B205" s="6416"/>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5"/>
      <c r="O205" s="78" t="s">
        <v>8802</v>
      </c>
      <c r="P205" s="78" t="s">
        <v>8997</v>
      </c>
      <c r="Q205" s="72">
        <v>-15</v>
      </c>
      <c r="R205" s="72">
        <v>1</v>
      </c>
      <c r="S205" s="1940" t="str">
        <f t="shared" si="10"/>
        <v>Atadura ElementalA Un Elemento</v>
      </c>
      <c r="T205" s="227"/>
    </row>
    <row r="206" spans="1:20" ht="12" customHeight="1" x14ac:dyDescent="0.2">
      <c r="A206" s="6400"/>
      <c r="B206" s="6416"/>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5"/>
      <c r="O206" s="78" t="s">
        <v>8802</v>
      </c>
      <c r="P206" s="78" t="s">
        <v>8803</v>
      </c>
      <c r="Q206" s="72">
        <v>-10</v>
      </c>
      <c r="R206" s="72">
        <v>1</v>
      </c>
      <c r="S206" s="1940" t="str">
        <f t="shared" si="10"/>
        <v>Atadura ElementalA Dos Elementos</v>
      </c>
      <c r="T206" s="227"/>
    </row>
    <row r="207" spans="1:20" ht="12" customHeight="1" x14ac:dyDescent="0.2">
      <c r="A207" s="6400"/>
      <c r="B207" s="6416"/>
      <c r="C207" s="39" t="s">
        <v>8874</v>
      </c>
      <c r="D207" s="78" t="s">
        <v>9334</v>
      </c>
      <c r="E207" s="1142">
        <v>-3</v>
      </c>
      <c r="F207" s="1143">
        <v>-3</v>
      </c>
      <c r="G207" s="1142">
        <v>-10</v>
      </c>
      <c r="H207" s="1142"/>
      <c r="I207" s="1142"/>
      <c r="J207" s="1142"/>
      <c r="K207" s="1142"/>
      <c r="L207" s="1940" t="str">
        <f t="shared" si="11"/>
        <v>Ataque AdicionalCombo: Hasta 2</v>
      </c>
      <c r="M207" s="227"/>
      <c r="N207" s="6395"/>
      <c r="O207" s="78" t="s">
        <v>8999</v>
      </c>
      <c r="P207" s="78"/>
      <c r="Q207" s="72"/>
      <c r="R207" s="72"/>
      <c r="S207" s="1940" t="str">
        <f t="shared" si="10"/>
        <v>&gt; ATAQUE ESPECIALIZADO</v>
      </c>
      <c r="T207" s="227"/>
    </row>
    <row r="208" spans="1:20" ht="12" customHeight="1" x14ac:dyDescent="0.2">
      <c r="A208" s="6400"/>
      <c r="B208" s="6416"/>
      <c r="C208" s="39" t="s">
        <v>8874</v>
      </c>
      <c r="D208" s="78" t="s">
        <v>9335</v>
      </c>
      <c r="E208" s="1142">
        <v>-6</v>
      </c>
      <c r="F208" s="1143">
        <v>-6</v>
      </c>
      <c r="G208" s="1142">
        <v>-20</v>
      </c>
      <c r="H208" s="1142"/>
      <c r="I208" s="1142"/>
      <c r="J208" s="1142"/>
      <c r="K208" s="1142"/>
      <c r="L208" s="1940" t="str">
        <f t="shared" si="11"/>
        <v xml:space="preserve">Ataque AdicionalCombo: 3+ </v>
      </c>
      <c r="M208" s="227"/>
      <c r="N208" s="6395"/>
      <c r="O208" s="78" t="s">
        <v>8970</v>
      </c>
      <c r="P208" s="78" t="s">
        <v>9001</v>
      </c>
      <c r="Q208" s="72">
        <v>-10</v>
      </c>
      <c r="R208" s="72">
        <v>1</v>
      </c>
      <c r="S208" s="1940" t="str">
        <f t="shared" si="10"/>
        <v>Ataque EspecializadoParada</v>
      </c>
      <c r="T208" s="227"/>
    </row>
    <row r="209" spans="1:20" ht="12" customHeight="1" x14ac:dyDescent="0.2">
      <c r="A209" s="6400"/>
      <c r="B209" s="6416"/>
      <c r="C209" s="39" t="s">
        <v>9087</v>
      </c>
      <c r="D209" s="78"/>
      <c r="E209" s="1142"/>
      <c r="F209" s="1143"/>
      <c r="G209" s="1142"/>
      <c r="H209" s="1142"/>
      <c r="I209" s="1142"/>
      <c r="J209" s="1142"/>
      <c r="K209" s="1142"/>
      <c r="L209" s="1940" t="str">
        <f t="shared" si="11"/>
        <v>&gt; ATAQUE ADICIONAL LIMITADO</v>
      </c>
      <c r="M209" s="227"/>
      <c r="N209" s="6395"/>
      <c r="O209" s="78" t="s">
        <v>8970</v>
      </c>
      <c r="P209" s="78" t="s">
        <v>9002</v>
      </c>
      <c r="Q209" s="72">
        <v>-10</v>
      </c>
      <c r="R209" s="72">
        <v>1</v>
      </c>
      <c r="S209" s="1940" t="str">
        <f t="shared" si="10"/>
        <v>Ataque EspecializadoEsquiva</v>
      </c>
      <c r="T209" s="227"/>
    </row>
    <row r="210" spans="1:20" ht="12" customHeight="1" x14ac:dyDescent="0.2">
      <c r="A210" s="6400"/>
      <c r="B210" s="6416"/>
      <c r="C210" s="39" t="s">
        <v>8877</v>
      </c>
      <c r="D210" s="78" t="s">
        <v>2869</v>
      </c>
      <c r="E210" s="1142">
        <v>3</v>
      </c>
      <c r="F210" s="1143">
        <v>5</v>
      </c>
      <c r="G210" s="1142">
        <v>5</v>
      </c>
      <c r="H210" s="1142">
        <v>1</v>
      </c>
      <c r="I210" s="1142">
        <v>2</v>
      </c>
      <c r="J210" s="1142">
        <v>4</v>
      </c>
      <c r="K210" s="1142">
        <v>1</v>
      </c>
      <c r="L210" s="1940" t="str">
        <f t="shared" si="11"/>
        <v>Ataque Adicional Limitado+1</v>
      </c>
      <c r="M210" s="227"/>
      <c r="N210" s="6395"/>
      <c r="O210" s="78" t="s">
        <v>8970</v>
      </c>
      <c r="P210" s="78" t="s">
        <v>1685</v>
      </c>
      <c r="Q210" s="72">
        <v>-10</v>
      </c>
      <c r="R210" s="72">
        <v>1</v>
      </c>
      <c r="S210" s="1940" t="str">
        <f t="shared" si="10"/>
        <v>Ataque EspecializadoAcumulación</v>
      </c>
      <c r="T210" s="227"/>
    </row>
    <row r="211" spans="1:20" ht="12" customHeight="1" x14ac:dyDescent="0.2">
      <c r="A211" s="6400"/>
      <c r="B211" s="6416"/>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5"/>
      <c r="O211" s="78" t="s">
        <v>9003</v>
      </c>
      <c r="P211" s="78"/>
      <c r="Q211" s="72"/>
      <c r="R211" s="72"/>
      <c r="S211" s="1940" t="str">
        <f t="shared" si="10"/>
        <v>&gt; ATADA A UN ARMA</v>
      </c>
      <c r="T211" s="227"/>
    </row>
    <row r="212" spans="1:20" ht="12" customHeight="1" x14ac:dyDescent="0.2">
      <c r="A212" s="6400"/>
      <c r="B212" s="6416"/>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5"/>
      <c r="O212" s="78" t="s">
        <v>8972</v>
      </c>
      <c r="P212" s="78" t="s">
        <v>9004</v>
      </c>
      <c r="Q212" s="72">
        <v>-5</v>
      </c>
      <c r="R212" s="72">
        <v>1</v>
      </c>
      <c r="S212" s="1940" t="str">
        <f t="shared" si="10"/>
        <v>Atada A Un ArmaGenérica</v>
      </c>
      <c r="T212" s="227"/>
    </row>
    <row r="213" spans="1:20" ht="12" customHeight="1" x14ac:dyDescent="0.2">
      <c r="A213" s="6400"/>
      <c r="B213" s="6416"/>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5"/>
      <c r="O213" s="78" t="s">
        <v>8972</v>
      </c>
      <c r="P213" s="78" t="s">
        <v>9005</v>
      </c>
      <c r="Q213" s="72">
        <v>-10</v>
      </c>
      <c r="R213" s="72">
        <v>1</v>
      </c>
      <c r="S213" s="1940" t="str">
        <f t="shared" si="10"/>
        <v>Atada A Un ArmaÚnica</v>
      </c>
      <c r="T213" s="227"/>
    </row>
    <row r="214" spans="1:20" ht="12" customHeight="1" x14ac:dyDescent="0.2">
      <c r="A214" s="6400"/>
      <c r="B214" s="6416"/>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5"/>
      <c r="O214" s="78" t="s">
        <v>9006</v>
      </c>
      <c r="P214" s="78"/>
      <c r="Q214" s="72"/>
      <c r="R214" s="72"/>
      <c r="S214" s="1940" t="str">
        <f t="shared" si="10"/>
        <v>&gt; CIRCUNSTANCIA LÍMITE</v>
      </c>
      <c r="T214" s="227"/>
    </row>
    <row r="215" spans="1:20" ht="12" customHeight="1" x14ac:dyDescent="0.2">
      <c r="A215" s="6400"/>
      <c r="B215" s="6416"/>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5"/>
      <c r="O215" s="78" t="s">
        <v>8974</v>
      </c>
      <c r="P215" s="78" t="s">
        <v>9008</v>
      </c>
      <c r="Q215" s="72">
        <v>-10</v>
      </c>
      <c r="R215" s="72">
        <v>1</v>
      </c>
      <c r="S215" s="1940" t="str">
        <f t="shared" si="10"/>
        <v>Circunstancia LímiteMitad de PV</v>
      </c>
      <c r="T215" s="227"/>
    </row>
    <row r="216" spans="1:20" ht="12" customHeight="1" x14ac:dyDescent="0.2">
      <c r="A216" s="6400"/>
      <c r="B216" s="6416"/>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5"/>
      <c r="O216" s="78" t="s">
        <v>8974</v>
      </c>
      <c r="P216" s="78" t="s">
        <v>9010</v>
      </c>
      <c r="Q216" s="72">
        <v>-15</v>
      </c>
      <c r="R216" s="72">
        <v>1</v>
      </c>
      <c r="S216" s="1940" t="str">
        <f t="shared" si="10"/>
        <v>Circunstancia LímiteUna 1/4 de PV</v>
      </c>
      <c r="T216" s="227"/>
    </row>
    <row r="217" spans="1:20" ht="12" customHeight="1" x14ac:dyDescent="0.2">
      <c r="A217" s="6400"/>
      <c r="B217" s="6416"/>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5"/>
      <c r="O217" s="78" t="s">
        <v>8974</v>
      </c>
      <c r="P217" s="78" t="s">
        <v>9011</v>
      </c>
      <c r="Q217" s="72">
        <v>-25</v>
      </c>
      <c r="R217" s="72">
        <v>2</v>
      </c>
      <c r="S217" s="1940" t="str">
        <f t="shared" si="10"/>
        <v>Circunstancia LímitePV Negativos</v>
      </c>
      <c r="T217" s="227"/>
    </row>
    <row r="218" spans="1:20" ht="12" customHeight="1" x14ac:dyDescent="0.2">
      <c r="A218" s="6400"/>
      <c r="B218" s="6416"/>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5"/>
      <c r="O218" s="78" t="s">
        <v>8974</v>
      </c>
      <c r="P218" s="78" t="s">
        <v>9012</v>
      </c>
      <c r="Q218" s="72">
        <v>-10</v>
      </c>
      <c r="R218" s="72">
        <v>1</v>
      </c>
      <c r="S218" s="1940" t="str">
        <f t="shared" si="10"/>
        <v>Circunstancia LímiteRecibir Daño</v>
      </c>
      <c r="T218" s="227"/>
    </row>
    <row r="219" spans="1:20" ht="12" customHeight="1" x14ac:dyDescent="0.2">
      <c r="A219" s="6400"/>
      <c r="B219" s="6416"/>
      <c r="C219" s="39" t="s">
        <v>9089</v>
      </c>
      <c r="D219" s="78"/>
      <c r="E219" s="1142"/>
      <c r="F219" s="1143"/>
      <c r="G219" s="1142"/>
      <c r="H219" s="1142"/>
      <c r="I219" s="1142"/>
      <c r="J219" s="1142"/>
      <c r="K219" s="1142"/>
      <c r="L219" s="1940" t="str">
        <f t="shared" si="11"/>
        <v>&gt; DEFENSAS ADICIONALES</v>
      </c>
      <c r="M219" s="227"/>
      <c r="N219" s="6395"/>
      <c r="O219" s="78" t="s">
        <v>9013</v>
      </c>
      <c r="P219" s="78"/>
      <c r="Q219" s="72"/>
      <c r="R219" s="72"/>
      <c r="S219" s="1940" t="str">
        <f t="shared" si="10"/>
        <v>&gt; CIRCUNSTANCIA DE COMBATE</v>
      </c>
      <c r="T219" s="227"/>
    </row>
    <row r="220" spans="1:20" ht="12" customHeight="1" x14ac:dyDescent="0.2">
      <c r="A220" s="6400"/>
      <c r="B220" s="6416"/>
      <c r="C220" s="39" t="s">
        <v>8879</v>
      </c>
      <c r="D220" s="78" t="s">
        <v>2869</v>
      </c>
      <c r="E220" s="1142">
        <v>1</v>
      </c>
      <c r="F220" s="1143">
        <v>2</v>
      </c>
      <c r="G220" s="1142">
        <v>5</v>
      </c>
      <c r="H220" s="1142">
        <v>1</v>
      </c>
      <c r="I220" s="1142">
        <v>2</v>
      </c>
      <c r="J220" s="1142">
        <v>4</v>
      </c>
      <c r="K220" s="1142">
        <v>1</v>
      </c>
      <c r="L220" s="1940" t="str">
        <f t="shared" si="11"/>
        <v>Defensas Adicionales+1</v>
      </c>
      <c r="M220" s="227"/>
      <c r="N220" s="6395"/>
      <c r="O220" s="78" t="s">
        <v>8975</v>
      </c>
      <c r="P220" s="78"/>
      <c r="Q220" s="72">
        <v>-5</v>
      </c>
      <c r="R220" s="72">
        <v>1</v>
      </c>
      <c r="S220" s="1940" t="str">
        <f t="shared" si="10"/>
        <v>Circunstancia De Combate</v>
      </c>
      <c r="T220" s="227"/>
    </row>
    <row r="221" spans="1:20" ht="12" customHeight="1" x14ac:dyDescent="0.2">
      <c r="A221" s="6400"/>
      <c r="B221" s="6416"/>
      <c r="C221" s="39" t="s">
        <v>8879</v>
      </c>
      <c r="D221" s="78" t="s">
        <v>2830</v>
      </c>
      <c r="E221" s="1142">
        <v>2</v>
      </c>
      <c r="F221" s="1143">
        <v>4</v>
      </c>
      <c r="G221" s="1142">
        <v>5</v>
      </c>
      <c r="H221" s="1142">
        <v>2</v>
      </c>
      <c r="I221" s="1142">
        <v>4</v>
      </c>
      <c r="J221" s="1142">
        <v>7</v>
      </c>
      <c r="K221" s="1142">
        <v>1</v>
      </c>
      <c r="L221" s="1940" t="str">
        <f t="shared" si="11"/>
        <v>Defensas Adicionales+2</v>
      </c>
      <c r="M221" s="227"/>
      <c r="N221" s="6395"/>
      <c r="O221" s="78" t="s">
        <v>9014</v>
      </c>
      <c r="P221" s="78"/>
      <c r="Q221" s="72"/>
      <c r="R221" s="72"/>
      <c r="S221" s="1940" t="str">
        <f t="shared" si="10"/>
        <v>&gt; COMPLEJA</v>
      </c>
      <c r="T221" s="227"/>
    </row>
    <row r="222" spans="1:20" ht="12" customHeight="1" x14ac:dyDescent="0.2">
      <c r="A222" s="6400"/>
      <c r="B222" s="6416"/>
      <c r="C222" s="39" t="s">
        <v>8879</v>
      </c>
      <c r="D222" s="78" t="s">
        <v>2831</v>
      </c>
      <c r="E222" s="1142">
        <v>3</v>
      </c>
      <c r="F222" s="1143">
        <v>5</v>
      </c>
      <c r="G222" s="1142">
        <v>10</v>
      </c>
      <c r="H222" s="1142">
        <v>3</v>
      </c>
      <c r="I222" s="1142">
        <v>6</v>
      </c>
      <c r="J222" s="1142">
        <v>11</v>
      </c>
      <c r="K222" s="1142">
        <v>1</v>
      </c>
      <c r="L222" s="1940" t="str">
        <f t="shared" si="11"/>
        <v>Defensas Adicionales+3</v>
      </c>
      <c r="M222" s="227"/>
      <c r="N222" s="6395"/>
      <c r="O222" s="78" t="s">
        <v>2156</v>
      </c>
      <c r="P222" s="78"/>
      <c r="Q222" s="72">
        <v>-5</v>
      </c>
      <c r="R222" s="72">
        <v>2</v>
      </c>
      <c r="S222" s="1940" t="str">
        <f t="shared" si="10"/>
        <v>Compleja</v>
      </c>
      <c r="T222" s="227"/>
    </row>
    <row r="223" spans="1:20" ht="12" customHeight="1" x14ac:dyDescent="0.2">
      <c r="A223" s="6400"/>
      <c r="B223" s="6416"/>
      <c r="C223" s="39" t="s">
        <v>8879</v>
      </c>
      <c r="D223" s="78" t="s">
        <v>3135</v>
      </c>
      <c r="E223" s="1142">
        <v>4</v>
      </c>
      <c r="F223" s="1143">
        <v>6</v>
      </c>
      <c r="G223" s="1142">
        <v>15</v>
      </c>
      <c r="H223" s="1142">
        <v>4</v>
      </c>
      <c r="I223" s="1142">
        <v>8</v>
      </c>
      <c r="J223" s="1142">
        <v>14</v>
      </c>
      <c r="K223" s="1142">
        <v>1</v>
      </c>
      <c r="L223" s="1940" t="str">
        <f t="shared" si="11"/>
        <v>Defensas Adicionales+4</v>
      </c>
      <c r="M223" s="227"/>
      <c r="N223" s="6395"/>
      <c r="O223" s="78" t="s">
        <v>9015</v>
      </c>
      <c r="P223" s="78"/>
      <c r="Q223" s="72"/>
      <c r="R223" s="72"/>
      <c r="S223" s="1940" t="str">
        <f t="shared" si="10"/>
        <v>&gt; CONDICIONES</v>
      </c>
      <c r="T223" s="227"/>
    </row>
    <row r="224" spans="1:20" ht="12" customHeight="1" x14ac:dyDescent="0.2">
      <c r="A224" s="6400"/>
      <c r="B224" s="6416"/>
      <c r="C224" s="39" t="s">
        <v>8879</v>
      </c>
      <c r="D224" s="78" t="s">
        <v>9088</v>
      </c>
      <c r="E224" s="1142">
        <v>5</v>
      </c>
      <c r="F224" s="1143">
        <v>8</v>
      </c>
      <c r="G224" s="1142">
        <v>20</v>
      </c>
      <c r="H224" s="1142">
        <v>6</v>
      </c>
      <c r="I224" s="1142">
        <v>12</v>
      </c>
      <c r="J224" s="1142">
        <v>21</v>
      </c>
      <c r="K224" s="1142">
        <v>1</v>
      </c>
      <c r="L224" s="1940" t="str">
        <f t="shared" si="11"/>
        <v>Defensas Adicionales+6</v>
      </c>
      <c r="M224" s="227"/>
      <c r="N224" s="6395"/>
      <c r="O224" s="78" t="s">
        <v>7521</v>
      </c>
      <c r="P224" s="78" t="s">
        <v>9016</v>
      </c>
      <c r="Q224" s="72">
        <v>-5</v>
      </c>
      <c r="R224" s="72">
        <v>1</v>
      </c>
      <c r="S224" s="1940" t="str">
        <f t="shared" si="10"/>
        <v>CondiciónDesenvainar</v>
      </c>
      <c r="T224" s="227"/>
    </row>
    <row r="225" spans="1:21" ht="12" customHeight="1" x14ac:dyDescent="0.2">
      <c r="A225" s="6400"/>
      <c r="B225" s="6416"/>
      <c r="C225" s="39" t="s">
        <v>8879</v>
      </c>
      <c r="D225" s="78" t="s">
        <v>6889</v>
      </c>
      <c r="E225" s="1142">
        <v>6</v>
      </c>
      <c r="F225" s="1143">
        <v>9</v>
      </c>
      <c r="G225" s="1142">
        <v>25</v>
      </c>
      <c r="H225" s="1142">
        <v>8</v>
      </c>
      <c r="I225" s="1142">
        <v>16</v>
      </c>
      <c r="J225" s="1142">
        <v>28</v>
      </c>
      <c r="K225" s="1142">
        <v>1</v>
      </c>
      <c r="L225" s="1940" t="str">
        <f t="shared" si="11"/>
        <v>Defensas Adicionales+8</v>
      </c>
      <c r="M225" s="227"/>
      <c r="N225" s="6395"/>
      <c r="O225" s="78" t="s">
        <v>7521</v>
      </c>
      <c r="P225" s="78" t="s">
        <v>9017</v>
      </c>
      <c r="Q225" s="72">
        <v>-5</v>
      </c>
      <c r="R225" s="72">
        <v>1</v>
      </c>
      <c r="S225" s="1940" t="str">
        <f t="shared" si="10"/>
        <v>CondiciónEn Vuelo</v>
      </c>
      <c r="T225" s="227"/>
    </row>
    <row r="226" spans="1:21" ht="12" customHeight="1" x14ac:dyDescent="0.2">
      <c r="A226" s="6400"/>
      <c r="B226" s="6416"/>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5"/>
      <c r="O226" s="78" t="s">
        <v>7521</v>
      </c>
      <c r="P226" s="78" t="s">
        <v>9018</v>
      </c>
      <c r="Q226" s="72">
        <v>-5</v>
      </c>
      <c r="R226" s="72">
        <v>1</v>
      </c>
      <c r="S226" s="1940" t="str">
        <f t="shared" si="10"/>
        <v>CondiciónEn Carga</v>
      </c>
      <c r="T226" s="227"/>
    </row>
    <row r="227" spans="1:21" ht="12" customHeight="1" x14ac:dyDescent="0.2">
      <c r="A227" s="6400"/>
      <c r="B227" s="6416"/>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5"/>
      <c r="O227" s="78" t="s">
        <v>7521</v>
      </c>
      <c r="P227" s="78" t="s">
        <v>9020</v>
      </c>
      <c r="Q227" s="72">
        <v>-5</v>
      </c>
      <c r="R227" s="72">
        <v>1</v>
      </c>
      <c r="S227" s="1940" t="str">
        <f t="shared" si="10"/>
        <v>CondiciónMontado</v>
      </c>
      <c r="T227" s="227"/>
      <c r="U227" s="227"/>
    </row>
    <row r="228" spans="1:21" ht="12" customHeight="1" x14ac:dyDescent="0.2">
      <c r="A228" s="6400"/>
      <c r="B228" s="6416"/>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5"/>
      <c r="O228" s="78" t="s">
        <v>7521</v>
      </c>
      <c r="P228" s="78" t="s">
        <v>9021</v>
      </c>
      <c r="Q228" s="72">
        <v>-10</v>
      </c>
      <c r="R228" s="72">
        <v>1</v>
      </c>
      <c r="S228" s="1940" t="str">
        <f t="shared" si="10"/>
        <v>CondiciónDiurno</v>
      </c>
      <c r="T228" s="227"/>
      <c r="U228" s="227"/>
    </row>
    <row r="229" spans="1:21" ht="12" customHeight="1" x14ac:dyDescent="0.2">
      <c r="A229" s="6400"/>
      <c r="B229" s="6416"/>
      <c r="C229" s="39" t="s">
        <v>9091</v>
      </c>
      <c r="D229" s="78"/>
      <c r="E229" s="1142"/>
      <c r="F229" s="1143"/>
      <c r="G229" s="1142"/>
      <c r="H229" s="1142"/>
      <c r="I229" s="1142"/>
      <c r="J229" s="1142"/>
      <c r="K229" s="1142"/>
      <c r="L229" s="1940" t="str">
        <f t="shared" si="11"/>
        <v>&gt; ACCIONES ADICIONALES</v>
      </c>
      <c r="M229" s="227"/>
      <c r="N229" s="6395"/>
      <c r="O229" s="78" t="s">
        <v>7521</v>
      </c>
      <c r="P229" s="78" t="s">
        <v>9022</v>
      </c>
      <c r="Q229" s="72">
        <v>-10</v>
      </c>
      <c r="R229" s="72">
        <v>1</v>
      </c>
      <c r="S229" s="1940" t="str">
        <f t="shared" si="10"/>
        <v>CondiciónNocturno</v>
      </c>
      <c r="T229" s="227"/>
      <c r="U229" s="227"/>
    </row>
    <row r="230" spans="1:21" ht="12" customHeight="1" x14ac:dyDescent="0.2">
      <c r="A230" s="6400"/>
      <c r="B230" s="6416"/>
      <c r="C230" s="39" t="s">
        <v>8882</v>
      </c>
      <c r="D230" s="78" t="s">
        <v>2869</v>
      </c>
      <c r="E230" s="1142">
        <v>1</v>
      </c>
      <c r="F230" s="1143">
        <v>2</v>
      </c>
      <c r="G230" s="1142">
        <v>5</v>
      </c>
      <c r="H230" s="1142">
        <v>1</v>
      </c>
      <c r="I230" s="1142">
        <v>2</v>
      </c>
      <c r="J230" s="1142">
        <v>4</v>
      </c>
      <c r="K230" s="1142">
        <v>1</v>
      </c>
      <c r="L230" s="1940" t="str">
        <f t="shared" si="11"/>
        <v>Acciones Adicionales+1</v>
      </c>
      <c r="M230" s="227"/>
      <c r="N230" s="6395"/>
      <c r="O230" s="78" t="s">
        <v>7521</v>
      </c>
      <c r="P230" s="78" t="s">
        <v>9023</v>
      </c>
      <c r="Q230" s="72">
        <v>-10</v>
      </c>
      <c r="R230" s="72">
        <v>1</v>
      </c>
      <c r="S230" s="1940" t="str">
        <f t="shared" si="10"/>
        <v>CondiciónTerreno Determinado</v>
      </c>
      <c r="T230" s="227"/>
      <c r="U230" s="227"/>
    </row>
    <row r="231" spans="1:21" ht="12" customHeight="1" x14ac:dyDescent="0.2">
      <c r="A231" s="6400"/>
      <c r="B231" s="6416"/>
      <c r="C231" s="39" t="s">
        <v>8882</v>
      </c>
      <c r="D231" s="78" t="s">
        <v>2830</v>
      </c>
      <c r="E231" s="1142">
        <v>2</v>
      </c>
      <c r="F231" s="1143">
        <v>4</v>
      </c>
      <c r="G231" s="1142">
        <v>5</v>
      </c>
      <c r="H231" s="1142">
        <v>2</v>
      </c>
      <c r="I231" s="1142">
        <v>4</v>
      </c>
      <c r="J231" s="1142">
        <v>7</v>
      </c>
      <c r="K231" s="1142">
        <v>1</v>
      </c>
      <c r="L231" s="1940" t="str">
        <f t="shared" si="11"/>
        <v>Acciones Adicionales+2</v>
      </c>
      <c r="M231" s="227"/>
      <c r="N231" s="6395"/>
      <c r="O231" s="78" t="s">
        <v>7521</v>
      </c>
      <c r="P231" s="78" t="s">
        <v>9024</v>
      </c>
      <c r="Q231" s="72">
        <v>-20</v>
      </c>
      <c r="R231" s="72">
        <v>2</v>
      </c>
      <c r="S231" s="1940" t="str">
        <f t="shared" si="10"/>
        <v>CondiciónUn Momento Concreto</v>
      </c>
      <c r="T231" s="227"/>
      <c r="U231" s="227"/>
    </row>
    <row r="232" spans="1:21" ht="12" customHeight="1" x14ac:dyDescent="0.2">
      <c r="A232" s="6400"/>
      <c r="B232" s="6416"/>
      <c r="C232" s="39" t="s">
        <v>8882</v>
      </c>
      <c r="D232" s="78" t="s">
        <v>2831</v>
      </c>
      <c r="E232" s="1142">
        <v>3</v>
      </c>
      <c r="F232" s="1143">
        <v>5</v>
      </c>
      <c r="G232" s="1142">
        <v>10</v>
      </c>
      <c r="H232" s="1142">
        <v>3</v>
      </c>
      <c r="I232" s="1142">
        <v>6</v>
      </c>
      <c r="J232" s="1142">
        <v>11</v>
      </c>
      <c r="K232" s="1142">
        <v>1</v>
      </c>
      <c r="L232" s="1940" t="str">
        <f t="shared" si="11"/>
        <v>Acciones Adicionales+3</v>
      </c>
      <c r="M232" s="227"/>
      <c r="N232" s="6395"/>
      <c r="O232" s="78" t="s">
        <v>9025</v>
      </c>
      <c r="P232" s="78"/>
      <c r="Q232" s="72"/>
      <c r="R232" s="72"/>
      <c r="S232" s="1940" t="str">
        <f t="shared" si="10"/>
        <v>&gt; DAÑO REDUCIDO</v>
      </c>
      <c r="T232" s="227"/>
      <c r="U232" s="227"/>
    </row>
    <row r="233" spans="1:21" ht="12" customHeight="1" x14ac:dyDescent="0.2">
      <c r="A233" s="6400"/>
      <c r="B233" s="6416"/>
      <c r="C233" s="39" t="s">
        <v>8882</v>
      </c>
      <c r="D233" s="78" t="s">
        <v>3135</v>
      </c>
      <c r="E233" s="1142">
        <v>4</v>
      </c>
      <c r="F233" s="1143">
        <v>6</v>
      </c>
      <c r="G233" s="1142">
        <v>15</v>
      </c>
      <c r="H233" s="1142">
        <v>4</v>
      </c>
      <c r="I233" s="1142">
        <v>8</v>
      </c>
      <c r="J233" s="1142">
        <v>14</v>
      </c>
      <c r="K233" s="1142">
        <v>1</v>
      </c>
      <c r="L233" s="1940" t="str">
        <f t="shared" si="11"/>
        <v>Acciones Adicionales+4</v>
      </c>
      <c r="M233" s="227"/>
      <c r="N233" s="6395"/>
      <c r="O233" s="78" t="s">
        <v>8804</v>
      </c>
      <c r="P233" s="78" t="s">
        <v>8805</v>
      </c>
      <c r="Q233" s="72">
        <v>-20</v>
      </c>
      <c r="R233" s="72">
        <v>1</v>
      </c>
      <c r="S233" s="1940" t="str">
        <f t="shared" si="10"/>
        <v>Daño ReducidoNingún Daño</v>
      </c>
      <c r="T233" s="227"/>
      <c r="U233" s="227"/>
    </row>
    <row r="234" spans="1:21" ht="12" customHeight="1" x14ac:dyDescent="0.2">
      <c r="A234" s="6400"/>
      <c r="B234" s="6416"/>
      <c r="C234" s="39" t="s">
        <v>8882</v>
      </c>
      <c r="D234" s="78" t="s">
        <v>6874</v>
      </c>
      <c r="E234" s="1142">
        <v>5</v>
      </c>
      <c r="F234" s="1143">
        <v>8</v>
      </c>
      <c r="G234" s="1142">
        <v>20</v>
      </c>
      <c r="H234" s="1142">
        <v>6</v>
      </c>
      <c r="I234" s="1142">
        <v>12</v>
      </c>
      <c r="J234" s="1142">
        <v>21</v>
      </c>
      <c r="K234" s="1142">
        <v>1</v>
      </c>
      <c r="L234" s="1940" t="str">
        <f t="shared" si="11"/>
        <v>Acciones Adicionales+5</v>
      </c>
      <c r="M234" s="227"/>
      <c r="N234" s="6395"/>
      <c r="O234" s="78" t="s">
        <v>8804</v>
      </c>
      <c r="P234" s="78" t="s">
        <v>9026</v>
      </c>
      <c r="Q234" s="72">
        <v>-10</v>
      </c>
      <c r="R234" s="72">
        <v>1</v>
      </c>
      <c r="S234" s="1940" t="str">
        <f t="shared" si="10"/>
        <v>Daño ReducidoMitad de Daño</v>
      </c>
      <c r="T234" s="227"/>
      <c r="U234" s="227"/>
    </row>
    <row r="235" spans="1:21" ht="12" customHeight="1" x14ac:dyDescent="0.2">
      <c r="A235" s="6400"/>
      <c r="B235" s="6416"/>
      <c r="C235" s="39" t="s">
        <v>8882</v>
      </c>
      <c r="D235" s="78" t="s">
        <v>9088</v>
      </c>
      <c r="E235" s="1142">
        <v>6</v>
      </c>
      <c r="F235" s="1143">
        <v>9</v>
      </c>
      <c r="G235" s="1142">
        <v>25</v>
      </c>
      <c r="H235" s="1142">
        <v>8</v>
      </c>
      <c r="I235" s="1142">
        <v>16</v>
      </c>
      <c r="J235" s="1142">
        <v>28</v>
      </c>
      <c r="K235" s="1142">
        <v>1</v>
      </c>
      <c r="L235" s="1940" t="str">
        <f t="shared" si="11"/>
        <v>Acciones Adicionales+6</v>
      </c>
      <c r="M235" s="227"/>
      <c r="N235" s="6395"/>
      <c r="O235" s="78" t="s">
        <v>9027</v>
      </c>
      <c r="P235" s="78"/>
      <c r="Q235" s="72"/>
      <c r="R235" s="72"/>
      <c r="S235" s="1940" t="str">
        <f t="shared" si="10"/>
        <v>&gt; DEFENSA ESPECIALIZADA</v>
      </c>
      <c r="T235" s="227"/>
      <c r="U235" s="227"/>
    </row>
    <row r="236" spans="1:21" ht="12" customHeight="1" x14ac:dyDescent="0.2">
      <c r="A236" s="6400"/>
      <c r="B236" s="6416"/>
      <c r="C236" s="39" t="s">
        <v>8882</v>
      </c>
      <c r="D236" s="78" t="s">
        <v>6889</v>
      </c>
      <c r="E236" s="1142">
        <v>7</v>
      </c>
      <c r="F236" s="1143">
        <v>10</v>
      </c>
      <c r="G236" s="1142">
        <v>30</v>
      </c>
      <c r="H236" s="1142">
        <v>10</v>
      </c>
      <c r="I236" s="1142">
        <v>20</v>
      </c>
      <c r="J236" s="1142">
        <v>35</v>
      </c>
      <c r="K236" s="1142">
        <v>2</v>
      </c>
      <c r="L236" s="1940" t="str">
        <f t="shared" si="11"/>
        <v>Acciones Adicionales+8</v>
      </c>
      <c r="M236" s="227"/>
      <c r="N236" s="6395"/>
      <c r="O236" s="78" t="s">
        <v>8976</v>
      </c>
      <c r="P236" s="78" t="s">
        <v>9029</v>
      </c>
      <c r="Q236" s="72">
        <v>-5</v>
      </c>
      <c r="R236" s="72">
        <v>1</v>
      </c>
      <c r="S236" s="1940" t="str">
        <f t="shared" si="10"/>
        <v>Defensa EspecializadaFísicos</v>
      </c>
      <c r="T236" s="227"/>
      <c r="U236" s="227"/>
    </row>
    <row r="237" spans="1:21" ht="12" customHeight="1" x14ac:dyDescent="0.2">
      <c r="A237" s="6400"/>
      <c r="B237" s="6416"/>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5"/>
      <c r="O237" s="78" t="s">
        <v>8976</v>
      </c>
      <c r="P237" s="78" t="s">
        <v>2196</v>
      </c>
      <c r="Q237" s="72">
        <v>-10</v>
      </c>
      <c r="R237" s="72">
        <v>1</v>
      </c>
      <c r="S237" s="1940" t="str">
        <f t="shared" si="10"/>
        <v>Defensa EspecializadaProyectiles</v>
      </c>
      <c r="T237" s="227"/>
      <c r="U237" s="227"/>
    </row>
    <row r="238" spans="1:21" ht="12" customHeight="1" x14ac:dyDescent="0.2">
      <c r="A238" s="6400"/>
      <c r="B238" s="6416"/>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5"/>
      <c r="O238" s="78" t="s">
        <v>8976</v>
      </c>
      <c r="P238" s="78" t="s">
        <v>9032</v>
      </c>
      <c r="Q238" s="72">
        <v>-10</v>
      </c>
      <c r="R238" s="72">
        <v>1</v>
      </c>
      <c r="S238" s="1940" t="str">
        <f t="shared" si="10"/>
        <v>Defensa EspecializadaTécnicas Ki</v>
      </c>
      <c r="T238" s="227"/>
      <c r="U238" s="227"/>
    </row>
    <row r="239" spans="1:21" ht="12" customHeight="1" x14ac:dyDescent="0.2">
      <c r="A239" s="6400"/>
      <c r="B239" s="6416"/>
      <c r="C239" s="39" t="s">
        <v>2856</v>
      </c>
      <c r="D239" s="78"/>
      <c r="E239" s="1142"/>
      <c r="F239" s="1143"/>
      <c r="G239" s="1142"/>
      <c r="H239" s="1142"/>
      <c r="I239" s="1142"/>
      <c r="J239" s="1142"/>
      <c r="K239" s="1142"/>
      <c r="L239" s="1940" t="str">
        <f t="shared" si="11"/>
        <v>&gt;&gt;EFECTOS DE REACCIÓN</v>
      </c>
      <c r="M239" s="227"/>
      <c r="N239" s="6395"/>
      <c r="O239" s="78" t="s">
        <v>8976</v>
      </c>
      <c r="P239" s="78" t="s">
        <v>254</v>
      </c>
      <c r="Q239" s="72">
        <v>-15</v>
      </c>
      <c r="R239" s="72">
        <v>1</v>
      </c>
      <c r="S239" s="1940" t="str">
        <f t="shared" si="10"/>
        <v>Defensa EspecializadaConjuros</v>
      </c>
      <c r="T239" s="227"/>
      <c r="U239" s="227"/>
    </row>
    <row r="240" spans="1:21" ht="12" customHeight="1" x14ac:dyDescent="0.2">
      <c r="A240" s="6400"/>
      <c r="B240" s="6416"/>
      <c r="C240" s="39" t="s">
        <v>9092</v>
      </c>
      <c r="D240" s="78"/>
      <c r="E240" s="1142"/>
      <c r="F240" s="1143"/>
      <c r="G240" s="1142"/>
      <c r="H240" s="1142"/>
      <c r="I240" s="1142"/>
      <c r="J240" s="1142"/>
      <c r="K240" s="1142"/>
      <c r="L240" s="1940" t="str">
        <f t="shared" si="11"/>
        <v>&gt; INCREMENTAR TURNO</v>
      </c>
      <c r="M240" s="227"/>
      <c r="N240" s="6395"/>
      <c r="O240" s="78" t="s">
        <v>8976</v>
      </c>
      <c r="P240" s="78" t="s">
        <v>9033</v>
      </c>
      <c r="Q240" s="72">
        <v>-15</v>
      </c>
      <c r="R240" s="72">
        <v>1</v>
      </c>
      <c r="S240" s="1940" t="str">
        <f t="shared" si="10"/>
        <v>Defensa EspecializadaPsíquica</v>
      </c>
      <c r="T240" s="227"/>
      <c r="U240" s="227"/>
    </row>
    <row r="241" spans="1:21" ht="12" customHeight="1" x14ac:dyDescent="0.2">
      <c r="A241" s="6400"/>
      <c r="B241" s="6416"/>
      <c r="C241" s="39" t="s">
        <v>8886</v>
      </c>
      <c r="D241" s="78" t="s">
        <v>7627</v>
      </c>
      <c r="E241" s="1142">
        <v>1</v>
      </c>
      <c r="F241" s="1143">
        <v>2</v>
      </c>
      <c r="G241" s="1142">
        <v>5</v>
      </c>
      <c r="H241" s="1142">
        <v>1</v>
      </c>
      <c r="I241" s="1142">
        <v>2</v>
      </c>
      <c r="J241" s="1142">
        <v>4</v>
      </c>
      <c r="K241" s="1142">
        <v>1</v>
      </c>
      <c r="L241" s="1940" t="str">
        <f t="shared" si="11"/>
        <v>Incrementar Turno+25</v>
      </c>
      <c r="M241" s="227"/>
      <c r="N241" s="6395"/>
      <c r="O241" s="78" t="s">
        <v>9034</v>
      </c>
      <c r="P241" s="78"/>
      <c r="Q241" s="72"/>
      <c r="R241" s="72"/>
      <c r="S241" s="1940" t="str">
        <f t="shared" si="10"/>
        <v>&gt; EXTERMINADOR</v>
      </c>
      <c r="T241" s="227"/>
      <c r="U241" s="227"/>
    </row>
    <row r="242" spans="1:21" ht="12" customHeight="1" x14ac:dyDescent="0.2">
      <c r="A242" s="6400"/>
      <c r="B242" s="6416"/>
      <c r="C242" s="39" t="s">
        <v>8886</v>
      </c>
      <c r="D242" s="78" t="s">
        <v>7486</v>
      </c>
      <c r="E242" s="1142">
        <v>2</v>
      </c>
      <c r="F242" s="1143">
        <v>4</v>
      </c>
      <c r="G242" s="1142">
        <v>10</v>
      </c>
      <c r="H242" s="1142">
        <v>1</v>
      </c>
      <c r="I242" s="1142">
        <v>2</v>
      </c>
      <c r="J242" s="1142">
        <v>4</v>
      </c>
      <c r="K242" s="1142">
        <v>1</v>
      </c>
      <c r="L242" s="1940" t="str">
        <f t="shared" si="11"/>
        <v>Incrementar Turno+50</v>
      </c>
      <c r="M242" s="227"/>
      <c r="N242" s="6395"/>
      <c r="O242" s="78" t="s">
        <v>7106</v>
      </c>
      <c r="P242" s="78" t="s">
        <v>9035</v>
      </c>
      <c r="Q242" s="72">
        <v>-5</v>
      </c>
      <c r="R242" s="72">
        <v>1</v>
      </c>
      <c r="S242" s="1940" t="str">
        <f t="shared" si="10"/>
        <v>ExterminadorSeres Humanoides</v>
      </c>
      <c r="T242" s="227"/>
      <c r="U242" s="227"/>
    </row>
    <row r="243" spans="1:21" ht="12" customHeight="1" x14ac:dyDescent="0.2">
      <c r="A243" s="6400"/>
      <c r="B243" s="6416"/>
      <c r="C243" s="39" t="s">
        <v>8886</v>
      </c>
      <c r="D243" s="78" t="s">
        <v>8837</v>
      </c>
      <c r="E243" s="1142">
        <v>4</v>
      </c>
      <c r="F243" s="1143">
        <v>6</v>
      </c>
      <c r="G243" s="1142">
        <v>15</v>
      </c>
      <c r="H243" s="1142">
        <v>2</v>
      </c>
      <c r="I243" s="1142">
        <v>4</v>
      </c>
      <c r="J243" s="1142">
        <v>7</v>
      </c>
      <c r="K243" s="1142">
        <v>1</v>
      </c>
      <c r="L243" s="1940" t="str">
        <f t="shared" si="11"/>
        <v>Incrementar Turno+75</v>
      </c>
      <c r="M243" s="227"/>
      <c r="N243" s="6395"/>
      <c r="O243" s="78" t="s">
        <v>7106</v>
      </c>
      <c r="P243" s="78" t="s">
        <v>9036</v>
      </c>
      <c r="Q243" s="72">
        <v>-10</v>
      </c>
      <c r="R243" s="72">
        <v>1</v>
      </c>
      <c r="S243" s="1940" t="str">
        <f t="shared" si="10"/>
        <v>ExterminadorUna Clase de Ser</v>
      </c>
      <c r="T243" s="227"/>
      <c r="U243" s="227"/>
    </row>
    <row r="244" spans="1:21" ht="12" customHeight="1" x14ac:dyDescent="0.2">
      <c r="A244" s="6400"/>
      <c r="B244" s="6416"/>
      <c r="C244" s="39" t="s">
        <v>8886</v>
      </c>
      <c r="D244" s="78" t="s">
        <v>8844</v>
      </c>
      <c r="E244" s="1142">
        <v>6</v>
      </c>
      <c r="F244" s="1143">
        <v>9</v>
      </c>
      <c r="G244" s="1142">
        <v>20</v>
      </c>
      <c r="H244" s="1142">
        <v>3</v>
      </c>
      <c r="I244" s="1142">
        <v>6</v>
      </c>
      <c r="J244" s="1142">
        <v>11</v>
      </c>
      <c r="K244" s="1142">
        <v>1</v>
      </c>
      <c r="L244" s="1940" t="str">
        <f t="shared" si="11"/>
        <v>Incrementar Turno+100</v>
      </c>
      <c r="M244" s="227"/>
      <c r="N244" s="6395"/>
      <c r="O244" s="78" t="s">
        <v>7106</v>
      </c>
      <c r="P244" s="78" t="s">
        <v>9037</v>
      </c>
      <c r="Q244" s="72">
        <v>-30</v>
      </c>
      <c r="R244" s="72">
        <v>2</v>
      </c>
      <c r="S244" s="1940" t="str">
        <f t="shared" si="10"/>
        <v>ExterminadorUn Ser Determinado</v>
      </c>
      <c r="T244" s="227"/>
      <c r="U244" s="227"/>
    </row>
    <row r="245" spans="1:21" ht="12" customHeight="1" x14ac:dyDescent="0.2">
      <c r="A245" s="6400"/>
      <c r="B245" s="6416"/>
      <c r="C245" s="39" t="s">
        <v>8886</v>
      </c>
      <c r="D245" s="78" t="s">
        <v>8845</v>
      </c>
      <c r="E245" s="1142">
        <v>8</v>
      </c>
      <c r="F245" s="1143">
        <v>11</v>
      </c>
      <c r="G245" s="1142">
        <v>25</v>
      </c>
      <c r="H245" s="1142">
        <v>4</v>
      </c>
      <c r="I245" s="1142">
        <v>8</v>
      </c>
      <c r="J245" s="1142">
        <v>14</v>
      </c>
      <c r="K245" s="1142">
        <v>2</v>
      </c>
      <c r="L245" s="1940" t="str">
        <f t="shared" si="11"/>
        <v>Incrementar Turno+125</v>
      </c>
      <c r="M245" s="227"/>
      <c r="N245" s="6395"/>
      <c r="O245" s="78" t="s">
        <v>9038</v>
      </c>
      <c r="P245" s="78"/>
      <c r="Q245" s="72"/>
      <c r="R245" s="72"/>
      <c r="S245" s="1940" t="str">
        <f t="shared" si="10"/>
        <v>&gt; EXCESO DE ENERGÍA</v>
      </c>
      <c r="T245" s="227"/>
      <c r="U245" s="227"/>
    </row>
    <row r="246" spans="1:21" ht="12" customHeight="1" x14ac:dyDescent="0.2">
      <c r="A246" s="6400"/>
      <c r="B246" s="6416"/>
      <c r="C246" s="39" t="s">
        <v>8886</v>
      </c>
      <c r="D246" s="78" t="s">
        <v>8847</v>
      </c>
      <c r="E246" s="1142">
        <v>10</v>
      </c>
      <c r="F246" s="1143">
        <v>13</v>
      </c>
      <c r="G246" s="1142">
        <v>30</v>
      </c>
      <c r="H246" s="1142">
        <v>5</v>
      </c>
      <c r="I246" s="1142">
        <v>10</v>
      </c>
      <c r="J246" s="1142">
        <v>18</v>
      </c>
      <c r="K246" s="1142">
        <v>2</v>
      </c>
      <c r="L246" s="1940" t="str">
        <f t="shared" si="11"/>
        <v>Incrementar Turno+150</v>
      </c>
      <c r="M246" s="227"/>
      <c r="N246" s="6395"/>
      <c r="O246" s="78" t="s">
        <v>8978</v>
      </c>
      <c r="P246" s="78"/>
      <c r="Q246" s="72">
        <v>-15</v>
      </c>
      <c r="R246" s="72">
        <v>1</v>
      </c>
      <c r="S246" s="1940" t="str">
        <f t="shared" si="10"/>
        <v>Exceso De Energía</v>
      </c>
      <c r="T246" s="227"/>
      <c r="U246" s="227"/>
    </row>
    <row r="247" spans="1:21" ht="12" customHeight="1" x14ac:dyDescent="0.2">
      <c r="A247" s="6400"/>
      <c r="B247" s="6416"/>
      <c r="C247" s="39" t="s">
        <v>8886</v>
      </c>
      <c r="D247" s="78" t="s">
        <v>8850</v>
      </c>
      <c r="E247" s="1142">
        <v>12</v>
      </c>
      <c r="F247" s="1143">
        <v>15</v>
      </c>
      <c r="G247" s="1142">
        <v>35</v>
      </c>
      <c r="H247" s="1142">
        <v>6</v>
      </c>
      <c r="I247" s="1142">
        <v>12</v>
      </c>
      <c r="J247" s="1142">
        <v>21</v>
      </c>
      <c r="K247" s="1142">
        <v>3</v>
      </c>
      <c r="L247" s="1940" t="str">
        <f t="shared" si="11"/>
        <v>Incrementar Turno+175</v>
      </c>
      <c r="M247" s="227"/>
      <c r="N247" s="6395"/>
      <c r="O247" s="78" t="s">
        <v>9039</v>
      </c>
      <c r="P247" s="78"/>
      <c r="Q247" s="72"/>
      <c r="R247" s="72"/>
      <c r="S247" s="1940" t="str">
        <f t="shared" si="10"/>
        <v>&gt; PÉRDIDA DEL ARMA</v>
      </c>
      <c r="T247" s="227"/>
      <c r="U247" s="227"/>
    </row>
    <row r="248" spans="1:21" ht="12" customHeight="1" x14ac:dyDescent="0.2">
      <c r="A248" s="6400"/>
      <c r="B248" s="6416"/>
      <c r="C248" s="39" t="s">
        <v>8886</v>
      </c>
      <c r="D248" s="78" t="s">
        <v>8852</v>
      </c>
      <c r="E248" s="1142">
        <v>14</v>
      </c>
      <c r="F248" s="1143">
        <v>18</v>
      </c>
      <c r="G248" s="1142">
        <v>40</v>
      </c>
      <c r="H248" s="1142">
        <v>7</v>
      </c>
      <c r="I248" s="1142">
        <v>14</v>
      </c>
      <c r="J248" s="1142">
        <v>25</v>
      </c>
      <c r="K248" s="1142">
        <v>3</v>
      </c>
      <c r="L248" s="1940" t="str">
        <f t="shared" si="11"/>
        <v>Incrementar Turno+200</v>
      </c>
      <c r="M248" s="227"/>
      <c r="N248" s="6395"/>
      <c r="O248" s="78" t="s">
        <v>8980</v>
      </c>
      <c r="P248" s="78"/>
      <c r="Q248" s="72">
        <v>-10</v>
      </c>
      <c r="R248" s="72">
        <v>1</v>
      </c>
      <c r="S248" s="1940" t="str">
        <f t="shared" si="10"/>
        <v>Pérdida Del Arma</v>
      </c>
      <c r="T248" s="227"/>
      <c r="U248" s="227"/>
    </row>
    <row r="249" spans="1:21" ht="12" customHeight="1" x14ac:dyDescent="0.2">
      <c r="A249" s="6400"/>
      <c r="B249" s="6416"/>
      <c r="C249" s="39" t="s">
        <v>9093</v>
      </c>
      <c r="D249" s="78"/>
      <c r="E249" s="1142"/>
      <c r="F249" s="1143"/>
      <c r="G249" s="1142"/>
      <c r="H249" s="1142"/>
      <c r="I249" s="1142"/>
      <c r="J249" s="1142"/>
      <c r="K249" s="1142"/>
      <c r="L249" s="1940" t="str">
        <f t="shared" si="11"/>
        <v>&gt; RECUPERAR ACCIÓN</v>
      </c>
      <c r="M249" s="227"/>
      <c r="N249" s="6395"/>
      <c r="O249" s="78" t="s">
        <v>9040</v>
      </c>
      <c r="P249" s="78"/>
      <c r="Q249" s="72"/>
      <c r="R249" s="72"/>
      <c r="S249" s="1940" t="str">
        <f t="shared" si="10"/>
        <v>&gt; PENALIZADOR A TODA ACCIÓN</v>
      </c>
      <c r="T249" s="227"/>
      <c r="U249" s="227"/>
    </row>
    <row r="250" spans="1:21" ht="12" customHeight="1" x14ac:dyDescent="0.2">
      <c r="A250" s="6400"/>
      <c r="B250" s="6416"/>
      <c r="C250" s="39" t="s">
        <v>3134</v>
      </c>
      <c r="D250" s="78"/>
      <c r="E250" s="1142">
        <v>6</v>
      </c>
      <c r="F250" s="1143">
        <v>9</v>
      </c>
      <c r="G250" s="1142">
        <v>25</v>
      </c>
      <c r="H250" s="1142">
        <v>2</v>
      </c>
      <c r="I250" s="1142">
        <v>4</v>
      </c>
      <c r="J250" s="1142">
        <v>7</v>
      </c>
      <c r="K250" s="1142">
        <v>1</v>
      </c>
      <c r="L250" s="1940" t="str">
        <f t="shared" si="11"/>
        <v>Recuperar Acción</v>
      </c>
      <c r="M250" s="227"/>
      <c r="N250" s="6395"/>
      <c r="O250" s="78" t="s">
        <v>8981</v>
      </c>
      <c r="P250" s="78" t="s">
        <v>8921</v>
      </c>
      <c r="Q250" s="72">
        <v>-10</v>
      </c>
      <c r="R250" s="72">
        <v>1</v>
      </c>
      <c r="S250" s="1940" t="str">
        <f t="shared" si="10"/>
        <v>Penalizador A Toda Acción-50</v>
      </c>
      <c r="T250" s="227"/>
      <c r="U250" s="227"/>
    </row>
    <row r="251" spans="1:21" ht="12" customHeight="1" x14ac:dyDescent="0.2">
      <c r="A251" s="6400"/>
      <c r="B251" s="6416"/>
      <c r="C251" s="39" t="s">
        <v>9094</v>
      </c>
      <c r="D251" s="78"/>
      <c r="E251" s="1142"/>
      <c r="F251" s="1143"/>
      <c r="G251" s="1142"/>
      <c r="H251" s="1142"/>
      <c r="I251" s="1142"/>
      <c r="J251" s="1142"/>
      <c r="K251" s="1142"/>
      <c r="L251" s="1940" t="str">
        <f t="shared" si="11"/>
        <v>&gt; PREVISIÓN</v>
      </c>
      <c r="M251" s="227"/>
      <c r="N251" s="6395"/>
      <c r="O251" s="78" t="s">
        <v>8981</v>
      </c>
      <c r="P251" s="78" t="s">
        <v>8924</v>
      </c>
      <c r="Q251" s="72">
        <v>-15</v>
      </c>
      <c r="R251" s="72">
        <v>1</v>
      </c>
      <c r="S251" s="1940" t="str">
        <f t="shared" si="10"/>
        <v>Penalizador A Toda Acción-75</v>
      </c>
      <c r="T251" s="227"/>
      <c r="U251" s="227"/>
    </row>
    <row r="252" spans="1:21" ht="12" customHeight="1" x14ac:dyDescent="0.2">
      <c r="A252" s="6400"/>
      <c r="B252" s="6416"/>
      <c r="C252" s="39" t="s">
        <v>2863</v>
      </c>
      <c r="D252" s="78" t="s">
        <v>9095</v>
      </c>
      <c r="E252" s="1142">
        <v>3</v>
      </c>
      <c r="F252" s="1143">
        <v>5</v>
      </c>
      <c r="G252" s="1142">
        <v>10</v>
      </c>
      <c r="H252" s="1142">
        <v>1</v>
      </c>
      <c r="I252" s="1142">
        <v>2</v>
      </c>
      <c r="J252" s="1142">
        <v>4</v>
      </c>
      <c r="K252" s="1142">
        <v>1</v>
      </c>
      <c r="L252" s="1940" t="str">
        <f t="shared" si="11"/>
        <v>PrevisiónA Mitad</v>
      </c>
      <c r="M252" s="227"/>
      <c r="N252" s="6395"/>
      <c r="O252" s="78" t="s">
        <v>8981</v>
      </c>
      <c r="P252" s="78" t="s">
        <v>8927</v>
      </c>
      <c r="Q252" s="72">
        <v>-20</v>
      </c>
      <c r="R252" s="72">
        <v>2</v>
      </c>
      <c r="S252" s="1940" t="str">
        <f>O252&amp;P252</f>
        <v>Penalizador A Toda Acción-100</v>
      </c>
      <c r="T252" s="227"/>
      <c r="U252" s="227"/>
    </row>
    <row r="253" spans="1:21" ht="12" customHeight="1" x14ac:dyDescent="0.2">
      <c r="A253" s="6400"/>
      <c r="B253" s="6416"/>
      <c r="C253" s="39" t="s">
        <v>2863</v>
      </c>
      <c r="D253" s="78" t="s">
        <v>7349</v>
      </c>
      <c r="E253" s="1142">
        <v>6</v>
      </c>
      <c r="F253" s="1143">
        <v>9</v>
      </c>
      <c r="G253" s="1142">
        <v>25</v>
      </c>
      <c r="H253" s="1142">
        <v>3</v>
      </c>
      <c r="I253" s="1142">
        <v>6</v>
      </c>
      <c r="J253" s="1142">
        <v>11</v>
      </c>
      <c r="K253" s="1142">
        <v>1</v>
      </c>
      <c r="L253" s="1940" t="str">
        <f t="shared" si="11"/>
        <v>PrevisiónCompleto</v>
      </c>
      <c r="M253" s="227"/>
      <c r="N253" s="6395"/>
      <c r="O253" s="78" t="s">
        <v>8981</v>
      </c>
      <c r="P253" s="78" t="s">
        <v>9041</v>
      </c>
      <c r="Q253" s="72">
        <v>-25</v>
      </c>
      <c r="R253" s="72">
        <v>2</v>
      </c>
      <c r="S253" s="1940" t="str">
        <f t="shared" si="10"/>
        <v>Penalizador A Toda Acción-125</v>
      </c>
      <c r="T253" s="227"/>
      <c r="U253" s="227"/>
    </row>
    <row r="254" spans="1:21" ht="12" customHeight="1" x14ac:dyDescent="0.2">
      <c r="A254" s="6400"/>
      <c r="B254" s="6416"/>
      <c r="C254" s="39" t="s">
        <v>2866</v>
      </c>
      <c r="D254" s="78"/>
      <c r="E254" s="1142"/>
      <c r="F254" s="1143"/>
      <c r="G254" s="1142"/>
      <c r="H254" s="1142"/>
      <c r="I254" s="1142"/>
      <c r="J254" s="1142"/>
      <c r="K254" s="1142"/>
      <c r="L254" s="1940" t="str">
        <f t="shared" si="11"/>
        <v>&gt;&gt;EFECTOS ESPACIALES</v>
      </c>
      <c r="M254" s="227"/>
      <c r="N254" s="6395"/>
      <c r="O254" s="78" t="s">
        <v>8981</v>
      </c>
      <c r="P254" s="78" t="s">
        <v>9043</v>
      </c>
      <c r="Q254" s="72">
        <v>-30</v>
      </c>
      <c r="R254" s="72">
        <v>3</v>
      </c>
      <c r="S254" s="1940" t="str">
        <f t="shared" si="10"/>
        <v>Penalizador A Toda Acción-150</v>
      </c>
      <c r="T254" s="227"/>
      <c r="U254" s="227"/>
    </row>
    <row r="255" spans="1:21" ht="12" customHeight="1" x14ac:dyDescent="0.2">
      <c r="A255" s="6400"/>
      <c r="B255" s="6416"/>
      <c r="C255" s="39" t="s">
        <v>9096</v>
      </c>
      <c r="D255" s="78"/>
      <c r="E255" s="1142"/>
      <c r="F255" s="1143"/>
      <c r="G255" s="1142"/>
      <c r="H255" s="1142"/>
      <c r="I255" s="1142"/>
      <c r="J255" s="1142"/>
      <c r="K255" s="1142"/>
      <c r="L255" s="1940" t="str">
        <f t="shared" si="11"/>
        <v>&gt; ATAQUE A DISTANCIA</v>
      </c>
      <c r="M255" s="227"/>
      <c r="N255" s="6395"/>
      <c r="O255" s="78" t="s">
        <v>9045</v>
      </c>
      <c r="P255" s="78"/>
      <c r="Q255" s="72"/>
      <c r="R255" s="72"/>
      <c r="S255" s="1940" t="str">
        <f t="shared" si="10"/>
        <v>&gt; PREDETERMINACIÓN</v>
      </c>
      <c r="T255" s="227"/>
      <c r="U255" s="227"/>
    </row>
    <row r="256" spans="1:21" ht="12" customHeight="1" x14ac:dyDescent="0.2">
      <c r="A256" s="6400"/>
      <c r="B256" s="6416"/>
      <c r="C256" s="39" t="s">
        <v>9097</v>
      </c>
      <c r="D256" s="78" t="s">
        <v>4876</v>
      </c>
      <c r="E256" s="1142">
        <v>1</v>
      </c>
      <c r="F256" s="1143">
        <v>2</v>
      </c>
      <c r="G256" s="1142">
        <v>5</v>
      </c>
      <c r="H256" s="1142">
        <v>1</v>
      </c>
      <c r="I256" s="1142">
        <v>2</v>
      </c>
      <c r="J256" s="1142">
        <v>4</v>
      </c>
      <c r="K256" s="1142">
        <v>1</v>
      </c>
      <c r="L256" s="1940" t="str">
        <f t="shared" si="11"/>
        <v>Ataque A Distancia5 metros</v>
      </c>
      <c r="M256" s="227"/>
      <c r="N256" s="6395"/>
      <c r="O256" s="78" t="s">
        <v>3178</v>
      </c>
      <c r="P256" s="78"/>
      <c r="Q256" s="72">
        <v>-20</v>
      </c>
      <c r="R256" s="72">
        <v>2</v>
      </c>
      <c r="S256" s="1940" t="str">
        <f t="shared" si="10"/>
        <v>Predeterminación</v>
      </c>
      <c r="T256" s="227"/>
      <c r="U256" s="227"/>
    </row>
    <row r="257" spans="1:21" ht="12" customHeight="1" x14ac:dyDescent="0.2">
      <c r="A257" s="6400"/>
      <c r="B257" s="6416"/>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5"/>
      <c r="O257" s="78" t="s">
        <v>9046</v>
      </c>
      <c r="P257" s="78"/>
      <c r="Q257" s="72"/>
      <c r="R257" s="72"/>
      <c r="S257" s="1940" t="str">
        <f t="shared" si="10"/>
        <v>&gt; PREPARACIÓN PREVIA</v>
      </c>
      <c r="T257" s="227"/>
      <c r="U257" s="227"/>
    </row>
    <row r="258" spans="1:21" ht="12" customHeight="1" x14ac:dyDescent="0.2">
      <c r="A258" s="6400"/>
      <c r="B258" s="6416"/>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5"/>
      <c r="O258" s="78" t="s">
        <v>8982</v>
      </c>
      <c r="P258" s="78" t="s">
        <v>1733</v>
      </c>
      <c r="Q258" s="72">
        <v>-10</v>
      </c>
      <c r="R258" s="72">
        <v>1</v>
      </c>
      <c r="S258" s="1940" t="str">
        <f t="shared" si="10"/>
        <v>Preparación Previa1 minuto</v>
      </c>
      <c r="T258" s="227"/>
      <c r="U258" s="227"/>
    </row>
    <row r="259" spans="1:21" ht="12" customHeight="1" x14ac:dyDescent="0.2">
      <c r="A259" s="6400"/>
      <c r="B259" s="6416"/>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5"/>
      <c r="O259" s="78" t="s">
        <v>8982</v>
      </c>
      <c r="P259" s="78" t="s">
        <v>1735</v>
      </c>
      <c r="Q259" s="72">
        <v>-15</v>
      </c>
      <c r="R259" s="72">
        <v>1</v>
      </c>
      <c r="S259" s="1940" t="str">
        <f t="shared" si="10"/>
        <v>Preparación Previa1 hora</v>
      </c>
      <c r="T259" s="227"/>
      <c r="U259" s="227"/>
    </row>
    <row r="260" spans="1:21" ht="12" customHeight="1" x14ac:dyDescent="0.2">
      <c r="A260" s="6400"/>
      <c r="B260" s="6416"/>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5"/>
      <c r="O260" s="78" t="s">
        <v>8982</v>
      </c>
      <c r="P260" s="78" t="s">
        <v>1738</v>
      </c>
      <c r="Q260" s="72">
        <v>-25</v>
      </c>
      <c r="R260" s="72">
        <v>2</v>
      </c>
      <c r="S260" s="1940" t="str">
        <f t="shared" si="10"/>
        <v>Preparación Previa1 día</v>
      </c>
      <c r="T260" s="227"/>
      <c r="U260" s="227"/>
    </row>
    <row r="261" spans="1:21" ht="12" customHeight="1" x14ac:dyDescent="0.2">
      <c r="A261" s="6400"/>
      <c r="B261" s="6416"/>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5"/>
      <c r="O261" s="78" t="s">
        <v>9047</v>
      </c>
      <c r="P261" s="78"/>
      <c r="Q261" s="72"/>
      <c r="R261" s="72"/>
      <c r="S261" s="1940" t="str">
        <f t="shared" si="10"/>
        <v>&gt; REQUERIMIENTOS ELEMENTALES</v>
      </c>
      <c r="T261" s="227"/>
      <c r="U261" s="227"/>
    </row>
    <row r="262" spans="1:21" ht="12" customHeight="1" x14ac:dyDescent="0.2">
      <c r="A262" s="6400"/>
      <c r="B262" s="6416"/>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5"/>
      <c r="O262" s="78" t="s">
        <v>8983</v>
      </c>
      <c r="P262" s="78" t="s">
        <v>9049</v>
      </c>
      <c r="Q262" s="72">
        <v>-5</v>
      </c>
      <c r="R262" s="72">
        <v>1</v>
      </c>
      <c r="S262" s="1940" t="str">
        <f t="shared" si="10"/>
        <v>Requerimientos ElementalesIntensidad Menor</v>
      </c>
      <c r="T262" s="227"/>
      <c r="U262" s="227"/>
    </row>
    <row r="263" spans="1:21" ht="12" customHeight="1" x14ac:dyDescent="0.2">
      <c r="A263" s="6400"/>
      <c r="B263" s="6416"/>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5"/>
      <c r="O263" s="78" t="s">
        <v>8983</v>
      </c>
      <c r="P263" s="78" t="s">
        <v>9052</v>
      </c>
      <c r="Q263" s="72">
        <v>-10</v>
      </c>
      <c r="R263" s="72">
        <v>1</v>
      </c>
      <c r="S263" s="1940" t="str">
        <f t="shared" si="10"/>
        <v>Requerimientos ElementalesIntensidad Mayor</v>
      </c>
      <c r="T263" s="227"/>
      <c r="U263" s="227"/>
    </row>
    <row r="264" spans="1:21" ht="12" customHeight="1" x14ac:dyDescent="0.2">
      <c r="A264" s="6400"/>
      <c r="B264" s="6416"/>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5"/>
      <c r="O264" s="78" t="s">
        <v>9054</v>
      </c>
      <c r="P264" s="78"/>
      <c r="Q264" s="72"/>
      <c r="R264" s="72"/>
      <c r="S264" s="1940" t="str">
        <f t="shared" si="10"/>
        <v>&gt; SACRIFICIO</v>
      </c>
      <c r="T264" s="227"/>
      <c r="U264" s="227"/>
    </row>
    <row r="265" spans="1:21" ht="12" customHeight="1" x14ac:dyDescent="0.2">
      <c r="A265" s="6400"/>
      <c r="B265" s="6416"/>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5"/>
      <c r="O265" s="78" t="s">
        <v>8984</v>
      </c>
      <c r="P265" s="78" t="s">
        <v>9056</v>
      </c>
      <c r="Q265" s="72">
        <v>-5</v>
      </c>
      <c r="R265" s="72">
        <v>1</v>
      </c>
      <c r="S265" s="1940" t="str">
        <f t="shared" ref="S265:S271" si="12">O265&amp;P265</f>
        <v>Sacrificio-25 PV</v>
      </c>
      <c r="T265" s="227"/>
      <c r="U265" s="227"/>
    </row>
    <row r="266" spans="1:21" ht="12" customHeight="1" x14ac:dyDescent="0.2">
      <c r="A266" s="6400"/>
      <c r="B266" s="6416"/>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5"/>
      <c r="O266" s="78" t="s">
        <v>8984</v>
      </c>
      <c r="P266" s="78" t="s">
        <v>9058</v>
      </c>
      <c r="Q266" s="72">
        <v>-10</v>
      </c>
      <c r="R266" s="72">
        <v>1</v>
      </c>
      <c r="S266" s="1940" t="str">
        <f t="shared" si="12"/>
        <v>Sacrificio-50 PV</v>
      </c>
      <c r="T266" s="227"/>
      <c r="U266" s="227"/>
    </row>
    <row r="267" spans="1:21" ht="12" customHeight="1" x14ac:dyDescent="0.2">
      <c r="A267" s="6400"/>
      <c r="B267" s="6416"/>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5"/>
      <c r="O267" s="78" t="s">
        <v>8984</v>
      </c>
      <c r="P267" s="78" t="s">
        <v>9060</v>
      </c>
      <c r="Q267" s="72">
        <v>-15</v>
      </c>
      <c r="R267" s="72">
        <v>2</v>
      </c>
      <c r="S267" s="1940" t="str">
        <f t="shared" si="12"/>
        <v>Sacrificio-75 PV</v>
      </c>
      <c r="T267" s="227"/>
      <c r="U267" s="227"/>
    </row>
    <row r="268" spans="1:21" ht="12" customHeight="1" x14ac:dyDescent="0.2">
      <c r="A268" s="6400"/>
      <c r="B268" s="6416"/>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5"/>
      <c r="O268" s="78" t="s">
        <v>8984</v>
      </c>
      <c r="P268" s="78" t="s">
        <v>9061</v>
      </c>
      <c r="Q268" s="72">
        <v>-20</v>
      </c>
      <c r="R268" s="72">
        <v>2</v>
      </c>
      <c r="S268" s="1940" t="str">
        <f t="shared" si="12"/>
        <v>Sacrificio-100 PV</v>
      </c>
      <c r="T268" s="227"/>
      <c r="U268" s="227"/>
    </row>
    <row r="269" spans="1:21" ht="12" customHeight="1" x14ac:dyDescent="0.2">
      <c r="A269" s="6400"/>
      <c r="B269" s="6416"/>
      <c r="C269" s="39" t="s">
        <v>9100</v>
      </c>
      <c r="D269" s="78"/>
      <c r="E269" s="1142"/>
      <c r="F269" s="1143"/>
      <c r="G269" s="1142"/>
      <c r="H269" s="1142"/>
      <c r="I269" s="1142"/>
      <c r="J269" s="1142"/>
      <c r="K269" s="1142"/>
      <c r="L269" s="1940" t="str">
        <f t="shared" si="13"/>
        <v>&gt; ATAQUE A DISTANCIA REAL</v>
      </c>
      <c r="M269" s="227"/>
      <c r="N269" s="6395"/>
      <c r="O269" s="78" t="s">
        <v>8984</v>
      </c>
      <c r="P269" s="78" t="s">
        <v>7349</v>
      </c>
      <c r="Q269" s="72">
        <v>-25</v>
      </c>
      <c r="R269" s="72">
        <v>3</v>
      </c>
      <c r="S269" s="1940" t="str">
        <f t="shared" si="12"/>
        <v>SacrificioCompleto</v>
      </c>
      <c r="T269" s="227"/>
      <c r="U269" s="227"/>
    </row>
    <row r="270" spans="1:21" ht="12" customHeight="1" x14ac:dyDescent="0.2">
      <c r="A270" s="6400"/>
      <c r="B270" s="6416"/>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5"/>
      <c r="O270" s="78" t="s">
        <v>9063</v>
      </c>
      <c r="P270" s="78"/>
      <c r="Q270" s="72"/>
      <c r="R270" s="72"/>
      <c r="S270" s="1940" t="str">
        <f t="shared" si="12"/>
        <v>&gt; SACRIFICIO DE CARACTERÍSTICAS</v>
      </c>
      <c r="T270" s="227"/>
      <c r="U270" s="227"/>
    </row>
    <row r="271" spans="1:21" ht="12" customHeight="1" x14ac:dyDescent="0.2">
      <c r="A271" s="6400"/>
      <c r="B271" s="6416"/>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5"/>
      <c r="O271" s="78" t="s">
        <v>8985</v>
      </c>
      <c r="P271" s="78" t="s">
        <v>1373</v>
      </c>
      <c r="Q271" s="72">
        <v>-30</v>
      </c>
      <c r="R271" s="72">
        <v>1</v>
      </c>
      <c r="S271" s="1940" t="str">
        <f t="shared" si="12"/>
        <v>Sacrificio De CaracterísticasAGI</v>
      </c>
      <c r="T271" s="227"/>
      <c r="U271" s="227"/>
    </row>
    <row r="272" spans="1:21" ht="12" customHeight="1" x14ac:dyDescent="0.2">
      <c r="A272" s="6400"/>
      <c r="B272" s="6416"/>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5"/>
      <c r="O272" s="78" t="s">
        <v>8985</v>
      </c>
      <c r="P272" s="78" t="s">
        <v>1497</v>
      </c>
      <c r="Q272" s="72">
        <v>-30</v>
      </c>
      <c r="R272" s="72">
        <v>1</v>
      </c>
      <c r="S272" s="1940" t="str">
        <f t="shared" ref="S272:S278" si="14">O272&amp;P272</f>
        <v>Sacrificio De CaracterísticasCON</v>
      </c>
      <c r="T272" s="227"/>
      <c r="U272" s="227"/>
    </row>
    <row r="273" spans="1:21" ht="12" customHeight="1" x14ac:dyDescent="0.2">
      <c r="A273" s="6400"/>
      <c r="B273" s="6416"/>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5"/>
      <c r="O273" s="78" t="s">
        <v>8985</v>
      </c>
      <c r="P273" s="78" t="s">
        <v>1378</v>
      </c>
      <c r="Q273" s="72">
        <v>-30</v>
      </c>
      <c r="R273" s="72">
        <v>1</v>
      </c>
      <c r="S273" s="1940" t="str">
        <f t="shared" si="14"/>
        <v>Sacrificio De CaracterísticasDES</v>
      </c>
      <c r="T273" s="227"/>
      <c r="U273" s="227"/>
    </row>
    <row r="274" spans="1:21" ht="12" customHeight="1" x14ac:dyDescent="0.2">
      <c r="A274" s="6400"/>
      <c r="B274" s="6416"/>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5"/>
      <c r="O274" s="78" t="s">
        <v>8985</v>
      </c>
      <c r="P274" s="78" t="s">
        <v>1383</v>
      </c>
      <c r="Q274" s="72">
        <v>-30</v>
      </c>
      <c r="R274" s="72">
        <v>1</v>
      </c>
      <c r="S274" s="1940" t="str">
        <f t="shared" si="14"/>
        <v>Sacrificio De CaracterísticasFUE</v>
      </c>
      <c r="T274" s="227"/>
      <c r="U274" s="227"/>
    </row>
    <row r="275" spans="1:21" ht="12" customHeight="1" x14ac:dyDescent="0.2">
      <c r="A275" s="6400"/>
      <c r="B275" s="6416"/>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5"/>
      <c r="O275" s="78" t="s">
        <v>8985</v>
      </c>
      <c r="P275" s="78" t="s">
        <v>1385</v>
      </c>
      <c r="Q275" s="72">
        <v>-30</v>
      </c>
      <c r="R275" s="72">
        <v>1</v>
      </c>
      <c r="S275" s="1940" t="str">
        <f t="shared" si="14"/>
        <v>Sacrificio De CaracterísticasINT</v>
      </c>
      <c r="T275" s="227"/>
      <c r="U275" s="227"/>
    </row>
    <row r="276" spans="1:21" ht="12" customHeight="1" x14ac:dyDescent="0.2">
      <c r="A276" s="6400"/>
      <c r="B276" s="6416"/>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5"/>
      <c r="O276" s="78" t="s">
        <v>8985</v>
      </c>
      <c r="P276" s="78" t="s">
        <v>1388</v>
      </c>
      <c r="Q276" s="72">
        <v>-30</v>
      </c>
      <c r="R276" s="72">
        <v>1</v>
      </c>
      <c r="S276" s="1940" t="str">
        <f t="shared" si="14"/>
        <v>Sacrificio De CaracterísticasPER</v>
      </c>
      <c r="T276" s="227"/>
      <c r="U276" s="227"/>
    </row>
    <row r="277" spans="1:21" ht="12" customHeight="1" x14ac:dyDescent="0.2">
      <c r="A277" s="6400"/>
      <c r="B277" s="6416"/>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5"/>
      <c r="O277" s="78" t="s">
        <v>8985</v>
      </c>
      <c r="P277" s="78" t="s">
        <v>1390</v>
      </c>
      <c r="Q277" s="72">
        <v>-30</v>
      </c>
      <c r="R277" s="72">
        <v>1</v>
      </c>
      <c r="S277" s="1940" t="str">
        <f t="shared" si="14"/>
        <v>Sacrificio De CaracterísticasPOD</v>
      </c>
      <c r="T277" s="227"/>
      <c r="U277" s="227"/>
    </row>
    <row r="278" spans="1:21" ht="12" customHeight="1" x14ac:dyDescent="0.2">
      <c r="A278" s="6400"/>
      <c r="B278" s="6416"/>
      <c r="C278" s="39" t="s">
        <v>9102</v>
      </c>
      <c r="D278" s="78"/>
      <c r="E278" s="1142"/>
      <c r="F278" s="1143"/>
      <c r="G278" s="1142"/>
      <c r="H278" s="1142"/>
      <c r="I278" s="1142"/>
      <c r="J278" s="1142"/>
      <c r="K278" s="1142"/>
      <c r="L278" s="1940" t="str">
        <f t="shared" si="13"/>
        <v>&gt; ATAQUE CON ÁREA</v>
      </c>
      <c r="M278" s="227"/>
      <c r="N278" s="6395"/>
      <c r="O278" s="78" t="s">
        <v>8985</v>
      </c>
      <c r="P278" s="78" t="s">
        <v>1391</v>
      </c>
      <c r="Q278" s="72">
        <v>-30</v>
      </c>
      <c r="R278" s="72">
        <v>1</v>
      </c>
      <c r="S278" s="1940" t="str">
        <f t="shared" si="14"/>
        <v>Sacrificio De CaracterísticasVOL</v>
      </c>
      <c r="T278" s="227"/>
      <c r="U278" s="227"/>
    </row>
    <row r="279" spans="1:21" ht="12" customHeight="1" x14ac:dyDescent="0.2">
      <c r="A279" s="6400"/>
      <c r="B279" s="6416"/>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5"/>
      <c r="O279" s="78" t="s">
        <v>9066</v>
      </c>
      <c r="P279" s="78"/>
      <c r="Q279" s="72"/>
      <c r="R279" s="72"/>
      <c r="S279" s="1940" t="str">
        <f t="shared" ref="S279:S285" si="15">O279&amp;P279</f>
        <v>&gt; SIN DEFENSA</v>
      </c>
      <c r="T279" s="227"/>
      <c r="U279" s="227"/>
    </row>
    <row r="280" spans="1:21" ht="12" customHeight="1" x14ac:dyDescent="0.2">
      <c r="A280" s="6400"/>
      <c r="B280" s="6416"/>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5"/>
      <c r="O280" s="78" t="s">
        <v>3179</v>
      </c>
      <c r="P280" s="78"/>
      <c r="Q280" s="72">
        <v>-15</v>
      </c>
      <c r="R280" s="72">
        <v>1</v>
      </c>
      <c r="S280" s="1940" t="str">
        <f t="shared" si="15"/>
        <v>Sin Defensa</v>
      </c>
      <c r="T280" s="227"/>
      <c r="U280" s="227"/>
    </row>
    <row r="281" spans="1:21" ht="12" customHeight="1" x14ac:dyDescent="0.2">
      <c r="A281" s="6400"/>
      <c r="B281" s="6416"/>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5"/>
      <c r="O281" s="78" t="s">
        <v>9068</v>
      </c>
      <c r="P281" s="78"/>
      <c r="Q281" s="72"/>
      <c r="R281" s="72"/>
      <c r="S281" s="1940" t="str">
        <f t="shared" si="15"/>
        <v>&gt; SOBRECARGA</v>
      </c>
      <c r="T281" s="227"/>
      <c r="U281" s="227"/>
    </row>
    <row r="282" spans="1:21" ht="12" customHeight="1" x14ac:dyDescent="0.2">
      <c r="A282" s="6400"/>
      <c r="B282" s="6416"/>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5"/>
      <c r="O282" s="78" t="s">
        <v>3180</v>
      </c>
      <c r="P282" s="78" t="s">
        <v>9070</v>
      </c>
      <c r="Q282" s="72">
        <v>-5</v>
      </c>
      <c r="R282" s="72">
        <v>1</v>
      </c>
      <c r="S282" s="1940" t="str">
        <f t="shared" si="15"/>
        <v>SobrecargaEspera de 5 asaltos</v>
      </c>
      <c r="T282" s="227"/>
      <c r="U282" s="227"/>
    </row>
    <row r="283" spans="1:21" ht="12" customHeight="1" x14ac:dyDescent="0.2">
      <c r="A283" s="6400"/>
      <c r="B283" s="6416"/>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5"/>
      <c r="O283" s="78" t="s">
        <v>3180</v>
      </c>
      <c r="P283" s="78" t="s">
        <v>9072</v>
      </c>
      <c r="Q283" s="72">
        <v>-10</v>
      </c>
      <c r="R283" s="72">
        <v>1</v>
      </c>
      <c r="S283" s="1940" t="str">
        <f t="shared" si="15"/>
        <v>SobrecargaEspera de 20 asaltos</v>
      </c>
      <c r="T283" s="227"/>
      <c r="U283" s="227"/>
    </row>
    <row r="284" spans="1:21" ht="12" customHeight="1" x14ac:dyDescent="0.2">
      <c r="A284" s="6400"/>
      <c r="B284" s="6416"/>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5"/>
      <c r="O284" s="78" t="s">
        <v>10091</v>
      </c>
      <c r="P284" s="78"/>
      <c r="Q284" s="72"/>
      <c r="R284" s="72"/>
      <c r="S284" s="1940" t="str">
        <f t="shared" si="15"/>
        <v>&gt; TÉCNICA FINAL</v>
      </c>
      <c r="T284" s="227"/>
      <c r="U284" s="227"/>
    </row>
    <row r="285" spans="1:21" ht="12" customHeight="1" x14ac:dyDescent="0.2">
      <c r="A285" s="6400"/>
      <c r="B285" s="6416"/>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5"/>
      <c r="O285" s="78" t="s">
        <v>10092</v>
      </c>
      <c r="P285" s="78"/>
      <c r="Q285" s="72">
        <v>-55</v>
      </c>
      <c r="R285" s="72">
        <v>2</v>
      </c>
      <c r="S285" s="1940" t="str">
        <f t="shared" si="15"/>
        <v>Técnica final</v>
      </c>
      <c r="T285" s="227"/>
      <c r="U285" s="227"/>
    </row>
    <row r="286" spans="1:21" ht="12" customHeight="1" x14ac:dyDescent="0.2">
      <c r="A286" s="6400"/>
      <c r="B286" s="6416"/>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5"/>
      <c r="O286" s="78" t="s">
        <v>9074</v>
      </c>
      <c r="P286" s="78"/>
      <c r="Q286" s="72"/>
      <c r="R286" s="72"/>
      <c r="S286" s="1940" t="str">
        <f t="shared" ref="S286:S301" si="16">O286&amp;P286</f>
        <v>&gt; TÉCNICA MANTENIDA</v>
      </c>
      <c r="T286" s="227"/>
      <c r="U286" s="227"/>
    </row>
    <row r="287" spans="1:21" ht="12" customHeight="1" x14ac:dyDescent="0.2">
      <c r="A287" s="6400"/>
      <c r="B287" s="6416"/>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5"/>
      <c r="O287" s="78" t="s">
        <v>8986</v>
      </c>
      <c r="P287" s="78" t="s">
        <v>9076</v>
      </c>
      <c r="Q287" s="72">
        <v>-5</v>
      </c>
      <c r="R287" s="72">
        <v>1</v>
      </c>
      <c r="S287" s="1940" t="str">
        <f t="shared" si="16"/>
        <v>Técnica MantenidaNv 1</v>
      </c>
      <c r="T287" s="227"/>
      <c r="U287" s="227"/>
    </row>
    <row r="288" spans="1:21" ht="12" customHeight="1" x14ac:dyDescent="0.2">
      <c r="A288" s="6400"/>
      <c r="B288" s="6416"/>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5"/>
      <c r="O288" s="78" t="s">
        <v>8986</v>
      </c>
      <c r="P288" s="78" t="s">
        <v>9078</v>
      </c>
      <c r="Q288" s="72">
        <v>-10</v>
      </c>
      <c r="R288" s="72">
        <v>2</v>
      </c>
      <c r="S288" s="1940" t="str">
        <f t="shared" si="16"/>
        <v>Técnica MantenidaNv 2</v>
      </c>
      <c r="T288" s="227"/>
      <c r="U288" s="227"/>
    </row>
    <row r="289" spans="1:21" ht="12" customHeight="1" x14ac:dyDescent="0.2">
      <c r="A289" s="6400"/>
      <c r="B289" s="6416"/>
      <c r="C289" s="39" t="s">
        <v>9106</v>
      </c>
      <c r="D289" s="78"/>
      <c r="E289" s="1142"/>
      <c r="F289" s="1143"/>
      <c r="G289" s="1142"/>
      <c r="H289" s="1142"/>
      <c r="I289" s="1142"/>
      <c r="J289" s="1142"/>
      <c r="K289" s="1142"/>
      <c r="L289" s="1940" t="str">
        <f t="shared" si="13"/>
        <v>&gt; ATAQUE CON ÁREA REAL</v>
      </c>
      <c r="M289" s="227"/>
      <c r="N289" s="6395"/>
      <c r="O289" s="78" t="s">
        <v>8986</v>
      </c>
      <c r="P289" s="78" t="s">
        <v>9079</v>
      </c>
      <c r="Q289" s="72">
        <v>-15</v>
      </c>
      <c r="R289" s="72">
        <v>3</v>
      </c>
      <c r="S289" s="1940" t="str">
        <f t="shared" si="16"/>
        <v>Técnica MantenidaNv 3</v>
      </c>
      <c r="T289" s="227"/>
      <c r="U289" s="227"/>
    </row>
    <row r="290" spans="1:21" ht="12" customHeight="1" x14ac:dyDescent="0.2">
      <c r="A290" s="6400"/>
      <c r="B290" s="6416"/>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5"/>
      <c r="O290" s="78" t="s">
        <v>9080</v>
      </c>
      <c r="P290" s="78"/>
      <c r="Q290" s="72"/>
      <c r="R290" s="72"/>
      <c r="S290" s="1940" t="str">
        <f t="shared" si="16"/>
        <v>&gt; USOS LIMITADOS</v>
      </c>
      <c r="T290" s="227"/>
      <c r="U290" s="227"/>
    </row>
    <row r="291" spans="1:21" ht="12" customHeight="1" x14ac:dyDescent="0.2">
      <c r="A291" s="6400"/>
      <c r="B291" s="6416"/>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5"/>
      <c r="O291" s="78" t="s">
        <v>8987</v>
      </c>
      <c r="P291" s="78" t="s">
        <v>9081</v>
      </c>
      <c r="Q291" s="72">
        <v>-10</v>
      </c>
      <c r="R291" s="72">
        <v>1</v>
      </c>
      <c r="S291" s="1940" t="str">
        <f t="shared" si="16"/>
        <v>Usos Limitados20 Usos</v>
      </c>
      <c r="T291" s="227"/>
      <c r="U291" s="227"/>
    </row>
    <row r="292" spans="1:21" ht="12" customHeight="1" x14ac:dyDescent="0.2">
      <c r="A292" s="6400"/>
      <c r="B292" s="6416"/>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5"/>
      <c r="O292" s="78" t="s">
        <v>8987</v>
      </c>
      <c r="P292" s="78" t="s">
        <v>9082</v>
      </c>
      <c r="Q292" s="72">
        <v>-20</v>
      </c>
      <c r="R292" s="72">
        <v>1</v>
      </c>
      <c r="S292" s="1940" t="str">
        <f t="shared" si="16"/>
        <v>Usos Limitados10 Usos</v>
      </c>
      <c r="T292" s="227"/>
      <c r="U292" s="227"/>
    </row>
    <row r="293" spans="1:21" ht="12" customHeight="1" x14ac:dyDescent="0.2">
      <c r="A293" s="6400"/>
      <c r="B293" s="6416"/>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5"/>
      <c r="O293" s="78" t="s">
        <v>8987</v>
      </c>
      <c r="P293" s="78" t="s">
        <v>9083</v>
      </c>
      <c r="Q293" s="72">
        <v>-25</v>
      </c>
      <c r="R293" s="72">
        <v>2</v>
      </c>
      <c r="S293" s="1940" t="str">
        <f t="shared" si="16"/>
        <v>Usos Limitados5 Usos</v>
      </c>
      <c r="T293" s="227"/>
      <c r="U293" s="227"/>
    </row>
    <row r="294" spans="1:21" ht="12" customHeight="1" x14ac:dyDescent="0.2">
      <c r="A294" s="6400"/>
      <c r="B294" s="6416"/>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5"/>
      <c r="O294" s="78" t="s">
        <v>8987</v>
      </c>
      <c r="P294" s="78" t="s">
        <v>9084</v>
      </c>
      <c r="Q294" s="72">
        <v>-30</v>
      </c>
      <c r="R294" s="72">
        <v>2</v>
      </c>
      <c r="S294" s="1940" t="str">
        <f t="shared" si="16"/>
        <v>Usos Limitados3 Usos</v>
      </c>
    </row>
    <row r="295" spans="1:21" ht="12" customHeight="1" x14ac:dyDescent="0.2">
      <c r="A295" s="6400"/>
      <c r="B295" s="6416"/>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5"/>
      <c r="O295" s="78" t="s">
        <v>8987</v>
      </c>
      <c r="P295" s="78" t="s">
        <v>9086</v>
      </c>
      <c r="Q295" s="72">
        <v>-40</v>
      </c>
      <c r="R295" s="72">
        <v>3</v>
      </c>
      <c r="S295" s="1940" t="str">
        <f t="shared" si="16"/>
        <v>Usos Limitados1 Uso</v>
      </c>
    </row>
    <row r="296" spans="1:21" ht="12" customHeight="1" x14ac:dyDescent="0.2">
      <c r="A296" s="6400"/>
      <c r="B296" s="6416"/>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5"/>
      <c r="O296" s="78" t="str">
        <f>"&gt; "&amp;UPPER($O$190)</f>
        <v>&gt; DESVENTAJA PERSONALIZADA #1</v>
      </c>
      <c r="P296" s="78"/>
      <c r="Q296" s="72"/>
      <c r="R296" s="72"/>
      <c r="S296" s="1940" t="str">
        <f t="shared" si="16"/>
        <v>&gt; DESVENTAJA PERSONALIZADA #1</v>
      </c>
    </row>
    <row r="297" spans="1:21" ht="12" customHeight="1" x14ac:dyDescent="0.2">
      <c r="A297" s="6400"/>
      <c r="B297" s="6416"/>
      <c r="C297" s="39" t="s">
        <v>9108</v>
      </c>
      <c r="D297" s="78"/>
      <c r="E297" s="1142"/>
      <c r="F297" s="1143"/>
      <c r="G297" s="1142"/>
      <c r="H297" s="1142"/>
      <c r="I297" s="1142"/>
      <c r="J297" s="1142"/>
      <c r="K297" s="1142"/>
      <c r="L297" s="1940" t="str">
        <f t="shared" si="13"/>
        <v>&gt; PARADA EN ÁREA</v>
      </c>
      <c r="M297" s="227"/>
      <c r="N297" s="6395"/>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400"/>
      <c r="B298" s="6416"/>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5"/>
      <c r="O298" s="78" t="str">
        <f>"&gt; "&amp;UPPER($O$191)</f>
        <v>&gt; DESVENTAJA PERSONALIZADA #2</v>
      </c>
      <c r="P298" s="78"/>
      <c r="Q298" s="72"/>
      <c r="R298" s="72"/>
      <c r="S298" s="1940" t="str">
        <f t="shared" si="16"/>
        <v>&gt; DESVENTAJA PERSONALIZADA #2</v>
      </c>
    </row>
    <row r="299" spans="1:21" ht="12" customHeight="1" x14ac:dyDescent="0.2">
      <c r="A299" s="6400"/>
      <c r="B299" s="6416"/>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5"/>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400"/>
      <c r="B300" s="6416"/>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5"/>
      <c r="O300" s="78" t="str">
        <f>"&gt; "&amp;UPPER($O$192)</f>
        <v>&gt; DESVENTAJA PERSONALIZADA #3</v>
      </c>
      <c r="P300" s="78"/>
      <c r="Q300" s="72"/>
      <c r="R300" s="72"/>
      <c r="S300" s="1940" t="str">
        <f t="shared" si="16"/>
        <v>&gt; DESVENTAJA PERSONALIZADA #3</v>
      </c>
    </row>
    <row r="301" spans="1:21" ht="12" customHeight="1" thickBot="1" x14ac:dyDescent="0.25">
      <c r="A301" s="6400"/>
      <c r="B301" s="6416"/>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6"/>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400"/>
      <c r="B302" s="6416"/>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400"/>
      <c r="B303" s="6416"/>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400"/>
      <c r="B304" s="6416"/>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400"/>
      <c r="B305" s="6416"/>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400"/>
      <c r="B306" s="6416"/>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400"/>
      <c r="B307" s="6416"/>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400"/>
      <c r="B308" s="6416"/>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400"/>
      <c r="B309" s="6416"/>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400"/>
      <c r="B310" s="6416"/>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400"/>
      <c r="B311" s="6416"/>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400"/>
      <c r="B312" s="6416"/>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400"/>
      <c r="B313" s="6416"/>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400"/>
      <c r="B314" s="6416"/>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400"/>
      <c r="B315" s="6416"/>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400"/>
      <c r="B316" s="6416"/>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400"/>
      <c r="B317" s="6416"/>
      <c r="C317" s="39" t="s">
        <v>2880</v>
      </c>
      <c r="D317" s="78"/>
      <c r="E317" s="1142"/>
      <c r="F317" s="1143"/>
      <c r="G317" s="1142"/>
      <c r="H317" s="1142"/>
      <c r="I317" s="1142"/>
      <c r="J317" s="1142"/>
      <c r="K317" s="1142"/>
      <c r="L317" s="1940" t="str">
        <f t="shared" si="13"/>
        <v>&gt;&gt;EFECTOS DE ENTEREZA</v>
      </c>
      <c r="M317" s="227"/>
    </row>
    <row r="318" spans="1:13" ht="12" customHeight="1" x14ac:dyDescent="0.2">
      <c r="A318" s="6400"/>
      <c r="B318" s="6416"/>
      <c r="C318" s="39" t="s">
        <v>9111</v>
      </c>
      <c r="D318" s="78"/>
      <c r="E318" s="1142"/>
      <c r="F318" s="1143"/>
      <c r="G318" s="1142"/>
      <c r="H318" s="1142"/>
      <c r="I318" s="1142"/>
      <c r="J318" s="1142"/>
      <c r="K318" s="1142"/>
      <c r="L318" s="1940" t="str">
        <f t="shared" si="13"/>
        <v>&gt; AUMENTAR ROTURA</v>
      </c>
      <c r="M318" s="227"/>
    </row>
    <row r="319" spans="1:13" ht="12" customHeight="1" x14ac:dyDescent="0.2">
      <c r="A319" s="6400"/>
      <c r="B319" s="6416"/>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400"/>
      <c r="B320" s="6416"/>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400"/>
      <c r="B321" s="6416"/>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400"/>
      <c r="B322" s="6416"/>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400"/>
      <c r="B323" s="6416"/>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400"/>
      <c r="B324" s="6416"/>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400"/>
      <c r="B325" s="6416"/>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400"/>
      <c r="B326" s="6416"/>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400"/>
      <c r="B327" s="6416"/>
      <c r="C327" s="39" t="s">
        <v>9113</v>
      </c>
      <c r="D327" s="78"/>
      <c r="E327" s="1142"/>
      <c r="F327" s="1143"/>
      <c r="G327" s="1142"/>
      <c r="H327" s="1142"/>
      <c r="I327" s="1142"/>
      <c r="J327" s="1142"/>
      <c r="K327" s="1142"/>
      <c r="L327" s="1940" t="str">
        <f t="shared" si="13"/>
        <v>&gt; AUMENTAR ENTEREZA</v>
      </c>
      <c r="M327" s="227"/>
    </row>
    <row r="328" spans="1:13" ht="12" customHeight="1" x14ac:dyDescent="0.2">
      <c r="A328" s="6400"/>
      <c r="B328" s="6416"/>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400"/>
      <c r="B329" s="6416"/>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400"/>
      <c r="B330" s="6416"/>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400"/>
      <c r="B331" s="6416"/>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400"/>
      <c r="B332" s="6416"/>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400"/>
      <c r="B333" s="6416"/>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400"/>
      <c r="B334" s="6416"/>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400"/>
      <c r="B335" s="6416"/>
      <c r="C335" s="39" t="s">
        <v>9114</v>
      </c>
      <c r="D335" s="78"/>
      <c r="E335" s="1142"/>
      <c r="F335" s="1143"/>
      <c r="G335" s="1142"/>
      <c r="H335" s="1142"/>
      <c r="I335" s="1142"/>
      <c r="J335" s="1142"/>
      <c r="K335" s="1142"/>
      <c r="L335" s="1940" t="str">
        <f t="shared" si="17"/>
        <v>&gt; DESTRUIR ARMADURA</v>
      </c>
      <c r="M335" s="227"/>
    </row>
    <row r="336" spans="1:13" ht="12" customHeight="1" x14ac:dyDescent="0.2">
      <c r="A336" s="6400"/>
      <c r="B336" s="6416"/>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400"/>
      <c r="B337" s="6416"/>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400"/>
      <c r="B338" s="6416"/>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400"/>
      <c r="B339" s="6416"/>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400"/>
      <c r="B340" s="6416"/>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400"/>
      <c r="B341" s="6416"/>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400"/>
      <c r="B342" s="6416"/>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400"/>
      <c r="B343" s="6416"/>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400"/>
      <c r="B344" s="6416"/>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400"/>
      <c r="B345" s="6416"/>
      <c r="C345" s="39" t="s">
        <v>9124</v>
      </c>
      <c r="D345" s="78"/>
      <c r="E345" s="1142"/>
      <c r="F345" s="1143"/>
      <c r="G345" s="1142"/>
      <c r="H345" s="1142"/>
      <c r="I345" s="1142"/>
      <c r="J345" s="1142"/>
      <c r="K345" s="1142"/>
      <c r="L345" s="1940" t="str">
        <f t="shared" si="17"/>
        <v>&gt; ARMADURA</v>
      </c>
      <c r="M345" s="227"/>
    </row>
    <row r="346" spans="1:13" ht="12" customHeight="1" x14ac:dyDescent="0.2">
      <c r="A346" s="6400"/>
      <c r="B346" s="6416"/>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400"/>
      <c r="B347" s="6416"/>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400"/>
      <c r="B348" s="6416"/>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400"/>
      <c r="B349" s="6416"/>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400"/>
      <c r="B350" s="6416"/>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400"/>
      <c r="B351" s="6416"/>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400"/>
      <c r="B352" s="6416"/>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400"/>
      <c r="B353" s="6416"/>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400"/>
      <c r="B354" s="6416"/>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400"/>
      <c r="B355" s="6416"/>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400"/>
      <c r="B356" s="6416"/>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400"/>
      <c r="B357" s="6416"/>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400"/>
      <c r="B358" s="6416"/>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400"/>
      <c r="B359" s="6416"/>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400"/>
      <c r="B360" s="6416"/>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400"/>
      <c r="B361" s="6416"/>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400"/>
      <c r="B362" s="6416"/>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400"/>
      <c r="B363" s="6416"/>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400"/>
      <c r="B364" s="6416"/>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400"/>
      <c r="B365" s="6416"/>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400"/>
      <c r="B366" s="6416"/>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400"/>
      <c r="B367" s="6416"/>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400"/>
      <c r="B368" s="6416"/>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400"/>
      <c r="B369" s="6416"/>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400"/>
      <c r="B370" s="6416"/>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400"/>
      <c r="B371" s="6416"/>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400"/>
      <c r="B372" s="6416"/>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400"/>
      <c r="B373" s="6416"/>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400"/>
      <c r="B374" s="6416"/>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400"/>
      <c r="B375" s="6416"/>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400"/>
      <c r="B376" s="6416"/>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400"/>
      <c r="B377" s="6416"/>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400"/>
      <c r="B378" s="6416"/>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400"/>
      <c r="B379" s="6416"/>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400"/>
      <c r="B380" s="6416"/>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400"/>
      <c r="B381" s="6416"/>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400"/>
      <c r="B382" s="6416"/>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400"/>
      <c r="B383" s="6416"/>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400"/>
      <c r="B384" s="6416"/>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400"/>
      <c r="B385" s="6416"/>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400"/>
      <c r="B386" s="6416"/>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400"/>
      <c r="B387" s="6416"/>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400"/>
      <c r="B388" s="6416"/>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400"/>
      <c r="B389" s="6416"/>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400"/>
      <c r="B390" s="6416"/>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400"/>
      <c r="B391" s="6416"/>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400"/>
      <c r="B392" s="6416"/>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400"/>
      <c r="B393" s="6416"/>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400"/>
      <c r="B394" s="6416"/>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400"/>
      <c r="B395" s="6416"/>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400"/>
      <c r="B396" s="6416"/>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400"/>
      <c r="B397" s="6416"/>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400"/>
      <c r="B398" s="6416"/>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400"/>
      <c r="B399" s="6416"/>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400"/>
      <c r="B400" s="6416"/>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400"/>
      <c r="B401" s="6416"/>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400"/>
      <c r="B402" s="6416"/>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400"/>
      <c r="B403" s="6416"/>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400"/>
      <c r="B404" s="6416"/>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400"/>
      <c r="B405" s="6416"/>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400"/>
      <c r="B406" s="6416"/>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400"/>
      <c r="B407" s="6416"/>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400"/>
      <c r="B408" s="6416"/>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400"/>
      <c r="B409" s="6416"/>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400"/>
      <c r="B410" s="6416"/>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400"/>
      <c r="B411" s="6416"/>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400"/>
      <c r="B412" s="6416"/>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400"/>
      <c r="B413" s="6416"/>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400"/>
      <c r="B414" s="6416"/>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400"/>
      <c r="B415" s="6416"/>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400"/>
      <c r="B416" s="6416"/>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400"/>
      <c r="B417" s="6416"/>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400"/>
      <c r="B418" s="6416"/>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400"/>
      <c r="B419" s="6416"/>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400"/>
      <c r="B420" s="6416"/>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400"/>
      <c r="B421" s="6416"/>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400"/>
      <c r="B422" s="6416"/>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400"/>
      <c r="B423" s="6416"/>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400"/>
      <c r="B424" s="6416"/>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400"/>
      <c r="B425" s="6416"/>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400"/>
      <c r="B426" s="6416"/>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400"/>
      <c r="B427" s="6416"/>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400"/>
      <c r="B428" s="6416"/>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400"/>
      <c r="B429" s="6416"/>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400"/>
      <c r="B430" s="6416"/>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400"/>
      <c r="B431" s="6416"/>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400"/>
      <c r="B432" s="6416"/>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400"/>
      <c r="B433" s="6416"/>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400"/>
      <c r="B434" s="6416"/>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400"/>
      <c r="B435" s="6416"/>
      <c r="C435" s="39" t="s">
        <v>2910</v>
      </c>
      <c r="D435" s="78"/>
      <c r="E435" s="1142"/>
      <c r="F435" s="1143"/>
      <c r="G435" s="1142"/>
      <c r="H435" s="1142"/>
      <c r="I435" s="1142"/>
      <c r="J435" s="1142"/>
      <c r="K435" s="1142"/>
      <c r="L435" s="1940" t="str">
        <f t="shared" si="18"/>
        <v>&gt;&gt;EFECTOS VARIADOS</v>
      </c>
      <c r="M435" s="227"/>
    </row>
    <row r="436" spans="1:13" ht="12" customHeight="1" x14ac:dyDescent="0.2">
      <c r="A436" s="6400"/>
      <c r="B436" s="6416"/>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400"/>
      <c r="B437" s="6416"/>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400"/>
      <c r="B438" s="6416"/>
      <c r="C438" s="39" t="s">
        <v>9165</v>
      </c>
      <c r="D438" s="78"/>
      <c r="E438" s="1142"/>
      <c r="F438" s="1143"/>
      <c r="G438" s="1142"/>
      <c r="H438" s="1142"/>
      <c r="I438" s="1142"/>
      <c r="J438" s="1142"/>
      <c r="K438" s="1142"/>
      <c r="L438" s="1940" t="str">
        <f t="shared" si="18"/>
        <v>&gt; ATAQUE ELEMENTAL</v>
      </c>
      <c r="M438" s="227"/>
    </row>
    <row r="439" spans="1:13" ht="12" customHeight="1" x14ac:dyDescent="0.2">
      <c r="A439" s="6400"/>
      <c r="B439" s="6416"/>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400"/>
      <c r="B440" s="6416"/>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400"/>
      <c r="B441" s="6416"/>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400"/>
      <c r="B442" s="6416"/>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400"/>
      <c r="B443" s="6416"/>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400"/>
      <c r="B444" s="6416"/>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400"/>
      <c r="B445" s="6416"/>
      <c r="C445" s="39" t="s">
        <v>9166</v>
      </c>
      <c r="D445" s="78"/>
      <c r="E445" s="1142"/>
      <c r="F445" s="1143"/>
      <c r="G445" s="1142"/>
      <c r="H445" s="1142"/>
      <c r="I445" s="1142"/>
      <c r="J445" s="1142"/>
      <c r="K445" s="1142"/>
      <c r="L445" s="1940" t="str">
        <f t="shared" si="18"/>
        <v>&gt; ARMAS FÍSICAS DE KI</v>
      </c>
      <c r="M445" s="227"/>
    </row>
    <row r="446" spans="1:13" ht="12" customHeight="1" x14ac:dyDescent="0.2">
      <c r="A446" s="6400"/>
      <c r="B446" s="6416"/>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400"/>
      <c r="B447" s="6416"/>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400"/>
      <c r="B448" s="6416"/>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400"/>
      <c r="B449" s="6416"/>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400"/>
      <c r="B450" s="6416"/>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400"/>
      <c r="B451" s="6416"/>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400"/>
      <c r="B452" s="6416"/>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400"/>
      <c r="B453" s="6416"/>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400"/>
      <c r="B454" s="6416"/>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400"/>
      <c r="B455" s="6416"/>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400"/>
      <c r="B456" s="6416"/>
      <c r="C456" s="39" t="s">
        <v>9168</v>
      </c>
      <c r="D456" s="78"/>
      <c r="E456" s="1142"/>
      <c r="F456" s="1143"/>
      <c r="G456" s="1142"/>
      <c r="H456" s="1142"/>
      <c r="I456" s="1142"/>
      <c r="J456" s="1142"/>
      <c r="K456" s="1142"/>
      <c r="L456" s="1940" t="str">
        <f t="shared" si="18"/>
        <v>&gt; ATAQUE SOBRENATURAL</v>
      </c>
      <c r="M456" s="227"/>
    </row>
    <row r="457" spans="1:13" ht="12" customHeight="1" x14ac:dyDescent="0.2">
      <c r="A457" s="6400"/>
      <c r="B457" s="6416"/>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400"/>
      <c r="B458" s="6416"/>
      <c r="C458" s="39" t="s">
        <v>9169</v>
      </c>
      <c r="D458" s="78"/>
      <c r="E458" s="1142"/>
      <c r="F458" s="1143"/>
      <c r="G458" s="1142"/>
      <c r="H458" s="1142"/>
      <c r="I458" s="1142"/>
      <c r="J458" s="1142"/>
      <c r="K458" s="1142"/>
      <c r="L458" s="1940" t="str">
        <f t="shared" si="18"/>
        <v>&gt; ABSORCIÓN DE KI</v>
      </c>
      <c r="M458" s="227"/>
    </row>
    <row r="459" spans="1:13" ht="12" customHeight="1" x14ac:dyDescent="0.2">
      <c r="A459" s="6400"/>
      <c r="B459" s="6416"/>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400"/>
      <c r="B460" s="6416"/>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400"/>
      <c r="B461" s="6416"/>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400"/>
      <c r="B462" s="6416"/>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400"/>
      <c r="B463" s="6416"/>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400"/>
      <c r="B464" s="6416"/>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400"/>
      <c r="B465" s="6416"/>
      <c r="C465" s="39" t="s">
        <v>9176</v>
      </c>
      <c r="D465" s="78"/>
      <c r="E465" s="1142"/>
      <c r="F465" s="1143"/>
      <c r="G465" s="1142"/>
      <c r="H465" s="1142"/>
      <c r="I465" s="1142"/>
      <c r="J465" s="1142"/>
      <c r="K465" s="1142"/>
      <c r="L465" s="1940" t="str">
        <f t="shared" si="19"/>
        <v>&gt; APRESAMIENTO</v>
      </c>
      <c r="M465" s="227"/>
    </row>
    <row r="466" spans="1:13" ht="12" customHeight="1" x14ac:dyDescent="0.2">
      <c r="A466" s="6400"/>
      <c r="B466" s="6416"/>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400"/>
      <c r="B467" s="6416"/>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400"/>
      <c r="B468" s="6416"/>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400"/>
      <c r="B469" s="6416"/>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400"/>
      <c r="B470" s="6416"/>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400"/>
      <c r="B471" s="6416"/>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400"/>
      <c r="B472" s="6416"/>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400"/>
      <c r="B473" s="6416"/>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400"/>
      <c r="B474" s="6416"/>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400"/>
      <c r="B475" s="6416"/>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400"/>
      <c r="B476" s="6416"/>
      <c r="C476" s="39" t="s">
        <v>9177</v>
      </c>
      <c r="D476" s="78"/>
      <c r="E476" s="1142"/>
      <c r="F476" s="1143"/>
      <c r="G476" s="1142"/>
      <c r="H476" s="1142"/>
      <c r="I476" s="1142"/>
      <c r="J476" s="1142"/>
      <c r="K476" s="1142"/>
      <c r="L476" s="1940" t="str">
        <f t="shared" si="19"/>
        <v>&gt; CHOQUE FÍSICO</v>
      </c>
      <c r="M476" s="227"/>
    </row>
    <row r="477" spans="1:13" ht="12" customHeight="1" x14ac:dyDescent="0.2">
      <c r="A477" s="6400"/>
      <c r="B477" s="6416"/>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400"/>
      <c r="B478" s="6416"/>
      <c r="C478" s="39" t="s">
        <v>9178</v>
      </c>
      <c r="D478" s="78"/>
      <c r="E478" s="1142"/>
      <c r="F478" s="1143"/>
      <c r="G478" s="1142"/>
      <c r="H478" s="1142"/>
      <c r="I478" s="1142"/>
      <c r="J478" s="1142"/>
      <c r="K478" s="1142"/>
      <c r="L478" s="1940" t="str">
        <f t="shared" si="19"/>
        <v>&gt; ACUMULACIÓN</v>
      </c>
      <c r="M478" s="227"/>
    </row>
    <row r="479" spans="1:13" ht="12" customHeight="1" x14ac:dyDescent="0.2">
      <c r="A479" s="6400"/>
      <c r="B479" s="6416"/>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400"/>
      <c r="B480" s="6416"/>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400"/>
      <c r="B481" s="6416"/>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400"/>
      <c r="B482" s="6416"/>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400"/>
      <c r="B483" s="6416"/>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400"/>
      <c r="B484" s="6416"/>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400"/>
      <c r="B485" s="6416"/>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400"/>
      <c r="B486" s="6416"/>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400"/>
      <c r="B487" s="6416"/>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400"/>
      <c r="B488" s="6416"/>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400"/>
      <c r="B489" s="6416"/>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400"/>
      <c r="B490" s="6416"/>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400"/>
      <c r="B491" s="6416"/>
      <c r="C491" s="39" t="s">
        <v>9188</v>
      </c>
      <c r="D491" s="78"/>
      <c r="E491" s="1142"/>
      <c r="F491" s="1143"/>
      <c r="G491" s="1142"/>
      <c r="H491" s="1142"/>
      <c r="I491" s="1142"/>
      <c r="J491" s="1142"/>
      <c r="K491" s="1142"/>
      <c r="L491" s="1940" t="str">
        <f t="shared" si="20"/>
        <v>&gt; ESPEJISMO</v>
      </c>
      <c r="M491" s="227"/>
    </row>
    <row r="492" spans="1:13" ht="12" customHeight="1" x14ac:dyDescent="0.2">
      <c r="A492" s="6400"/>
      <c r="B492" s="6416"/>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400"/>
      <c r="B493" s="6416"/>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400"/>
      <c r="B494" s="6416"/>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400"/>
      <c r="B495" s="6416"/>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400"/>
      <c r="B496" s="6416"/>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400"/>
      <c r="B497" s="6416"/>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400"/>
      <c r="B498" s="6416"/>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400"/>
      <c r="B499" s="6416"/>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400"/>
      <c r="B500" s="6416"/>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400"/>
      <c r="B501" s="6416"/>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400"/>
      <c r="B502" s="6416"/>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400"/>
      <c r="B503" s="6416"/>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400"/>
      <c r="B504" s="6416"/>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400"/>
      <c r="B505" s="6416"/>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400"/>
      <c r="B506" s="6416"/>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400"/>
      <c r="B507" s="6416"/>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400"/>
      <c r="B508" s="6416"/>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400"/>
      <c r="B509" s="6416"/>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400"/>
      <c r="B510" s="6416"/>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400"/>
      <c r="B511" s="6416"/>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400"/>
      <c r="B512" s="6416"/>
      <c r="C512" s="39" t="s">
        <v>9197</v>
      </c>
      <c r="D512" s="78"/>
      <c r="E512" s="1142"/>
      <c r="F512" s="1143"/>
      <c r="G512" s="1142"/>
      <c r="H512" s="1142"/>
      <c r="I512" s="1142"/>
      <c r="J512" s="1142"/>
      <c r="K512" s="1142"/>
      <c r="L512" s="1940" t="str">
        <f t="shared" si="20"/>
        <v>&gt; ESCUDO DE ENERGÍA</v>
      </c>
      <c r="M512" s="227"/>
    </row>
    <row r="513" spans="1:13" ht="12" customHeight="1" x14ac:dyDescent="0.2">
      <c r="A513" s="6400"/>
      <c r="B513" s="6416"/>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400"/>
      <c r="B514" s="6416"/>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400"/>
      <c r="B515" s="6416"/>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400"/>
      <c r="B516" s="6416"/>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400"/>
      <c r="B517" s="6416"/>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400"/>
      <c r="B518" s="6416"/>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400"/>
      <c r="B519" s="6416"/>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400"/>
      <c r="B520" s="6416"/>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400"/>
      <c r="B521" s="6416"/>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400"/>
      <c r="B522" s="6416"/>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400"/>
      <c r="B523" s="6416"/>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400"/>
      <c r="B524" s="6416"/>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400"/>
      <c r="B525" s="6416"/>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400"/>
      <c r="B526" s="6416"/>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400"/>
      <c r="B527" s="6416"/>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400"/>
      <c r="B528" s="6416"/>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400"/>
      <c r="B529" s="6416"/>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400"/>
      <c r="B530" s="6416"/>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400"/>
      <c r="B531" s="6416"/>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400"/>
      <c r="B532" s="6416"/>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400"/>
      <c r="B533" s="6416"/>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400"/>
      <c r="B534" s="6416"/>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400"/>
      <c r="B535" s="6416"/>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400"/>
      <c r="B536" s="6416"/>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400"/>
      <c r="B537" s="6416"/>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400"/>
      <c r="B538" s="6416"/>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400"/>
      <c r="B539" s="6416"/>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400"/>
      <c r="B540" s="6416"/>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400"/>
      <c r="B541" s="6416"/>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400"/>
      <c r="B542" s="6416"/>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400"/>
      <c r="B543" s="6416"/>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400"/>
      <c r="B544" s="6416"/>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400"/>
      <c r="B545" s="6416"/>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400"/>
      <c r="B546" s="6416"/>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400"/>
      <c r="B547" s="6416"/>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400"/>
      <c r="B548" s="6416"/>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400"/>
      <c r="B549" s="6416"/>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400"/>
      <c r="B550" s="6416"/>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400"/>
      <c r="B551" s="6416"/>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400"/>
      <c r="B552" s="6416"/>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400"/>
      <c r="B553" s="6416"/>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400"/>
      <c r="B554" s="6416"/>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400"/>
      <c r="B555" s="6416"/>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400"/>
      <c r="B556" s="6416"/>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400"/>
      <c r="B557" s="6416"/>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400"/>
      <c r="B558" s="6416"/>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400"/>
      <c r="B559" s="6416"/>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400"/>
      <c r="B560" s="6416"/>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400"/>
      <c r="B561" s="6416"/>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400"/>
      <c r="B562" s="6416"/>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400"/>
      <c r="B563" s="6416"/>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400"/>
      <c r="B564" s="6416"/>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400"/>
      <c r="B565" s="6416"/>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400"/>
      <c r="B566" s="6416"/>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400"/>
      <c r="B567" s="6416"/>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400"/>
      <c r="B568" s="6416"/>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400"/>
      <c r="B569" s="6416"/>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400"/>
      <c r="B570" s="6416"/>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400"/>
      <c r="B571" s="6416"/>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400"/>
      <c r="B572" s="6416"/>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400"/>
      <c r="B573" s="6416"/>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400"/>
      <c r="B574" s="6416"/>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400"/>
      <c r="B575" s="6416"/>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400"/>
      <c r="B576" s="6416"/>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400"/>
      <c r="B577" s="6416"/>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400"/>
      <c r="B578" s="6416"/>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400"/>
      <c r="B579" s="6416"/>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400"/>
      <c r="B580" s="6416"/>
      <c r="C580" s="39" t="s">
        <v>9235</v>
      </c>
      <c r="D580" s="78"/>
      <c r="E580" s="1142"/>
      <c r="F580" s="1143"/>
      <c r="G580" s="1142"/>
      <c r="H580" s="1142"/>
      <c r="I580" s="1142"/>
      <c r="J580" s="1142"/>
      <c r="K580" s="1142"/>
      <c r="L580" s="1940" t="str">
        <f t="shared" si="21"/>
        <v>&gt; IMPACTO</v>
      </c>
      <c r="M580" s="227"/>
    </row>
    <row r="581" spans="1:13" ht="12" customHeight="1" x14ac:dyDescent="0.2">
      <c r="A581" s="6400"/>
      <c r="B581" s="6416"/>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400"/>
      <c r="B582" s="6416"/>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400"/>
      <c r="B583" s="6416"/>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400"/>
      <c r="B584" s="6416"/>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400"/>
      <c r="B585" s="6416"/>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400"/>
      <c r="B586" s="6416"/>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400"/>
      <c r="B587" s="6416"/>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400"/>
      <c r="B588" s="6416"/>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400"/>
      <c r="B589" s="6416"/>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400"/>
      <c r="B590" s="6416"/>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400"/>
      <c r="B591" s="6416"/>
      <c r="C591" s="39" t="s">
        <v>9245</v>
      </c>
      <c r="D591" s="78"/>
      <c r="E591" s="1142"/>
      <c r="F591" s="1143"/>
      <c r="G591" s="1142"/>
      <c r="H591" s="1142"/>
      <c r="I591" s="1142"/>
      <c r="J591" s="1142"/>
      <c r="K591" s="1142"/>
      <c r="L591" s="1940" t="str">
        <f t="shared" si="22"/>
        <v>&gt; INTERRUPCIÓN</v>
      </c>
      <c r="M591" s="227"/>
    </row>
    <row r="592" spans="1:13" ht="12" customHeight="1" x14ac:dyDescent="0.2">
      <c r="A592" s="6400"/>
      <c r="B592" s="6416"/>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400"/>
      <c r="B593" s="6416"/>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400"/>
      <c r="B594" s="6416"/>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400"/>
      <c r="B595" s="6416"/>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400"/>
      <c r="B596" s="6416"/>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400"/>
      <c r="B597" s="6416"/>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400"/>
      <c r="B598" s="6416"/>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400"/>
      <c r="B599" s="6416"/>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400"/>
      <c r="B600" s="6416"/>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400"/>
      <c r="B601" s="6416"/>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400"/>
      <c r="B602" s="6416"/>
      <c r="C602" s="39" t="s">
        <v>9253</v>
      </c>
      <c r="D602" s="78"/>
      <c r="E602" s="1142"/>
      <c r="F602" s="1143"/>
      <c r="G602" s="1142"/>
      <c r="H602" s="1142"/>
      <c r="I602" s="1142"/>
      <c r="J602" s="1142"/>
      <c r="K602" s="1142"/>
      <c r="L602" s="1940" t="str">
        <f t="shared" si="22"/>
        <v>&gt; INTANGIBILIDAD</v>
      </c>
      <c r="M602" s="227"/>
    </row>
    <row r="603" spans="1:13" ht="12" customHeight="1" x14ac:dyDescent="0.2">
      <c r="A603" s="6400"/>
      <c r="B603" s="6416"/>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400"/>
      <c r="B604" s="6416"/>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400"/>
      <c r="B605" s="6416"/>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400"/>
      <c r="B606" s="6416"/>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400"/>
      <c r="B607" s="6416"/>
      <c r="C607" s="39" t="s">
        <v>9254</v>
      </c>
      <c r="D607" s="78"/>
      <c r="E607" s="1142"/>
      <c r="F607" s="1143"/>
      <c r="G607" s="1142"/>
      <c r="H607" s="1142"/>
      <c r="I607" s="1142"/>
      <c r="J607" s="1142"/>
      <c r="K607" s="1142"/>
      <c r="L607" s="1940" t="str">
        <f t="shared" si="22"/>
        <v>&gt; MARCA</v>
      </c>
      <c r="M607" s="227"/>
    </row>
    <row r="608" spans="1:13" ht="12" customHeight="1" x14ac:dyDescent="0.2">
      <c r="A608" s="6400"/>
      <c r="B608" s="6416"/>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400"/>
      <c r="B609" s="6416"/>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400"/>
      <c r="B610" s="6416"/>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400"/>
      <c r="B611" s="6416"/>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400"/>
      <c r="B612" s="6416"/>
      <c r="C612" s="39" t="s">
        <v>9255</v>
      </c>
      <c r="D612" s="78"/>
      <c r="E612" s="1142"/>
      <c r="F612" s="1143"/>
      <c r="G612" s="1142"/>
      <c r="H612" s="1142"/>
      <c r="I612" s="1142"/>
      <c r="J612" s="1142"/>
      <c r="K612" s="1142"/>
      <c r="L612" s="1940" t="str">
        <f t="shared" si="22"/>
        <v>&gt; POTENCIAR CRÍTICO</v>
      </c>
      <c r="M612" s="227"/>
    </row>
    <row r="613" spans="1:13" ht="12" customHeight="1" x14ac:dyDescent="0.2">
      <c r="A613" s="6400"/>
      <c r="B613" s="6416"/>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400"/>
      <c r="B614" s="6416"/>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400"/>
      <c r="B615" s="6416"/>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400"/>
      <c r="B616" s="6416"/>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400"/>
      <c r="B617" s="6416"/>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400"/>
      <c r="B618" s="6416"/>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400"/>
      <c r="B619" s="6416"/>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400"/>
      <c r="B620" s="6416"/>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400"/>
      <c r="B621" s="6416"/>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400"/>
      <c r="B622" s="6416"/>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400"/>
      <c r="B623" s="6416"/>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400"/>
      <c r="B624" s="6416"/>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400"/>
      <c r="B625" s="6416"/>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400"/>
      <c r="B626" s="6416"/>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400"/>
      <c r="B627" s="6416"/>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400"/>
      <c r="B628" s="6416"/>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400"/>
      <c r="B629" s="6416"/>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400"/>
      <c r="B630" s="6416"/>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400"/>
      <c r="B631" s="6416"/>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400"/>
      <c r="B632" s="6416"/>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400"/>
      <c r="B633" s="6416"/>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400"/>
      <c r="B634" s="6416"/>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400"/>
      <c r="B635" s="6416"/>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400"/>
      <c r="B636" s="6416"/>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400"/>
      <c r="B637" s="6416"/>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400"/>
      <c r="B638" s="6416"/>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400"/>
      <c r="B639" s="6416"/>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400"/>
      <c r="B640" s="6416"/>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400"/>
      <c r="B641" s="6416"/>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400"/>
      <c r="B642" s="6416"/>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400"/>
      <c r="B643" s="6417"/>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400"/>
    </row>
    <row r="645" spans="1:21" ht="12" customHeight="1" x14ac:dyDescent="0.2">
      <c r="A645" s="6400"/>
    </row>
    <row r="646" spans="1:21" ht="12" customHeight="1" x14ac:dyDescent="0.2">
      <c r="A646" s="6400"/>
    </row>
    <row r="647" spans="1:21" ht="12" customHeight="1" x14ac:dyDescent="0.2">
      <c r="A647" s="6042"/>
      <c r="B647" s="6059" t="s">
        <v>9259</v>
      </c>
      <c r="C647" s="6059"/>
      <c r="D647" s="6059"/>
      <c r="E647" s="6059"/>
      <c r="F647" s="6059"/>
      <c r="G647" s="6059"/>
      <c r="H647" s="6059"/>
      <c r="I647" s="6059"/>
      <c r="J647" s="6059"/>
      <c r="K647" s="6059"/>
      <c r="L647" s="6059"/>
      <c r="M647" s="6059"/>
      <c r="N647" s="6059"/>
      <c r="O647" s="6059"/>
      <c r="P647" s="6059"/>
      <c r="Q647" s="6059"/>
      <c r="R647" s="6059"/>
      <c r="S647" s="6059"/>
      <c r="T647" s="6059"/>
      <c r="U647" s="6059"/>
    </row>
    <row r="648" spans="1:21" ht="12" customHeight="1" x14ac:dyDescent="0.2">
      <c r="A648" s="6042"/>
      <c r="B648" s="6059"/>
      <c r="C648" s="6059"/>
      <c r="D648" s="6059"/>
      <c r="E648" s="6059"/>
      <c r="F648" s="6059"/>
      <c r="G648" s="6059"/>
      <c r="H648" s="6059"/>
      <c r="I648" s="6059"/>
      <c r="J648" s="6059"/>
      <c r="K648" s="6059"/>
      <c r="L648" s="6059"/>
      <c r="M648" s="6059"/>
      <c r="N648" s="6059"/>
      <c r="O648" s="6059"/>
      <c r="P648" s="6059"/>
      <c r="Q648" s="6059"/>
      <c r="R648" s="6059"/>
      <c r="S648" s="6059"/>
      <c r="T648" s="6059"/>
      <c r="U648" s="6059"/>
    </row>
    <row r="649" spans="1:21" ht="12" customHeight="1" x14ac:dyDescent="0.2">
      <c r="A649" s="6042"/>
      <c r="B649" s="6059"/>
      <c r="C649" s="6059"/>
      <c r="D649" s="6059"/>
      <c r="E649" s="6059"/>
      <c r="F649" s="6059"/>
      <c r="G649" s="6059"/>
      <c r="H649" s="6059"/>
      <c r="I649" s="6059"/>
      <c r="J649" s="6059"/>
      <c r="K649" s="6059"/>
      <c r="L649" s="6059"/>
      <c r="M649" s="6059"/>
      <c r="N649" s="6059"/>
      <c r="O649" s="6059"/>
      <c r="P649" s="6059"/>
      <c r="Q649" s="6059"/>
      <c r="R649" s="6059"/>
      <c r="S649" s="6059"/>
      <c r="T649" s="6059"/>
      <c r="U649" s="6059"/>
    </row>
    <row r="650" spans="1:21" ht="12" customHeight="1" thickBot="1" x14ac:dyDescent="0.25">
      <c r="A650" s="6042"/>
      <c r="O650" s="1947"/>
      <c r="U650" s="227"/>
    </row>
    <row r="651" spans="1:21" ht="12" customHeight="1" x14ac:dyDescent="0.2">
      <c r="A651" s="6042"/>
      <c r="B651" s="6042"/>
      <c r="C651" s="6405" t="s">
        <v>9260</v>
      </c>
      <c r="D651" s="6406"/>
      <c r="E651" s="6406"/>
      <c r="F651" s="6406"/>
      <c r="G651" s="6406"/>
      <c r="H651" s="6406"/>
      <c r="I651" s="6406"/>
      <c r="J651" s="6406"/>
      <c r="K651" s="6406"/>
      <c r="L651" s="6406"/>
      <c r="M651" s="6406"/>
      <c r="N651" s="6406"/>
      <c r="O651" s="6406"/>
      <c r="P651" s="6406"/>
      <c r="Q651" s="6406"/>
      <c r="R651" s="6406"/>
      <c r="S651" s="6407"/>
      <c r="U651" s="6413" t="s">
        <v>9287</v>
      </c>
    </row>
    <row r="652" spans="1:21" ht="12" customHeight="1" x14ac:dyDescent="0.2">
      <c r="A652" s="6042"/>
      <c r="B652" s="6042"/>
      <c r="C652" s="6408"/>
      <c r="D652" s="6409"/>
      <c r="E652" s="6409"/>
      <c r="F652" s="6409"/>
      <c r="G652" s="6409"/>
      <c r="H652" s="6409"/>
      <c r="I652" s="6409"/>
      <c r="J652" s="6409"/>
      <c r="K652" s="6409"/>
      <c r="L652" s="6409"/>
      <c r="M652" s="6409"/>
      <c r="N652" s="6409"/>
      <c r="O652" s="6409"/>
      <c r="P652" s="6409"/>
      <c r="Q652" s="6409"/>
      <c r="R652" s="6409"/>
      <c r="S652" s="6410"/>
      <c r="U652" s="6414"/>
    </row>
    <row r="653" spans="1:21" ht="12" customHeight="1" x14ac:dyDescent="0.2">
      <c r="A653" s="6042"/>
      <c r="B653" s="6042"/>
      <c r="C653" s="358">
        <v>1</v>
      </c>
      <c r="D653" s="351">
        <v>2</v>
      </c>
      <c r="E653" s="351">
        <v>3</v>
      </c>
      <c r="F653" s="351">
        <v>4</v>
      </c>
      <c r="G653" s="351">
        <v>5</v>
      </c>
      <c r="H653" s="351">
        <v>6</v>
      </c>
      <c r="I653" s="351">
        <v>7</v>
      </c>
      <c r="J653" s="351">
        <v>8</v>
      </c>
      <c r="K653" s="351">
        <v>9</v>
      </c>
      <c r="L653" s="351">
        <v>10</v>
      </c>
      <c r="M653" s="6411">
        <v>11</v>
      </c>
      <c r="N653" s="6411"/>
      <c r="O653" s="6411"/>
      <c r="P653" s="6411"/>
      <c r="Q653" s="6411"/>
      <c r="R653" s="6411"/>
      <c r="S653" s="6412"/>
      <c r="U653" s="1955" t="s">
        <v>9263</v>
      </c>
    </row>
    <row r="654" spans="1:21" ht="12" customHeight="1" x14ac:dyDescent="0.2">
      <c r="A654" s="6042"/>
      <c r="B654" s="6042"/>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042"/>
      <c r="B655" s="6042"/>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042"/>
      <c r="B656" s="6042"/>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042"/>
      <c r="B657" s="6042"/>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042"/>
      <c r="B658" s="6042"/>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042"/>
      <c r="B659" s="6042"/>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042"/>
      <c r="B660" s="6042"/>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042"/>
      <c r="B661" s="6042"/>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042"/>
      <c r="B662" s="6042"/>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042"/>
      <c r="B663" s="6042"/>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042"/>
      <c r="B664" s="6042"/>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042"/>
      <c r="B665" s="6042"/>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042"/>
      <c r="B666" s="6042"/>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042"/>
      <c r="B667" s="6042"/>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042"/>
      <c r="B668" s="6042"/>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042"/>
      <c r="B669" s="6042"/>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042"/>
      <c r="B670" s="6042"/>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042"/>
      <c r="B671" s="6042"/>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042"/>
      <c r="B672" s="6042"/>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042"/>
      <c r="B673" s="6042"/>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042"/>
      <c r="B674" s="6042"/>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042"/>
      <c r="B675" s="6042"/>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042"/>
      <c r="B676" s="6042"/>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042"/>
      <c r="B677" s="6042"/>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042"/>
      <c r="B678" s="6042"/>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042"/>
      <c r="B679" s="6042"/>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042"/>
      <c r="B680" s="6042"/>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042"/>
      <c r="B681" s="6042"/>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042"/>
      <c r="B682" s="6042"/>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042"/>
      <c r="B683" s="6042"/>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042"/>
      <c r="B684" s="6042"/>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042"/>
      <c r="B685" s="6042"/>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042"/>
      <c r="B686" s="6042"/>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042"/>
      <c r="B687" s="6042"/>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042"/>
      <c r="B688" s="6042"/>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042"/>
      <c r="B689" s="6042"/>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042"/>
      <c r="B690" s="6042"/>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042"/>
      <c r="B691" s="6042"/>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042"/>
      <c r="B692" s="6042"/>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042"/>
      <c r="B693" s="6042"/>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042"/>
      <c r="B694" s="6042"/>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042"/>
      <c r="B695" s="6042"/>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042"/>
      <c r="B696" s="6042"/>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042"/>
      <c r="B697" s="6042"/>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042"/>
      <c r="B698" s="6042"/>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042"/>
      <c r="B699" s="6042"/>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042"/>
      <c r="B700" s="6042"/>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042"/>
      <c r="B701" s="6042"/>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042"/>
      <c r="B702" s="6042"/>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042"/>
      <c r="B703" s="6042"/>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042"/>
      <c r="B704" s="6042"/>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042"/>
      <c r="B705" s="6042"/>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042"/>
      <c r="B706" s="6042"/>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042"/>
      <c r="B707" s="6042"/>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042"/>
      <c r="B708" s="6042"/>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042"/>
      <c r="B709" s="6042"/>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042"/>
      <c r="B710" s="6042"/>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042"/>
      <c r="B711" s="6042"/>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042"/>
      <c r="B712" s="6042"/>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042"/>
      <c r="B713" s="6042"/>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042"/>
      <c r="B714" s="6042"/>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042"/>
      <c r="B715" s="6042"/>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042"/>
      <c r="B716" s="6042"/>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042"/>
      <c r="B717" s="6042"/>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042"/>
      <c r="B718" s="6042"/>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042"/>
      <c r="B719" s="6042"/>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042"/>
      <c r="B720" s="6042"/>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042"/>
      <c r="B721" s="6042"/>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042"/>
      <c r="B722" s="6042"/>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042"/>
      <c r="B723" s="6042"/>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042"/>
      <c r="B724" s="6042"/>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042"/>
      <c r="B725" s="6042"/>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042"/>
      <c r="B726" s="6042"/>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042"/>
      <c r="B727" s="6042"/>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042"/>
      <c r="B728" s="6042"/>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042"/>
      <c r="B729" s="6042"/>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042"/>
      <c r="B730" s="6042"/>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042"/>
      <c r="B731" s="6042"/>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042"/>
      <c r="B732" s="6042"/>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042"/>
      <c r="B733" s="6042"/>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042"/>
      <c r="B734" s="6042"/>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042"/>
      <c r="B735" s="6042"/>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042"/>
      <c r="B736" s="6042"/>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042"/>
      <c r="B737" s="6042"/>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042"/>
      <c r="B738" s="6042"/>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042"/>
      <c r="B739" s="6042"/>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042"/>
      <c r="B740" s="6042"/>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042"/>
      <c r="B741" s="6042"/>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042"/>
      <c r="B742" s="6042"/>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042"/>
      <c r="B743" s="6042"/>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042"/>
      <c r="B744" s="6042"/>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042"/>
      <c r="B745" s="6042"/>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042"/>
      <c r="B746" s="6042"/>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042"/>
      <c r="B747" s="6042"/>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042"/>
      <c r="B748" s="6042"/>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042"/>
      <c r="B749" s="6042"/>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042"/>
      <c r="B750" s="6042"/>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042"/>
      <c r="B751" s="6042"/>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042"/>
      <c r="B752" s="6042"/>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042"/>
      <c r="B753" s="6042"/>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042"/>
      <c r="B754" s="6042"/>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042"/>
      <c r="B755" s="6042"/>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042"/>
      <c r="B756" s="6042"/>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042"/>
      <c r="B757" s="6042"/>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042"/>
      <c r="B758" s="6042"/>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042"/>
      <c r="B759" s="6042"/>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042"/>
      <c r="B760" s="6042"/>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042"/>
      <c r="B761" s="6042"/>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042"/>
      <c r="B762" s="6042"/>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042"/>
      <c r="B763" s="6042"/>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042"/>
      <c r="B764" s="6042"/>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042"/>
      <c r="B765" s="6042"/>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042"/>
      <c r="B766" s="6042"/>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042"/>
      <c r="B767" s="6042"/>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042"/>
      <c r="B768" s="6042"/>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042"/>
      <c r="B769" s="6042"/>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042"/>
      <c r="B770" s="6042"/>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042"/>
      <c r="B771" s="6042"/>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042"/>
      <c r="B772" s="6042"/>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042"/>
      <c r="B773" s="6042"/>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042"/>
      <c r="B774" s="6042"/>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042"/>
      <c r="B775" s="6042"/>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042"/>
      <c r="B776" s="6042"/>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042"/>
      <c r="B777" s="6042"/>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042"/>
      <c r="B778" s="6042"/>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042"/>
      <c r="B779" s="6042"/>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042"/>
      <c r="B780" s="6042"/>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042"/>
      <c r="B781" s="6042"/>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042"/>
      <c r="B782" s="6042"/>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042"/>
      <c r="B783" s="6042"/>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042"/>
      <c r="B784" s="6042"/>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042"/>
      <c r="B785" s="6042"/>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042"/>
      <c r="B786" s="6042"/>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042"/>
      <c r="B787" s="6042"/>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042"/>
      <c r="B788" s="6042"/>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042"/>
      <c r="B789" s="6042"/>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042"/>
      <c r="B790" s="6042"/>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042"/>
      <c r="B791" s="6042"/>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042"/>
      <c r="B792" s="6042"/>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042"/>
      <c r="B793" s="6042"/>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042"/>
      <c r="B794" s="6042"/>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042"/>
      <c r="B795" s="6042"/>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042"/>
      <c r="B796" s="6042"/>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042"/>
      <c r="B797" s="6042"/>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042"/>
      <c r="B798" s="6042"/>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042"/>
      <c r="B799" s="6042"/>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042"/>
      <c r="B800" s="6042"/>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042"/>
      <c r="B801" s="6042"/>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042"/>
      <c r="B802" s="6042"/>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042"/>
      <c r="B803" s="6042"/>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042"/>
      <c r="B804" s="6042"/>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042"/>
      <c r="B805" s="6042"/>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042"/>
      <c r="B806" s="6042"/>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042"/>
      <c r="B807" s="6042"/>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042"/>
      <c r="B808" s="6042"/>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042"/>
      <c r="B809" s="6042"/>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042"/>
      <c r="B810" s="6042"/>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042"/>
      <c r="B811" s="6042"/>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042"/>
      <c r="B812" s="6042"/>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042"/>
      <c r="B813" s="6042"/>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042"/>
      <c r="B814" s="6042"/>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042"/>
      <c r="B815" s="6042"/>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042"/>
      <c r="B816" s="6042"/>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042"/>
      <c r="B817" s="6042"/>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042"/>
      <c r="B818" s="6042"/>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042"/>
      <c r="B819" s="6042"/>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042"/>
      <c r="B820" s="6042"/>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042"/>
      <c r="B821" s="6042"/>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042"/>
      <c r="B822" s="6042"/>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042"/>
      <c r="B823" s="6042"/>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042"/>
      <c r="B824" s="6042"/>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042"/>
      <c r="B825" s="6042"/>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042"/>
      <c r="B826" s="6042"/>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042"/>
      <c r="B827" s="6042"/>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042"/>
      <c r="B828" s="6042"/>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042"/>
      <c r="B829" s="6042"/>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042"/>
      <c r="B830" s="6042"/>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042"/>
      <c r="B831" s="6042"/>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042"/>
      <c r="B832" s="6042"/>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042"/>
      <c r="B833" s="6042"/>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042"/>
      <c r="B834" s="6042"/>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042"/>
      <c r="B835" s="6042"/>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042"/>
      <c r="B836" s="6042"/>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042"/>
      <c r="B837" s="6042"/>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042"/>
      <c r="B838" s="6042"/>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042"/>
      <c r="B839" s="6042"/>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042"/>
      <c r="B840" s="6042"/>
      <c r="C840" s="1025" t="s">
        <v>10316</v>
      </c>
      <c r="D840" s="830" t="str">
        <f>PROPER(MID(C839,3,100))</f>
        <v>Coelo Ruinam</v>
      </c>
      <c r="E840" s="475">
        <v>1</v>
      </c>
      <c r="F840" s="475">
        <v>35</v>
      </c>
      <c r="G840" s="1952">
        <f t="shared" si="34"/>
        <v>35</v>
      </c>
      <c r="H840" s="1951" t="s">
        <v>10321</v>
      </c>
      <c r="I840" s="2876"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042"/>
      <c r="B841" s="6042"/>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042"/>
      <c r="B842" s="6042"/>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042"/>
      <c r="B843" s="6042"/>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042"/>
      <c r="B844" s="6042"/>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042"/>
      <c r="B845" s="6042"/>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042"/>
      <c r="B846" s="6042"/>
      <c r="C846" s="1025" t="s">
        <v>10326</v>
      </c>
      <c r="D846" s="830" t="str">
        <f>PROPER(MID(C845,3,100))</f>
        <v>Solomon Imperus</v>
      </c>
      <c r="E846" s="475">
        <v>1</v>
      </c>
      <c r="F846" s="475">
        <v>30</v>
      </c>
      <c r="G846" s="1952">
        <f t="shared" si="34"/>
        <v>30</v>
      </c>
      <c r="H846" s="1951" t="s">
        <v>10327</v>
      </c>
      <c r="I846" s="2876"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042"/>
      <c r="B847" s="6042"/>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042"/>
      <c r="B848" s="6042"/>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042"/>
      <c r="B849" s="6042"/>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042"/>
      <c r="B850" s="6042"/>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042"/>
      <c r="B851" s="6042"/>
      <c r="C851" s="1025" t="s">
        <v>10334</v>
      </c>
      <c r="D851" s="830" t="str">
        <f>D850</f>
        <v>El Arte</v>
      </c>
      <c r="E851" s="475">
        <v>1</v>
      </c>
      <c r="F851" s="475">
        <v>25</v>
      </c>
      <c r="G851" s="1952">
        <f t="shared" si="34"/>
        <v>25</v>
      </c>
      <c r="H851" s="1951" t="s">
        <v>10339</v>
      </c>
      <c r="I851" s="2876"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042"/>
      <c r="B852" s="6042"/>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042"/>
      <c r="B853" s="6042"/>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042"/>
      <c r="B854" s="6042"/>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6"/>
      <c r="E2" s="6406"/>
      <c r="F2" s="6406"/>
      <c r="G2" s="6406"/>
      <c r="H2" s="6406"/>
      <c r="I2" s="6406"/>
      <c r="J2" s="6406"/>
      <c r="K2" s="6406"/>
      <c r="L2" s="6406"/>
      <c r="M2" s="6406"/>
      <c r="N2" s="6406"/>
      <c r="O2" s="6406"/>
      <c r="P2" s="6406"/>
      <c r="Q2" s="6406"/>
      <c r="R2" s="6406"/>
      <c r="S2" s="6406"/>
      <c r="T2" s="6406"/>
      <c r="U2" s="6406"/>
      <c r="V2" s="6406"/>
      <c r="W2" s="6406"/>
      <c r="X2" s="6406"/>
      <c r="Y2" s="6406"/>
      <c r="Z2" s="6406"/>
      <c r="AA2" s="6407"/>
    </row>
    <row r="3" spans="1:27" ht="12.75" customHeight="1" x14ac:dyDescent="0.2">
      <c r="B3" s="797"/>
      <c r="C3" s="797"/>
      <c r="D3" s="6419"/>
      <c r="E3" s="6419"/>
      <c r="F3" s="6419"/>
      <c r="G3" s="6419"/>
      <c r="H3" s="6419"/>
      <c r="I3" s="6419"/>
      <c r="J3" s="6419"/>
      <c r="K3" s="6419"/>
      <c r="L3" s="6419"/>
      <c r="M3" s="6419"/>
      <c r="N3" s="6419"/>
      <c r="O3" s="6419"/>
      <c r="P3" s="6419"/>
      <c r="Q3" s="6419"/>
      <c r="R3" s="6419"/>
      <c r="S3" s="6419"/>
      <c r="T3" s="6419"/>
      <c r="U3" s="6419"/>
      <c r="V3" s="6419"/>
      <c r="W3" s="6419"/>
      <c r="X3" s="6419"/>
      <c r="Y3" s="6419"/>
      <c r="Z3" s="6419"/>
      <c r="AA3" s="6410"/>
    </row>
    <row r="4" spans="1:27" ht="12.75" customHeight="1" x14ac:dyDescent="0.2">
      <c r="B4" s="797"/>
      <c r="C4" s="797"/>
      <c r="D4" s="2928">
        <v>1</v>
      </c>
      <c r="E4" s="2928">
        <v>2</v>
      </c>
      <c r="F4" s="2928">
        <v>3</v>
      </c>
      <c r="G4" s="2928">
        <v>4</v>
      </c>
      <c r="H4" s="2928">
        <v>5</v>
      </c>
      <c r="I4" s="2928">
        <v>6</v>
      </c>
      <c r="J4" s="2928">
        <v>7</v>
      </c>
      <c r="K4" s="2928">
        <v>8</v>
      </c>
      <c r="L4" s="2928">
        <v>9</v>
      </c>
      <c r="M4" s="2924">
        <v>10</v>
      </c>
      <c r="N4" s="2924">
        <v>11</v>
      </c>
      <c r="O4" s="2924">
        <v>12</v>
      </c>
      <c r="P4" s="2924">
        <v>13</v>
      </c>
      <c r="Q4" s="2924">
        <v>14</v>
      </c>
      <c r="R4" s="2924">
        <v>15</v>
      </c>
      <c r="S4" s="2924">
        <v>16</v>
      </c>
      <c r="T4" s="2924">
        <v>17</v>
      </c>
      <c r="U4" s="2924">
        <v>18</v>
      </c>
      <c r="V4" s="2924">
        <v>19</v>
      </c>
      <c r="W4" s="2924">
        <v>20</v>
      </c>
      <c r="X4" s="2924">
        <v>21</v>
      </c>
      <c r="Y4" s="2924">
        <v>22</v>
      </c>
      <c r="Z4" s="2924">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5" t="s">
        <v>1365</v>
      </c>
      <c r="W5" s="2925" t="s">
        <v>3196</v>
      </c>
      <c r="X5" s="2925" t="s">
        <v>3197</v>
      </c>
      <c r="Y5" s="2925" t="s">
        <v>3198</v>
      </c>
      <c r="Z5" s="2925" t="s">
        <v>1234</v>
      </c>
      <c r="AA5" s="294" t="s">
        <v>10411</v>
      </c>
    </row>
    <row r="6" spans="1:27" ht="12.75" customHeight="1" x14ac:dyDescent="0.2">
      <c r="A6" s="6418"/>
      <c r="D6" s="272" t="s">
        <v>238</v>
      </c>
      <c r="E6" s="2929"/>
      <c r="F6" s="2929"/>
      <c r="G6" s="2930"/>
      <c r="H6" s="2930"/>
      <c r="I6" s="368"/>
      <c r="J6" s="2929"/>
      <c r="K6" s="2929"/>
      <c r="L6" s="2929"/>
      <c r="M6" s="369"/>
      <c r="N6" s="2929"/>
      <c r="O6" s="2929"/>
      <c r="P6" s="2929"/>
      <c r="Q6" s="369"/>
      <c r="R6" s="2929"/>
      <c r="S6" s="2929"/>
      <c r="T6" s="2931"/>
      <c r="U6" s="370"/>
      <c r="V6" s="2926"/>
      <c r="W6" s="2926"/>
      <c r="X6" s="2926"/>
      <c r="Y6" s="2926"/>
      <c r="Z6" s="2926"/>
      <c r="AA6" s="371"/>
    </row>
    <row r="7" spans="1:27" ht="12.75" customHeight="1" x14ac:dyDescent="0.2">
      <c r="A7" s="6418"/>
      <c r="B7" s="251" t="str">
        <f>E7&amp;F7</f>
        <v>Luz2</v>
      </c>
      <c r="D7" s="272" t="s">
        <v>240</v>
      </c>
      <c r="E7" s="2929" t="s">
        <v>1698</v>
      </c>
      <c r="F7" s="2929">
        <v>2</v>
      </c>
      <c r="G7" s="2930" t="s">
        <v>2087</v>
      </c>
      <c r="H7" s="2930" t="s">
        <v>1234</v>
      </c>
      <c r="I7" s="368" t="s">
        <v>1304</v>
      </c>
      <c r="J7" s="2929">
        <v>5</v>
      </c>
      <c r="K7" s="2929">
        <v>8</v>
      </c>
      <c r="L7" s="2929">
        <v>10</v>
      </c>
      <c r="M7" s="369">
        <v>12</v>
      </c>
      <c r="N7" s="2929">
        <v>20</v>
      </c>
      <c r="O7" s="2929">
        <v>50</v>
      </c>
      <c r="P7" s="2929">
        <v>100</v>
      </c>
      <c r="Q7" s="369">
        <v>200</v>
      </c>
      <c r="R7" s="2929">
        <v>5</v>
      </c>
      <c r="S7" s="2929">
        <v>5</v>
      </c>
      <c r="T7" s="2931">
        <v>10</v>
      </c>
      <c r="U7" s="373">
        <v>15</v>
      </c>
      <c r="V7" s="2926" t="s">
        <v>3199</v>
      </c>
      <c r="W7" s="2926" t="s">
        <v>3200</v>
      </c>
      <c r="X7" s="2926" t="s">
        <v>3201</v>
      </c>
      <c r="Y7" s="2926" t="s">
        <v>3202</v>
      </c>
      <c r="Z7" s="2926" t="s">
        <v>3203</v>
      </c>
      <c r="AA7" s="371"/>
    </row>
    <row r="8" spans="1:27" ht="12.75" customHeight="1" x14ac:dyDescent="0.2">
      <c r="A8" s="6418"/>
      <c r="B8" s="251" t="str">
        <f t="shared" ref="B8:B71" si="0">E8&amp;F8</f>
        <v>Luz6</v>
      </c>
      <c r="D8" s="272" t="s">
        <v>255</v>
      </c>
      <c r="E8" s="2929" t="s">
        <v>1698</v>
      </c>
      <c r="F8" s="2929">
        <v>6</v>
      </c>
      <c r="G8" s="2930" t="s">
        <v>1381</v>
      </c>
      <c r="H8" s="2930" t="s">
        <v>1233</v>
      </c>
      <c r="I8" s="368" t="s">
        <v>1304</v>
      </c>
      <c r="J8" s="2929">
        <v>5</v>
      </c>
      <c r="K8" s="2929">
        <v>8</v>
      </c>
      <c r="L8" s="2929">
        <v>11</v>
      </c>
      <c r="M8" s="369">
        <v>14</v>
      </c>
      <c r="N8" s="2929">
        <v>40</v>
      </c>
      <c r="O8" s="2929">
        <v>80</v>
      </c>
      <c r="P8" s="2929">
        <v>120</v>
      </c>
      <c r="Q8" s="369">
        <v>160</v>
      </c>
      <c r="R8" s="2929" t="s">
        <v>1381</v>
      </c>
      <c r="S8" s="2929" t="s">
        <v>1381</v>
      </c>
      <c r="T8" s="2931" t="s">
        <v>1381</v>
      </c>
      <c r="U8" s="373" t="s">
        <v>1381</v>
      </c>
      <c r="V8" s="2926" t="s">
        <v>3204</v>
      </c>
      <c r="W8" s="2926" t="s">
        <v>3205</v>
      </c>
      <c r="X8" s="2926" t="s">
        <v>3206</v>
      </c>
      <c r="Y8" s="2926" t="s">
        <v>3207</v>
      </c>
      <c r="Z8" s="2926" t="s">
        <v>3208</v>
      </c>
      <c r="AA8" s="371"/>
    </row>
    <row r="9" spans="1:27" ht="12.75" customHeight="1" x14ac:dyDescent="0.2">
      <c r="A9" s="6418"/>
      <c r="B9" s="251" t="str">
        <f t="shared" si="0"/>
        <v>Luz8</v>
      </c>
      <c r="D9" s="272" t="s">
        <v>256</v>
      </c>
      <c r="E9" s="2929" t="s">
        <v>1698</v>
      </c>
      <c r="F9" s="2929">
        <v>8</v>
      </c>
      <c r="G9" s="2930" t="s">
        <v>1381</v>
      </c>
      <c r="H9" s="2930" t="s">
        <v>3209</v>
      </c>
      <c r="I9" s="368" t="s">
        <v>1304</v>
      </c>
      <c r="J9" s="2929">
        <v>6</v>
      </c>
      <c r="K9" s="2929">
        <v>9</v>
      </c>
      <c r="L9" s="2929">
        <v>11</v>
      </c>
      <c r="M9" s="369">
        <v>14</v>
      </c>
      <c r="N9" s="2929">
        <v>50</v>
      </c>
      <c r="O9" s="2929">
        <v>100</v>
      </c>
      <c r="P9" s="2929">
        <v>150</v>
      </c>
      <c r="Q9" s="369">
        <v>200</v>
      </c>
      <c r="R9" s="2929" t="s">
        <v>1381</v>
      </c>
      <c r="S9" s="2929" t="s">
        <v>1381</v>
      </c>
      <c r="T9" s="2931" t="s">
        <v>1381</v>
      </c>
      <c r="U9" s="373" t="s">
        <v>1381</v>
      </c>
      <c r="V9" s="2926" t="s">
        <v>3210</v>
      </c>
      <c r="W9" s="2926" t="s">
        <v>3211</v>
      </c>
      <c r="X9" s="2926" t="s">
        <v>3212</v>
      </c>
      <c r="Y9" s="2926" t="s">
        <v>3213</v>
      </c>
      <c r="Z9" s="2926" t="s">
        <v>3214</v>
      </c>
      <c r="AA9" s="371"/>
    </row>
    <row r="10" spans="1:27" ht="12.75" customHeight="1" x14ac:dyDescent="0.2">
      <c r="A10" s="6418"/>
      <c r="B10" s="251" t="str">
        <f t="shared" si="0"/>
        <v>Luz10</v>
      </c>
      <c r="D10" s="272" t="s">
        <v>257</v>
      </c>
      <c r="E10" s="2929" t="s">
        <v>1698</v>
      </c>
      <c r="F10" s="2929">
        <v>10</v>
      </c>
      <c r="G10" s="2930" t="s">
        <v>1381</v>
      </c>
      <c r="H10" s="2930" t="s">
        <v>1564</v>
      </c>
      <c r="I10" s="368" t="s">
        <v>1305</v>
      </c>
      <c r="J10" s="2929">
        <v>6</v>
      </c>
      <c r="K10" s="2929">
        <v>8</v>
      </c>
      <c r="L10" s="2929">
        <v>10</v>
      </c>
      <c r="M10" s="369">
        <v>14</v>
      </c>
      <c r="N10" s="2929">
        <v>50</v>
      </c>
      <c r="O10" s="2929">
        <v>120</v>
      </c>
      <c r="P10" s="2929">
        <v>180</v>
      </c>
      <c r="Q10" s="369">
        <v>250</v>
      </c>
      <c r="R10" s="2929">
        <v>5</v>
      </c>
      <c r="S10" s="2929">
        <v>15</v>
      </c>
      <c r="T10" s="2931">
        <v>20</v>
      </c>
      <c r="U10" s="373">
        <v>25</v>
      </c>
      <c r="V10" s="2926" t="s">
        <v>3215</v>
      </c>
      <c r="W10" s="2926" t="s">
        <v>3216</v>
      </c>
      <c r="X10" s="2926" t="s">
        <v>3217</v>
      </c>
      <c r="Y10" s="2926" t="s">
        <v>3218</v>
      </c>
      <c r="Z10" s="2926" t="s">
        <v>3219</v>
      </c>
      <c r="AA10" s="371"/>
    </row>
    <row r="11" spans="1:27" ht="12.75" customHeight="1" x14ac:dyDescent="0.2">
      <c r="A11" s="6418"/>
      <c r="B11" s="251" t="str">
        <f t="shared" si="0"/>
        <v>Luz12</v>
      </c>
      <c r="D11" s="272" t="s">
        <v>258</v>
      </c>
      <c r="E11" s="2929" t="s">
        <v>1698</v>
      </c>
      <c r="F11" s="2929">
        <v>12</v>
      </c>
      <c r="G11" s="2930" t="s">
        <v>1381</v>
      </c>
      <c r="H11" s="2930" t="s">
        <v>1234</v>
      </c>
      <c r="I11" s="368" t="s">
        <v>1304</v>
      </c>
      <c r="J11" s="2929">
        <v>6</v>
      </c>
      <c r="K11" s="2929">
        <v>9</v>
      </c>
      <c r="L11" s="2929">
        <v>12</v>
      </c>
      <c r="M11" s="369">
        <v>14</v>
      </c>
      <c r="N11" s="2929">
        <v>50</v>
      </c>
      <c r="O11" s="2929">
        <v>150</v>
      </c>
      <c r="P11" s="2929">
        <v>200</v>
      </c>
      <c r="Q11" s="369">
        <v>250</v>
      </c>
      <c r="R11" s="2929">
        <v>5</v>
      </c>
      <c r="S11" s="2929">
        <v>15</v>
      </c>
      <c r="T11" s="2931">
        <v>20</v>
      </c>
      <c r="U11" s="373">
        <v>25</v>
      </c>
      <c r="V11" s="2926" t="s">
        <v>3220</v>
      </c>
      <c r="W11" s="2926" t="s">
        <v>3221</v>
      </c>
      <c r="X11" s="2926" t="s">
        <v>3222</v>
      </c>
      <c r="Y11" s="2926" t="s">
        <v>3223</v>
      </c>
      <c r="Z11" s="2926" t="s">
        <v>3224</v>
      </c>
      <c r="AA11" s="371"/>
    </row>
    <row r="12" spans="1:27" ht="12.75" customHeight="1" x14ac:dyDescent="0.2">
      <c r="A12" s="6418"/>
      <c r="B12" s="251" t="str">
        <f t="shared" si="0"/>
        <v>Luz16</v>
      </c>
      <c r="D12" s="272" t="s">
        <v>259</v>
      </c>
      <c r="E12" s="2929" t="s">
        <v>1698</v>
      </c>
      <c r="F12" s="2929">
        <v>16</v>
      </c>
      <c r="G12" s="2930" t="s">
        <v>1381</v>
      </c>
      <c r="H12" s="2930" t="s">
        <v>1234</v>
      </c>
      <c r="I12" s="368" t="s">
        <v>1304</v>
      </c>
      <c r="J12" s="2929">
        <v>6</v>
      </c>
      <c r="K12" s="2929">
        <v>9</v>
      </c>
      <c r="L12" s="2929">
        <v>12</v>
      </c>
      <c r="M12" s="369">
        <v>15</v>
      </c>
      <c r="N12" s="2929">
        <v>60</v>
      </c>
      <c r="O12" s="2929">
        <v>90</v>
      </c>
      <c r="P12" s="2929">
        <v>120</v>
      </c>
      <c r="Q12" s="369">
        <v>150</v>
      </c>
      <c r="R12" s="2929">
        <v>5</v>
      </c>
      <c r="S12" s="2929">
        <v>10</v>
      </c>
      <c r="T12" s="2931">
        <v>15</v>
      </c>
      <c r="U12" s="373">
        <v>20</v>
      </c>
      <c r="V12" s="2926" t="s">
        <v>3225</v>
      </c>
      <c r="W12" s="2926" t="s">
        <v>3226</v>
      </c>
      <c r="X12" s="2926" t="s">
        <v>3227</v>
      </c>
      <c r="Y12" s="2926" t="s">
        <v>3228</v>
      </c>
      <c r="Z12" s="2926" t="s">
        <v>3229</v>
      </c>
      <c r="AA12" s="371"/>
    </row>
    <row r="13" spans="1:27" ht="12.75" customHeight="1" x14ac:dyDescent="0.2">
      <c r="A13" s="6418"/>
      <c r="B13" s="251" t="str">
        <f t="shared" si="0"/>
        <v>Luz18</v>
      </c>
      <c r="D13" s="272" t="s">
        <v>260</v>
      </c>
      <c r="E13" s="2929" t="s">
        <v>1698</v>
      </c>
      <c r="F13" s="2929">
        <v>18</v>
      </c>
      <c r="G13" s="2930" t="s">
        <v>1381</v>
      </c>
      <c r="H13" s="2930" t="s">
        <v>1234</v>
      </c>
      <c r="I13" s="368" t="s">
        <v>1304</v>
      </c>
      <c r="J13" s="2929">
        <v>6</v>
      </c>
      <c r="K13" s="2929">
        <v>9</v>
      </c>
      <c r="L13" s="2929">
        <v>12</v>
      </c>
      <c r="M13" s="369">
        <v>15</v>
      </c>
      <c r="N13" s="2929">
        <v>60</v>
      </c>
      <c r="O13" s="2929">
        <v>100</v>
      </c>
      <c r="P13" s="2929">
        <v>150</v>
      </c>
      <c r="Q13" s="369">
        <v>250</v>
      </c>
      <c r="R13" s="2929">
        <v>10</v>
      </c>
      <c r="S13" s="2929">
        <v>10</v>
      </c>
      <c r="T13" s="2931">
        <v>15</v>
      </c>
      <c r="U13" s="373">
        <v>25</v>
      </c>
      <c r="V13" s="2926" t="s">
        <v>3230</v>
      </c>
      <c r="W13" s="2926" t="s">
        <v>3231</v>
      </c>
      <c r="X13" s="2926" t="s">
        <v>3232</v>
      </c>
      <c r="Y13" s="2926" t="s">
        <v>3233</v>
      </c>
      <c r="Z13" s="2926" t="s">
        <v>3234</v>
      </c>
      <c r="AA13" s="371"/>
    </row>
    <row r="14" spans="1:27" ht="12.75" customHeight="1" x14ac:dyDescent="0.2">
      <c r="A14" s="6418"/>
      <c r="B14" s="251" t="str">
        <f t="shared" si="0"/>
        <v>Luz20</v>
      </c>
      <c r="D14" s="272" t="s">
        <v>261</v>
      </c>
      <c r="E14" s="2929" t="s">
        <v>1698</v>
      </c>
      <c r="F14" s="2929">
        <v>20</v>
      </c>
      <c r="G14" s="2930" t="s">
        <v>1381</v>
      </c>
      <c r="H14" s="2930" t="s">
        <v>1236</v>
      </c>
      <c r="I14" s="368" t="s">
        <v>1304</v>
      </c>
      <c r="J14" s="2929">
        <v>6</v>
      </c>
      <c r="K14" s="2929">
        <v>9</v>
      </c>
      <c r="L14" s="2929">
        <v>12</v>
      </c>
      <c r="M14" s="369">
        <v>15</v>
      </c>
      <c r="N14" s="2929">
        <v>50</v>
      </c>
      <c r="O14" s="2929">
        <v>100</v>
      </c>
      <c r="P14" s="2929">
        <v>160</v>
      </c>
      <c r="Q14" s="369">
        <v>280</v>
      </c>
      <c r="R14" s="2929">
        <v>5</v>
      </c>
      <c r="S14" s="2929">
        <v>10</v>
      </c>
      <c r="T14" s="2931">
        <v>20</v>
      </c>
      <c r="U14" s="373">
        <v>30</v>
      </c>
      <c r="V14" s="2926" t="s">
        <v>3235</v>
      </c>
      <c r="W14" s="2926" t="s">
        <v>3236</v>
      </c>
      <c r="X14" s="2926" t="s">
        <v>3237</v>
      </c>
      <c r="Y14" s="2926" t="s">
        <v>3238</v>
      </c>
      <c r="Z14" s="2926" t="s">
        <v>3239</v>
      </c>
      <c r="AA14" s="371"/>
    </row>
    <row r="15" spans="1:27" ht="12.75" customHeight="1" x14ac:dyDescent="0.2">
      <c r="A15" s="6418"/>
      <c r="B15" s="251" t="str">
        <f t="shared" si="0"/>
        <v>Luz22</v>
      </c>
      <c r="D15" s="272" t="s">
        <v>262</v>
      </c>
      <c r="E15" s="2929" t="s">
        <v>1698</v>
      </c>
      <c r="F15" s="2929">
        <v>22</v>
      </c>
      <c r="G15" s="2930" t="s">
        <v>1381</v>
      </c>
      <c r="H15" s="2930" t="s">
        <v>1232</v>
      </c>
      <c r="I15" s="368" t="s">
        <v>1304</v>
      </c>
      <c r="J15" s="2929">
        <v>6</v>
      </c>
      <c r="K15" s="2929">
        <v>9</v>
      </c>
      <c r="L15" s="2929">
        <v>12</v>
      </c>
      <c r="M15" s="369">
        <v>15</v>
      </c>
      <c r="N15" s="2929">
        <v>50</v>
      </c>
      <c r="O15" s="2929">
        <v>90</v>
      </c>
      <c r="P15" s="2929">
        <v>120</v>
      </c>
      <c r="Q15" s="369">
        <v>150</v>
      </c>
      <c r="R15" s="2929" t="s">
        <v>1381</v>
      </c>
      <c r="S15" s="2929" t="s">
        <v>1381</v>
      </c>
      <c r="T15" s="2931" t="s">
        <v>1381</v>
      </c>
      <c r="U15" s="373" t="s">
        <v>1381</v>
      </c>
      <c r="V15" s="2926" t="s">
        <v>3240</v>
      </c>
      <c r="W15" s="2926" t="s">
        <v>3241</v>
      </c>
      <c r="X15" s="2926" t="s">
        <v>3242</v>
      </c>
      <c r="Y15" s="2926" t="s">
        <v>3243</v>
      </c>
      <c r="Z15" s="2926" t="s">
        <v>3244</v>
      </c>
      <c r="AA15" s="371"/>
    </row>
    <row r="16" spans="1:27" ht="12.75" customHeight="1" x14ac:dyDescent="0.2">
      <c r="A16" s="6418"/>
      <c r="B16" s="251" t="str">
        <f t="shared" si="0"/>
        <v>Luz26</v>
      </c>
      <c r="D16" s="272" t="s">
        <v>243</v>
      </c>
      <c r="E16" s="2929" t="s">
        <v>1698</v>
      </c>
      <c r="F16" s="2929">
        <v>26</v>
      </c>
      <c r="G16" s="2930" t="s">
        <v>1381</v>
      </c>
      <c r="H16" s="2930" t="s">
        <v>1234</v>
      </c>
      <c r="I16" s="368" t="s">
        <v>1304</v>
      </c>
      <c r="J16" s="2929">
        <v>6</v>
      </c>
      <c r="K16" s="2929">
        <v>9</v>
      </c>
      <c r="L16" s="2929">
        <v>12</v>
      </c>
      <c r="M16" s="369">
        <v>15</v>
      </c>
      <c r="N16" s="2929">
        <v>40</v>
      </c>
      <c r="O16" s="2929">
        <v>150</v>
      </c>
      <c r="P16" s="2929">
        <v>250</v>
      </c>
      <c r="Q16" s="369">
        <v>350</v>
      </c>
      <c r="R16" s="2929">
        <v>5</v>
      </c>
      <c r="S16" s="2929">
        <v>20</v>
      </c>
      <c r="T16" s="2931">
        <v>25</v>
      </c>
      <c r="U16" s="373">
        <v>30</v>
      </c>
      <c r="V16" s="2926" t="s">
        <v>3245</v>
      </c>
      <c r="W16" s="2926" t="s">
        <v>3246</v>
      </c>
      <c r="X16" s="2926" t="s">
        <v>3247</v>
      </c>
      <c r="Y16" s="2926" t="s">
        <v>3248</v>
      </c>
      <c r="Z16" s="2926" t="s">
        <v>3249</v>
      </c>
      <c r="AA16" s="371"/>
    </row>
    <row r="17" spans="1:27" ht="12.75" customHeight="1" x14ac:dyDescent="0.2">
      <c r="A17" s="6418"/>
      <c r="B17" s="251" t="str">
        <f t="shared" si="0"/>
        <v>Luz28</v>
      </c>
      <c r="D17" s="272" t="s">
        <v>263</v>
      </c>
      <c r="E17" s="2929" t="s">
        <v>1698</v>
      </c>
      <c r="F17" s="2929">
        <v>28</v>
      </c>
      <c r="G17" s="2930" t="s">
        <v>1381</v>
      </c>
      <c r="H17" s="2930" t="s">
        <v>1232</v>
      </c>
      <c r="I17" s="368" t="s">
        <v>1304</v>
      </c>
      <c r="J17" s="2929">
        <v>6</v>
      </c>
      <c r="K17" s="2929">
        <v>9</v>
      </c>
      <c r="L17" s="2929">
        <v>12</v>
      </c>
      <c r="M17" s="369">
        <v>15</v>
      </c>
      <c r="N17" s="2929">
        <v>60</v>
      </c>
      <c r="O17" s="2929">
        <v>100</v>
      </c>
      <c r="P17" s="2929">
        <v>140</v>
      </c>
      <c r="Q17" s="369">
        <v>180</v>
      </c>
      <c r="R17" s="2929">
        <v>10</v>
      </c>
      <c r="S17" s="2929">
        <v>10</v>
      </c>
      <c r="T17" s="2931">
        <v>15</v>
      </c>
      <c r="U17" s="373">
        <v>15</v>
      </c>
      <c r="V17" s="2926" t="s">
        <v>3250</v>
      </c>
      <c r="W17" s="2926" t="s">
        <v>3251</v>
      </c>
      <c r="X17" s="2926" t="s">
        <v>3252</v>
      </c>
      <c r="Y17" s="2926" t="s">
        <v>3253</v>
      </c>
      <c r="Z17" s="2926" t="s">
        <v>3254</v>
      </c>
      <c r="AA17" s="371"/>
    </row>
    <row r="18" spans="1:27" ht="12.75" customHeight="1" x14ac:dyDescent="0.2">
      <c r="A18" s="6418"/>
      <c r="B18" s="251" t="str">
        <f t="shared" si="0"/>
        <v>Luz30</v>
      </c>
      <c r="D18" s="272" t="s">
        <v>264</v>
      </c>
      <c r="E18" s="2929" t="s">
        <v>1698</v>
      </c>
      <c r="F18" s="2929">
        <v>30</v>
      </c>
      <c r="G18" s="2930" t="s">
        <v>1381</v>
      </c>
      <c r="H18" s="2930" t="s">
        <v>1234</v>
      </c>
      <c r="I18" s="368" t="s">
        <v>1304</v>
      </c>
      <c r="J18" s="2929">
        <v>6</v>
      </c>
      <c r="K18" s="2929">
        <v>9</v>
      </c>
      <c r="L18" s="2929">
        <v>12</v>
      </c>
      <c r="M18" s="369">
        <v>15</v>
      </c>
      <c r="N18" s="2929">
        <v>50</v>
      </c>
      <c r="O18" s="2929">
        <v>150</v>
      </c>
      <c r="P18" s="2929">
        <v>250</v>
      </c>
      <c r="Q18" s="369">
        <v>250</v>
      </c>
      <c r="R18" s="2929">
        <v>5</v>
      </c>
      <c r="S18" s="2929">
        <v>20</v>
      </c>
      <c r="T18" s="2931">
        <v>25</v>
      </c>
      <c r="U18" s="373">
        <v>30</v>
      </c>
      <c r="V18" s="2926" t="s">
        <v>3255</v>
      </c>
      <c r="W18" s="2926" t="s">
        <v>3256</v>
      </c>
      <c r="X18" s="2926" t="s">
        <v>3257</v>
      </c>
      <c r="Y18" s="2926" t="s">
        <v>3258</v>
      </c>
      <c r="Z18" s="2926" t="s">
        <v>3259</v>
      </c>
      <c r="AA18" s="371"/>
    </row>
    <row r="19" spans="1:27" ht="12.75" customHeight="1" x14ac:dyDescent="0.2">
      <c r="A19" s="6418"/>
      <c r="B19" s="251" t="str">
        <f t="shared" si="0"/>
        <v>Luz32</v>
      </c>
      <c r="D19" s="272" t="s">
        <v>265</v>
      </c>
      <c r="E19" s="2929" t="s">
        <v>1698</v>
      </c>
      <c r="F19" s="2929">
        <v>32</v>
      </c>
      <c r="G19" s="2930" t="s">
        <v>1381</v>
      </c>
      <c r="H19" s="2930" t="s">
        <v>1236</v>
      </c>
      <c r="I19" s="368" t="s">
        <v>1304</v>
      </c>
      <c r="J19" s="2929">
        <v>6</v>
      </c>
      <c r="K19" s="2929">
        <v>9</v>
      </c>
      <c r="L19" s="2929">
        <v>12</v>
      </c>
      <c r="M19" s="369">
        <v>15</v>
      </c>
      <c r="N19" s="2929">
        <v>60</v>
      </c>
      <c r="O19" s="2929">
        <v>100</v>
      </c>
      <c r="P19" s="2929">
        <v>150</v>
      </c>
      <c r="Q19" s="369">
        <v>300</v>
      </c>
      <c r="R19" s="2929">
        <v>5</v>
      </c>
      <c r="S19" s="2929">
        <v>10</v>
      </c>
      <c r="T19" s="2931">
        <v>15</v>
      </c>
      <c r="U19" s="373">
        <v>30</v>
      </c>
      <c r="V19" s="2926" t="s">
        <v>3260</v>
      </c>
      <c r="W19" s="2926" t="s">
        <v>3261</v>
      </c>
      <c r="X19" s="2926" t="s">
        <v>3262</v>
      </c>
      <c r="Y19" s="2926" t="s">
        <v>3263</v>
      </c>
      <c r="Z19" s="2926" t="s">
        <v>3264</v>
      </c>
      <c r="AA19" s="371"/>
    </row>
    <row r="20" spans="1:27" ht="12.75" customHeight="1" x14ac:dyDescent="0.2">
      <c r="A20" s="6418"/>
      <c r="B20" s="251" t="str">
        <f t="shared" si="0"/>
        <v>Luz36</v>
      </c>
      <c r="D20" s="272" t="s">
        <v>266</v>
      </c>
      <c r="E20" s="2929" t="s">
        <v>1698</v>
      </c>
      <c r="F20" s="2929">
        <v>36</v>
      </c>
      <c r="G20" s="2930" t="s">
        <v>2087</v>
      </c>
      <c r="H20" s="2930" t="s">
        <v>1234</v>
      </c>
      <c r="I20" s="368" t="s">
        <v>1304</v>
      </c>
      <c r="J20" s="2929">
        <v>6</v>
      </c>
      <c r="K20" s="2929">
        <v>9</v>
      </c>
      <c r="L20" s="2929">
        <v>12</v>
      </c>
      <c r="M20" s="369">
        <v>15</v>
      </c>
      <c r="N20" s="2929">
        <v>100</v>
      </c>
      <c r="O20" s="2929">
        <v>200</v>
      </c>
      <c r="P20" s="2929">
        <v>300</v>
      </c>
      <c r="Q20" s="369">
        <v>400</v>
      </c>
      <c r="R20" s="2929">
        <v>20</v>
      </c>
      <c r="S20" s="2929">
        <v>40</v>
      </c>
      <c r="T20" s="2931">
        <v>60</v>
      </c>
      <c r="U20" s="373">
        <v>80</v>
      </c>
      <c r="V20" s="2926" t="s">
        <v>3265</v>
      </c>
      <c r="W20" s="2926" t="s">
        <v>3266</v>
      </c>
      <c r="X20" s="2926" t="s">
        <v>3267</v>
      </c>
      <c r="Y20" s="2926" t="s">
        <v>3268</v>
      </c>
      <c r="Z20" s="2926" t="s">
        <v>3269</v>
      </c>
      <c r="AA20" s="371"/>
    </row>
    <row r="21" spans="1:27" ht="12.75" customHeight="1" x14ac:dyDescent="0.2">
      <c r="A21" s="6418"/>
      <c r="B21" s="251" t="str">
        <f t="shared" si="0"/>
        <v>Luz38</v>
      </c>
      <c r="D21" s="272" t="s">
        <v>267</v>
      </c>
      <c r="E21" s="2929" t="s">
        <v>1698</v>
      </c>
      <c r="F21" s="2929">
        <v>38</v>
      </c>
      <c r="G21" s="2930" t="s">
        <v>1381</v>
      </c>
      <c r="H21" s="2930" t="s">
        <v>1233</v>
      </c>
      <c r="I21" s="368" t="s">
        <v>1304</v>
      </c>
      <c r="J21" s="2929">
        <v>6</v>
      </c>
      <c r="K21" s="2929">
        <v>9</v>
      </c>
      <c r="L21" s="2929">
        <v>12</v>
      </c>
      <c r="M21" s="369">
        <v>15</v>
      </c>
      <c r="N21" s="2929">
        <v>60</v>
      </c>
      <c r="O21" s="2929">
        <v>90</v>
      </c>
      <c r="P21" s="2929">
        <v>120</v>
      </c>
      <c r="Q21" s="369">
        <v>150</v>
      </c>
      <c r="R21" s="2929">
        <v>10</v>
      </c>
      <c r="S21" s="2929">
        <v>10</v>
      </c>
      <c r="T21" s="2931">
        <v>15</v>
      </c>
      <c r="U21" s="373">
        <v>15</v>
      </c>
      <c r="V21" s="2926" t="s">
        <v>3270</v>
      </c>
      <c r="W21" s="2926" t="s">
        <v>3271</v>
      </c>
      <c r="X21" s="2926" t="s">
        <v>3272</v>
      </c>
      <c r="Y21" s="2926" t="s">
        <v>3273</v>
      </c>
      <c r="Z21" s="2926" t="s">
        <v>3274</v>
      </c>
      <c r="AA21" s="371"/>
    </row>
    <row r="22" spans="1:27" ht="12.75" customHeight="1" x14ac:dyDescent="0.2">
      <c r="A22" s="6418"/>
      <c r="B22" s="251" t="str">
        <f t="shared" si="0"/>
        <v>Luz40</v>
      </c>
      <c r="D22" s="272" t="s">
        <v>268</v>
      </c>
      <c r="E22" s="2929" t="s">
        <v>1698</v>
      </c>
      <c r="F22" s="2929">
        <v>40</v>
      </c>
      <c r="G22" s="2930" t="s">
        <v>1381</v>
      </c>
      <c r="H22" s="2930" t="s">
        <v>1233</v>
      </c>
      <c r="I22" s="368" t="s">
        <v>1304</v>
      </c>
      <c r="J22" s="2929">
        <v>6</v>
      </c>
      <c r="K22" s="2929">
        <v>9</v>
      </c>
      <c r="L22" s="2929">
        <v>12</v>
      </c>
      <c r="M22" s="369">
        <v>15</v>
      </c>
      <c r="N22" s="2929">
        <v>80</v>
      </c>
      <c r="O22" s="2929">
        <v>180</v>
      </c>
      <c r="P22" s="2929">
        <v>240</v>
      </c>
      <c r="Q22" s="369">
        <v>350</v>
      </c>
      <c r="R22" s="2929" t="s">
        <v>1381</v>
      </c>
      <c r="S22" s="2929" t="s">
        <v>1381</v>
      </c>
      <c r="T22" s="2931" t="s">
        <v>1381</v>
      </c>
      <c r="U22" s="373" t="s">
        <v>1381</v>
      </c>
      <c r="V22" s="2926" t="s">
        <v>3275</v>
      </c>
      <c r="W22" s="2926" t="s">
        <v>3276</v>
      </c>
      <c r="X22" s="2926" t="s">
        <v>3277</v>
      </c>
      <c r="Y22" s="2926" t="s">
        <v>3278</v>
      </c>
      <c r="Z22" s="2926" t="s">
        <v>3279</v>
      </c>
      <c r="AA22" s="371"/>
    </row>
    <row r="23" spans="1:27" ht="12.75" customHeight="1" x14ac:dyDescent="0.2">
      <c r="A23" s="6418"/>
      <c r="B23" s="251" t="str">
        <f t="shared" si="0"/>
        <v>Luz42</v>
      </c>
      <c r="D23" s="272" t="s">
        <v>269</v>
      </c>
      <c r="E23" s="2929" t="s">
        <v>1698</v>
      </c>
      <c r="F23" s="2929">
        <v>42</v>
      </c>
      <c r="G23" s="2930" t="s">
        <v>1381</v>
      </c>
      <c r="H23" s="2930" t="s">
        <v>1234</v>
      </c>
      <c r="I23" s="368" t="s">
        <v>1304</v>
      </c>
      <c r="J23" s="2929">
        <v>7</v>
      </c>
      <c r="K23" s="2929">
        <v>10</v>
      </c>
      <c r="L23" s="2929">
        <v>13</v>
      </c>
      <c r="M23" s="369">
        <v>15</v>
      </c>
      <c r="N23" s="2929">
        <v>70</v>
      </c>
      <c r="O23" s="2929">
        <v>100</v>
      </c>
      <c r="P23" s="2929">
        <v>150</v>
      </c>
      <c r="Q23" s="369">
        <v>200</v>
      </c>
      <c r="R23" s="2929" t="s">
        <v>1381</v>
      </c>
      <c r="S23" s="2929" t="s">
        <v>1381</v>
      </c>
      <c r="T23" s="2931" t="s">
        <v>1381</v>
      </c>
      <c r="U23" s="373" t="s">
        <v>1381</v>
      </c>
      <c r="V23" s="2926" t="s">
        <v>3280</v>
      </c>
      <c r="W23" s="2926" t="s">
        <v>3281</v>
      </c>
      <c r="X23" s="2926" t="s">
        <v>3282</v>
      </c>
      <c r="Y23" s="2926" t="s">
        <v>3283</v>
      </c>
      <c r="Z23" s="2926" t="s">
        <v>3284</v>
      </c>
      <c r="AA23" s="371"/>
    </row>
    <row r="24" spans="1:27" ht="12.75" customHeight="1" x14ac:dyDescent="0.2">
      <c r="A24" s="6418"/>
      <c r="B24" s="251" t="str">
        <f t="shared" si="0"/>
        <v>Luz46</v>
      </c>
      <c r="D24" s="272" t="s">
        <v>270</v>
      </c>
      <c r="E24" s="2929" t="s">
        <v>1698</v>
      </c>
      <c r="F24" s="2929">
        <v>46</v>
      </c>
      <c r="G24" s="2930" t="s">
        <v>1381</v>
      </c>
      <c r="H24" s="2930" t="s">
        <v>1232</v>
      </c>
      <c r="I24" s="368" t="s">
        <v>1304</v>
      </c>
      <c r="J24" s="2929">
        <v>6</v>
      </c>
      <c r="K24" s="2929">
        <v>9</v>
      </c>
      <c r="L24" s="2929">
        <v>12</v>
      </c>
      <c r="M24" s="369">
        <v>15</v>
      </c>
      <c r="N24" s="2929">
        <v>120</v>
      </c>
      <c r="O24" s="2929">
        <v>180</v>
      </c>
      <c r="P24" s="2929">
        <v>240</v>
      </c>
      <c r="Q24" s="369">
        <v>300</v>
      </c>
      <c r="R24" s="2929">
        <v>15</v>
      </c>
      <c r="S24" s="2929">
        <v>20</v>
      </c>
      <c r="T24" s="2931">
        <v>25</v>
      </c>
      <c r="U24" s="373">
        <v>30</v>
      </c>
      <c r="V24" s="2926" t="s">
        <v>3285</v>
      </c>
      <c r="W24" s="2926" t="s">
        <v>3286</v>
      </c>
      <c r="X24" s="2926" t="s">
        <v>3287</v>
      </c>
      <c r="Y24" s="2926" t="s">
        <v>3288</v>
      </c>
      <c r="Z24" s="2926" t="s">
        <v>3289</v>
      </c>
      <c r="AA24" s="371"/>
    </row>
    <row r="25" spans="1:27" ht="12.75" customHeight="1" x14ac:dyDescent="0.2">
      <c r="A25" s="6418"/>
      <c r="B25" s="251" t="str">
        <f t="shared" si="0"/>
        <v>Luz48</v>
      </c>
      <c r="D25" s="272" t="s">
        <v>271</v>
      </c>
      <c r="E25" s="2929" t="s">
        <v>1698</v>
      </c>
      <c r="F25" s="2929">
        <v>48</v>
      </c>
      <c r="G25" s="2930" t="s">
        <v>2087</v>
      </c>
      <c r="H25" s="2930" t="s">
        <v>1236</v>
      </c>
      <c r="I25" s="368" t="s">
        <v>1304</v>
      </c>
      <c r="J25" s="2929">
        <v>7</v>
      </c>
      <c r="K25" s="2929">
        <v>10</v>
      </c>
      <c r="L25" s="2929">
        <v>12</v>
      </c>
      <c r="M25" s="369">
        <v>15</v>
      </c>
      <c r="N25" s="2929">
        <v>140</v>
      </c>
      <c r="O25" s="2929">
        <v>200</v>
      </c>
      <c r="P25" s="2929">
        <v>280</v>
      </c>
      <c r="Q25" s="369">
        <v>360</v>
      </c>
      <c r="R25" s="2929">
        <v>10</v>
      </c>
      <c r="S25" s="2929">
        <v>10</v>
      </c>
      <c r="T25" s="2931">
        <v>15</v>
      </c>
      <c r="U25" s="373">
        <v>15</v>
      </c>
      <c r="V25" s="2926" t="s">
        <v>3290</v>
      </c>
      <c r="W25" s="2926" t="s">
        <v>3291</v>
      </c>
      <c r="X25" s="2926" t="s">
        <v>3292</v>
      </c>
      <c r="Y25" s="2926" t="s">
        <v>3293</v>
      </c>
      <c r="Z25" s="2926" t="s">
        <v>3294</v>
      </c>
      <c r="AA25" s="371"/>
    </row>
    <row r="26" spans="1:27" ht="12.75" customHeight="1" x14ac:dyDescent="0.2">
      <c r="A26" s="6418"/>
      <c r="B26" s="251" t="str">
        <f t="shared" si="0"/>
        <v>Luz50</v>
      </c>
      <c r="D26" s="272" t="s">
        <v>272</v>
      </c>
      <c r="E26" s="2929" t="s">
        <v>1698</v>
      </c>
      <c r="F26" s="2929">
        <v>50</v>
      </c>
      <c r="G26" s="2930" t="s">
        <v>2087</v>
      </c>
      <c r="H26" s="2930" t="s">
        <v>1233</v>
      </c>
      <c r="I26" s="368" t="s">
        <v>1304</v>
      </c>
      <c r="J26" s="2929">
        <v>6</v>
      </c>
      <c r="K26" s="2929">
        <v>9</v>
      </c>
      <c r="L26" s="2929">
        <v>12</v>
      </c>
      <c r="M26" s="369">
        <v>15</v>
      </c>
      <c r="N26" s="2929">
        <v>120</v>
      </c>
      <c r="O26" s="2929">
        <v>180</v>
      </c>
      <c r="P26" s="2929">
        <v>240</v>
      </c>
      <c r="Q26" s="369">
        <v>300</v>
      </c>
      <c r="R26" s="2929">
        <v>10</v>
      </c>
      <c r="S26" s="2929">
        <v>10</v>
      </c>
      <c r="T26" s="2931">
        <v>15</v>
      </c>
      <c r="U26" s="373">
        <v>15</v>
      </c>
      <c r="V26" s="2926" t="s">
        <v>3295</v>
      </c>
      <c r="W26" s="2926" t="s">
        <v>3296</v>
      </c>
      <c r="X26" s="2926" t="s">
        <v>3297</v>
      </c>
      <c r="Y26" s="2926" t="s">
        <v>3298</v>
      </c>
      <c r="Z26" s="2926" t="s">
        <v>9677</v>
      </c>
      <c r="AA26" s="371"/>
    </row>
    <row r="27" spans="1:27" ht="12.75" customHeight="1" x14ac:dyDescent="0.2">
      <c r="A27" s="6418"/>
      <c r="B27" s="251" t="str">
        <f t="shared" si="0"/>
        <v>Luz52</v>
      </c>
      <c r="D27" s="272" t="s">
        <v>273</v>
      </c>
      <c r="E27" s="2929" t="s">
        <v>1698</v>
      </c>
      <c r="F27" s="2929">
        <v>52</v>
      </c>
      <c r="G27" s="2930" t="s">
        <v>1381</v>
      </c>
      <c r="H27" s="2930" t="s">
        <v>1234</v>
      </c>
      <c r="I27" s="368" t="s">
        <v>1304</v>
      </c>
      <c r="J27" s="2929">
        <v>8</v>
      </c>
      <c r="K27" s="2929">
        <v>11</v>
      </c>
      <c r="L27" s="2929">
        <v>13</v>
      </c>
      <c r="M27" s="369">
        <v>16</v>
      </c>
      <c r="N27" s="2929">
        <v>100</v>
      </c>
      <c r="O27" s="2929">
        <v>120</v>
      </c>
      <c r="P27" s="2929">
        <v>140</v>
      </c>
      <c r="Q27" s="369">
        <v>160</v>
      </c>
      <c r="R27" s="2929">
        <v>10</v>
      </c>
      <c r="S27" s="2929">
        <v>15</v>
      </c>
      <c r="T27" s="2931">
        <v>15</v>
      </c>
      <c r="U27" s="373">
        <v>20</v>
      </c>
      <c r="V27" s="2926" t="s">
        <v>3299</v>
      </c>
      <c r="W27" s="2926" t="s">
        <v>3300</v>
      </c>
      <c r="X27" s="2926" t="s">
        <v>3301</v>
      </c>
      <c r="Y27" s="2926" t="s">
        <v>3302</v>
      </c>
      <c r="Z27" s="2926" t="s">
        <v>3303</v>
      </c>
      <c r="AA27" s="371"/>
    </row>
    <row r="28" spans="1:27" ht="12.75" customHeight="1" x14ac:dyDescent="0.2">
      <c r="A28" s="6418"/>
      <c r="B28" s="251" t="str">
        <f t="shared" si="0"/>
        <v>Luz56</v>
      </c>
      <c r="D28" s="272" t="s">
        <v>274</v>
      </c>
      <c r="E28" s="2929" t="s">
        <v>1698</v>
      </c>
      <c r="F28" s="2929">
        <v>56</v>
      </c>
      <c r="G28" s="2930" t="s">
        <v>1381</v>
      </c>
      <c r="H28" s="2930" t="s">
        <v>1234</v>
      </c>
      <c r="I28" s="368" t="s">
        <v>1304</v>
      </c>
      <c r="J28" s="2929">
        <v>8</v>
      </c>
      <c r="K28" s="2929">
        <v>10</v>
      </c>
      <c r="L28" s="2929">
        <v>12</v>
      </c>
      <c r="M28" s="369">
        <v>15</v>
      </c>
      <c r="N28" s="2929">
        <v>100</v>
      </c>
      <c r="O28" s="2929">
        <v>180</v>
      </c>
      <c r="P28" s="2929">
        <v>240</v>
      </c>
      <c r="Q28" s="369">
        <v>300</v>
      </c>
      <c r="R28" s="2929">
        <v>5</v>
      </c>
      <c r="S28" s="2929">
        <v>10</v>
      </c>
      <c r="T28" s="2931">
        <v>15</v>
      </c>
      <c r="U28" s="373">
        <v>15</v>
      </c>
      <c r="V28" s="2926" t="s">
        <v>3304</v>
      </c>
      <c r="W28" s="2926" t="s">
        <v>3305</v>
      </c>
      <c r="X28" s="2926" t="s">
        <v>3306</v>
      </c>
      <c r="Y28" s="2926" t="s">
        <v>3307</v>
      </c>
      <c r="Z28" s="2926" t="s">
        <v>3308</v>
      </c>
      <c r="AA28" s="371"/>
    </row>
    <row r="29" spans="1:27" ht="12.75" customHeight="1" x14ac:dyDescent="0.2">
      <c r="A29" s="6418"/>
      <c r="B29" s="251" t="str">
        <f t="shared" si="0"/>
        <v>Luz58</v>
      </c>
      <c r="D29" s="272" t="s">
        <v>275</v>
      </c>
      <c r="E29" s="2929" t="s">
        <v>1698</v>
      </c>
      <c r="F29" s="2929">
        <v>58</v>
      </c>
      <c r="G29" s="2930" t="s">
        <v>2087</v>
      </c>
      <c r="H29" s="2930" t="s">
        <v>1233</v>
      </c>
      <c r="I29" s="368" t="s">
        <v>1304</v>
      </c>
      <c r="J29" s="2929">
        <v>8</v>
      </c>
      <c r="K29" s="2929">
        <v>10</v>
      </c>
      <c r="L29" s="2929">
        <v>12</v>
      </c>
      <c r="M29" s="369">
        <v>15</v>
      </c>
      <c r="N29" s="2929">
        <v>100</v>
      </c>
      <c r="O29" s="2929">
        <v>180</v>
      </c>
      <c r="P29" s="2929">
        <v>240</v>
      </c>
      <c r="Q29" s="369">
        <v>300</v>
      </c>
      <c r="R29" s="2929">
        <v>10</v>
      </c>
      <c r="S29" s="2929">
        <v>20</v>
      </c>
      <c r="T29" s="2931">
        <v>25</v>
      </c>
      <c r="U29" s="373">
        <v>30</v>
      </c>
      <c r="V29" s="2926" t="s">
        <v>3309</v>
      </c>
      <c r="W29" s="2926" t="s">
        <v>3310</v>
      </c>
      <c r="X29" s="2926" t="s">
        <v>3311</v>
      </c>
      <c r="Y29" s="2926" t="s">
        <v>3312</v>
      </c>
      <c r="Z29" s="2926" t="s">
        <v>3313</v>
      </c>
      <c r="AA29" s="371"/>
    </row>
    <row r="30" spans="1:27" ht="12.75" customHeight="1" x14ac:dyDescent="0.2">
      <c r="A30" s="6418"/>
      <c r="B30" s="251" t="str">
        <f t="shared" si="0"/>
        <v>Luz60</v>
      </c>
      <c r="D30" s="272" t="s">
        <v>276</v>
      </c>
      <c r="E30" s="2929" t="s">
        <v>1698</v>
      </c>
      <c r="F30" s="2929">
        <v>60</v>
      </c>
      <c r="G30" s="2930" t="s">
        <v>2087</v>
      </c>
      <c r="H30" s="2930" t="s">
        <v>1234</v>
      </c>
      <c r="I30" s="368" t="s">
        <v>1304</v>
      </c>
      <c r="J30" s="2929">
        <v>8</v>
      </c>
      <c r="K30" s="2929">
        <v>12</v>
      </c>
      <c r="L30" s="2929">
        <v>14</v>
      </c>
      <c r="M30" s="369">
        <v>16</v>
      </c>
      <c r="N30" s="2929">
        <v>100</v>
      </c>
      <c r="O30" s="2929">
        <v>120</v>
      </c>
      <c r="P30" s="2929">
        <v>180</v>
      </c>
      <c r="Q30" s="369">
        <v>250</v>
      </c>
      <c r="R30" s="2929">
        <v>10</v>
      </c>
      <c r="S30" s="2929">
        <v>15</v>
      </c>
      <c r="T30" s="2931">
        <v>15</v>
      </c>
      <c r="U30" s="373">
        <v>25</v>
      </c>
      <c r="V30" s="2926" t="s">
        <v>7043</v>
      </c>
      <c r="W30" s="2926" t="s">
        <v>3314</v>
      </c>
      <c r="X30" s="2926" t="s">
        <v>7044</v>
      </c>
      <c r="Y30" s="2926" t="s">
        <v>7045</v>
      </c>
      <c r="Z30" s="2926" t="s">
        <v>7046</v>
      </c>
      <c r="AA30" s="371"/>
    </row>
    <row r="31" spans="1:27" ht="12.75" customHeight="1" x14ac:dyDescent="0.2">
      <c r="A31" s="6418"/>
      <c r="B31" s="251" t="str">
        <f t="shared" si="0"/>
        <v>Luz62</v>
      </c>
      <c r="D31" s="272" t="s">
        <v>277</v>
      </c>
      <c r="E31" s="2929" t="s">
        <v>1698</v>
      </c>
      <c r="F31" s="2929">
        <v>62</v>
      </c>
      <c r="G31" s="2930" t="s">
        <v>2087</v>
      </c>
      <c r="H31" s="2930" t="s">
        <v>3209</v>
      </c>
      <c r="I31" s="368" t="s">
        <v>1304</v>
      </c>
      <c r="J31" s="2929">
        <v>7</v>
      </c>
      <c r="K31" s="2929">
        <v>9</v>
      </c>
      <c r="L31" s="2929">
        <v>12</v>
      </c>
      <c r="M31" s="369">
        <v>15</v>
      </c>
      <c r="N31" s="2929">
        <v>140</v>
      </c>
      <c r="O31" s="2929">
        <v>180</v>
      </c>
      <c r="P31" s="2929">
        <v>240</v>
      </c>
      <c r="Q31" s="369">
        <v>300</v>
      </c>
      <c r="R31" s="2929">
        <v>15</v>
      </c>
      <c r="S31" s="2929">
        <v>20</v>
      </c>
      <c r="T31" s="2931">
        <v>25</v>
      </c>
      <c r="U31" s="373">
        <v>30</v>
      </c>
      <c r="V31" s="2926" t="s">
        <v>3315</v>
      </c>
      <c r="W31" s="2926" t="s">
        <v>3316</v>
      </c>
      <c r="X31" s="2926" t="s">
        <v>3317</v>
      </c>
      <c r="Y31" s="2926" t="s">
        <v>3318</v>
      </c>
      <c r="Z31" s="2926" t="s">
        <v>3319</v>
      </c>
      <c r="AA31" s="371"/>
    </row>
    <row r="32" spans="1:27" ht="12.75" customHeight="1" x14ac:dyDescent="0.2">
      <c r="A32" s="6418"/>
      <c r="B32" s="251" t="str">
        <f t="shared" si="0"/>
        <v>Luz66</v>
      </c>
      <c r="D32" s="272" t="s">
        <v>278</v>
      </c>
      <c r="E32" s="2929" t="s">
        <v>1698</v>
      </c>
      <c r="F32" s="2929">
        <v>66</v>
      </c>
      <c r="G32" s="2930" t="s">
        <v>1381</v>
      </c>
      <c r="H32" s="2930" t="s">
        <v>1236</v>
      </c>
      <c r="I32" s="368" t="s">
        <v>1304</v>
      </c>
      <c r="J32" s="2929">
        <v>8</v>
      </c>
      <c r="K32" s="2929">
        <v>10</v>
      </c>
      <c r="L32" s="2929">
        <v>13</v>
      </c>
      <c r="M32" s="369">
        <v>16</v>
      </c>
      <c r="N32" s="2929">
        <v>160</v>
      </c>
      <c r="O32" s="2929">
        <v>200</v>
      </c>
      <c r="P32" s="2929">
        <v>260</v>
      </c>
      <c r="Q32" s="369">
        <v>320</v>
      </c>
      <c r="R32" s="2929" t="s">
        <v>1381</v>
      </c>
      <c r="S32" s="2929" t="s">
        <v>1381</v>
      </c>
      <c r="T32" s="2931" t="s">
        <v>1381</v>
      </c>
      <c r="U32" s="373" t="s">
        <v>1381</v>
      </c>
      <c r="V32" s="2926" t="s">
        <v>3320</v>
      </c>
      <c r="W32" s="2926" t="s">
        <v>3321</v>
      </c>
      <c r="X32" s="2926" t="s">
        <v>3322</v>
      </c>
      <c r="Y32" s="2926" t="s">
        <v>3323</v>
      </c>
      <c r="Z32" s="2926" t="s">
        <v>3324</v>
      </c>
      <c r="AA32" s="371"/>
    </row>
    <row r="33" spans="1:27" ht="12.75" customHeight="1" x14ac:dyDescent="0.2">
      <c r="A33" s="6418"/>
      <c r="B33" s="251" t="str">
        <f t="shared" si="0"/>
        <v>Luz68</v>
      </c>
      <c r="D33" s="272" t="s">
        <v>279</v>
      </c>
      <c r="E33" s="2929" t="s">
        <v>1698</v>
      </c>
      <c r="F33" s="2929">
        <v>68</v>
      </c>
      <c r="G33" s="2930" t="s">
        <v>1381</v>
      </c>
      <c r="H33" s="2930" t="s">
        <v>1234</v>
      </c>
      <c r="I33" s="368" t="s">
        <v>1304</v>
      </c>
      <c r="J33" s="2929">
        <v>8</v>
      </c>
      <c r="K33" s="2929">
        <v>10</v>
      </c>
      <c r="L33" s="2929">
        <v>12</v>
      </c>
      <c r="M33" s="369">
        <v>15</v>
      </c>
      <c r="N33" s="2929">
        <v>150</v>
      </c>
      <c r="O33" s="2929">
        <v>200</v>
      </c>
      <c r="P33" s="2929">
        <v>250</v>
      </c>
      <c r="Q33" s="369">
        <v>300</v>
      </c>
      <c r="R33" s="2929" t="s">
        <v>1381</v>
      </c>
      <c r="S33" s="2929" t="s">
        <v>1381</v>
      </c>
      <c r="T33" s="2931" t="s">
        <v>1381</v>
      </c>
      <c r="U33" s="373" t="s">
        <v>1381</v>
      </c>
      <c r="V33" s="2926" t="s">
        <v>3325</v>
      </c>
      <c r="W33" s="2926" t="s">
        <v>3326</v>
      </c>
      <c r="X33" s="2926" t="s">
        <v>3327</v>
      </c>
      <c r="Y33" s="2926" t="s">
        <v>3328</v>
      </c>
      <c r="Z33" s="2926" t="s">
        <v>3329</v>
      </c>
      <c r="AA33" s="371"/>
    </row>
    <row r="34" spans="1:27" ht="12.75" customHeight="1" x14ac:dyDescent="0.2">
      <c r="A34" s="6418"/>
      <c r="B34" s="251" t="str">
        <f t="shared" si="0"/>
        <v>Luz70</v>
      </c>
      <c r="D34" s="272" t="s">
        <v>280</v>
      </c>
      <c r="E34" s="2929" t="s">
        <v>1698</v>
      </c>
      <c r="F34" s="2929">
        <v>70</v>
      </c>
      <c r="G34" s="2930" t="s">
        <v>1381</v>
      </c>
      <c r="H34" s="2930" t="s">
        <v>3209</v>
      </c>
      <c r="I34" s="368" t="s">
        <v>1304</v>
      </c>
      <c r="J34" s="2929">
        <v>10</v>
      </c>
      <c r="K34" s="2929">
        <v>12</v>
      </c>
      <c r="L34" s="2929">
        <v>14</v>
      </c>
      <c r="M34" s="369">
        <v>16</v>
      </c>
      <c r="N34" s="2929">
        <v>140</v>
      </c>
      <c r="O34" s="2929">
        <v>200</v>
      </c>
      <c r="P34" s="2929">
        <v>280</v>
      </c>
      <c r="Q34" s="369">
        <v>360</v>
      </c>
      <c r="R34" s="2929">
        <v>5</v>
      </c>
      <c r="S34" s="2929">
        <v>10</v>
      </c>
      <c r="T34" s="2931">
        <v>10</v>
      </c>
      <c r="U34" s="373">
        <v>15</v>
      </c>
      <c r="V34" s="2926" t="s">
        <v>3330</v>
      </c>
      <c r="W34" s="2926" t="s">
        <v>3331</v>
      </c>
      <c r="X34" s="2926" t="s">
        <v>3332</v>
      </c>
      <c r="Y34" s="2926" t="s">
        <v>3333</v>
      </c>
      <c r="Z34" s="2926" t="s">
        <v>3334</v>
      </c>
      <c r="AA34" s="371"/>
    </row>
    <row r="35" spans="1:27" ht="12.75" customHeight="1" x14ac:dyDescent="0.2">
      <c r="A35" s="6418"/>
      <c r="B35" s="251" t="str">
        <f t="shared" si="0"/>
        <v>Luz72</v>
      </c>
      <c r="D35" s="272" t="s">
        <v>281</v>
      </c>
      <c r="E35" s="2929" t="s">
        <v>1698</v>
      </c>
      <c r="F35" s="2929">
        <v>72</v>
      </c>
      <c r="G35" s="2930" t="s">
        <v>1381</v>
      </c>
      <c r="H35" s="2930" t="s">
        <v>1232</v>
      </c>
      <c r="I35" s="368" t="s">
        <v>1304</v>
      </c>
      <c r="J35" s="2929">
        <v>10</v>
      </c>
      <c r="K35" s="2929">
        <v>12</v>
      </c>
      <c r="L35" s="2929">
        <v>14</v>
      </c>
      <c r="M35" s="369">
        <v>16</v>
      </c>
      <c r="N35" s="2929">
        <v>140</v>
      </c>
      <c r="O35" s="2929">
        <v>180</v>
      </c>
      <c r="P35" s="2929">
        <v>240</v>
      </c>
      <c r="Q35" s="369">
        <v>350</v>
      </c>
      <c r="R35" s="2929" t="s">
        <v>1381</v>
      </c>
      <c r="S35" s="2929" t="s">
        <v>1381</v>
      </c>
      <c r="T35" s="2931" t="s">
        <v>1381</v>
      </c>
      <c r="U35" s="373" t="s">
        <v>1381</v>
      </c>
      <c r="V35" s="2926" t="s">
        <v>3335</v>
      </c>
      <c r="W35" s="2926" t="s">
        <v>3336</v>
      </c>
      <c r="X35" s="2926" t="s">
        <v>3337</v>
      </c>
      <c r="Y35" s="2926" t="s">
        <v>3338</v>
      </c>
      <c r="Z35" s="2926" t="s">
        <v>3339</v>
      </c>
      <c r="AA35" s="371"/>
    </row>
    <row r="36" spans="1:27" ht="12.75" customHeight="1" x14ac:dyDescent="0.2">
      <c r="A36" s="6418"/>
      <c r="B36" s="251" t="str">
        <f t="shared" si="0"/>
        <v>Luz76</v>
      </c>
      <c r="D36" s="272" t="s">
        <v>282</v>
      </c>
      <c r="E36" s="2929" t="s">
        <v>1698</v>
      </c>
      <c r="F36" s="2929">
        <v>76</v>
      </c>
      <c r="G36" s="2930" t="s">
        <v>1381</v>
      </c>
      <c r="H36" s="2930" t="s">
        <v>1234</v>
      </c>
      <c r="I36" s="368" t="s">
        <v>1304</v>
      </c>
      <c r="J36" s="2929">
        <v>10</v>
      </c>
      <c r="K36" s="2929">
        <v>12</v>
      </c>
      <c r="L36" s="2929">
        <v>14</v>
      </c>
      <c r="M36" s="369">
        <v>16</v>
      </c>
      <c r="N36" s="2929">
        <v>150</v>
      </c>
      <c r="O36" s="2929">
        <v>200</v>
      </c>
      <c r="P36" s="2929">
        <v>240</v>
      </c>
      <c r="Q36" s="369">
        <v>300</v>
      </c>
      <c r="R36" s="2929">
        <v>15</v>
      </c>
      <c r="S36" s="2929">
        <v>20</v>
      </c>
      <c r="T36" s="2931">
        <v>25</v>
      </c>
      <c r="U36" s="373">
        <v>30</v>
      </c>
      <c r="V36" s="2926" t="s">
        <v>3340</v>
      </c>
      <c r="W36" s="2926" t="s">
        <v>3341</v>
      </c>
      <c r="X36" s="2926" t="s">
        <v>3342</v>
      </c>
      <c r="Y36" s="2926" t="s">
        <v>3343</v>
      </c>
      <c r="Z36" s="2926" t="s">
        <v>3344</v>
      </c>
      <c r="AA36" s="371"/>
    </row>
    <row r="37" spans="1:27" ht="12.75" customHeight="1" x14ac:dyDescent="0.2">
      <c r="A37" s="6418"/>
      <c r="B37" s="251" t="str">
        <f t="shared" si="0"/>
        <v>Luz78</v>
      </c>
      <c r="D37" s="272" t="s">
        <v>283</v>
      </c>
      <c r="E37" s="2929" t="s">
        <v>1698</v>
      </c>
      <c r="F37" s="2929">
        <v>78</v>
      </c>
      <c r="G37" s="2930" t="s">
        <v>1381</v>
      </c>
      <c r="H37" s="2930" t="s">
        <v>1234</v>
      </c>
      <c r="I37" s="368" t="s">
        <v>1304</v>
      </c>
      <c r="J37" s="2929">
        <v>10</v>
      </c>
      <c r="K37" s="2929">
        <v>12</v>
      </c>
      <c r="L37" s="2929">
        <v>14</v>
      </c>
      <c r="M37" s="369">
        <v>16</v>
      </c>
      <c r="N37" s="2929">
        <v>250</v>
      </c>
      <c r="O37" s="2929">
        <v>360</v>
      </c>
      <c r="P37" s="2929">
        <v>450</v>
      </c>
      <c r="Q37" s="369">
        <v>600</v>
      </c>
      <c r="R37" s="2929" t="s">
        <v>1381</v>
      </c>
      <c r="S37" s="2929" t="s">
        <v>1381</v>
      </c>
      <c r="T37" s="2931" t="s">
        <v>1381</v>
      </c>
      <c r="U37" s="373" t="s">
        <v>1381</v>
      </c>
      <c r="V37" s="2926" t="s">
        <v>3345</v>
      </c>
      <c r="W37" s="2926" t="s">
        <v>3346</v>
      </c>
      <c r="X37" s="2926" t="s">
        <v>3347</v>
      </c>
      <c r="Y37" s="2926" t="s">
        <v>3348</v>
      </c>
      <c r="Z37" s="2926" t="s">
        <v>3349</v>
      </c>
      <c r="AA37" s="371"/>
    </row>
    <row r="38" spans="1:27" ht="12.75" customHeight="1" x14ac:dyDescent="0.2">
      <c r="A38" s="6418"/>
      <c r="B38" s="251" t="str">
        <f t="shared" si="0"/>
        <v>Luz80</v>
      </c>
      <c r="D38" s="272" t="s">
        <v>284</v>
      </c>
      <c r="E38" s="2929" t="s">
        <v>1698</v>
      </c>
      <c r="F38" s="2929">
        <v>80</v>
      </c>
      <c r="G38" s="2930" t="s">
        <v>1381</v>
      </c>
      <c r="H38" s="2930" t="s">
        <v>3350</v>
      </c>
      <c r="I38" s="368" t="s">
        <v>1304</v>
      </c>
      <c r="J38" s="2929">
        <v>12</v>
      </c>
      <c r="K38" s="2929">
        <v>14</v>
      </c>
      <c r="L38" s="2929">
        <v>16</v>
      </c>
      <c r="M38" s="369">
        <v>18</v>
      </c>
      <c r="N38" s="2929">
        <v>300</v>
      </c>
      <c r="O38" s="2929">
        <v>400</v>
      </c>
      <c r="P38" s="2929">
        <v>500</v>
      </c>
      <c r="Q38" s="369">
        <v>750</v>
      </c>
      <c r="R38" s="2929">
        <v>60</v>
      </c>
      <c r="S38" s="2929">
        <v>65</v>
      </c>
      <c r="T38" s="2931">
        <v>70</v>
      </c>
      <c r="U38" s="373">
        <v>80</v>
      </c>
      <c r="V38" s="2926" t="s">
        <v>3320</v>
      </c>
      <c r="W38" s="2926" t="s">
        <v>3351</v>
      </c>
      <c r="X38" s="2926" t="s">
        <v>3352</v>
      </c>
      <c r="Y38" s="2926" t="s">
        <v>3353</v>
      </c>
      <c r="Z38" s="2926" t="s">
        <v>7054</v>
      </c>
      <c r="AA38" s="371"/>
    </row>
    <row r="39" spans="1:27" ht="12.75" customHeight="1" x14ac:dyDescent="0.2">
      <c r="A39" s="6418"/>
      <c r="B39" s="251" t="str">
        <f t="shared" si="0"/>
        <v>Luz82</v>
      </c>
      <c r="D39" s="272" t="s">
        <v>285</v>
      </c>
      <c r="E39" s="2929" t="s">
        <v>1698</v>
      </c>
      <c r="F39" s="2929">
        <v>82</v>
      </c>
      <c r="G39" s="2930" t="s">
        <v>2087</v>
      </c>
      <c r="H39" s="2930" t="s">
        <v>1234</v>
      </c>
      <c r="I39" s="368" t="s">
        <v>1304</v>
      </c>
      <c r="J39" s="2929">
        <v>10</v>
      </c>
      <c r="K39" s="2929">
        <v>12</v>
      </c>
      <c r="L39" s="2929">
        <v>14</v>
      </c>
      <c r="M39" s="369">
        <v>16</v>
      </c>
      <c r="N39" s="2929">
        <v>250</v>
      </c>
      <c r="O39" s="2929">
        <v>350</v>
      </c>
      <c r="P39" s="2929">
        <v>500</v>
      </c>
      <c r="Q39" s="369">
        <v>700</v>
      </c>
      <c r="R39" s="2929">
        <v>50</v>
      </c>
      <c r="S39" s="2929">
        <v>70</v>
      </c>
      <c r="T39" s="2931">
        <v>100</v>
      </c>
      <c r="U39" s="373">
        <v>140</v>
      </c>
      <c r="V39" s="2926" t="s">
        <v>3354</v>
      </c>
      <c r="W39" s="2926" t="s">
        <v>3355</v>
      </c>
      <c r="X39" s="2926" t="s">
        <v>3356</v>
      </c>
      <c r="Y39" s="2926" t="s">
        <v>3357</v>
      </c>
      <c r="Z39" s="2926" t="s">
        <v>3358</v>
      </c>
      <c r="AA39" s="371"/>
    </row>
    <row r="40" spans="1:27" ht="12.75" customHeight="1" x14ac:dyDescent="0.2">
      <c r="A40" s="6418"/>
      <c r="B40" s="251" t="str">
        <f t="shared" si="0"/>
        <v>Luz86</v>
      </c>
      <c r="D40" s="272" t="s">
        <v>286</v>
      </c>
      <c r="E40" s="2929" t="s">
        <v>1698</v>
      </c>
      <c r="F40" s="2929">
        <v>86</v>
      </c>
      <c r="G40" s="2930" t="s">
        <v>2087</v>
      </c>
      <c r="H40" s="2930" t="s">
        <v>1564</v>
      </c>
      <c r="I40" s="368" t="s">
        <v>1305</v>
      </c>
      <c r="J40" s="2929">
        <v>10</v>
      </c>
      <c r="K40" s="2929">
        <v>13</v>
      </c>
      <c r="L40" s="2929">
        <v>15</v>
      </c>
      <c r="M40" s="369">
        <v>17</v>
      </c>
      <c r="N40" s="2929">
        <v>160</v>
      </c>
      <c r="O40" s="2929">
        <v>250</v>
      </c>
      <c r="P40" s="2929">
        <v>300</v>
      </c>
      <c r="Q40" s="369">
        <v>400</v>
      </c>
      <c r="R40" s="2929">
        <v>20</v>
      </c>
      <c r="S40" s="2929">
        <v>25</v>
      </c>
      <c r="T40" s="2931">
        <v>30</v>
      </c>
      <c r="U40" s="373">
        <v>40</v>
      </c>
      <c r="V40" s="2926" t="s">
        <v>3359</v>
      </c>
      <c r="W40" s="2926" t="s">
        <v>3360</v>
      </c>
      <c r="X40" s="2926" t="s">
        <v>3361</v>
      </c>
      <c r="Y40" s="2926" t="s">
        <v>3362</v>
      </c>
      <c r="Z40" s="2926" t="s">
        <v>3363</v>
      </c>
      <c r="AA40" s="371"/>
    </row>
    <row r="41" spans="1:27" ht="12.75" customHeight="1" x14ac:dyDescent="0.2">
      <c r="A41" s="6418"/>
      <c r="B41" s="251" t="str">
        <f t="shared" si="0"/>
        <v>Luz88</v>
      </c>
      <c r="D41" s="272" t="s">
        <v>287</v>
      </c>
      <c r="E41" s="2929" t="s">
        <v>1698</v>
      </c>
      <c r="F41" s="2929">
        <v>88</v>
      </c>
      <c r="G41" s="2930" t="s">
        <v>1381</v>
      </c>
      <c r="H41" s="2930" t="s">
        <v>1234</v>
      </c>
      <c r="I41" s="368" t="s">
        <v>1304</v>
      </c>
      <c r="J41" s="2929">
        <v>10</v>
      </c>
      <c r="K41" s="2929">
        <v>12</v>
      </c>
      <c r="L41" s="2929">
        <v>15</v>
      </c>
      <c r="M41" s="369">
        <v>18</v>
      </c>
      <c r="N41" s="2929">
        <v>200</v>
      </c>
      <c r="O41" s="2929">
        <v>250</v>
      </c>
      <c r="P41" s="2929">
        <v>400</v>
      </c>
      <c r="Q41" s="369">
        <v>800</v>
      </c>
      <c r="R41" s="2929">
        <v>40</v>
      </c>
      <c r="S41" s="2929">
        <v>50</v>
      </c>
      <c r="T41" s="2931">
        <v>60</v>
      </c>
      <c r="U41" s="373">
        <v>65</v>
      </c>
      <c r="V41" s="2926" t="s">
        <v>3364</v>
      </c>
      <c r="W41" s="2926" t="s">
        <v>3365</v>
      </c>
      <c r="X41" s="2926" t="s">
        <v>3366</v>
      </c>
      <c r="Y41" s="2926" t="s">
        <v>3367</v>
      </c>
      <c r="Z41" s="2926" t="s">
        <v>3368</v>
      </c>
      <c r="AA41" s="371"/>
    </row>
    <row r="42" spans="1:27" ht="12.75" customHeight="1" x14ac:dyDescent="0.2">
      <c r="A42" s="6418"/>
      <c r="B42" s="251" t="str">
        <f t="shared" si="0"/>
        <v>Luz90</v>
      </c>
      <c r="D42" s="272" t="s">
        <v>288</v>
      </c>
      <c r="E42" s="2929" t="s">
        <v>1698</v>
      </c>
      <c r="F42" s="2929">
        <v>90</v>
      </c>
      <c r="G42" s="2930" t="s">
        <v>1381</v>
      </c>
      <c r="H42" s="2930" t="s">
        <v>1233</v>
      </c>
      <c r="I42" s="368" t="s">
        <v>1304</v>
      </c>
      <c r="J42" s="2929">
        <v>10</v>
      </c>
      <c r="K42" s="2929">
        <v>12</v>
      </c>
      <c r="L42" s="2929">
        <v>14</v>
      </c>
      <c r="M42" s="369">
        <v>16</v>
      </c>
      <c r="N42" s="2929">
        <v>200</v>
      </c>
      <c r="O42" s="2929">
        <v>300</v>
      </c>
      <c r="P42" s="2929">
        <v>450</v>
      </c>
      <c r="Q42" s="369">
        <v>600</v>
      </c>
      <c r="R42" s="2929" t="s">
        <v>1381</v>
      </c>
      <c r="S42" s="2929" t="s">
        <v>1381</v>
      </c>
      <c r="T42" s="2931" t="s">
        <v>1381</v>
      </c>
      <c r="U42" s="373" t="s">
        <v>1381</v>
      </c>
      <c r="V42" s="2926" t="s">
        <v>3369</v>
      </c>
      <c r="W42" s="2926" t="s">
        <v>3370</v>
      </c>
      <c r="X42" s="2926" t="s">
        <v>3371</v>
      </c>
      <c r="Y42" s="2926" t="s">
        <v>3372</v>
      </c>
      <c r="Z42" s="2926" t="s">
        <v>3373</v>
      </c>
      <c r="AA42" s="371"/>
    </row>
    <row r="43" spans="1:27" ht="12.75" customHeight="1" x14ac:dyDescent="0.2">
      <c r="A43" s="6418"/>
      <c r="B43" s="251" t="str">
        <f t="shared" si="0"/>
        <v>Luz92</v>
      </c>
      <c r="D43" s="272" t="s">
        <v>289</v>
      </c>
      <c r="E43" s="2929" t="s">
        <v>1698</v>
      </c>
      <c r="F43" s="2929">
        <v>92</v>
      </c>
      <c r="G43" s="2930" t="s">
        <v>2087</v>
      </c>
      <c r="H43" s="2930" t="s">
        <v>1233</v>
      </c>
      <c r="I43" s="368" t="s">
        <v>1304</v>
      </c>
      <c r="J43" s="2929">
        <v>14</v>
      </c>
      <c r="K43" s="2929">
        <v>16</v>
      </c>
      <c r="L43" s="2929">
        <v>18</v>
      </c>
      <c r="M43" s="369">
        <v>20</v>
      </c>
      <c r="N43" s="2929">
        <v>200</v>
      </c>
      <c r="O43" s="2929">
        <v>350</v>
      </c>
      <c r="P43" s="2929">
        <v>500</v>
      </c>
      <c r="Q43" s="369">
        <v>800</v>
      </c>
      <c r="R43" s="2929">
        <v>40</v>
      </c>
      <c r="S43" s="2929">
        <v>70</v>
      </c>
      <c r="T43" s="2931">
        <v>100</v>
      </c>
      <c r="U43" s="373">
        <v>160</v>
      </c>
      <c r="V43" s="2926" t="s">
        <v>3374</v>
      </c>
      <c r="W43" s="2926" t="s">
        <v>3375</v>
      </c>
      <c r="X43" s="2926" t="s">
        <v>3376</v>
      </c>
      <c r="Y43" s="2926" t="s">
        <v>3377</v>
      </c>
      <c r="Z43" s="2926" t="s">
        <v>3378</v>
      </c>
      <c r="AA43" s="371"/>
    </row>
    <row r="44" spans="1:27" ht="12.75" customHeight="1" x14ac:dyDescent="0.2">
      <c r="A44" s="6418"/>
      <c r="B44" s="251" t="str">
        <f t="shared" si="0"/>
        <v>Luz96</v>
      </c>
      <c r="D44" s="272" t="s">
        <v>290</v>
      </c>
      <c r="E44" s="2929" t="s">
        <v>1698</v>
      </c>
      <c r="F44" s="2929">
        <v>96</v>
      </c>
      <c r="G44" s="2930" t="s">
        <v>1381</v>
      </c>
      <c r="H44" s="2930" t="s">
        <v>1234</v>
      </c>
      <c r="I44" s="368" t="s">
        <v>1304</v>
      </c>
      <c r="J44" s="2929">
        <v>12</v>
      </c>
      <c r="K44" s="2929">
        <v>14</v>
      </c>
      <c r="L44" s="2929">
        <v>16</v>
      </c>
      <c r="M44" s="369">
        <v>18</v>
      </c>
      <c r="N44" s="2929">
        <v>200</v>
      </c>
      <c r="O44" s="2929">
        <v>400</v>
      </c>
      <c r="P44" s="2929">
        <v>600</v>
      </c>
      <c r="Q44" s="369">
        <v>800</v>
      </c>
      <c r="R44" s="2929" t="s">
        <v>1381</v>
      </c>
      <c r="S44" s="2929" t="s">
        <v>1381</v>
      </c>
      <c r="T44" s="2931" t="s">
        <v>1381</v>
      </c>
      <c r="U44" s="373" t="s">
        <v>1381</v>
      </c>
      <c r="V44" s="2926" t="s">
        <v>3379</v>
      </c>
      <c r="W44" s="2926" t="s">
        <v>3380</v>
      </c>
      <c r="X44" s="2926" t="s">
        <v>3381</v>
      </c>
      <c r="Y44" s="2926" t="s">
        <v>3369</v>
      </c>
      <c r="Z44" s="2927" t="s">
        <v>3382</v>
      </c>
      <c r="AA44" s="371"/>
    </row>
    <row r="45" spans="1:27" ht="12.75" customHeight="1" x14ac:dyDescent="0.2">
      <c r="A45" s="6418"/>
      <c r="B45" s="251" t="str">
        <f t="shared" si="0"/>
        <v>Luz98</v>
      </c>
      <c r="D45" s="272" t="s">
        <v>291</v>
      </c>
      <c r="E45" s="2929" t="s">
        <v>1698</v>
      </c>
      <c r="F45" s="2929">
        <v>98</v>
      </c>
      <c r="G45" s="2930" t="s">
        <v>1381</v>
      </c>
      <c r="H45" s="2930" t="s">
        <v>1234</v>
      </c>
      <c r="I45" s="368" t="s">
        <v>1304</v>
      </c>
      <c r="J45" s="2929">
        <v>14</v>
      </c>
      <c r="K45" s="2929">
        <v>16</v>
      </c>
      <c r="L45" s="2929">
        <v>18</v>
      </c>
      <c r="M45" s="369">
        <v>20</v>
      </c>
      <c r="N45" s="2929">
        <v>500</v>
      </c>
      <c r="O45" s="2929">
        <v>1000</v>
      </c>
      <c r="P45" s="2929">
        <v>2000</v>
      </c>
      <c r="Q45" s="369">
        <v>5000</v>
      </c>
      <c r="R45" s="2929">
        <v>30</v>
      </c>
      <c r="S45" s="2929">
        <v>40</v>
      </c>
      <c r="T45" s="2931">
        <v>45</v>
      </c>
      <c r="U45" s="373">
        <v>50</v>
      </c>
      <c r="V45" s="2926" t="s">
        <v>3383</v>
      </c>
      <c r="W45" s="2926" t="s">
        <v>3384</v>
      </c>
      <c r="X45" s="2926" t="s">
        <v>3385</v>
      </c>
      <c r="Y45" s="2926" t="s">
        <v>3386</v>
      </c>
      <c r="Z45" s="2926" t="s">
        <v>3387</v>
      </c>
      <c r="AA45" s="371"/>
    </row>
    <row r="46" spans="1:27" ht="12.75" customHeight="1" x14ac:dyDescent="0.2">
      <c r="A46" s="6418"/>
      <c r="B46" s="251" t="str">
        <f t="shared" si="0"/>
        <v>Luz100</v>
      </c>
      <c r="D46" s="272" t="s">
        <v>292</v>
      </c>
      <c r="E46" s="2929" t="s">
        <v>1698</v>
      </c>
      <c r="F46" s="2929">
        <v>100</v>
      </c>
      <c r="G46" s="2930" t="s">
        <v>1381</v>
      </c>
      <c r="H46" s="2930" t="s">
        <v>1232</v>
      </c>
      <c r="I46" s="368" t="s">
        <v>1304</v>
      </c>
      <c r="J46" s="2929">
        <v>14</v>
      </c>
      <c r="K46" s="2929">
        <v>16</v>
      </c>
      <c r="L46" s="2929">
        <v>18</v>
      </c>
      <c r="M46" s="369">
        <v>20</v>
      </c>
      <c r="N46" s="2929">
        <v>600</v>
      </c>
      <c r="O46" s="2929">
        <v>1000</v>
      </c>
      <c r="P46" s="2929">
        <v>2500</v>
      </c>
      <c r="Q46" s="369">
        <v>10000</v>
      </c>
      <c r="R46" s="2929" t="s">
        <v>1381</v>
      </c>
      <c r="S46" s="2929" t="s">
        <v>1381</v>
      </c>
      <c r="T46" s="2931" t="s">
        <v>1381</v>
      </c>
      <c r="U46" s="373" t="s">
        <v>1381</v>
      </c>
      <c r="V46" s="2926" t="s">
        <v>3388</v>
      </c>
      <c r="W46" s="2926" t="s">
        <v>3389</v>
      </c>
      <c r="X46" s="2926" t="s">
        <v>3390</v>
      </c>
      <c r="Y46" s="2926" t="s">
        <v>3391</v>
      </c>
      <c r="Z46" s="2926" t="s">
        <v>3392</v>
      </c>
      <c r="AA46" s="371"/>
    </row>
    <row r="47" spans="1:27" ht="12.75" customHeight="1" x14ac:dyDescent="0.2">
      <c r="A47" s="6418"/>
      <c r="B47" s="251" t="str">
        <f t="shared" si="0"/>
        <v/>
      </c>
      <c r="D47" s="272" t="s">
        <v>293</v>
      </c>
      <c r="E47" s="2929"/>
      <c r="F47" s="2929"/>
      <c r="G47" s="2930"/>
      <c r="H47" s="2930"/>
      <c r="I47" s="368"/>
      <c r="J47" s="2929"/>
      <c r="K47" s="2929"/>
      <c r="L47" s="2929"/>
      <c r="M47" s="369"/>
      <c r="N47" s="2929"/>
      <c r="O47" s="2929"/>
      <c r="P47" s="2929"/>
      <c r="Q47" s="369"/>
      <c r="R47" s="2929"/>
      <c r="S47" s="2929"/>
      <c r="T47" s="2931"/>
      <c r="U47" s="373"/>
      <c r="V47" s="2926"/>
      <c r="W47" s="2926"/>
      <c r="X47" s="2926"/>
      <c r="Y47" s="2926"/>
      <c r="Z47" s="2926"/>
      <c r="AA47" s="371"/>
    </row>
    <row r="48" spans="1:27" ht="12.75" customHeight="1" x14ac:dyDescent="0.2">
      <c r="A48" s="6418"/>
      <c r="B48" s="251" t="str">
        <f t="shared" si="0"/>
        <v>Oscuridad2</v>
      </c>
      <c r="D48" s="272" t="s">
        <v>294</v>
      </c>
      <c r="E48" s="2929" t="s">
        <v>1699</v>
      </c>
      <c r="F48" s="2929">
        <v>2</v>
      </c>
      <c r="G48" s="2930" t="s">
        <v>2087</v>
      </c>
      <c r="H48" s="2930" t="s">
        <v>1234</v>
      </c>
      <c r="I48" s="368" t="s">
        <v>1304</v>
      </c>
      <c r="J48" s="2929">
        <v>5</v>
      </c>
      <c r="K48" s="2929">
        <v>8</v>
      </c>
      <c r="L48" s="2929">
        <v>10</v>
      </c>
      <c r="M48" s="369">
        <v>12</v>
      </c>
      <c r="N48" s="2929">
        <v>20</v>
      </c>
      <c r="O48" s="2929">
        <v>50</v>
      </c>
      <c r="P48" s="2929">
        <v>100</v>
      </c>
      <c r="Q48" s="369">
        <v>200</v>
      </c>
      <c r="R48" s="2929">
        <v>5</v>
      </c>
      <c r="S48" s="2929">
        <v>5</v>
      </c>
      <c r="T48" s="2931">
        <v>10</v>
      </c>
      <c r="U48" s="373">
        <v>15</v>
      </c>
      <c r="V48" s="2926" t="s">
        <v>3393</v>
      </c>
      <c r="W48" s="2926" t="s">
        <v>3394</v>
      </c>
      <c r="X48" s="2926" t="s">
        <v>3395</v>
      </c>
      <c r="Y48" s="2926" t="s">
        <v>3396</v>
      </c>
      <c r="Z48" s="2926" t="s">
        <v>3397</v>
      </c>
      <c r="AA48" s="371"/>
    </row>
    <row r="49" spans="1:27" ht="12.75" customHeight="1" x14ac:dyDescent="0.2">
      <c r="A49" s="6418"/>
      <c r="B49" s="251" t="str">
        <f t="shared" si="0"/>
        <v>Oscuridad6</v>
      </c>
      <c r="D49" s="272" t="s">
        <v>9702</v>
      </c>
      <c r="E49" s="2929" t="s">
        <v>1699</v>
      </c>
      <c r="F49" s="2929">
        <v>6</v>
      </c>
      <c r="G49" s="2930" t="s">
        <v>1381</v>
      </c>
      <c r="H49" s="2930" t="s">
        <v>1233</v>
      </c>
      <c r="I49" s="368" t="s">
        <v>1304</v>
      </c>
      <c r="J49" s="2929">
        <v>5</v>
      </c>
      <c r="K49" s="2929">
        <v>8</v>
      </c>
      <c r="L49" s="2929">
        <v>10</v>
      </c>
      <c r="M49" s="369">
        <v>12</v>
      </c>
      <c r="N49" s="2929">
        <v>40</v>
      </c>
      <c r="O49" s="2929">
        <v>80</v>
      </c>
      <c r="P49" s="2929">
        <v>140</v>
      </c>
      <c r="Q49" s="369">
        <v>180</v>
      </c>
      <c r="R49" s="2929" t="s">
        <v>1381</v>
      </c>
      <c r="S49" s="2929" t="s">
        <v>1381</v>
      </c>
      <c r="T49" s="2931" t="s">
        <v>1381</v>
      </c>
      <c r="U49" s="373" t="s">
        <v>1381</v>
      </c>
      <c r="V49" s="2926" t="s">
        <v>3398</v>
      </c>
      <c r="W49" s="2926" t="s">
        <v>3399</v>
      </c>
      <c r="X49" s="2926" t="s">
        <v>3400</v>
      </c>
      <c r="Y49" s="2926" t="s">
        <v>3401</v>
      </c>
      <c r="Z49" s="2926" t="s">
        <v>3402</v>
      </c>
      <c r="AA49" s="371"/>
    </row>
    <row r="50" spans="1:27" ht="12.75" customHeight="1" x14ac:dyDescent="0.2">
      <c r="A50" s="6418"/>
      <c r="B50" s="251" t="str">
        <f t="shared" si="0"/>
        <v>Oscuridad8</v>
      </c>
      <c r="D50" s="272" t="s">
        <v>9703</v>
      </c>
      <c r="E50" s="2929" t="s">
        <v>1699</v>
      </c>
      <c r="F50" s="2929">
        <v>8</v>
      </c>
      <c r="G50" s="2930" t="s">
        <v>2087</v>
      </c>
      <c r="H50" s="2930" t="s">
        <v>1233</v>
      </c>
      <c r="I50" s="368" t="s">
        <v>1304</v>
      </c>
      <c r="J50" s="2929">
        <v>5</v>
      </c>
      <c r="K50" s="2929">
        <v>8</v>
      </c>
      <c r="L50" s="2929">
        <v>10</v>
      </c>
      <c r="M50" s="369">
        <v>12</v>
      </c>
      <c r="N50" s="2929">
        <v>40</v>
      </c>
      <c r="O50" s="2929">
        <v>80</v>
      </c>
      <c r="P50" s="2929">
        <v>100</v>
      </c>
      <c r="Q50" s="369">
        <v>120</v>
      </c>
      <c r="R50" s="2929">
        <v>5</v>
      </c>
      <c r="S50" s="2929">
        <v>10</v>
      </c>
      <c r="T50" s="2931">
        <v>10</v>
      </c>
      <c r="U50" s="373">
        <v>15</v>
      </c>
      <c r="V50" s="2926" t="s">
        <v>3403</v>
      </c>
      <c r="W50" s="2926" t="s">
        <v>3404</v>
      </c>
      <c r="X50" s="2926" t="s">
        <v>3405</v>
      </c>
      <c r="Y50" s="2926" t="s">
        <v>3406</v>
      </c>
      <c r="Z50" s="2926" t="s">
        <v>3407</v>
      </c>
      <c r="AA50" s="371"/>
    </row>
    <row r="51" spans="1:27" ht="12.75" customHeight="1" x14ac:dyDescent="0.2">
      <c r="A51" s="6418"/>
      <c r="B51" s="251" t="str">
        <f t="shared" si="0"/>
        <v>Oscuridad10</v>
      </c>
      <c r="D51" s="272" t="s">
        <v>9704</v>
      </c>
      <c r="E51" s="2929" t="s">
        <v>1699</v>
      </c>
      <c r="F51" s="2929">
        <v>10</v>
      </c>
      <c r="G51" s="2930" t="s">
        <v>1381</v>
      </c>
      <c r="H51" s="2930" t="s">
        <v>1564</v>
      </c>
      <c r="I51" s="368" t="s">
        <v>1305</v>
      </c>
      <c r="J51" s="2929">
        <v>6</v>
      </c>
      <c r="K51" s="2929">
        <v>8</v>
      </c>
      <c r="L51" s="2929">
        <v>10</v>
      </c>
      <c r="M51" s="369">
        <v>14</v>
      </c>
      <c r="N51" s="2929">
        <v>50</v>
      </c>
      <c r="O51" s="2929">
        <v>120</v>
      </c>
      <c r="P51" s="2929">
        <v>180</v>
      </c>
      <c r="Q51" s="369">
        <v>250</v>
      </c>
      <c r="R51" s="2929">
        <v>5</v>
      </c>
      <c r="S51" s="2929">
        <v>15</v>
      </c>
      <c r="T51" s="2931">
        <v>20</v>
      </c>
      <c r="U51" s="373">
        <v>25</v>
      </c>
      <c r="V51" s="2926" t="s">
        <v>3215</v>
      </c>
      <c r="W51" s="2926" t="s">
        <v>3216</v>
      </c>
      <c r="X51" s="2926" t="s">
        <v>3217</v>
      </c>
      <c r="Y51" s="2926" t="s">
        <v>3218</v>
      </c>
      <c r="Z51" s="2926" t="s">
        <v>3408</v>
      </c>
      <c r="AA51" s="371"/>
    </row>
    <row r="52" spans="1:27" ht="12.75" customHeight="1" x14ac:dyDescent="0.2">
      <c r="A52" s="6418"/>
      <c r="B52" s="251" t="str">
        <f t="shared" si="0"/>
        <v>Oscuridad12</v>
      </c>
      <c r="D52" s="272" t="s">
        <v>2059</v>
      </c>
      <c r="E52" s="2929" t="s">
        <v>1699</v>
      </c>
      <c r="F52" s="2929">
        <v>12</v>
      </c>
      <c r="G52" s="2930" t="s">
        <v>1381</v>
      </c>
      <c r="H52" s="2930" t="s">
        <v>1234</v>
      </c>
      <c r="I52" s="368" t="s">
        <v>1305</v>
      </c>
      <c r="J52" s="2929">
        <v>5</v>
      </c>
      <c r="K52" s="2929">
        <v>9</v>
      </c>
      <c r="L52" s="2929">
        <v>12</v>
      </c>
      <c r="M52" s="369">
        <v>14</v>
      </c>
      <c r="N52" s="2929">
        <v>50</v>
      </c>
      <c r="O52" s="2929">
        <v>150</v>
      </c>
      <c r="P52" s="2929">
        <v>200</v>
      </c>
      <c r="Q52" s="369">
        <v>240</v>
      </c>
      <c r="R52" s="2929">
        <v>5</v>
      </c>
      <c r="S52" s="2929">
        <v>15</v>
      </c>
      <c r="T52" s="2931">
        <v>20</v>
      </c>
      <c r="U52" s="373">
        <v>25</v>
      </c>
      <c r="V52" s="2926" t="s">
        <v>3409</v>
      </c>
      <c r="W52" s="2926" t="s">
        <v>3410</v>
      </c>
      <c r="X52" s="2926" t="s">
        <v>3411</v>
      </c>
      <c r="Y52" s="2926" t="s">
        <v>3412</v>
      </c>
      <c r="Z52" s="2926" t="s">
        <v>3413</v>
      </c>
      <c r="AA52" s="371"/>
    </row>
    <row r="53" spans="1:27" ht="12.75" customHeight="1" x14ac:dyDescent="0.2">
      <c r="A53" s="6418"/>
      <c r="B53" s="251" t="str">
        <f t="shared" si="0"/>
        <v>Oscuridad16</v>
      </c>
      <c r="D53" s="272" t="s">
        <v>9705</v>
      </c>
      <c r="E53" s="2929" t="s">
        <v>1699</v>
      </c>
      <c r="F53" s="2929">
        <v>16</v>
      </c>
      <c r="G53" s="2930" t="s">
        <v>1381</v>
      </c>
      <c r="H53" s="2930" t="s">
        <v>1234</v>
      </c>
      <c r="I53" s="368" t="s">
        <v>1304</v>
      </c>
      <c r="J53" s="2929">
        <v>6</v>
      </c>
      <c r="K53" s="2929">
        <v>9</v>
      </c>
      <c r="L53" s="2929">
        <v>12</v>
      </c>
      <c r="M53" s="369">
        <v>15</v>
      </c>
      <c r="N53" s="2929">
        <v>60</v>
      </c>
      <c r="O53" s="2929">
        <v>90</v>
      </c>
      <c r="P53" s="2929">
        <v>120</v>
      </c>
      <c r="Q53" s="369">
        <v>150</v>
      </c>
      <c r="R53" s="2929">
        <v>5</v>
      </c>
      <c r="S53" s="2929">
        <v>10</v>
      </c>
      <c r="T53" s="2931">
        <v>15</v>
      </c>
      <c r="U53" s="373">
        <v>20</v>
      </c>
      <c r="V53" s="2926" t="s">
        <v>3225</v>
      </c>
      <c r="W53" s="2926" t="s">
        <v>3226</v>
      </c>
      <c r="X53" s="2926" t="s">
        <v>3414</v>
      </c>
      <c r="Y53" s="2926" t="s">
        <v>3415</v>
      </c>
      <c r="Z53" s="2926" t="s">
        <v>3416</v>
      </c>
      <c r="AA53" s="371"/>
    </row>
    <row r="54" spans="1:27" ht="12.75" customHeight="1" x14ac:dyDescent="0.2">
      <c r="A54" s="6418"/>
      <c r="B54" s="251" t="str">
        <f t="shared" si="0"/>
        <v>Oscuridad18</v>
      </c>
      <c r="D54" s="272" t="s">
        <v>9706</v>
      </c>
      <c r="E54" s="2929" t="s">
        <v>1699</v>
      </c>
      <c r="F54" s="2929">
        <v>18</v>
      </c>
      <c r="G54" s="2930" t="s">
        <v>1381</v>
      </c>
      <c r="H54" s="2930" t="s">
        <v>3417</v>
      </c>
      <c r="I54" s="368" t="s">
        <v>1304</v>
      </c>
      <c r="J54" s="2929">
        <v>6</v>
      </c>
      <c r="K54" s="2929">
        <v>9</v>
      </c>
      <c r="L54" s="2929">
        <v>12</v>
      </c>
      <c r="M54" s="369">
        <v>15</v>
      </c>
      <c r="N54" s="2929">
        <v>60</v>
      </c>
      <c r="O54" s="2929">
        <v>100</v>
      </c>
      <c r="P54" s="2929">
        <v>150</v>
      </c>
      <c r="Q54" s="369">
        <v>250</v>
      </c>
      <c r="R54" s="2929">
        <v>10</v>
      </c>
      <c r="S54" s="2929">
        <v>10</v>
      </c>
      <c r="T54" s="2931">
        <v>15</v>
      </c>
      <c r="U54" s="373">
        <v>15</v>
      </c>
      <c r="V54" s="2926" t="s">
        <v>3230</v>
      </c>
      <c r="W54" s="2926" t="s">
        <v>3418</v>
      </c>
      <c r="X54" s="2926" t="s">
        <v>3419</v>
      </c>
      <c r="Y54" s="2926" t="s">
        <v>3233</v>
      </c>
      <c r="Z54" s="2926" t="s">
        <v>3420</v>
      </c>
      <c r="AA54" s="371"/>
    </row>
    <row r="55" spans="1:27" ht="12.75" customHeight="1" x14ac:dyDescent="0.2">
      <c r="A55" s="6418"/>
      <c r="B55" s="251" t="str">
        <f t="shared" si="0"/>
        <v>Oscuridad20</v>
      </c>
      <c r="D55" s="272" t="s">
        <v>9707</v>
      </c>
      <c r="E55" s="2929" t="s">
        <v>1699</v>
      </c>
      <c r="F55" s="2929">
        <v>20</v>
      </c>
      <c r="G55" s="2930" t="s">
        <v>2087</v>
      </c>
      <c r="H55" s="2930" t="s">
        <v>1234</v>
      </c>
      <c r="I55" s="368" t="s">
        <v>1305</v>
      </c>
      <c r="J55" s="2929">
        <v>6</v>
      </c>
      <c r="K55" s="2929">
        <v>9</v>
      </c>
      <c r="L55" s="2929">
        <v>12</v>
      </c>
      <c r="M55" s="369">
        <v>15</v>
      </c>
      <c r="N55" s="2929">
        <v>50</v>
      </c>
      <c r="O55" s="2929">
        <v>180</v>
      </c>
      <c r="P55" s="2929">
        <v>240</v>
      </c>
      <c r="Q55" s="369">
        <v>300</v>
      </c>
      <c r="R55" s="2929">
        <v>5</v>
      </c>
      <c r="S55" s="2929">
        <v>20</v>
      </c>
      <c r="T55" s="2931">
        <v>25</v>
      </c>
      <c r="U55" s="373">
        <v>30</v>
      </c>
      <c r="V55" s="2926" t="s">
        <v>3421</v>
      </c>
      <c r="W55" s="2926" t="s">
        <v>3422</v>
      </c>
      <c r="X55" s="2926" t="s">
        <v>3423</v>
      </c>
      <c r="Y55" s="2926" t="s">
        <v>3424</v>
      </c>
      <c r="Z55" s="2926" t="s">
        <v>3425</v>
      </c>
      <c r="AA55" s="371"/>
    </row>
    <row r="56" spans="1:27" ht="12.75" customHeight="1" x14ac:dyDescent="0.2">
      <c r="A56" s="6418"/>
      <c r="B56" s="251" t="str">
        <f t="shared" si="0"/>
        <v>Oscuridad22</v>
      </c>
      <c r="D56" s="272" t="s">
        <v>9708</v>
      </c>
      <c r="E56" s="2929" t="s">
        <v>1699</v>
      </c>
      <c r="F56" s="2929">
        <v>22</v>
      </c>
      <c r="G56" s="2930" t="s">
        <v>1381</v>
      </c>
      <c r="H56" s="2930" t="s">
        <v>1232</v>
      </c>
      <c r="I56" s="368" t="s">
        <v>1304</v>
      </c>
      <c r="J56" s="2929">
        <v>6</v>
      </c>
      <c r="K56" s="2929">
        <v>9</v>
      </c>
      <c r="L56" s="2929">
        <v>12</v>
      </c>
      <c r="M56" s="369">
        <v>15</v>
      </c>
      <c r="N56" s="2929">
        <v>50</v>
      </c>
      <c r="O56" s="2929">
        <v>90</v>
      </c>
      <c r="P56" s="2929">
        <v>120</v>
      </c>
      <c r="Q56" s="369">
        <v>150</v>
      </c>
      <c r="R56" s="2929" t="s">
        <v>1381</v>
      </c>
      <c r="S56" s="2929" t="s">
        <v>1381</v>
      </c>
      <c r="T56" s="2931" t="s">
        <v>1381</v>
      </c>
      <c r="U56" s="373" t="s">
        <v>1381</v>
      </c>
      <c r="V56" s="2926" t="s">
        <v>3240</v>
      </c>
      <c r="W56" s="2926" t="s">
        <v>3241</v>
      </c>
      <c r="X56" s="2926" t="s">
        <v>3426</v>
      </c>
      <c r="Y56" s="2926" t="s">
        <v>3427</v>
      </c>
      <c r="Z56" s="2926" t="s">
        <v>3428</v>
      </c>
      <c r="AA56" s="371"/>
    </row>
    <row r="57" spans="1:27" ht="12.75" customHeight="1" x14ac:dyDescent="0.2">
      <c r="A57" s="6418"/>
      <c r="B57" s="251" t="str">
        <f t="shared" si="0"/>
        <v>Oscuridad26</v>
      </c>
      <c r="D57" s="272" t="s">
        <v>9709</v>
      </c>
      <c r="E57" s="2929" t="s">
        <v>1699</v>
      </c>
      <c r="F57" s="2929">
        <v>26</v>
      </c>
      <c r="G57" s="2930" t="s">
        <v>1381</v>
      </c>
      <c r="H57" s="2930" t="s">
        <v>1234</v>
      </c>
      <c r="I57" s="368" t="s">
        <v>1304</v>
      </c>
      <c r="J57" s="2929">
        <v>6</v>
      </c>
      <c r="K57" s="2929">
        <v>9</v>
      </c>
      <c r="L57" s="2929">
        <v>12</v>
      </c>
      <c r="M57" s="369">
        <v>15</v>
      </c>
      <c r="N57" s="2929">
        <v>60</v>
      </c>
      <c r="O57" s="2929">
        <v>180</v>
      </c>
      <c r="P57" s="2929">
        <v>240</v>
      </c>
      <c r="Q57" s="369">
        <v>300</v>
      </c>
      <c r="R57" s="2929">
        <v>5</v>
      </c>
      <c r="S57" s="2929">
        <v>10</v>
      </c>
      <c r="T57" s="2931">
        <v>15</v>
      </c>
      <c r="U57" s="373">
        <v>15</v>
      </c>
      <c r="V57" s="2926" t="s">
        <v>3429</v>
      </c>
      <c r="W57" s="2926" t="s">
        <v>3430</v>
      </c>
      <c r="X57" s="2926" t="s">
        <v>3431</v>
      </c>
      <c r="Y57" s="2926" t="s">
        <v>3432</v>
      </c>
      <c r="Z57" s="2926" t="s">
        <v>3433</v>
      </c>
      <c r="AA57" s="371"/>
    </row>
    <row r="58" spans="1:27" ht="12.75" customHeight="1" x14ac:dyDescent="0.2">
      <c r="A58" s="6418"/>
      <c r="B58" s="251" t="str">
        <f t="shared" si="0"/>
        <v>Oscuridad28</v>
      </c>
      <c r="D58" s="272" t="s">
        <v>9710</v>
      </c>
      <c r="E58" s="2929" t="s">
        <v>1699</v>
      </c>
      <c r="F58" s="2929">
        <v>28</v>
      </c>
      <c r="G58" s="2930" t="s">
        <v>1381</v>
      </c>
      <c r="H58" s="2930" t="s">
        <v>1232</v>
      </c>
      <c r="I58" s="368" t="s">
        <v>1304</v>
      </c>
      <c r="J58" s="2929">
        <v>6</v>
      </c>
      <c r="K58" s="2929">
        <v>9</v>
      </c>
      <c r="L58" s="2929">
        <v>12</v>
      </c>
      <c r="M58" s="369">
        <v>15</v>
      </c>
      <c r="N58" s="2929">
        <v>60</v>
      </c>
      <c r="O58" s="2929">
        <v>100</v>
      </c>
      <c r="P58" s="2929">
        <v>140</v>
      </c>
      <c r="Q58" s="369">
        <v>180</v>
      </c>
      <c r="R58" s="2929">
        <v>10</v>
      </c>
      <c r="S58" s="2929">
        <v>10</v>
      </c>
      <c r="T58" s="2931">
        <v>15</v>
      </c>
      <c r="U58" s="373">
        <v>15</v>
      </c>
      <c r="V58" s="2926" t="s">
        <v>3250</v>
      </c>
      <c r="W58" s="2926" t="s">
        <v>3251</v>
      </c>
      <c r="X58" s="2926" t="s">
        <v>3252</v>
      </c>
      <c r="Y58" s="2926" t="s">
        <v>3253</v>
      </c>
      <c r="Z58" s="2926" t="s">
        <v>10242</v>
      </c>
      <c r="AA58" s="371"/>
    </row>
    <row r="59" spans="1:27" ht="12.75" customHeight="1" x14ac:dyDescent="0.2">
      <c r="A59" s="6418"/>
      <c r="B59" s="251" t="str">
        <f t="shared" si="0"/>
        <v>Oscuridad30</v>
      </c>
      <c r="D59" s="272" t="s">
        <v>9711</v>
      </c>
      <c r="E59" s="2929" t="s">
        <v>1699</v>
      </c>
      <c r="F59" s="2929">
        <v>30</v>
      </c>
      <c r="G59" s="2930" t="s">
        <v>1381</v>
      </c>
      <c r="H59" s="2930" t="s">
        <v>3417</v>
      </c>
      <c r="I59" s="368" t="s">
        <v>1304</v>
      </c>
      <c r="J59" s="2929">
        <v>6</v>
      </c>
      <c r="K59" s="2929">
        <v>9</v>
      </c>
      <c r="L59" s="2929">
        <v>12</v>
      </c>
      <c r="M59" s="369">
        <v>16</v>
      </c>
      <c r="N59" s="2929">
        <v>50</v>
      </c>
      <c r="O59" s="2929">
        <v>150</v>
      </c>
      <c r="P59" s="2929">
        <v>250</v>
      </c>
      <c r="Q59" s="369">
        <v>350</v>
      </c>
      <c r="R59" s="2929">
        <v>5</v>
      </c>
      <c r="S59" s="2929">
        <v>20</v>
      </c>
      <c r="T59" s="2931">
        <v>25</v>
      </c>
      <c r="U59" s="373">
        <v>30</v>
      </c>
      <c r="V59" s="2926" t="s">
        <v>3255</v>
      </c>
      <c r="W59" s="2926" t="s">
        <v>3256</v>
      </c>
      <c r="X59" s="2926" t="s">
        <v>3434</v>
      </c>
      <c r="Y59" s="2926" t="s">
        <v>3258</v>
      </c>
      <c r="Z59" s="2926" t="s">
        <v>3435</v>
      </c>
      <c r="AA59" s="371"/>
    </row>
    <row r="60" spans="1:27" ht="12.75" customHeight="1" x14ac:dyDescent="0.2">
      <c r="A60" s="6418"/>
      <c r="B60" s="251" t="str">
        <f t="shared" si="0"/>
        <v>Oscuridad32</v>
      </c>
      <c r="D60" s="272" t="s">
        <v>9712</v>
      </c>
      <c r="E60" s="2929" t="s">
        <v>1699</v>
      </c>
      <c r="F60" s="2929">
        <v>32</v>
      </c>
      <c r="G60" s="2930" t="s">
        <v>2087</v>
      </c>
      <c r="H60" s="2930" t="s">
        <v>1234</v>
      </c>
      <c r="I60" s="368" t="s">
        <v>1305</v>
      </c>
      <c r="J60" s="2929">
        <v>6</v>
      </c>
      <c r="K60" s="2929">
        <v>9</v>
      </c>
      <c r="L60" s="2929">
        <v>12</v>
      </c>
      <c r="M60" s="369">
        <v>15</v>
      </c>
      <c r="N60" s="2929">
        <v>60</v>
      </c>
      <c r="O60" s="2929">
        <v>180</v>
      </c>
      <c r="P60" s="2929">
        <v>240</v>
      </c>
      <c r="Q60" s="369">
        <v>300</v>
      </c>
      <c r="R60" s="2929">
        <v>10</v>
      </c>
      <c r="S60" s="2929">
        <v>20</v>
      </c>
      <c r="T60" s="2931">
        <v>25</v>
      </c>
      <c r="U60" s="373">
        <v>30</v>
      </c>
      <c r="V60" s="2926" t="s">
        <v>3436</v>
      </c>
      <c r="W60" s="2926" t="s">
        <v>3437</v>
      </c>
      <c r="X60" s="2926" t="s">
        <v>3438</v>
      </c>
      <c r="Y60" s="2926" t="s">
        <v>3439</v>
      </c>
      <c r="Z60" s="2926" t="s">
        <v>3440</v>
      </c>
      <c r="AA60" s="371"/>
    </row>
    <row r="61" spans="1:27" ht="12.75" customHeight="1" x14ac:dyDescent="0.2">
      <c r="A61" s="6418"/>
      <c r="B61" s="251" t="str">
        <f t="shared" si="0"/>
        <v>Oscuridad36</v>
      </c>
      <c r="D61" s="272" t="s">
        <v>295</v>
      </c>
      <c r="E61" s="2929" t="s">
        <v>1699</v>
      </c>
      <c r="F61" s="2929">
        <v>36</v>
      </c>
      <c r="G61" s="2930" t="s">
        <v>2087</v>
      </c>
      <c r="H61" s="2930" t="s">
        <v>1234</v>
      </c>
      <c r="I61" s="368" t="s">
        <v>1304</v>
      </c>
      <c r="J61" s="2929">
        <v>6</v>
      </c>
      <c r="K61" s="2929">
        <v>9</v>
      </c>
      <c r="L61" s="2929">
        <v>12</v>
      </c>
      <c r="M61" s="369">
        <v>15</v>
      </c>
      <c r="N61" s="2929">
        <v>100</v>
      </c>
      <c r="O61" s="2929">
        <v>180</v>
      </c>
      <c r="P61" s="2929">
        <v>240</v>
      </c>
      <c r="Q61" s="369">
        <v>300</v>
      </c>
      <c r="R61" s="2929">
        <v>20</v>
      </c>
      <c r="S61" s="2929">
        <v>40</v>
      </c>
      <c r="T61" s="2931">
        <v>50</v>
      </c>
      <c r="U61" s="373">
        <v>60</v>
      </c>
      <c r="V61" s="2926" t="s">
        <v>3441</v>
      </c>
      <c r="W61" s="2926" t="s">
        <v>3442</v>
      </c>
      <c r="X61" s="2926" t="s">
        <v>3443</v>
      </c>
      <c r="Y61" s="2926" t="s">
        <v>3444</v>
      </c>
      <c r="Z61" s="2926" t="s">
        <v>3445</v>
      </c>
      <c r="AA61" s="371"/>
    </row>
    <row r="62" spans="1:27" ht="12.75" customHeight="1" x14ac:dyDescent="0.2">
      <c r="A62" s="6418"/>
      <c r="B62" s="251" t="str">
        <f t="shared" si="0"/>
        <v>Oscuridad38</v>
      </c>
      <c r="D62" s="272" t="s">
        <v>9713</v>
      </c>
      <c r="E62" s="2929" t="s">
        <v>1699</v>
      </c>
      <c r="F62" s="2929">
        <v>38</v>
      </c>
      <c r="G62" s="2930" t="s">
        <v>1381</v>
      </c>
      <c r="H62" s="2930" t="s">
        <v>1233</v>
      </c>
      <c r="I62" s="368" t="s">
        <v>1304</v>
      </c>
      <c r="J62" s="2929">
        <v>6</v>
      </c>
      <c r="K62" s="2929">
        <v>9</v>
      </c>
      <c r="L62" s="2929">
        <v>12</v>
      </c>
      <c r="M62" s="369">
        <v>15</v>
      </c>
      <c r="N62" s="2929">
        <v>60</v>
      </c>
      <c r="O62" s="2929">
        <v>90</v>
      </c>
      <c r="P62" s="2929">
        <v>150</v>
      </c>
      <c r="Q62" s="369">
        <v>200</v>
      </c>
      <c r="R62" s="2929">
        <v>10</v>
      </c>
      <c r="S62" s="2929">
        <v>10</v>
      </c>
      <c r="T62" s="2931">
        <v>15</v>
      </c>
      <c r="U62" s="373">
        <v>15</v>
      </c>
      <c r="V62" s="2926" t="s">
        <v>3446</v>
      </c>
      <c r="W62" s="2926" t="s">
        <v>3447</v>
      </c>
      <c r="X62" s="2926" t="s">
        <v>3448</v>
      </c>
      <c r="Y62" s="2926" t="s">
        <v>3449</v>
      </c>
      <c r="Z62" s="2926" t="s">
        <v>3450</v>
      </c>
      <c r="AA62" s="371"/>
    </row>
    <row r="63" spans="1:27" ht="12.75" customHeight="1" x14ac:dyDescent="0.2">
      <c r="A63" s="6418"/>
      <c r="B63" s="251" t="str">
        <f t="shared" si="0"/>
        <v>Oscuridad40</v>
      </c>
      <c r="D63" s="272" t="s">
        <v>9714</v>
      </c>
      <c r="E63" s="2929" t="s">
        <v>1699</v>
      </c>
      <c r="F63" s="2929">
        <v>40</v>
      </c>
      <c r="G63" s="2930" t="s">
        <v>1381</v>
      </c>
      <c r="H63" s="2930" t="s">
        <v>1233</v>
      </c>
      <c r="I63" s="368" t="s">
        <v>1304</v>
      </c>
      <c r="J63" s="2929">
        <v>6</v>
      </c>
      <c r="K63" s="2929">
        <v>9</v>
      </c>
      <c r="L63" s="2929">
        <v>12</v>
      </c>
      <c r="M63" s="369">
        <v>15</v>
      </c>
      <c r="N63" s="2929">
        <v>80</v>
      </c>
      <c r="O63" s="2929">
        <v>180</v>
      </c>
      <c r="P63" s="2929">
        <v>240</v>
      </c>
      <c r="Q63" s="369">
        <v>350</v>
      </c>
      <c r="R63" s="2929" t="s">
        <v>1381</v>
      </c>
      <c r="S63" s="2929" t="s">
        <v>1381</v>
      </c>
      <c r="T63" s="2931" t="s">
        <v>1381</v>
      </c>
      <c r="U63" s="373" t="s">
        <v>1381</v>
      </c>
      <c r="V63" s="2926" t="s">
        <v>3275</v>
      </c>
      <c r="W63" s="2926" t="s">
        <v>3276</v>
      </c>
      <c r="X63" s="2926" t="s">
        <v>3277</v>
      </c>
      <c r="Y63" s="2926" t="s">
        <v>3278</v>
      </c>
      <c r="Z63" s="2926" t="s">
        <v>3451</v>
      </c>
      <c r="AA63" s="371"/>
    </row>
    <row r="64" spans="1:27" ht="12.75" customHeight="1" x14ac:dyDescent="0.2">
      <c r="A64" s="6418"/>
      <c r="B64" s="251" t="str">
        <f t="shared" si="0"/>
        <v>Oscuridad42</v>
      </c>
      <c r="D64" s="272" t="s">
        <v>9715</v>
      </c>
      <c r="E64" s="2929" t="s">
        <v>1699</v>
      </c>
      <c r="F64" s="2929">
        <v>42</v>
      </c>
      <c r="G64" s="2930" t="s">
        <v>1381</v>
      </c>
      <c r="H64" s="2930" t="s">
        <v>1234</v>
      </c>
      <c r="I64" s="368" t="s">
        <v>1304</v>
      </c>
      <c r="J64" s="2929">
        <v>6</v>
      </c>
      <c r="K64" s="2929">
        <v>9</v>
      </c>
      <c r="L64" s="2929">
        <v>12</v>
      </c>
      <c r="M64" s="369">
        <v>15</v>
      </c>
      <c r="N64" s="2929">
        <v>80</v>
      </c>
      <c r="O64" s="2929">
        <v>180</v>
      </c>
      <c r="P64" s="2929">
        <v>240</v>
      </c>
      <c r="Q64" s="369">
        <v>300</v>
      </c>
      <c r="R64" s="2929">
        <v>10</v>
      </c>
      <c r="S64" s="2929">
        <v>20</v>
      </c>
      <c r="T64" s="2931">
        <v>25</v>
      </c>
      <c r="U64" s="373">
        <v>30</v>
      </c>
      <c r="V64" s="2926" t="s">
        <v>3452</v>
      </c>
      <c r="W64" s="2926" t="s">
        <v>3453</v>
      </c>
      <c r="X64" s="2926" t="s">
        <v>3454</v>
      </c>
      <c r="Y64" s="2926" t="s">
        <v>3455</v>
      </c>
      <c r="Z64" s="2926" t="s">
        <v>3456</v>
      </c>
      <c r="AA64" s="371"/>
    </row>
    <row r="65" spans="1:27" ht="12.75" customHeight="1" x14ac:dyDescent="0.2">
      <c r="A65" s="6418"/>
      <c r="B65" s="251" t="str">
        <f t="shared" si="0"/>
        <v>Oscuridad46</v>
      </c>
      <c r="D65" s="272" t="s">
        <v>9716</v>
      </c>
      <c r="E65" s="2929" t="s">
        <v>1699</v>
      </c>
      <c r="F65" s="2929">
        <v>46</v>
      </c>
      <c r="G65" s="2930" t="s">
        <v>1381</v>
      </c>
      <c r="H65" s="2930" t="s">
        <v>1232</v>
      </c>
      <c r="I65" s="368" t="s">
        <v>1304</v>
      </c>
      <c r="J65" s="2929">
        <v>6</v>
      </c>
      <c r="K65" s="2929">
        <v>9</v>
      </c>
      <c r="L65" s="2929">
        <v>12</v>
      </c>
      <c r="M65" s="369">
        <v>15</v>
      </c>
      <c r="N65" s="2929">
        <v>120</v>
      </c>
      <c r="O65" s="2929">
        <v>180</v>
      </c>
      <c r="P65" s="2929">
        <v>240</v>
      </c>
      <c r="Q65" s="369">
        <v>300</v>
      </c>
      <c r="R65" s="2929">
        <v>15</v>
      </c>
      <c r="S65" s="2929">
        <v>20</v>
      </c>
      <c r="T65" s="2931">
        <v>25</v>
      </c>
      <c r="U65" s="373">
        <v>30</v>
      </c>
      <c r="V65" s="2926" t="s">
        <v>3457</v>
      </c>
      <c r="W65" s="2926" t="s">
        <v>3286</v>
      </c>
      <c r="X65" s="2926" t="s">
        <v>3287</v>
      </c>
      <c r="Y65" s="2926" t="s">
        <v>3288</v>
      </c>
      <c r="Z65" s="2926" t="s">
        <v>3458</v>
      </c>
      <c r="AA65" s="371"/>
    </row>
    <row r="66" spans="1:27" ht="12.75" customHeight="1" x14ac:dyDescent="0.2">
      <c r="A66" s="6418"/>
      <c r="B66" s="251" t="str">
        <f t="shared" si="0"/>
        <v>Oscuridad48</v>
      </c>
      <c r="D66" s="272" t="s">
        <v>9718</v>
      </c>
      <c r="E66" s="2929" t="s">
        <v>1699</v>
      </c>
      <c r="F66" s="2929">
        <v>48</v>
      </c>
      <c r="G66" s="2930" t="s">
        <v>2087</v>
      </c>
      <c r="H66" s="2930" t="s">
        <v>1236</v>
      </c>
      <c r="I66" s="368" t="s">
        <v>1304</v>
      </c>
      <c r="J66" s="2929">
        <v>6</v>
      </c>
      <c r="K66" s="2929">
        <v>9</v>
      </c>
      <c r="L66" s="2929">
        <v>12</v>
      </c>
      <c r="M66" s="369">
        <v>15</v>
      </c>
      <c r="N66" s="2929">
        <v>140</v>
      </c>
      <c r="O66" s="2929">
        <v>180</v>
      </c>
      <c r="P66" s="2929">
        <v>240</v>
      </c>
      <c r="Q66" s="369">
        <v>300</v>
      </c>
      <c r="R66" s="2929">
        <v>10</v>
      </c>
      <c r="S66" s="2929">
        <v>10</v>
      </c>
      <c r="T66" s="2931">
        <v>15</v>
      </c>
      <c r="U66" s="373">
        <v>15</v>
      </c>
      <c r="V66" s="2926" t="s">
        <v>3459</v>
      </c>
      <c r="W66" s="2926" t="s">
        <v>10047</v>
      </c>
      <c r="X66" s="2926" t="s">
        <v>3460</v>
      </c>
      <c r="Y66" s="2926" t="s">
        <v>3461</v>
      </c>
      <c r="Z66" s="2926" t="s">
        <v>3462</v>
      </c>
      <c r="AA66" s="371"/>
    </row>
    <row r="67" spans="1:27" ht="12.75" customHeight="1" x14ac:dyDescent="0.2">
      <c r="A67" s="6418"/>
      <c r="B67" s="251" t="str">
        <f t="shared" si="0"/>
        <v>Oscuridad50</v>
      </c>
      <c r="D67" s="272" t="s">
        <v>9717</v>
      </c>
      <c r="E67" s="2929" t="s">
        <v>1699</v>
      </c>
      <c r="F67" s="2929">
        <v>50</v>
      </c>
      <c r="G67" s="2930" t="s">
        <v>2087</v>
      </c>
      <c r="H67" s="2930" t="s">
        <v>1233</v>
      </c>
      <c r="I67" s="368" t="s">
        <v>1304</v>
      </c>
      <c r="J67" s="2929">
        <v>6</v>
      </c>
      <c r="K67" s="2929">
        <v>9</v>
      </c>
      <c r="L67" s="2929">
        <v>12</v>
      </c>
      <c r="M67" s="369">
        <v>15</v>
      </c>
      <c r="N67" s="2929">
        <v>120</v>
      </c>
      <c r="O67" s="2929">
        <v>180</v>
      </c>
      <c r="P67" s="2929">
        <v>240</v>
      </c>
      <c r="Q67" s="369">
        <v>300</v>
      </c>
      <c r="R67" s="2929">
        <v>10</v>
      </c>
      <c r="S67" s="2929">
        <v>10</v>
      </c>
      <c r="T67" s="2931">
        <v>15</v>
      </c>
      <c r="U67" s="373">
        <v>15</v>
      </c>
      <c r="V67" s="2926" t="s">
        <v>3295</v>
      </c>
      <c r="W67" s="2926" t="s">
        <v>3296</v>
      </c>
      <c r="X67" s="2926" t="s">
        <v>3297</v>
      </c>
      <c r="Y67" s="2926" t="s">
        <v>3298</v>
      </c>
      <c r="Z67" s="2926" t="s">
        <v>7055</v>
      </c>
      <c r="AA67" s="371"/>
    </row>
    <row r="68" spans="1:27" ht="12.75" customHeight="1" x14ac:dyDescent="0.2">
      <c r="A68" s="6418"/>
      <c r="B68" s="251" t="str">
        <f t="shared" si="0"/>
        <v>Oscuridad52</v>
      </c>
      <c r="D68" s="272" t="s">
        <v>9719</v>
      </c>
      <c r="E68" s="2929" t="s">
        <v>1699</v>
      </c>
      <c r="F68" s="2929">
        <v>52</v>
      </c>
      <c r="G68" s="2930" t="s">
        <v>1381</v>
      </c>
      <c r="H68" s="2930" t="s">
        <v>1234</v>
      </c>
      <c r="I68" s="368" t="s">
        <v>1304</v>
      </c>
      <c r="J68" s="2929">
        <v>8</v>
      </c>
      <c r="K68" s="2929">
        <v>11</v>
      </c>
      <c r="L68" s="2929">
        <v>13</v>
      </c>
      <c r="M68" s="369">
        <v>16</v>
      </c>
      <c r="N68" s="2929">
        <v>100</v>
      </c>
      <c r="O68" s="2929">
        <v>120</v>
      </c>
      <c r="P68" s="2929">
        <v>140</v>
      </c>
      <c r="Q68" s="369">
        <v>160</v>
      </c>
      <c r="R68" s="2929">
        <v>10</v>
      </c>
      <c r="S68" s="2929">
        <v>15</v>
      </c>
      <c r="T68" s="2931">
        <v>15</v>
      </c>
      <c r="U68" s="373">
        <v>20</v>
      </c>
      <c r="V68" s="2932" t="s">
        <v>10311</v>
      </c>
      <c r="W68" s="2932" t="s">
        <v>10312</v>
      </c>
      <c r="X68" s="2926" t="s">
        <v>3463</v>
      </c>
      <c r="Y68" s="2926" t="s">
        <v>3464</v>
      </c>
      <c r="Z68" s="2926" t="s">
        <v>3465</v>
      </c>
      <c r="AA68" s="371"/>
    </row>
    <row r="69" spans="1:27" ht="12.75" customHeight="1" x14ac:dyDescent="0.2">
      <c r="A69" s="6418"/>
      <c r="B69" s="251" t="str">
        <f t="shared" si="0"/>
        <v>Oscuridad56</v>
      </c>
      <c r="D69" s="272" t="s">
        <v>9720</v>
      </c>
      <c r="E69" s="2929" t="s">
        <v>1699</v>
      </c>
      <c r="F69" s="2929">
        <v>56</v>
      </c>
      <c r="G69" s="2930" t="s">
        <v>1381</v>
      </c>
      <c r="H69" s="2930" t="s">
        <v>1235</v>
      </c>
      <c r="I69" s="368" t="s">
        <v>1304</v>
      </c>
      <c r="J69" s="2929">
        <v>6</v>
      </c>
      <c r="K69" s="2929">
        <v>9</v>
      </c>
      <c r="L69" s="2929">
        <v>12</v>
      </c>
      <c r="M69" s="369">
        <v>15</v>
      </c>
      <c r="N69" s="2929">
        <v>100</v>
      </c>
      <c r="O69" s="2929">
        <v>180</v>
      </c>
      <c r="P69" s="2929">
        <v>240</v>
      </c>
      <c r="Q69" s="369">
        <v>300</v>
      </c>
      <c r="R69" s="2929">
        <v>5</v>
      </c>
      <c r="S69" s="2929">
        <v>10</v>
      </c>
      <c r="T69" s="2931">
        <v>15</v>
      </c>
      <c r="U69" s="373">
        <v>15</v>
      </c>
      <c r="V69" s="2926" t="s">
        <v>3466</v>
      </c>
      <c r="W69" s="2926" t="s">
        <v>3467</v>
      </c>
      <c r="X69" s="2926" t="s">
        <v>3468</v>
      </c>
      <c r="Y69" s="2926" t="s">
        <v>3469</v>
      </c>
      <c r="Z69" s="2926" t="s">
        <v>3470</v>
      </c>
      <c r="AA69" s="371"/>
    </row>
    <row r="70" spans="1:27" ht="12.75" customHeight="1" x14ac:dyDescent="0.2">
      <c r="A70" s="6418"/>
      <c r="B70" s="251" t="str">
        <f t="shared" si="0"/>
        <v>Oscuridad58</v>
      </c>
      <c r="D70" s="272" t="s">
        <v>9721</v>
      </c>
      <c r="E70" s="2929" t="s">
        <v>1699</v>
      </c>
      <c r="F70" s="2929">
        <v>58</v>
      </c>
      <c r="G70" s="2930" t="s">
        <v>2087</v>
      </c>
      <c r="H70" s="2930" t="s">
        <v>1233</v>
      </c>
      <c r="I70" s="368" t="s">
        <v>1304</v>
      </c>
      <c r="J70" s="2929">
        <v>6</v>
      </c>
      <c r="K70" s="2929">
        <v>9</v>
      </c>
      <c r="L70" s="2929">
        <v>12</v>
      </c>
      <c r="M70" s="369">
        <v>15</v>
      </c>
      <c r="N70" s="2929">
        <v>100</v>
      </c>
      <c r="O70" s="2929">
        <v>180</v>
      </c>
      <c r="P70" s="2929">
        <v>240</v>
      </c>
      <c r="Q70" s="369">
        <v>300</v>
      </c>
      <c r="R70" s="2929">
        <v>10</v>
      </c>
      <c r="S70" s="2929">
        <v>20</v>
      </c>
      <c r="T70" s="2931">
        <v>25</v>
      </c>
      <c r="U70" s="373">
        <v>30</v>
      </c>
      <c r="V70" s="2926" t="s">
        <v>3471</v>
      </c>
      <c r="W70" s="2926" t="s">
        <v>3310</v>
      </c>
      <c r="X70" s="2926" t="s">
        <v>3472</v>
      </c>
      <c r="Y70" s="2926" t="s">
        <v>3312</v>
      </c>
      <c r="Z70" s="2926" t="s">
        <v>3473</v>
      </c>
      <c r="AA70" s="371"/>
    </row>
    <row r="71" spans="1:27" ht="12.75" customHeight="1" x14ac:dyDescent="0.2">
      <c r="A71" s="6418"/>
      <c r="B71" s="251" t="str">
        <f t="shared" si="0"/>
        <v>Oscuridad60</v>
      </c>
      <c r="D71" s="272" t="s">
        <v>9722</v>
      </c>
      <c r="E71" s="2929" t="s">
        <v>1699</v>
      </c>
      <c r="F71" s="2929">
        <v>60</v>
      </c>
      <c r="G71" s="2930" t="s">
        <v>1381</v>
      </c>
      <c r="H71" s="2930" t="s">
        <v>1234</v>
      </c>
      <c r="I71" s="368" t="s">
        <v>1304</v>
      </c>
      <c r="J71" s="2929">
        <v>8</v>
      </c>
      <c r="K71" s="2929">
        <v>10</v>
      </c>
      <c r="L71" s="2929">
        <v>13</v>
      </c>
      <c r="M71" s="369">
        <v>16</v>
      </c>
      <c r="N71" s="2929">
        <v>100</v>
      </c>
      <c r="O71" s="2929">
        <v>200</v>
      </c>
      <c r="P71" s="2929">
        <v>300</v>
      </c>
      <c r="Q71" s="369">
        <v>400</v>
      </c>
      <c r="R71" s="2929" t="s">
        <v>1381</v>
      </c>
      <c r="S71" s="2929" t="s">
        <v>1381</v>
      </c>
      <c r="T71" s="2931" t="s">
        <v>1381</v>
      </c>
      <c r="U71" s="373" t="s">
        <v>1381</v>
      </c>
      <c r="V71" s="2926" t="s">
        <v>3474</v>
      </c>
      <c r="W71" s="2926" t="s">
        <v>3475</v>
      </c>
      <c r="X71" s="2926" t="s">
        <v>3476</v>
      </c>
      <c r="Y71" s="2926" t="s">
        <v>3477</v>
      </c>
      <c r="Z71" s="2926" t="s">
        <v>3478</v>
      </c>
      <c r="AA71" s="371"/>
    </row>
    <row r="72" spans="1:27" ht="12.75" customHeight="1" x14ac:dyDescent="0.2">
      <c r="A72" s="6418"/>
      <c r="B72" s="251" t="str">
        <f t="shared" ref="B72:B135" si="1">E72&amp;F72</f>
        <v>Oscuridad62</v>
      </c>
      <c r="D72" s="272" t="s">
        <v>9723</v>
      </c>
      <c r="E72" s="2929" t="s">
        <v>1699</v>
      </c>
      <c r="F72" s="2929">
        <v>62</v>
      </c>
      <c r="G72" s="2930" t="s">
        <v>2087</v>
      </c>
      <c r="H72" s="2930" t="s">
        <v>1235</v>
      </c>
      <c r="I72" s="368" t="s">
        <v>1304</v>
      </c>
      <c r="J72" s="2929">
        <v>7</v>
      </c>
      <c r="K72" s="2929">
        <v>9</v>
      </c>
      <c r="L72" s="2929">
        <v>12</v>
      </c>
      <c r="M72" s="369">
        <v>15</v>
      </c>
      <c r="N72" s="2929">
        <v>140</v>
      </c>
      <c r="O72" s="2929">
        <v>180</v>
      </c>
      <c r="P72" s="2929">
        <v>240</v>
      </c>
      <c r="Q72" s="369">
        <v>300</v>
      </c>
      <c r="R72" s="2929">
        <v>15</v>
      </c>
      <c r="S72" s="2929">
        <v>20</v>
      </c>
      <c r="T72" s="2931">
        <v>25</v>
      </c>
      <c r="U72" s="373">
        <v>30</v>
      </c>
      <c r="V72" s="2926" t="s">
        <v>3315</v>
      </c>
      <c r="W72" s="2926" t="s">
        <v>3316</v>
      </c>
      <c r="X72" s="2926" t="s">
        <v>3317</v>
      </c>
      <c r="Y72" s="2926" t="s">
        <v>3318</v>
      </c>
      <c r="Z72" s="2926" t="s">
        <v>3479</v>
      </c>
      <c r="AA72" s="371"/>
    </row>
    <row r="73" spans="1:27" ht="12.75" customHeight="1" x14ac:dyDescent="0.2">
      <c r="A73" s="6418"/>
      <c r="B73" s="251" t="str">
        <f t="shared" si="1"/>
        <v>Oscuridad66</v>
      </c>
      <c r="D73" s="272" t="s">
        <v>9724</v>
      </c>
      <c r="E73" s="2929" t="s">
        <v>1699</v>
      </c>
      <c r="F73" s="2929">
        <v>66</v>
      </c>
      <c r="G73" s="2930" t="s">
        <v>1381</v>
      </c>
      <c r="H73" s="2930" t="s">
        <v>1564</v>
      </c>
      <c r="I73" s="368" t="s">
        <v>1305</v>
      </c>
      <c r="J73" s="2929">
        <v>6</v>
      </c>
      <c r="K73" s="2929">
        <v>9</v>
      </c>
      <c r="L73" s="2929">
        <v>12</v>
      </c>
      <c r="M73" s="369">
        <v>15</v>
      </c>
      <c r="N73" s="2929">
        <v>120</v>
      </c>
      <c r="O73" s="2929">
        <v>180</v>
      </c>
      <c r="P73" s="2929">
        <v>240</v>
      </c>
      <c r="Q73" s="369">
        <v>300</v>
      </c>
      <c r="R73" s="2929">
        <v>10</v>
      </c>
      <c r="S73" s="2929">
        <v>10</v>
      </c>
      <c r="T73" s="2931">
        <v>15</v>
      </c>
      <c r="U73" s="373">
        <v>15</v>
      </c>
      <c r="V73" s="2926" t="s">
        <v>3480</v>
      </c>
      <c r="W73" s="2926" t="s">
        <v>3481</v>
      </c>
      <c r="X73" s="2926" t="s">
        <v>3482</v>
      </c>
      <c r="Y73" s="2926" t="s">
        <v>3483</v>
      </c>
      <c r="Z73" s="2926" t="s">
        <v>3484</v>
      </c>
      <c r="AA73" s="371"/>
    </row>
    <row r="74" spans="1:27" ht="12.75" customHeight="1" x14ac:dyDescent="0.2">
      <c r="A74" s="6418"/>
      <c r="B74" s="251" t="str">
        <f t="shared" si="1"/>
        <v>Oscuridad68</v>
      </c>
      <c r="D74" s="272" t="s">
        <v>144</v>
      </c>
      <c r="E74" s="2929" t="s">
        <v>1699</v>
      </c>
      <c r="F74" s="2929">
        <v>68</v>
      </c>
      <c r="G74" s="2930" t="s">
        <v>1381</v>
      </c>
      <c r="H74" s="2930" t="s">
        <v>1233</v>
      </c>
      <c r="I74" s="368" t="s">
        <v>1304</v>
      </c>
      <c r="J74" s="2929">
        <v>6</v>
      </c>
      <c r="K74" s="2929">
        <v>9</v>
      </c>
      <c r="L74" s="2929">
        <v>12</v>
      </c>
      <c r="M74" s="369">
        <v>15</v>
      </c>
      <c r="N74" s="2929">
        <v>100</v>
      </c>
      <c r="O74" s="2929">
        <v>180</v>
      </c>
      <c r="P74" s="2929">
        <v>240</v>
      </c>
      <c r="Q74" s="369">
        <v>300</v>
      </c>
      <c r="R74" s="2929">
        <v>10</v>
      </c>
      <c r="S74" s="2929">
        <v>20</v>
      </c>
      <c r="T74" s="2931">
        <v>25</v>
      </c>
      <c r="U74" s="373">
        <v>30</v>
      </c>
      <c r="V74" s="2926" t="s">
        <v>3485</v>
      </c>
      <c r="W74" s="2926" t="s">
        <v>3486</v>
      </c>
      <c r="X74" s="2926" t="s">
        <v>3487</v>
      </c>
      <c r="Y74" s="2926" t="s">
        <v>3488</v>
      </c>
      <c r="Z74" s="2926" t="s">
        <v>3489</v>
      </c>
      <c r="AA74" s="371"/>
    </row>
    <row r="75" spans="1:27" ht="12.75" customHeight="1" x14ac:dyDescent="0.2">
      <c r="A75" s="6418"/>
      <c r="B75" s="251" t="str">
        <f t="shared" si="1"/>
        <v>Oscuridad70</v>
      </c>
      <c r="D75" s="272" t="s">
        <v>9725</v>
      </c>
      <c r="E75" s="2929" t="s">
        <v>1699</v>
      </c>
      <c r="F75" s="2929">
        <v>70</v>
      </c>
      <c r="G75" s="2930" t="s">
        <v>1381</v>
      </c>
      <c r="H75" s="2930" t="s">
        <v>1235</v>
      </c>
      <c r="I75" s="368" t="s">
        <v>1304</v>
      </c>
      <c r="J75" s="2929">
        <v>10</v>
      </c>
      <c r="K75" s="2929">
        <v>12</v>
      </c>
      <c r="L75" s="2929">
        <v>14</v>
      </c>
      <c r="M75" s="369">
        <v>16</v>
      </c>
      <c r="N75" s="2929">
        <v>140</v>
      </c>
      <c r="O75" s="2929">
        <v>200</v>
      </c>
      <c r="P75" s="2929">
        <v>280</v>
      </c>
      <c r="Q75" s="369">
        <v>360</v>
      </c>
      <c r="R75" s="2929">
        <v>5</v>
      </c>
      <c r="S75" s="2929">
        <v>10</v>
      </c>
      <c r="T75" s="2931">
        <v>10</v>
      </c>
      <c r="U75" s="373">
        <v>15</v>
      </c>
      <c r="V75" s="2926" t="s">
        <v>3330</v>
      </c>
      <c r="W75" s="2926" t="s">
        <v>3331</v>
      </c>
      <c r="X75" s="2926" t="s">
        <v>3490</v>
      </c>
      <c r="Y75" s="2926" t="s">
        <v>3333</v>
      </c>
      <c r="Z75" s="2926" t="s">
        <v>3491</v>
      </c>
      <c r="AA75" s="371"/>
    </row>
    <row r="76" spans="1:27" ht="12.75" customHeight="1" x14ac:dyDescent="0.2">
      <c r="A76" s="6418"/>
      <c r="B76" s="251" t="str">
        <f t="shared" si="1"/>
        <v>Oscuridad72</v>
      </c>
      <c r="D76" s="272" t="s">
        <v>9726</v>
      </c>
      <c r="E76" s="2929" t="s">
        <v>1699</v>
      </c>
      <c r="F76" s="2929">
        <v>72</v>
      </c>
      <c r="G76" s="2930" t="s">
        <v>1381</v>
      </c>
      <c r="H76" s="2930" t="s">
        <v>1232</v>
      </c>
      <c r="I76" s="368" t="s">
        <v>1304</v>
      </c>
      <c r="J76" s="2929">
        <v>10</v>
      </c>
      <c r="K76" s="2929">
        <v>12</v>
      </c>
      <c r="L76" s="2929">
        <v>14</v>
      </c>
      <c r="M76" s="369">
        <v>16</v>
      </c>
      <c r="N76" s="2929">
        <v>140</v>
      </c>
      <c r="O76" s="2929">
        <v>180</v>
      </c>
      <c r="P76" s="2929">
        <v>240</v>
      </c>
      <c r="Q76" s="369">
        <v>350</v>
      </c>
      <c r="R76" s="2929" t="s">
        <v>1381</v>
      </c>
      <c r="S76" s="2929" t="s">
        <v>1381</v>
      </c>
      <c r="T76" s="2931" t="s">
        <v>1381</v>
      </c>
      <c r="U76" s="373" t="s">
        <v>1381</v>
      </c>
      <c r="V76" s="2926" t="s">
        <v>3335</v>
      </c>
      <c r="W76" s="2926" t="s">
        <v>3336</v>
      </c>
      <c r="X76" s="2926" t="s">
        <v>3337</v>
      </c>
      <c r="Y76" s="2926" t="s">
        <v>3492</v>
      </c>
      <c r="Z76" s="2926" t="s">
        <v>3493</v>
      </c>
      <c r="AA76" s="371"/>
    </row>
    <row r="77" spans="1:27" ht="12.75" customHeight="1" x14ac:dyDescent="0.2">
      <c r="A77" s="6418"/>
      <c r="B77" s="251" t="str">
        <f t="shared" si="1"/>
        <v>Oscuridad76</v>
      </c>
      <c r="D77" s="272" t="s">
        <v>9727</v>
      </c>
      <c r="E77" s="2929" t="s">
        <v>1699</v>
      </c>
      <c r="F77" s="2929">
        <v>76</v>
      </c>
      <c r="G77" s="2930" t="s">
        <v>1381</v>
      </c>
      <c r="H77" s="2930" t="s">
        <v>1234</v>
      </c>
      <c r="I77" s="368" t="s">
        <v>1304</v>
      </c>
      <c r="J77" s="2929">
        <v>10</v>
      </c>
      <c r="K77" s="2929">
        <v>12</v>
      </c>
      <c r="L77" s="2929">
        <v>14</v>
      </c>
      <c r="M77" s="369">
        <v>16</v>
      </c>
      <c r="N77" s="2929">
        <v>150</v>
      </c>
      <c r="O77" s="2929">
        <v>200</v>
      </c>
      <c r="P77" s="2929">
        <v>240</v>
      </c>
      <c r="Q77" s="369">
        <v>300</v>
      </c>
      <c r="R77" s="2929">
        <v>15</v>
      </c>
      <c r="S77" s="2929">
        <v>20</v>
      </c>
      <c r="T77" s="2931">
        <v>25</v>
      </c>
      <c r="U77" s="373">
        <v>30</v>
      </c>
      <c r="V77" s="2926" t="s">
        <v>3494</v>
      </c>
      <c r="W77" s="2926" t="s">
        <v>3341</v>
      </c>
      <c r="X77" s="2926" t="s">
        <v>3342</v>
      </c>
      <c r="Y77" s="2926" t="s">
        <v>3343</v>
      </c>
      <c r="Z77" s="2926" t="s">
        <v>3495</v>
      </c>
      <c r="AA77" s="371"/>
    </row>
    <row r="78" spans="1:27" ht="12.75" customHeight="1" x14ac:dyDescent="0.2">
      <c r="A78" s="6418"/>
      <c r="B78" s="251" t="str">
        <f t="shared" si="1"/>
        <v>Oscuridad78</v>
      </c>
      <c r="D78" s="272" t="s">
        <v>9728</v>
      </c>
      <c r="E78" s="2929" t="s">
        <v>1699</v>
      </c>
      <c r="F78" s="2929">
        <v>78</v>
      </c>
      <c r="G78" s="2930" t="s">
        <v>1381</v>
      </c>
      <c r="H78" s="2930" t="s">
        <v>3417</v>
      </c>
      <c r="I78" s="368" t="s">
        <v>1304</v>
      </c>
      <c r="J78" s="2929">
        <v>10</v>
      </c>
      <c r="K78" s="2929">
        <v>12</v>
      </c>
      <c r="L78" s="2929">
        <v>14</v>
      </c>
      <c r="M78" s="369">
        <v>16</v>
      </c>
      <c r="N78" s="2929">
        <v>250</v>
      </c>
      <c r="O78" s="2929">
        <v>360</v>
      </c>
      <c r="P78" s="2929">
        <v>450</v>
      </c>
      <c r="Q78" s="369">
        <v>600</v>
      </c>
      <c r="R78" s="2929" t="s">
        <v>1381</v>
      </c>
      <c r="S78" s="2929" t="s">
        <v>1381</v>
      </c>
      <c r="T78" s="2931" t="s">
        <v>1381</v>
      </c>
      <c r="U78" s="373" t="s">
        <v>1381</v>
      </c>
      <c r="V78" s="2926" t="s">
        <v>3345</v>
      </c>
      <c r="W78" s="2926" t="s">
        <v>3346</v>
      </c>
      <c r="X78" s="2926" t="s">
        <v>3347</v>
      </c>
      <c r="Y78" s="2926" t="s">
        <v>3348</v>
      </c>
      <c r="Z78" s="2926" t="s">
        <v>3496</v>
      </c>
      <c r="AA78" s="371"/>
    </row>
    <row r="79" spans="1:27" ht="12.75" customHeight="1" x14ac:dyDescent="0.2">
      <c r="A79" s="6418"/>
      <c r="B79" s="251" t="str">
        <f t="shared" si="1"/>
        <v>Oscuridad80</v>
      </c>
      <c r="D79" s="272" t="s">
        <v>9729</v>
      </c>
      <c r="E79" s="2929" t="s">
        <v>1699</v>
      </c>
      <c r="F79" s="2929">
        <v>80</v>
      </c>
      <c r="G79" s="2930" t="s">
        <v>1381</v>
      </c>
      <c r="H79" s="2930" t="s">
        <v>3417</v>
      </c>
      <c r="I79" s="368" t="s">
        <v>1304</v>
      </c>
      <c r="J79" s="2929">
        <v>12</v>
      </c>
      <c r="K79" s="2929">
        <v>14</v>
      </c>
      <c r="L79" s="2929">
        <v>16</v>
      </c>
      <c r="M79" s="369">
        <v>18</v>
      </c>
      <c r="N79" s="2929">
        <v>300</v>
      </c>
      <c r="O79" s="2929">
        <v>400</v>
      </c>
      <c r="P79" s="2929">
        <v>500</v>
      </c>
      <c r="Q79" s="369">
        <v>750</v>
      </c>
      <c r="R79" s="2929">
        <v>60</v>
      </c>
      <c r="S79" s="2929">
        <v>65</v>
      </c>
      <c r="T79" s="2931">
        <v>70</v>
      </c>
      <c r="U79" s="373">
        <v>80</v>
      </c>
      <c r="V79" s="2926" t="s">
        <v>3320</v>
      </c>
      <c r="W79" s="2926" t="s">
        <v>3497</v>
      </c>
      <c r="X79" s="2926" t="s">
        <v>3498</v>
      </c>
      <c r="Y79" s="2926" t="s">
        <v>3353</v>
      </c>
      <c r="Z79" s="2926" t="s">
        <v>7056</v>
      </c>
      <c r="AA79" s="371"/>
    </row>
    <row r="80" spans="1:27" ht="12.75" customHeight="1" x14ac:dyDescent="0.2">
      <c r="A80" s="6418"/>
      <c r="B80" s="251" t="str">
        <f t="shared" si="1"/>
        <v>Oscuridad82</v>
      </c>
      <c r="D80" s="272" t="s">
        <v>9730</v>
      </c>
      <c r="E80" s="2929" t="s">
        <v>1699</v>
      </c>
      <c r="F80" s="2929">
        <v>82</v>
      </c>
      <c r="G80" s="2930" t="s">
        <v>2087</v>
      </c>
      <c r="H80" s="2930" t="s">
        <v>1234</v>
      </c>
      <c r="I80" s="368" t="s">
        <v>1304</v>
      </c>
      <c r="J80" s="2929">
        <v>10</v>
      </c>
      <c r="K80" s="2929">
        <v>12</v>
      </c>
      <c r="L80" s="2929">
        <v>14</v>
      </c>
      <c r="M80" s="369">
        <v>16</v>
      </c>
      <c r="N80" s="2929">
        <v>250</v>
      </c>
      <c r="O80" s="2929">
        <v>350</v>
      </c>
      <c r="P80" s="2929">
        <v>500</v>
      </c>
      <c r="Q80" s="369">
        <v>700</v>
      </c>
      <c r="R80" s="2929">
        <v>50</v>
      </c>
      <c r="S80" s="2929">
        <v>70</v>
      </c>
      <c r="T80" s="2931">
        <v>100</v>
      </c>
      <c r="U80" s="373">
        <v>140</v>
      </c>
      <c r="V80" s="2926" t="s">
        <v>3354</v>
      </c>
      <c r="W80" s="2926" t="s">
        <v>3499</v>
      </c>
      <c r="X80" s="2926" t="s">
        <v>3356</v>
      </c>
      <c r="Y80" s="2926" t="s">
        <v>3357</v>
      </c>
      <c r="Z80" s="2926" t="s">
        <v>3500</v>
      </c>
      <c r="AA80" s="371"/>
    </row>
    <row r="81" spans="1:27" ht="12.75" customHeight="1" x14ac:dyDescent="0.2">
      <c r="A81" s="6418"/>
      <c r="B81" s="251" t="str">
        <f t="shared" si="1"/>
        <v>Oscuridad86</v>
      </c>
      <c r="D81" s="272" t="s">
        <v>9731</v>
      </c>
      <c r="E81" s="2929" t="s">
        <v>1699</v>
      </c>
      <c r="F81" s="2929">
        <v>86</v>
      </c>
      <c r="G81" s="2930" t="s">
        <v>2087</v>
      </c>
      <c r="H81" s="2930" t="s">
        <v>1234</v>
      </c>
      <c r="I81" s="368" t="s">
        <v>1305</v>
      </c>
      <c r="J81" s="2929">
        <v>10</v>
      </c>
      <c r="K81" s="2929">
        <v>12</v>
      </c>
      <c r="L81" s="2929">
        <v>14</v>
      </c>
      <c r="M81" s="369">
        <v>16</v>
      </c>
      <c r="N81" s="2929">
        <v>200</v>
      </c>
      <c r="O81" s="2929">
        <v>240</v>
      </c>
      <c r="P81" s="2929">
        <v>280</v>
      </c>
      <c r="Q81" s="369">
        <v>320</v>
      </c>
      <c r="R81" s="2929">
        <v>10</v>
      </c>
      <c r="S81" s="2929">
        <v>15</v>
      </c>
      <c r="T81" s="2931">
        <v>15</v>
      </c>
      <c r="U81" s="373">
        <v>20</v>
      </c>
      <c r="V81" s="2926" t="s">
        <v>3501</v>
      </c>
      <c r="W81" s="2926" t="s">
        <v>3502</v>
      </c>
      <c r="X81" s="2926" t="s">
        <v>3503</v>
      </c>
      <c r="Y81" s="2926" t="s">
        <v>3504</v>
      </c>
      <c r="Z81" s="2926" t="s">
        <v>3505</v>
      </c>
      <c r="AA81" s="371"/>
    </row>
    <row r="82" spans="1:27" ht="12.75" customHeight="1" x14ac:dyDescent="0.2">
      <c r="A82" s="6418"/>
      <c r="B82" s="251" t="str">
        <f t="shared" si="1"/>
        <v>Oscuridad88</v>
      </c>
      <c r="D82" s="272" t="s">
        <v>9732</v>
      </c>
      <c r="E82" s="2929" t="s">
        <v>1699</v>
      </c>
      <c r="F82" s="2929">
        <v>88</v>
      </c>
      <c r="G82" s="2930" t="s">
        <v>1381</v>
      </c>
      <c r="H82" s="2930" t="s">
        <v>1235</v>
      </c>
      <c r="I82" s="368" t="s">
        <v>1304</v>
      </c>
      <c r="J82" s="2929">
        <v>10</v>
      </c>
      <c r="K82" s="2929">
        <v>12</v>
      </c>
      <c r="L82" s="2929">
        <v>14</v>
      </c>
      <c r="M82" s="369">
        <v>16</v>
      </c>
      <c r="N82" s="2929">
        <v>200</v>
      </c>
      <c r="O82" s="2929">
        <v>360</v>
      </c>
      <c r="P82" s="2929">
        <v>430</v>
      </c>
      <c r="Q82" s="369">
        <v>480</v>
      </c>
      <c r="R82" s="2929">
        <v>10</v>
      </c>
      <c r="S82" s="2929">
        <v>20</v>
      </c>
      <c r="T82" s="2931">
        <v>25</v>
      </c>
      <c r="U82" s="373">
        <v>25</v>
      </c>
      <c r="V82" s="2926" t="s">
        <v>3506</v>
      </c>
      <c r="W82" s="2926" t="s">
        <v>3396</v>
      </c>
      <c r="X82" s="2926" t="s">
        <v>3507</v>
      </c>
      <c r="Y82" s="2926" t="s">
        <v>3508</v>
      </c>
      <c r="Z82" s="2926" t="s">
        <v>3509</v>
      </c>
      <c r="AA82" s="371"/>
    </row>
    <row r="83" spans="1:27" ht="12.75" customHeight="1" x14ac:dyDescent="0.2">
      <c r="A83" s="6418"/>
      <c r="B83" s="251" t="str">
        <f t="shared" si="1"/>
        <v>Oscuridad90</v>
      </c>
      <c r="D83" s="272" t="s">
        <v>1679</v>
      </c>
      <c r="E83" s="2929" t="s">
        <v>1699</v>
      </c>
      <c r="F83" s="2929">
        <v>90</v>
      </c>
      <c r="G83" s="2930" t="s">
        <v>2087</v>
      </c>
      <c r="H83" s="2930" t="s">
        <v>1234</v>
      </c>
      <c r="I83" s="368" t="s">
        <v>1304</v>
      </c>
      <c r="J83" s="2929">
        <v>12</v>
      </c>
      <c r="K83" s="2929">
        <v>14</v>
      </c>
      <c r="L83" s="2929">
        <v>16</v>
      </c>
      <c r="M83" s="369">
        <v>18</v>
      </c>
      <c r="N83" s="2929">
        <v>350</v>
      </c>
      <c r="O83" s="2929">
        <v>450</v>
      </c>
      <c r="P83" s="2929">
        <v>600</v>
      </c>
      <c r="Q83" s="369">
        <v>800</v>
      </c>
      <c r="R83" s="2929">
        <v>80</v>
      </c>
      <c r="S83" s="2929">
        <v>90</v>
      </c>
      <c r="T83" s="2931">
        <v>105</v>
      </c>
      <c r="U83" s="373">
        <v>115</v>
      </c>
      <c r="V83" s="2926" t="s">
        <v>3510</v>
      </c>
      <c r="W83" s="2926" t="s">
        <v>3511</v>
      </c>
      <c r="X83" s="2926" t="s">
        <v>3512</v>
      </c>
      <c r="Y83" s="2926" t="s">
        <v>3513</v>
      </c>
      <c r="Z83" s="2926" t="s">
        <v>3514</v>
      </c>
      <c r="AA83" s="371"/>
    </row>
    <row r="84" spans="1:27" ht="12.75" customHeight="1" x14ac:dyDescent="0.2">
      <c r="A84" s="6418"/>
      <c r="B84" s="251" t="str">
        <f t="shared" si="1"/>
        <v>Oscuridad92</v>
      </c>
      <c r="D84" s="272" t="s">
        <v>9733</v>
      </c>
      <c r="E84" s="2929" t="s">
        <v>1699</v>
      </c>
      <c r="F84" s="2929">
        <v>92</v>
      </c>
      <c r="G84" s="2930" t="s">
        <v>2087</v>
      </c>
      <c r="H84" s="2930" t="s">
        <v>1233</v>
      </c>
      <c r="I84" s="368" t="s">
        <v>1304</v>
      </c>
      <c r="J84" s="2929">
        <v>14</v>
      </c>
      <c r="K84" s="2929">
        <v>16</v>
      </c>
      <c r="L84" s="2929">
        <v>18</v>
      </c>
      <c r="M84" s="369">
        <v>20</v>
      </c>
      <c r="N84" s="2929">
        <v>200</v>
      </c>
      <c r="O84" s="2929">
        <v>350</v>
      </c>
      <c r="P84" s="2929">
        <v>500</v>
      </c>
      <c r="Q84" s="369">
        <v>800</v>
      </c>
      <c r="R84" s="2929">
        <v>40</v>
      </c>
      <c r="S84" s="2929">
        <v>70</v>
      </c>
      <c r="T84" s="2931">
        <v>100</v>
      </c>
      <c r="U84" s="373">
        <v>160</v>
      </c>
      <c r="V84" s="2926" t="s">
        <v>3374</v>
      </c>
      <c r="W84" s="2926" t="s">
        <v>3375</v>
      </c>
      <c r="X84" s="2926" t="s">
        <v>3376</v>
      </c>
      <c r="Y84" s="2926" t="s">
        <v>3515</v>
      </c>
      <c r="Z84" s="2926" t="s">
        <v>3516</v>
      </c>
      <c r="AA84" s="371"/>
    </row>
    <row r="85" spans="1:27" ht="12.75" customHeight="1" x14ac:dyDescent="0.2">
      <c r="A85" s="6418"/>
      <c r="B85" s="251" t="str">
        <f t="shared" si="1"/>
        <v>Oscuridad96</v>
      </c>
      <c r="D85" s="272" t="s">
        <v>9734</v>
      </c>
      <c r="E85" s="2929" t="s">
        <v>1699</v>
      </c>
      <c r="F85" s="2929">
        <v>96</v>
      </c>
      <c r="G85" s="2930" t="s">
        <v>1381</v>
      </c>
      <c r="H85" s="2930" t="s">
        <v>1234</v>
      </c>
      <c r="I85" s="368" t="s">
        <v>1304</v>
      </c>
      <c r="J85" s="2929">
        <v>12</v>
      </c>
      <c r="K85" s="2929">
        <v>14</v>
      </c>
      <c r="L85" s="2929">
        <v>16</v>
      </c>
      <c r="M85" s="369">
        <v>18</v>
      </c>
      <c r="N85" s="2929">
        <v>200</v>
      </c>
      <c r="O85" s="2929">
        <v>400</v>
      </c>
      <c r="P85" s="2929">
        <v>600</v>
      </c>
      <c r="Q85" s="369">
        <v>800</v>
      </c>
      <c r="R85" s="2929" t="s">
        <v>1381</v>
      </c>
      <c r="S85" s="2929" t="s">
        <v>1381</v>
      </c>
      <c r="T85" s="2931" t="s">
        <v>1381</v>
      </c>
      <c r="U85" s="373" t="s">
        <v>1381</v>
      </c>
      <c r="V85" s="2926" t="s">
        <v>3379</v>
      </c>
      <c r="W85" s="2926" t="s">
        <v>3380</v>
      </c>
      <c r="X85" s="2926" t="s">
        <v>3381</v>
      </c>
      <c r="Y85" s="2926" t="s">
        <v>3369</v>
      </c>
      <c r="Z85" s="2926" t="s">
        <v>3517</v>
      </c>
      <c r="AA85" s="371"/>
    </row>
    <row r="86" spans="1:27" ht="12.75" customHeight="1" x14ac:dyDescent="0.2">
      <c r="A86" s="6418"/>
      <c r="B86" s="251" t="str">
        <f t="shared" si="1"/>
        <v>Oscuridad98</v>
      </c>
      <c r="D86" s="272" t="s">
        <v>9735</v>
      </c>
      <c r="E86" s="2929" t="s">
        <v>1699</v>
      </c>
      <c r="F86" s="2929">
        <v>98</v>
      </c>
      <c r="G86" s="2930" t="s">
        <v>2087</v>
      </c>
      <c r="H86" s="2930" t="s">
        <v>1234</v>
      </c>
      <c r="I86" s="368" t="s">
        <v>1304</v>
      </c>
      <c r="J86" s="2929">
        <v>14</v>
      </c>
      <c r="K86" s="2929">
        <v>16</v>
      </c>
      <c r="L86" s="2929">
        <v>18</v>
      </c>
      <c r="M86" s="369">
        <v>20</v>
      </c>
      <c r="N86" s="2929">
        <v>500</v>
      </c>
      <c r="O86" s="2929">
        <v>1000</v>
      </c>
      <c r="P86" s="2929">
        <v>2000</v>
      </c>
      <c r="Q86" s="369">
        <v>5000</v>
      </c>
      <c r="R86" s="2929">
        <v>30</v>
      </c>
      <c r="S86" s="2929">
        <v>40</v>
      </c>
      <c r="T86" s="2931">
        <v>45</v>
      </c>
      <c r="U86" s="373">
        <v>50</v>
      </c>
      <c r="V86" s="2926" t="s">
        <v>3383</v>
      </c>
      <c r="W86" s="2926" t="s">
        <v>3384</v>
      </c>
      <c r="X86" s="2926" t="s">
        <v>3385</v>
      </c>
      <c r="Y86" s="2926" t="s">
        <v>3386</v>
      </c>
      <c r="Z86" s="2926" t="s">
        <v>3387</v>
      </c>
      <c r="AA86" s="371"/>
    </row>
    <row r="87" spans="1:27" ht="12.75" customHeight="1" x14ac:dyDescent="0.2">
      <c r="A87" s="6418"/>
      <c r="B87" s="251" t="str">
        <f t="shared" si="1"/>
        <v>Oscuridad100</v>
      </c>
      <c r="D87" s="272" t="s">
        <v>9736</v>
      </c>
      <c r="E87" s="2929" t="s">
        <v>1699</v>
      </c>
      <c r="F87" s="2929">
        <v>100</v>
      </c>
      <c r="G87" s="2930" t="s">
        <v>1381</v>
      </c>
      <c r="H87" s="2930" t="s">
        <v>3518</v>
      </c>
      <c r="I87" s="368" t="s">
        <v>1304</v>
      </c>
      <c r="J87" s="2929">
        <v>14</v>
      </c>
      <c r="K87" s="2929">
        <v>16</v>
      </c>
      <c r="L87" s="2929">
        <v>18</v>
      </c>
      <c r="M87" s="369">
        <v>20</v>
      </c>
      <c r="N87" s="2929">
        <v>600</v>
      </c>
      <c r="O87" s="2929">
        <v>1000</v>
      </c>
      <c r="P87" s="2929">
        <v>2500</v>
      </c>
      <c r="Q87" s="369">
        <v>10000</v>
      </c>
      <c r="R87" s="2929" t="s">
        <v>1381</v>
      </c>
      <c r="S87" s="2929" t="s">
        <v>1381</v>
      </c>
      <c r="T87" s="2931" t="s">
        <v>1381</v>
      </c>
      <c r="U87" s="373" t="s">
        <v>1381</v>
      </c>
      <c r="V87" s="2926" t="s">
        <v>3388</v>
      </c>
      <c r="W87" s="2926" t="s">
        <v>3389</v>
      </c>
      <c r="X87" s="2926" t="s">
        <v>3390</v>
      </c>
      <c r="Y87" s="2926" t="s">
        <v>3391</v>
      </c>
      <c r="Z87" s="2926" t="s">
        <v>3519</v>
      </c>
      <c r="AA87" s="371"/>
    </row>
    <row r="88" spans="1:27" ht="12.75" customHeight="1" x14ac:dyDescent="0.2">
      <c r="A88" s="6418"/>
      <c r="B88" s="251" t="str">
        <f t="shared" si="1"/>
        <v/>
      </c>
      <c r="D88" s="272" t="s">
        <v>296</v>
      </c>
      <c r="E88" s="2929"/>
      <c r="F88" s="2929"/>
      <c r="G88" s="2930"/>
      <c r="H88" s="2930"/>
      <c r="I88" s="368"/>
      <c r="J88" s="2929"/>
      <c r="K88" s="2929"/>
      <c r="L88" s="2929"/>
      <c r="M88" s="369"/>
      <c r="N88" s="2929"/>
      <c r="O88" s="2929"/>
      <c r="P88" s="2929"/>
      <c r="Q88" s="369"/>
      <c r="R88" s="2929"/>
      <c r="S88" s="2929"/>
      <c r="T88" s="2931"/>
      <c r="U88" s="373"/>
      <c r="V88" s="2926"/>
      <c r="W88" s="2926"/>
      <c r="X88" s="2926"/>
      <c r="Y88" s="2926"/>
      <c r="Z88" s="2926"/>
      <c r="AA88" s="371"/>
    </row>
    <row r="89" spans="1:27" ht="12.75" customHeight="1" x14ac:dyDescent="0.2">
      <c r="A89" s="6418"/>
      <c r="B89" s="251" t="str">
        <f t="shared" si="1"/>
        <v>Creación2</v>
      </c>
      <c r="D89" s="272" t="s">
        <v>9737</v>
      </c>
      <c r="E89" s="2929" t="s">
        <v>1705</v>
      </c>
      <c r="F89" s="2929">
        <v>2</v>
      </c>
      <c r="G89" s="2930" t="s">
        <v>1381</v>
      </c>
      <c r="H89" s="2930" t="s">
        <v>1234</v>
      </c>
      <c r="I89" s="368" t="s">
        <v>1304</v>
      </c>
      <c r="J89" s="2929">
        <v>5</v>
      </c>
      <c r="K89" s="2929">
        <v>8</v>
      </c>
      <c r="L89" s="2929">
        <v>10</v>
      </c>
      <c r="M89" s="369">
        <v>12</v>
      </c>
      <c r="N89" s="2929">
        <v>30</v>
      </c>
      <c r="O89" s="2929">
        <v>80</v>
      </c>
      <c r="P89" s="2929">
        <v>100</v>
      </c>
      <c r="Q89" s="369">
        <v>120</v>
      </c>
      <c r="R89" s="2929">
        <v>5</v>
      </c>
      <c r="S89" s="2929">
        <v>10</v>
      </c>
      <c r="T89" s="2931">
        <v>10</v>
      </c>
      <c r="U89" s="373">
        <v>15</v>
      </c>
      <c r="V89" s="2926" t="s">
        <v>3520</v>
      </c>
      <c r="W89" s="2926" t="s">
        <v>3522</v>
      </c>
      <c r="X89" s="2926" t="s">
        <v>3521</v>
      </c>
      <c r="Y89" s="2926" t="s">
        <v>10385</v>
      </c>
      <c r="Z89" s="2926" t="s">
        <v>3523</v>
      </c>
      <c r="AA89" s="371"/>
    </row>
    <row r="90" spans="1:27" ht="12.75" customHeight="1" x14ac:dyDescent="0.2">
      <c r="A90" s="6418"/>
      <c r="B90" s="251" t="str">
        <f t="shared" si="1"/>
        <v>Creación6</v>
      </c>
      <c r="D90" s="272" t="s">
        <v>9738</v>
      </c>
      <c r="E90" s="2929" t="s">
        <v>1705</v>
      </c>
      <c r="F90" s="2929">
        <v>6</v>
      </c>
      <c r="G90" s="2930" t="s">
        <v>1381</v>
      </c>
      <c r="H90" s="2930" t="s">
        <v>1234</v>
      </c>
      <c r="I90" s="368" t="s">
        <v>1304</v>
      </c>
      <c r="J90" s="2929">
        <v>5</v>
      </c>
      <c r="K90" s="2929">
        <v>8</v>
      </c>
      <c r="L90" s="2929">
        <v>10</v>
      </c>
      <c r="M90" s="369">
        <v>12</v>
      </c>
      <c r="N90" s="2929">
        <v>40</v>
      </c>
      <c r="O90" s="2929">
        <v>140</v>
      </c>
      <c r="P90" s="2929">
        <v>200</v>
      </c>
      <c r="Q90" s="369">
        <v>280</v>
      </c>
      <c r="R90" s="2929" t="s">
        <v>1381</v>
      </c>
      <c r="S90" s="2929" t="s">
        <v>1381</v>
      </c>
      <c r="T90" s="2931" t="s">
        <v>1381</v>
      </c>
      <c r="U90" s="373" t="s">
        <v>1381</v>
      </c>
      <c r="V90" s="2926" t="s">
        <v>3524</v>
      </c>
      <c r="W90" s="2926" t="s">
        <v>3525</v>
      </c>
      <c r="X90" s="2926" t="s">
        <v>3526</v>
      </c>
      <c r="Y90" s="2926" t="s">
        <v>3527</v>
      </c>
      <c r="Z90" s="2926" t="s">
        <v>3528</v>
      </c>
      <c r="AA90" s="371"/>
    </row>
    <row r="91" spans="1:27" ht="12.75" customHeight="1" x14ac:dyDescent="0.2">
      <c r="A91" s="6418"/>
      <c r="B91" s="251" t="str">
        <f t="shared" si="1"/>
        <v>Creación8</v>
      </c>
      <c r="D91" s="272" t="s">
        <v>190</v>
      </c>
      <c r="E91" s="2929" t="s">
        <v>1705</v>
      </c>
      <c r="F91" s="2929">
        <v>8</v>
      </c>
      <c r="G91" s="2930" t="s">
        <v>1381</v>
      </c>
      <c r="H91" s="2930" t="s">
        <v>1234</v>
      </c>
      <c r="I91" s="368" t="s">
        <v>1304</v>
      </c>
      <c r="J91" s="2929">
        <v>5</v>
      </c>
      <c r="K91" s="2929">
        <v>8</v>
      </c>
      <c r="L91" s="2929">
        <v>10</v>
      </c>
      <c r="M91" s="369">
        <v>12</v>
      </c>
      <c r="N91" s="2929">
        <v>40</v>
      </c>
      <c r="O91" s="2929">
        <v>150</v>
      </c>
      <c r="P91" s="2929">
        <v>200</v>
      </c>
      <c r="Q91" s="369">
        <v>250</v>
      </c>
      <c r="R91" s="2929">
        <v>5</v>
      </c>
      <c r="S91" s="2929">
        <v>15</v>
      </c>
      <c r="T91" s="2931">
        <v>20</v>
      </c>
      <c r="U91" s="373">
        <v>25</v>
      </c>
      <c r="V91" s="2926" t="s">
        <v>3529</v>
      </c>
      <c r="W91" s="2926" t="s">
        <v>3530</v>
      </c>
      <c r="X91" s="2926" t="s">
        <v>3531</v>
      </c>
      <c r="Y91" s="2926" t="s">
        <v>3532</v>
      </c>
      <c r="Z91" s="2926" t="s">
        <v>3533</v>
      </c>
      <c r="AA91" s="371"/>
    </row>
    <row r="92" spans="1:27" ht="12.75" customHeight="1" x14ac:dyDescent="0.2">
      <c r="A92" s="6418"/>
      <c r="B92" s="251" t="str">
        <f t="shared" si="1"/>
        <v>Creación10</v>
      </c>
      <c r="D92" s="272" t="s">
        <v>1368</v>
      </c>
      <c r="E92" s="2929" t="s">
        <v>1705</v>
      </c>
      <c r="F92" s="2929">
        <v>10</v>
      </c>
      <c r="G92" s="2930" t="s">
        <v>2087</v>
      </c>
      <c r="H92" s="2930" t="s">
        <v>1234</v>
      </c>
      <c r="I92" s="368" t="s">
        <v>1304</v>
      </c>
      <c r="J92" s="2929">
        <v>6</v>
      </c>
      <c r="K92" s="2929">
        <v>8</v>
      </c>
      <c r="L92" s="2929">
        <v>10</v>
      </c>
      <c r="M92" s="369">
        <v>12</v>
      </c>
      <c r="N92" s="2929">
        <v>60</v>
      </c>
      <c r="O92" s="2929">
        <v>100</v>
      </c>
      <c r="P92" s="2929">
        <v>150</v>
      </c>
      <c r="Q92" s="369">
        <v>250</v>
      </c>
      <c r="R92" s="2929">
        <v>10</v>
      </c>
      <c r="S92" s="2929">
        <v>10</v>
      </c>
      <c r="T92" s="2931">
        <v>15</v>
      </c>
      <c r="U92" s="373">
        <v>25</v>
      </c>
      <c r="V92" s="2926" t="s">
        <v>3534</v>
      </c>
      <c r="W92" s="2926" t="s">
        <v>3535</v>
      </c>
      <c r="X92" s="2926" t="s">
        <v>3536</v>
      </c>
      <c r="Y92" s="2926" t="s">
        <v>3537</v>
      </c>
      <c r="Z92" s="2926" t="s">
        <v>3538</v>
      </c>
      <c r="AA92" s="371"/>
    </row>
    <row r="93" spans="1:27" ht="12.75" customHeight="1" x14ac:dyDescent="0.2">
      <c r="A93" s="6418"/>
      <c r="B93" s="251" t="str">
        <f t="shared" si="1"/>
        <v>Creación12</v>
      </c>
      <c r="D93" s="272" t="s">
        <v>9739</v>
      </c>
      <c r="E93" s="2929" t="s">
        <v>1705</v>
      </c>
      <c r="F93" s="2929">
        <v>12</v>
      </c>
      <c r="G93" s="2930" t="s">
        <v>1381</v>
      </c>
      <c r="H93" s="2930" t="s">
        <v>1234</v>
      </c>
      <c r="I93" s="368" t="s">
        <v>1304</v>
      </c>
      <c r="J93" s="2929">
        <v>6</v>
      </c>
      <c r="K93" s="2929">
        <v>8</v>
      </c>
      <c r="L93" s="2929">
        <v>10</v>
      </c>
      <c r="M93" s="369">
        <v>12</v>
      </c>
      <c r="N93" s="2929">
        <v>60</v>
      </c>
      <c r="O93" s="2929">
        <v>90</v>
      </c>
      <c r="P93" s="2929">
        <v>120</v>
      </c>
      <c r="Q93" s="369">
        <v>150</v>
      </c>
      <c r="R93" s="2929">
        <v>5</v>
      </c>
      <c r="S93" s="2929">
        <v>5</v>
      </c>
      <c r="T93" s="2931">
        <v>5</v>
      </c>
      <c r="U93" s="373">
        <v>10</v>
      </c>
      <c r="V93" s="2926" t="s">
        <v>3539</v>
      </c>
      <c r="W93" s="2926" t="s">
        <v>3540</v>
      </c>
      <c r="X93" s="2926" t="s">
        <v>3541</v>
      </c>
      <c r="Y93" s="2926" t="s">
        <v>3542</v>
      </c>
      <c r="Z93" s="2926" t="s">
        <v>3543</v>
      </c>
      <c r="AA93" s="371"/>
    </row>
    <row r="94" spans="1:27" ht="12.75" customHeight="1" x14ac:dyDescent="0.2">
      <c r="A94" s="6418"/>
      <c r="B94" s="251" t="str">
        <f t="shared" si="1"/>
        <v>Creación16</v>
      </c>
      <c r="D94" s="272" t="s">
        <v>9740</v>
      </c>
      <c r="E94" s="2929" t="s">
        <v>1705</v>
      </c>
      <c r="F94" s="2929">
        <v>16</v>
      </c>
      <c r="G94" s="2930" t="s">
        <v>2087</v>
      </c>
      <c r="H94" s="2930" t="s">
        <v>1234</v>
      </c>
      <c r="I94" s="368" t="s">
        <v>1305</v>
      </c>
      <c r="J94" s="2929">
        <v>8</v>
      </c>
      <c r="K94" s="2929">
        <v>10</v>
      </c>
      <c r="L94" s="2929">
        <v>12</v>
      </c>
      <c r="M94" s="369">
        <v>14</v>
      </c>
      <c r="N94" s="2929">
        <v>80</v>
      </c>
      <c r="O94" s="2929">
        <v>120</v>
      </c>
      <c r="P94" s="2929">
        <v>150</v>
      </c>
      <c r="Q94" s="369">
        <v>200</v>
      </c>
      <c r="R94" s="2929">
        <v>15</v>
      </c>
      <c r="S94" s="2929">
        <v>20</v>
      </c>
      <c r="T94" s="2931">
        <v>30</v>
      </c>
      <c r="U94" s="373">
        <v>40</v>
      </c>
      <c r="V94" s="2926" t="s">
        <v>3544</v>
      </c>
      <c r="W94" s="2926" t="s">
        <v>3545</v>
      </c>
      <c r="X94" s="2926" t="s">
        <v>3546</v>
      </c>
      <c r="Y94" s="2926" t="s">
        <v>3547</v>
      </c>
      <c r="Z94" s="2926" t="s">
        <v>3548</v>
      </c>
      <c r="AA94" s="371"/>
    </row>
    <row r="95" spans="1:27" ht="12.75" customHeight="1" x14ac:dyDescent="0.2">
      <c r="A95" s="6418"/>
      <c r="B95" s="251" t="str">
        <f t="shared" si="1"/>
        <v>Creación18</v>
      </c>
      <c r="D95" s="272" t="s">
        <v>9741</v>
      </c>
      <c r="E95" s="2929" t="s">
        <v>1705</v>
      </c>
      <c r="F95" s="2929">
        <v>18</v>
      </c>
      <c r="G95" s="2930" t="s">
        <v>1381</v>
      </c>
      <c r="H95" s="2930" t="s">
        <v>1564</v>
      </c>
      <c r="I95" s="368" t="s">
        <v>1305</v>
      </c>
      <c r="J95" s="2929">
        <v>6</v>
      </c>
      <c r="K95" s="2929">
        <v>8</v>
      </c>
      <c r="L95" s="2929">
        <v>10</v>
      </c>
      <c r="M95" s="369">
        <v>12</v>
      </c>
      <c r="N95" s="2929">
        <v>40</v>
      </c>
      <c r="O95" s="2929">
        <v>150</v>
      </c>
      <c r="P95" s="2929">
        <v>260</v>
      </c>
      <c r="Q95" s="369">
        <v>400</v>
      </c>
      <c r="R95" s="2929">
        <v>5</v>
      </c>
      <c r="S95" s="2929">
        <v>15</v>
      </c>
      <c r="T95" s="2931">
        <v>15</v>
      </c>
      <c r="U95" s="373">
        <v>20</v>
      </c>
      <c r="V95" s="2926" t="s">
        <v>3549</v>
      </c>
      <c r="W95" s="2926" t="s">
        <v>3550</v>
      </c>
      <c r="X95" s="2926" t="s">
        <v>3551</v>
      </c>
      <c r="Y95" s="2926" t="s">
        <v>3552</v>
      </c>
      <c r="Z95" s="2926" t="s">
        <v>3553</v>
      </c>
      <c r="AA95" s="371"/>
    </row>
    <row r="96" spans="1:27" ht="12.75" customHeight="1" x14ac:dyDescent="0.2">
      <c r="A96" s="6418"/>
      <c r="B96" s="251" t="str">
        <f t="shared" si="1"/>
        <v>Creación20</v>
      </c>
      <c r="D96" s="272" t="s">
        <v>6482</v>
      </c>
      <c r="E96" s="2929" t="s">
        <v>1705</v>
      </c>
      <c r="F96" s="2929">
        <v>20</v>
      </c>
      <c r="G96" s="2930" t="s">
        <v>1381</v>
      </c>
      <c r="H96" s="2930" t="s">
        <v>1234</v>
      </c>
      <c r="I96" s="368" t="s">
        <v>1304</v>
      </c>
      <c r="J96" s="2929">
        <v>8</v>
      </c>
      <c r="K96" s="2929">
        <v>10</v>
      </c>
      <c r="L96" s="2929">
        <v>12</v>
      </c>
      <c r="M96" s="369">
        <v>14</v>
      </c>
      <c r="N96" s="2929">
        <v>80</v>
      </c>
      <c r="O96" s="2929">
        <v>120</v>
      </c>
      <c r="P96" s="2929">
        <v>150</v>
      </c>
      <c r="Q96" s="369">
        <v>200</v>
      </c>
      <c r="R96" s="2929" t="s">
        <v>1381</v>
      </c>
      <c r="S96" s="2929" t="s">
        <v>1381</v>
      </c>
      <c r="T96" s="2931" t="s">
        <v>1381</v>
      </c>
      <c r="U96" s="373" t="s">
        <v>1381</v>
      </c>
      <c r="V96" s="2926" t="s">
        <v>3554</v>
      </c>
      <c r="W96" s="2926" t="s">
        <v>3555</v>
      </c>
      <c r="X96" s="2926" t="s">
        <v>3556</v>
      </c>
      <c r="Y96" s="2926" t="s">
        <v>3557</v>
      </c>
      <c r="Z96" s="2926" t="s">
        <v>3558</v>
      </c>
      <c r="AA96" s="371"/>
    </row>
    <row r="97" spans="1:27" ht="12.75" customHeight="1" x14ac:dyDescent="0.2">
      <c r="A97" s="6418"/>
      <c r="B97" s="251" t="str">
        <f t="shared" si="1"/>
        <v>Creación22</v>
      </c>
      <c r="D97" s="272" t="s">
        <v>7337</v>
      </c>
      <c r="E97" s="2929" t="s">
        <v>1705</v>
      </c>
      <c r="F97" s="2929">
        <v>22</v>
      </c>
      <c r="G97" s="2930" t="s">
        <v>2087</v>
      </c>
      <c r="H97" s="2930" t="s">
        <v>1234</v>
      </c>
      <c r="I97" s="368" t="s">
        <v>1304</v>
      </c>
      <c r="J97" s="2929">
        <v>6</v>
      </c>
      <c r="K97" s="2929">
        <v>9</v>
      </c>
      <c r="L97" s="2929">
        <v>12</v>
      </c>
      <c r="M97" s="369">
        <v>15</v>
      </c>
      <c r="N97" s="2929">
        <v>60</v>
      </c>
      <c r="O97" s="2929">
        <v>90</v>
      </c>
      <c r="P97" s="2929">
        <v>120</v>
      </c>
      <c r="Q97" s="369">
        <v>150</v>
      </c>
      <c r="R97" s="2929">
        <v>10</v>
      </c>
      <c r="S97" s="2929">
        <v>10</v>
      </c>
      <c r="T97" s="2931">
        <v>15</v>
      </c>
      <c r="U97" s="373">
        <v>15</v>
      </c>
      <c r="V97" s="2926" t="s">
        <v>3559</v>
      </c>
      <c r="W97" s="2926" t="s">
        <v>3560</v>
      </c>
      <c r="X97" s="2926" t="s">
        <v>3561</v>
      </c>
      <c r="Y97" s="2926" t="s">
        <v>3562</v>
      </c>
      <c r="Z97" s="2926" t="s">
        <v>3563</v>
      </c>
      <c r="AA97" s="371"/>
    </row>
    <row r="98" spans="1:27" ht="12.75" customHeight="1" x14ac:dyDescent="0.2">
      <c r="A98" s="6418"/>
      <c r="B98" s="251" t="str">
        <f t="shared" si="1"/>
        <v>Creación26</v>
      </c>
      <c r="D98" s="272" t="s">
        <v>9742</v>
      </c>
      <c r="E98" s="2929" t="s">
        <v>1705</v>
      </c>
      <c r="F98" s="2929">
        <v>26</v>
      </c>
      <c r="G98" s="2930" t="s">
        <v>2087</v>
      </c>
      <c r="H98" s="2930" t="s">
        <v>1234</v>
      </c>
      <c r="I98" s="368" t="s">
        <v>1304</v>
      </c>
      <c r="J98" s="2929">
        <v>6</v>
      </c>
      <c r="K98" s="2929">
        <v>9</v>
      </c>
      <c r="L98" s="2929">
        <v>12</v>
      </c>
      <c r="M98" s="369">
        <v>15</v>
      </c>
      <c r="N98" s="2929">
        <v>60</v>
      </c>
      <c r="O98" s="2929">
        <v>180</v>
      </c>
      <c r="P98" s="2929">
        <v>250</v>
      </c>
      <c r="Q98" s="369">
        <v>350</v>
      </c>
      <c r="R98" s="2929">
        <v>10</v>
      </c>
      <c r="S98" s="2929">
        <v>20</v>
      </c>
      <c r="T98" s="2931">
        <v>25</v>
      </c>
      <c r="U98" s="373">
        <v>35</v>
      </c>
      <c r="V98" s="2926" t="s">
        <v>3564</v>
      </c>
      <c r="W98" s="2926" t="s">
        <v>3565</v>
      </c>
      <c r="X98" s="2926" t="s">
        <v>3566</v>
      </c>
      <c r="Y98" s="2926" t="s">
        <v>3567</v>
      </c>
      <c r="Z98" s="2926" t="s">
        <v>3568</v>
      </c>
      <c r="AA98" s="371"/>
    </row>
    <row r="99" spans="1:27" ht="12.75" customHeight="1" x14ac:dyDescent="0.2">
      <c r="A99" s="6418"/>
      <c r="B99" s="251" t="str">
        <f t="shared" si="1"/>
        <v>Creación28</v>
      </c>
      <c r="D99" s="272" t="s">
        <v>9743</v>
      </c>
      <c r="E99" s="2929" t="s">
        <v>1705</v>
      </c>
      <c r="F99" s="2929">
        <v>28</v>
      </c>
      <c r="G99" s="2930" t="s">
        <v>2087</v>
      </c>
      <c r="H99" s="2930" t="s">
        <v>1233</v>
      </c>
      <c r="I99" s="368" t="s">
        <v>1304</v>
      </c>
      <c r="J99" s="2929">
        <v>6</v>
      </c>
      <c r="K99" s="2929">
        <v>9</v>
      </c>
      <c r="L99" s="2929">
        <v>12</v>
      </c>
      <c r="M99" s="369">
        <v>15</v>
      </c>
      <c r="N99" s="2929">
        <v>60</v>
      </c>
      <c r="O99" s="2929">
        <v>90</v>
      </c>
      <c r="P99" s="2929">
        <v>150</v>
      </c>
      <c r="Q99" s="369">
        <v>250</v>
      </c>
      <c r="R99" s="2929">
        <v>10</v>
      </c>
      <c r="S99" s="2929">
        <v>10</v>
      </c>
      <c r="T99" s="2931">
        <v>15</v>
      </c>
      <c r="U99" s="373">
        <v>25</v>
      </c>
      <c r="V99" s="2926" t="s">
        <v>3569</v>
      </c>
      <c r="W99" s="2926" t="s">
        <v>3570</v>
      </c>
      <c r="X99" s="2926" t="s">
        <v>3571</v>
      </c>
      <c r="Y99" s="2926" t="s">
        <v>3572</v>
      </c>
      <c r="Z99" s="2926" t="s">
        <v>3573</v>
      </c>
      <c r="AA99" s="371"/>
    </row>
    <row r="100" spans="1:27" ht="12.75" customHeight="1" x14ac:dyDescent="0.2">
      <c r="A100" s="6418"/>
      <c r="B100" s="251" t="str">
        <f t="shared" si="1"/>
        <v>Creación30</v>
      </c>
      <c r="D100" s="272" t="s">
        <v>9744</v>
      </c>
      <c r="E100" s="2929" t="s">
        <v>1705</v>
      </c>
      <c r="F100" s="2929">
        <v>30</v>
      </c>
      <c r="G100" s="2930" t="s">
        <v>2087</v>
      </c>
      <c r="H100" s="2930" t="s">
        <v>1234</v>
      </c>
      <c r="I100" s="368" t="s">
        <v>1304</v>
      </c>
      <c r="J100" s="2929">
        <v>6</v>
      </c>
      <c r="K100" s="2929">
        <v>9</v>
      </c>
      <c r="L100" s="2929">
        <v>12</v>
      </c>
      <c r="M100" s="369">
        <v>15</v>
      </c>
      <c r="N100" s="2929">
        <v>100</v>
      </c>
      <c r="O100" s="2929">
        <v>200</v>
      </c>
      <c r="P100" s="2929">
        <v>300</v>
      </c>
      <c r="Q100" s="369">
        <v>400</v>
      </c>
      <c r="R100" s="2929">
        <v>5</v>
      </c>
      <c r="S100" s="2929">
        <v>10</v>
      </c>
      <c r="T100" s="2931">
        <v>15</v>
      </c>
      <c r="U100" s="373">
        <v>20</v>
      </c>
      <c r="V100" s="2926" t="s">
        <v>3540</v>
      </c>
      <c r="W100" s="2926" t="s">
        <v>3403</v>
      </c>
      <c r="X100" s="2926" t="s">
        <v>3574</v>
      </c>
      <c r="Y100" s="2926" t="s">
        <v>3575</v>
      </c>
      <c r="Z100" s="2926" t="s">
        <v>3576</v>
      </c>
      <c r="AA100" s="371"/>
    </row>
    <row r="101" spans="1:27" ht="12.75" customHeight="1" x14ac:dyDescent="0.2">
      <c r="A101" s="6418"/>
      <c r="B101" s="251" t="str">
        <f t="shared" si="1"/>
        <v>Creación32</v>
      </c>
      <c r="D101" s="272" t="s">
        <v>195</v>
      </c>
      <c r="E101" s="2929" t="s">
        <v>1705</v>
      </c>
      <c r="F101" s="2929">
        <v>32</v>
      </c>
      <c r="G101" s="2930" t="s">
        <v>2087</v>
      </c>
      <c r="H101" s="2930" t="s">
        <v>1234</v>
      </c>
      <c r="I101" s="368" t="s">
        <v>1304</v>
      </c>
      <c r="J101" s="2929">
        <v>6</v>
      </c>
      <c r="K101" s="2929">
        <v>9</v>
      </c>
      <c r="L101" s="2929">
        <v>12</v>
      </c>
      <c r="M101" s="369">
        <v>15</v>
      </c>
      <c r="N101" s="2929">
        <v>80</v>
      </c>
      <c r="O101" s="2929">
        <v>180</v>
      </c>
      <c r="P101" s="2929">
        <v>240</v>
      </c>
      <c r="Q101" s="369">
        <v>300</v>
      </c>
      <c r="R101" s="2929">
        <v>10</v>
      </c>
      <c r="S101" s="2929">
        <v>20</v>
      </c>
      <c r="T101" s="2931">
        <v>25</v>
      </c>
      <c r="U101" s="373">
        <v>30</v>
      </c>
      <c r="V101" s="2926" t="s">
        <v>3577</v>
      </c>
      <c r="W101" s="2926" t="s">
        <v>3578</v>
      </c>
      <c r="X101" s="2926" t="s">
        <v>3579</v>
      </c>
      <c r="Y101" s="2926" t="s">
        <v>3580</v>
      </c>
      <c r="Z101" s="2926" t="s">
        <v>3581</v>
      </c>
      <c r="AA101" s="371"/>
    </row>
    <row r="102" spans="1:27" ht="12.75" customHeight="1" x14ac:dyDescent="0.2">
      <c r="A102" s="6418"/>
      <c r="B102" s="251" t="str">
        <f t="shared" si="1"/>
        <v>Creación36</v>
      </c>
      <c r="D102" s="272" t="s">
        <v>7346</v>
      </c>
      <c r="E102" s="2929" t="s">
        <v>1705</v>
      </c>
      <c r="F102" s="2929">
        <v>36</v>
      </c>
      <c r="G102" s="2930" t="s">
        <v>1381</v>
      </c>
      <c r="H102" s="2930" t="s">
        <v>3209</v>
      </c>
      <c r="I102" s="368" t="s">
        <v>1305</v>
      </c>
      <c r="J102" s="2929">
        <v>8</v>
      </c>
      <c r="K102" s="2929">
        <v>10</v>
      </c>
      <c r="L102" s="2929">
        <v>12</v>
      </c>
      <c r="M102" s="369">
        <v>14</v>
      </c>
      <c r="N102" s="2929">
        <v>80</v>
      </c>
      <c r="O102" s="2929">
        <v>120</v>
      </c>
      <c r="P102" s="2929">
        <v>160</v>
      </c>
      <c r="Q102" s="369">
        <v>240</v>
      </c>
      <c r="R102" s="2929" t="s">
        <v>1381</v>
      </c>
      <c r="S102" s="2929" t="s">
        <v>1381</v>
      </c>
      <c r="T102" s="2931" t="s">
        <v>1381</v>
      </c>
      <c r="U102" s="373" t="s">
        <v>1381</v>
      </c>
      <c r="V102" s="2926" t="s">
        <v>3583</v>
      </c>
      <c r="W102" s="2926" t="s">
        <v>3584</v>
      </c>
      <c r="X102" s="2926" t="s">
        <v>3585</v>
      </c>
      <c r="Y102" s="2926" t="s">
        <v>3586</v>
      </c>
      <c r="Z102" s="2926" t="s">
        <v>3587</v>
      </c>
      <c r="AA102" s="371"/>
    </row>
    <row r="103" spans="1:27" ht="12.75" customHeight="1" x14ac:dyDescent="0.2">
      <c r="A103" s="6418"/>
      <c r="B103" s="251" t="str">
        <f t="shared" si="1"/>
        <v>Creación38</v>
      </c>
      <c r="D103" s="272" t="s">
        <v>297</v>
      </c>
      <c r="E103" s="2929" t="s">
        <v>1705</v>
      </c>
      <c r="F103" s="2929">
        <v>38</v>
      </c>
      <c r="G103" s="2930" t="s">
        <v>2087</v>
      </c>
      <c r="H103" s="2930" t="s">
        <v>1233</v>
      </c>
      <c r="I103" s="368" t="s">
        <v>1304</v>
      </c>
      <c r="J103" s="2929">
        <v>6</v>
      </c>
      <c r="K103" s="2929">
        <v>9</v>
      </c>
      <c r="L103" s="2929">
        <v>12</v>
      </c>
      <c r="M103" s="369">
        <v>15</v>
      </c>
      <c r="N103" s="2929">
        <v>120</v>
      </c>
      <c r="O103" s="2929">
        <v>180</v>
      </c>
      <c r="P103" s="2929">
        <v>240</v>
      </c>
      <c r="Q103" s="369">
        <v>300</v>
      </c>
      <c r="R103" s="2929">
        <v>24</v>
      </c>
      <c r="S103" s="2929">
        <v>40</v>
      </c>
      <c r="T103" s="2931">
        <v>50</v>
      </c>
      <c r="U103" s="373">
        <v>60</v>
      </c>
      <c r="V103" s="2926" t="s">
        <v>3588</v>
      </c>
      <c r="W103" s="2926" t="s">
        <v>3589</v>
      </c>
      <c r="X103" s="2926" t="s">
        <v>3590</v>
      </c>
      <c r="Y103" s="2926" t="s">
        <v>3321</v>
      </c>
      <c r="Z103" s="2926" t="s">
        <v>3591</v>
      </c>
      <c r="AA103" s="371"/>
    </row>
    <row r="104" spans="1:27" ht="12.75" customHeight="1" x14ac:dyDescent="0.2">
      <c r="A104" s="6418"/>
      <c r="B104" s="251" t="str">
        <f t="shared" si="1"/>
        <v>Creación40</v>
      </c>
      <c r="D104" s="272" t="s">
        <v>298</v>
      </c>
      <c r="E104" s="2929" t="s">
        <v>1705</v>
      </c>
      <c r="F104" s="2929">
        <v>40</v>
      </c>
      <c r="G104" s="2930" t="s">
        <v>1381</v>
      </c>
      <c r="H104" s="2930" t="s">
        <v>1234</v>
      </c>
      <c r="I104" s="368" t="s">
        <v>1304</v>
      </c>
      <c r="J104" s="2929">
        <v>6</v>
      </c>
      <c r="K104" s="2929">
        <v>9</v>
      </c>
      <c r="L104" s="2929">
        <v>12</v>
      </c>
      <c r="M104" s="369">
        <v>15</v>
      </c>
      <c r="N104" s="2929">
        <v>80</v>
      </c>
      <c r="O104" s="2929">
        <v>180</v>
      </c>
      <c r="P104" s="2929">
        <v>280</v>
      </c>
      <c r="Q104" s="369">
        <v>350</v>
      </c>
      <c r="R104" s="2929">
        <v>5</v>
      </c>
      <c r="S104" s="2929">
        <v>10</v>
      </c>
      <c r="T104" s="2931">
        <v>15</v>
      </c>
      <c r="U104" s="373">
        <v>20</v>
      </c>
      <c r="V104" s="2926" t="s">
        <v>3592</v>
      </c>
      <c r="W104" s="2926" t="s">
        <v>3593</v>
      </c>
      <c r="X104" s="2926" t="s">
        <v>3594</v>
      </c>
      <c r="Y104" s="2926" t="s">
        <v>3595</v>
      </c>
      <c r="Z104" s="2926" t="s">
        <v>3596</v>
      </c>
      <c r="AA104" s="371"/>
    </row>
    <row r="105" spans="1:27" ht="12.75" customHeight="1" x14ac:dyDescent="0.2">
      <c r="A105" s="6418"/>
      <c r="B105" s="251" t="str">
        <f t="shared" si="1"/>
        <v>Creación42</v>
      </c>
      <c r="D105" s="272" t="s">
        <v>299</v>
      </c>
      <c r="E105" s="2929" t="s">
        <v>1705</v>
      </c>
      <c r="F105" s="2929">
        <v>42</v>
      </c>
      <c r="G105" s="2930" t="s">
        <v>1381</v>
      </c>
      <c r="H105" s="2930" t="s">
        <v>1234</v>
      </c>
      <c r="I105" s="368" t="s">
        <v>1304</v>
      </c>
      <c r="J105" s="2929">
        <v>7</v>
      </c>
      <c r="K105" s="2929">
        <v>9</v>
      </c>
      <c r="L105" s="2929">
        <v>12</v>
      </c>
      <c r="M105" s="369">
        <v>15</v>
      </c>
      <c r="N105" s="2929">
        <v>140</v>
      </c>
      <c r="O105" s="2929">
        <v>180</v>
      </c>
      <c r="P105" s="2929">
        <v>240</v>
      </c>
      <c r="Q105" s="369">
        <v>350</v>
      </c>
      <c r="R105" s="2929">
        <v>15</v>
      </c>
      <c r="S105" s="2929">
        <v>20</v>
      </c>
      <c r="T105" s="2931">
        <v>25</v>
      </c>
      <c r="U105" s="373">
        <v>30</v>
      </c>
      <c r="V105" s="2926" t="s">
        <v>3597</v>
      </c>
      <c r="W105" s="2926" t="s">
        <v>3598</v>
      </c>
      <c r="X105" s="2926" t="s">
        <v>3599</v>
      </c>
      <c r="Y105" s="2926" t="s">
        <v>3600</v>
      </c>
      <c r="Z105" s="2926" t="s">
        <v>3601</v>
      </c>
      <c r="AA105" s="371"/>
    </row>
    <row r="106" spans="1:27" ht="12.75" customHeight="1" x14ac:dyDescent="0.2">
      <c r="A106" s="6418"/>
      <c r="B106" s="251" t="str">
        <f t="shared" si="1"/>
        <v>Creación46</v>
      </c>
      <c r="D106" s="272" t="s">
        <v>9745</v>
      </c>
      <c r="E106" s="2929" t="s">
        <v>1705</v>
      </c>
      <c r="F106" s="2929">
        <v>46</v>
      </c>
      <c r="G106" s="2930" t="s">
        <v>1381</v>
      </c>
      <c r="H106" s="2930" t="s">
        <v>1233</v>
      </c>
      <c r="I106" s="368" t="s">
        <v>1304</v>
      </c>
      <c r="J106" s="2929">
        <v>7</v>
      </c>
      <c r="K106" s="2929">
        <v>9</v>
      </c>
      <c r="L106" s="2929">
        <v>12</v>
      </c>
      <c r="M106" s="369">
        <v>15</v>
      </c>
      <c r="N106" s="2929">
        <v>140</v>
      </c>
      <c r="O106" s="2929">
        <v>180</v>
      </c>
      <c r="P106" s="2929">
        <v>240</v>
      </c>
      <c r="Q106" s="369">
        <v>350</v>
      </c>
      <c r="R106" s="2929" t="s">
        <v>1381</v>
      </c>
      <c r="S106" s="2929" t="s">
        <v>1381</v>
      </c>
      <c r="T106" s="2931" t="s">
        <v>1381</v>
      </c>
      <c r="U106" s="373" t="s">
        <v>1381</v>
      </c>
      <c r="V106" s="2926" t="s">
        <v>3602</v>
      </c>
      <c r="W106" s="2926" t="s">
        <v>3603</v>
      </c>
      <c r="X106" s="2926" t="s">
        <v>3604</v>
      </c>
      <c r="Y106" s="2926" t="s">
        <v>3605</v>
      </c>
      <c r="Z106" s="2926" t="s">
        <v>3606</v>
      </c>
      <c r="AA106" s="371"/>
    </row>
    <row r="107" spans="1:27" ht="12.75" customHeight="1" x14ac:dyDescent="0.2">
      <c r="A107" s="6418"/>
      <c r="B107" s="251" t="str">
        <f t="shared" si="1"/>
        <v>Creación48</v>
      </c>
      <c r="D107" s="272" t="s">
        <v>9746</v>
      </c>
      <c r="E107" s="2929" t="s">
        <v>1705</v>
      </c>
      <c r="F107" s="2929">
        <v>48</v>
      </c>
      <c r="G107" s="2930" t="s">
        <v>1381</v>
      </c>
      <c r="H107" s="2930" t="s">
        <v>1234</v>
      </c>
      <c r="I107" s="368" t="s">
        <v>1304</v>
      </c>
      <c r="J107" s="2929">
        <v>8</v>
      </c>
      <c r="K107" s="2929">
        <v>10</v>
      </c>
      <c r="L107" s="2929">
        <v>12</v>
      </c>
      <c r="M107" s="369">
        <v>14</v>
      </c>
      <c r="N107" s="2929">
        <v>250</v>
      </c>
      <c r="O107" s="2929">
        <v>300</v>
      </c>
      <c r="P107" s="2929">
        <v>350</v>
      </c>
      <c r="Q107" s="369">
        <v>400</v>
      </c>
      <c r="R107" s="2929" t="s">
        <v>1381</v>
      </c>
      <c r="S107" s="2929" t="s">
        <v>1381</v>
      </c>
      <c r="T107" s="2931" t="s">
        <v>1381</v>
      </c>
      <c r="U107" s="373" t="s">
        <v>1381</v>
      </c>
      <c r="V107" s="2926" t="s">
        <v>3607</v>
      </c>
      <c r="W107" s="2926" t="s">
        <v>3608</v>
      </c>
      <c r="X107" s="2926" t="s">
        <v>3609</v>
      </c>
      <c r="Y107" s="2926" t="s">
        <v>3610</v>
      </c>
      <c r="Z107" s="2926" t="s">
        <v>3611</v>
      </c>
      <c r="AA107" s="371"/>
    </row>
    <row r="108" spans="1:27" ht="12.75" customHeight="1" x14ac:dyDescent="0.2">
      <c r="A108" s="6418"/>
      <c r="B108" s="251" t="str">
        <f t="shared" si="1"/>
        <v>Creación50</v>
      </c>
      <c r="D108" s="272" t="s">
        <v>9747</v>
      </c>
      <c r="E108" s="2929" t="s">
        <v>1705</v>
      </c>
      <c r="F108" s="2929">
        <v>50</v>
      </c>
      <c r="G108" s="2930" t="s">
        <v>1381</v>
      </c>
      <c r="H108" s="2930" t="s">
        <v>1234</v>
      </c>
      <c r="I108" s="368" t="s">
        <v>1304</v>
      </c>
      <c r="J108" s="2929">
        <v>7</v>
      </c>
      <c r="K108" s="2929">
        <v>10</v>
      </c>
      <c r="L108" s="2929">
        <v>13</v>
      </c>
      <c r="M108" s="369">
        <v>16</v>
      </c>
      <c r="N108" s="2929">
        <v>100</v>
      </c>
      <c r="O108" s="2929">
        <v>200</v>
      </c>
      <c r="P108" s="2929">
        <v>300</v>
      </c>
      <c r="Q108" s="369">
        <v>400</v>
      </c>
      <c r="R108" s="2929">
        <v>20</v>
      </c>
      <c r="S108" s="2929">
        <v>40</v>
      </c>
      <c r="T108" s="2931">
        <v>50</v>
      </c>
      <c r="U108" s="373">
        <v>60</v>
      </c>
      <c r="V108" s="2926" t="s">
        <v>3612</v>
      </c>
      <c r="W108" s="2926" t="s">
        <v>3613</v>
      </c>
      <c r="X108" s="2926" t="s">
        <v>3614</v>
      </c>
      <c r="Y108" s="2926" t="s">
        <v>3615</v>
      </c>
      <c r="Z108" s="2926" t="s">
        <v>3616</v>
      </c>
      <c r="AA108" s="371"/>
    </row>
    <row r="109" spans="1:27" ht="12.75" customHeight="1" x14ac:dyDescent="0.2">
      <c r="A109" s="6418"/>
      <c r="B109" s="251" t="str">
        <f t="shared" si="1"/>
        <v>Creación52</v>
      </c>
      <c r="D109" s="272" t="s">
        <v>9748</v>
      </c>
      <c r="E109" s="2929" t="s">
        <v>1705</v>
      </c>
      <c r="F109" s="2929">
        <v>52</v>
      </c>
      <c r="G109" s="2930" t="s">
        <v>1381</v>
      </c>
      <c r="H109" s="2930" t="s">
        <v>1234</v>
      </c>
      <c r="I109" s="368" t="s">
        <v>1304</v>
      </c>
      <c r="J109" s="2929">
        <v>8</v>
      </c>
      <c r="K109" s="2929">
        <v>10</v>
      </c>
      <c r="L109" s="2929">
        <v>12</v>
      </c>
      <c r="M109" s="369">
        <v>15</v>
      </c>
      <c r="N109" s="2929">
        <v>80</v>
      </c>
      <c r="O109" s="2929">
        <v>120</v>
      </c>
      <c r="P109" s="2929">
        <v>250</v>
      </c>
      <c r="Q109" s="369">
        <v>500</v>
      </c>
      <c r="R109" s="2929">
        <v>10</v>
      </c>
      <c r="S109" s="2929">
        <v>15</v>
      </c>
      <c r="T109" s="2931">
        <v>25</v>
      </c>
      <c r="U109" s="373">
        <v>50</v>
      </c>
      <c r="V109" s="2926" t="s">
        <v>3617</v>
      </c>
      <c r="W109" s="2926" t="s">
        <v>3618</v>
      </c>
      <c r="X109" s="2926" t="s">
        <v>3619</v>
      </c>
      <c r="Y109" s="2926" t="s">
        <v>3620</v>
      </c>
      <c r="Z109" s="2926" t="s">
        <v>3621</v>
      </c>
      <c r="AA109" s="371"/>
    </row>
    <row r="110" spans="1:27" ht="12.75" customHeight="1" x14ac:dyDescent="0.2">
      <c r="A110" s="6418"/>
      <c r="B110" s="251" t="str">
        <f t="shared" si="1"/>
        <v>Creación56</v>
      </c>
      <c r="D110" s="272" t="s">
        <v>9749</v>
      </c>
      <c r="E110" s="2929" t="s">
        <v>1705</v>
      </c>
      <c r="F110" s="2929">
        <v>56</v>
      </c>
      <c r="G110" s="2930" t="s">
        <v>1381</v>
      </c>
      <c r="H110" s="2930" t="s">
        <v>1234</v>
      </c>
      <c r="I110" s="368" t="s">
        <v>1305</v>
      </c>
      <c r="J110" s="2929">
        <v>6</v>
      </c>
      <c r="K110" s="2929">
        <v>9</v>
      </c>
      <c r="L110" s="2929">
        <v>12</v>
      </c>
      <c r="M110" s="369">
        <v>15</v>
      </c>
      <c r="N110" s="2929">
        <v>120</v>
      </c>
      <c r="O110" s="2929">
        <v>180</v>
      </c>
      <c r="P110" s="2929">
        <v>240</v>
      </c>
      <c r="Q110" s="369">
        <v>350</v>
      </c>
      <c r="R110" s="2929">
        <v>10</v>
      </c>
      <c r="S110" s="2929">
        <v>15</v>
      </c>
      <c r="T110" s="2931">
        <v>25</v>
      </c>
      <c r="U110" s="373">
        <v>35</v>
      </c>
      <c r="V110" s="2926" t="s">
        <v>3622</v>
      </c>
      <c r="W110" s="2926" t="s">
        <v>3623</v>
      </c>
      <c r="X110" s="2926" t="s">
        <v>3624</v>
      </c>
      <c r="Y110" s="2926" t="s">
        <v>3625</v>
      </c>
      <c r="Z110" s="2926" t="s">
        <v>3626</v>
      </c>
      <c r="AA110" s="371"/>
    </row>
    <row r="111" spans="1:27" ht="12.75" customHeight="1" x14ac:dyDescent="0.2">
      <c r="A111" s="6418"/>
      <c r="B111" s="251" t="str">
        <f t="shared" si="1"/>
        <v>Creación58</v>
      </c>
      <c r="D111" s="272" t="s">
        <v>9750</v>
      </c>
      <c r="E111" s="2929" t="s">
        <v>1705</v>
      </c>
      <c r="F111" s="2929">
        <v>58</v>
      </c>
      <c r="G111" s="2930" t="s">
        <v>1381</v>
      </c>
      <c r="H111" s="2930" t="s">
        <v>1233</v>
      </c>
      <c r="I111" s="368" t="s">
        <v>1304</v>
      </c>
      <c r="J111" s="2929">
        <v>8</v>
      </c>
      <c r="K111" s="2929">
        <v>10</v>
      </c>
      <c r="L111" s="2929">
        <v>12</v>
      </c>
      <c r="M111" s="369">
        <v>15</v>
      </c>
      <c r="N111" s="2929">
        <v>150</v>
      </c>
      <c r="O111" s="2929">
        <v>200</v>
      </c>
      <c r="P111" s="2929">
        <v>250</v>
      </c>
      <c r="Q111" s="369">
        <v>300</v>
      </c>
      <c r="R111" s="2929">
        <v>15</v>
      </c>
      <c r="S111" s="2929">
        <v>20</v>
      </c>
      <c r="T111" s="2931">
        <v>25</v>
      </c>
      <c r="U111" s="373">
        <v>30</v>
      </c>
      <c r="V111" s="2926" t="s">
        <v>3627</v>
      </c>
      <c r="W111" s="2926" t="s">
        <v>3589</v>
      </c>
      <c r="X111" s="2926" t="s">
        <v>3590</v>
      </c>
      <c r="Y111" s="2926" t="s">
        <v>3321</v>
      </c>
      <c r="Z111" s="2926" t="s">
        <v>3628</v>
      </c>
      <c r="AA111" s="371"/>
    </row>
    <row r="112" spans="1:27" ht="12.75" customHeight="1" x14ac:dyDescent="0.2">
      <c r="A112" s="6418"/>
      <c r="B112" s="251" t="str">
        <f t="shared" si="1"/>
        <v>Creación60</v>
      </c>
      <c r="D112" s="272" t="s">
        <v>9751</v>
      </c>
      <c r="E112" s="2929" t="s">
        <v>1705</v>
      </c>
      <c r="F112" s="2929">
        <v>60</v>
      </c>
      <c r="G112" s="2930" t="s">
        <v>2087</v>
      </c>
      <c r="H112" s="2930" t="s">
        <v>1564</v>
      </c>
      <c r="I112" s="368" t="s">
        <v>1304</v>
      </c>
      <c r="J112" s="2929">
        <v>8</v>
      </c>
      <c r="K112" s="2929">
        <v>10</v>
      </c>
      <c r="L112" s="2929">
        <v>13</v>
      </c>
      <c r="M112" s="369">
        <v>16</v>
      </c>
      <c r="N112" s="2929">
        <v>150</v>
      </c>
      <c r="O112" s="2929">
        <v>200</v>
      </c>
      <c r="P112" s="2929">
        <v>300</v>
      </c>
      <c r="Q112" s="369">
        <v>400</v>
      </c>
      <c r="R112" s="2929">
        <v>15</v>
      </c>
      <c r="S112" s="2929">
        <v>20</v>
      </c>
      <c r="T112" s="2931">
        <v>30</v>
      </c>
      <c r="U112" s="373">
        <v>40</v>
      </c>
      <c r="V112" s="2926" t="s">
        <v>3629</v>
      </c>
      <c r="W112" s="2926" t="s">
        <v>3630</v>
      </c>
      <c r="X112" s="2926" t="s">
        <v>3631</v>
      </c>
      <c r="Y112" s="2926" t="s">
        <v>3632</v>
      </c>
      <c r="Z112" s="2926" t="s">
        <v>3633</v>
      </c>
      <c r="AA112" s="371"/>
    </row>
    <row r="113" spans="1:27" ht="12.75" customHeight="1" x14ac:dyDescent="0.2">
      <c r="A113" s="6418"/>
      <c r="B113" s="251" t="str">
        <f t="shared" si="1"/>
        <v>Creación62</v>
      </c>
      <c r="D113" s="272" t="s">
        <v>9752</v>
      </c>
      <c r="E113" s="2929" t="s">
        <v>1705</v>
      </c>
      <c r="F113" s="2929">
        <v>62</v>
      </c>
      <c r="G113" s="2930" t="s">
        <v>2087</v>
      </c>
      <c r="H113" s="2930" t="s">
        <v>1234</v>
      </c>
      <c r="I113" s="368" t="s">
        <v>1304</v>
      </c>
      <c r="J113" s="2929">
        <v>8</v>
      </c>
      <c r="K113" s="2929">
        <v>10</v>
      </c>
      <c r="L113" s="2929">
        <v>13</v>
      </c>
      <c r="M113" s="369">
        <v>16</v>
      </c>
      <c r="N113" s="2929">
        <v>150</v>
      </c>
      <c r="O113" s="2929">
        <v>200</v>
      </c>
      <c r="P113" s="2929">
        <v>250</v>
      </c>
      <c r="Q113" s="369">
        <v>350</v>
      </c>
      <c r="R113" s="2929">
        <v>15</v>
      </c>
      <c r="S113" s="2929">
        <v>20</v>
      </c>
      <c r="T113" s="2931">
        <v>25</v>
      </c>
      <c r="U113" s="373">
        <v>35</v>
      </c>
      <c r="V113" s="2926" t="s">
        <v>3634</v>
      </c>
      <c r="W113" s="2926" t="s">
        <v>3635</v>
      </c>
      <c r="X113" s="2926" t="s">
        <v>3636</v>
      </c>
      <c r="Y113" s="2926" t="s">
        <v>3637</v>
      </c>
      <c r="Z113" s="2926" t="s">
        <v>3638</v>
      </c>
      <c r="AA113" s="371"/>
    </row>
    <row r="114" spans="1:27" ht="12.75" customHeight="1" x14ac:dyDescent="0.2">
      <c r="A114" s="6418"/>
      <c r="B114" s="251" t="str">
        <f t="shared" si="1"/>
        <v>Creación66</v>
      </c>
      <c r="D114" s="272" t="s">
        <v>9753</v>
      </c>
      <c r="E114" s="2929" t="s">
        <v>1705</v>
      </c>
      <c r="F114" s="2929">
        <v>66</v>
      </c>
      <c r="G114" s="2930" t="s">
        <v>2087</v>
      </c>
      <c r="H114" s="2930" t="s">
        <v>1234</v>
      </c>
      <c r="I114" s="368" t="s">
        <v>1304</v>
      </c>
      <c r="J114" s="2929">
        <v>8</v>
      </c>
      <c r="K114" s="2929">
        <v>10</v>
      </c>
      <c r="L114" s="2929">
        <v>12</v>
      </c>
      <c r="M114" s="369">
        <v>14</v>
      </c>
      <c r="N114" s="2929">
        <v>150</v>
      </c>
      <c r="O114" s="2929">
        <v>200</v>
      </c>
      <c r="P114" s="2929">
        <v>300</v>
      </c>
      <c r="Q114" s="369">
        <v>400</v>
      </c>
      <c r="R114" s="2929">
        <v>15</v>
      </c>
      <c r="S114" s="2929">
        <v>20</v>
      </c>
      <c r="T114" s="2931">
        <v>30</v>
      </c>
      <c r="U114" s="373">
        <v>40</v>
      </c>
      <c r="V114" s="2926" t="s">
        <v>3542</v>
      </c>
      <c r="W114" s="2926" t="s">
        <v>3403</v>
      </c>
      <c r="X114" s="2926" t="s">
        <v>3574</v>
      </c>
      <c r="Y114" s="2926" t="s">
        <v>3639</v>
      </c>
      <c r="Z114" s="2926" t="s">
        <v>3640</v>
      </c>
      <c r="AA114" s="371"/>
    </row>
    <row r="115" spans="1:27" ht="12.75" customHeight="1" x14ac:dyDescent="0.2">
      <c r="A115" s="6418"/>
      <c r="B115" s="251" t="str">
        <f t="shared" si="1"/>
        <v>Creación68</v>
      </c>
      <c r="D115" s="272" t="s">
        <v>9754</v>
      </c>
      <c r="E115" s="2929" t="s">
        <v>1705</v>
      </c>
      <c r="F115" s="2929">
        <v>68</v>
      </c>
      <c r="G115" s="2930" t="s">
        <v>1381</v>
      </c>
      <c r="H115" s="2930" t="s">
        <v>1234</v>
      </c>
      <c r="I115" s="368" t="s">
        <v>1305</v>
      </c>
      <c r="J115" s="2929">
        <v>8</v>
      </c>
      <c r="K115" s="2929">
        <v>12</v>
      </c>
      <c r="L115" s="2929">
        <v>15</v>
      </c>
      <c r="M115" s="369">
        <v>18</v>
      </c>
      <c r="N115" s="2929">
        <v>100</v>
      </c>
      <c r="O115" s="2929">
        <v>200</v>
      </c>
      <c r="P115" s="2929">
        <v>300</v>
      </c>
      <c r="Q115" s="369">
        <v>400</v>
      </c>
      <c r="R115" s="2929">
        <v>10</v>
      </c>
      <c r="S115" s="2929">
        <v>20</v>
      </c>
      <c r="T115" s="2931">
        <v>30</v>
      </c>
      <c r="U115" s="373">
        <v>40</v>
      </c>
      <c r="V115" s="2926" t="s">
        <v>3641</v>
      </c>
      <c r="W115" s="2926" t="s">
        <v>3642</v>
      </c>
      <c r="X115" s="2926" t="s">
        <v>3643</v>
      </c>
      <c r="Y115" s="2926" t="s">
        <v>3644</v>
      </c>
      <c r="Z115" s="2927" t="s">
        <v>3645</v>
      </c>
      <c r="AA115" s="371"/>
    </row>
    <row r="116" spans="1:27" ht="12.75" customHeight="1" x14ac:dyDescent="0.2">
      <c r="A116" s="6418"/>
      <c r="B116" s="251" t="str">
        <f t="shared" si="1"/>
        <v>Creación70</v>
      </c>
      <c r="D116" s="272" t="s">
        <v>9755</v>
      </c>
      <c r="E116" s="2929" t="s">
        <v>1705</v>
      </c>
      <c r="F116" s="2929">
        <v>70</v>
      </c>
      <c r="G116" s="2930" t="s">
        <v>1381</v>
      </c>
      <c r="H116" s="2930" t="s">
        <v>1233</v>
      </c>
      <c r="I116" s="368" t="s">
        <v>1304</v>
      </c>
      <c r="J116" s="2929">
        <v>9</v>
      </c>
      <c r="K116" s="2929">
        <v>12</v>
      </c>
      <c r="L116" s="2929">
        <v>15</v>
      </c>
      <c r="M116" s="369">
        <v>18</v>
      </c>
      <c r="N116" s="2929">
        <v>250</v>
      </c>
      <c r="O116" s="2929">
        <v>350</v>
      </c>
      <c r="P116" s="2929">
        <v>500</v>
      </c>
      <c r="Q116" s="369">
        <v>800</v>
      </c>
      <c r="R116" s="2929" t="s">
        <v>1381</v>
      </c>
      <c r="S116" s="2929" t="s">
        <v>1381</v>
      </c>
      <c r="T116" s="2931" t="s">
        <v>1381</v>
      </c>
      <c r="U116" s="373" t="s">
        <v>1381</v>
      </c>
      <c r="V116" s="2926" t="s">
        <v>3646</v>
      </c>
      <c r="W116" s="2926" t="s">
        <v>3647</v>
      </c>
      <c r="X116" s="2926" t="s">
        <v>3648</v>
      </c>
      <c r="Y116" s="2926" t="s">
        <v>3649</v>
      </c>
      <c r="Z116" s="2926" t="s">
        <v>3650</v>
      </c>
      <c r="AA116" s="371"/>
    </row>
    <row r="117" spans="1:27" ht="12.75" customHeight="1" x14ac:dyDescent="0.2">
      <c r="A117" s="6418"/>
      <c r="B117" s="251" t="str">
        <f t="shared" si="1"/>
        <v>Creación72</v>
      </c>
      <c r="D117" s="272" t="s">
        <v>1</v>
      </c>
      <c r="E117" s="2929" t="s">
        <v>1705</v>
      </c>
      <c r="F117" s="2929">
        <v>72</v>
      </c>
      <c r="G117" s="2930" t="s">
        <v>2087</v>
      </c>
      <c r="H117" s="2930" t="s">
        <v>1233</v>
      </c>
      <c r="I117" s="368" t="s">
        <v>1304</v>
      </c>
      <c r="J117" s="2929">
        <v>8</v>
      </c>
      <c r="K117" s="2929">
        <v>10</v>
      </c>
      <c r="L117" s="2929">
        <v>12</v>
      </c>
      <c r="M117" s="369">
        <v>14</v>
      </c>
      <c r="N117" s="2929">
        <v>150</v>
      </c>
      <c r="O117" s="2929">
        <v>200</v>
      </c>
      <c r="P117" s="2929">
        <v>250</v>
      </c>
      <c r="Q117" s="369">
        <v>350</v>
      </c>
      <c r="R117" s="2929">
        <v>10</v>
      </c>
      <c r="S117" s="2929">
        <v>10</v>
      </c>
      <c r="T117" s="2931">
        <v>15</v>
      </c>
      <c r="U117" s="373">
        <v>20</v>
      </c>
      <c r="V117" s="2926" t="s">
        <v>3627</v>
      </c>
      <c r="W117" s="2926" t="s">
        <v>3589</v>
      </c>
      <c r="X117" s="2926" t="s">
        <v>3486</v>
      </c>
      <c r="Y117" s="2926" t="s">
        <v>3487</v>
      </c>
      <c r="Z117" s="2926" t="s">
        <v>3651</v>
      </c>
      <c r="AA117" s="371"/>
    </row>
    <row r="118" spans="1:27" ht="12.75" customHeight="1" x14ac:dyDescent="0.2">
      <c r="A118" s="6418"/>
      <c r="B118" s="251" t="str">
        <f t="shared" si="1"/>
        <v>Creación76</v>
      </c>
      <c r="D118" s="272" t="s">
        <v>9756</v>
      </c>
      <c r="E118" s="2929" t="s">
        <v>1705</v>
      </c>
      <c r="F118" s="2929">
        <v>76</v>
      </c>
      <c r="G118" s="2930" t="s">
        <v>1381</v>
      </c>
      <c r="H118" s="2930" t="s">
        <v>1234</v>
      </c>
      <c r="I118" s="368" t="s">
        <v>1304</v>
      </c>
      <c r="J118" s="2929">
        <v>8</v>
      </c>
      <c r="K118" s="2929">
        <v>12</v>
      </c>
      <c r="L118" s="2929">
        <v>15</v>
      </c>
      <c r="M118" s="369">
        <v>18</v>
      </c>
      <c r="N118" s="2929">
        <v>300</v>
      </c>
      <c r="O118" s="2929">
        <v>500</v>
      </c>
      <c r="P118" s="2929">
        <v>750</v>
      </c>
      <c r="Q118" s="369">
        <v>1500</v>
      </c>
      <c r="R118" s="2929" t="s">
        <v>1381</v>
      </c>
      <c r="S118" s="2929" t="s">
        <v>1381</v>
      </c>
      <c r="T118" s="2931" t="s">
        <v>1381</v>
      </c>
      <c r="U118" s="373" t="s">
        <v>1381</v>
      </c>
      <c r="V118" s="2926" t="s">
        <v>3652</v>
      </c>
      <c r="W118" s="2926" t="s">
        <v>3574</v>
      </c>
      <c r="X118" s="2926" t="s">
        <v>3653</v>
      </c>
      <c r="Y118" s="2926" t="s">
        <v>3654</v>
      </c>
      <c r="Z118" s="2926" t="s">
        <v>3655</v>
      </c>
      <c r="AA118" s="371"/>
    </row>
    <row r="119" spans="1:27" ht="12.75" customHeight="1" x14ac:dyDescent="0.2">
      <c r="A119" s="6418"/>
      <c r="B119" s="251" t="str">
        <f t="shared" si="1"/>
        <v>Creación78</v>
      </c>
      <c r="D119" s="272" t="s">
        <v>300</v>
      </c>
      <c r="E119" s="2929" t="s">
        <v>1705</v>
      </c>
      <c r="F119" s="2929">
        <v>78</v>
      </c>
      <c r="G119" s="2930" t="s">
        <v>2087</v>
      </c>
      <c r="H119" s="2930" t="s">
        <v>1234</v>
      </c>
      <c r="I119" s="368" t="s">
        <v>1304</v>
      </c>
      <c r="J119" s="2929">
        <v>9</v>
      </c>
      <c r="K119" s="2929">
        <v>12</v>
      </c>
      <c r="L119" s="2929">
        <v>15</v>
      </c>
      <c r="M119" s="369">
        <v>17</v>
      </c>
      <c r="N119" s="2929">
        <v>250</v>
      </c>
      <c r="O119" s="2929">
        <v>400</v>
      </c>
      <c r="P119" s="2933">
        <v>600</v>
      </c>
      <c r="Q119" s="375">
        <v>1000</v>
      </c>
      <c r="R119" s="2933">
        <v>50</v>
      </c>
      <c r="S119" s="2933">
        <v>80</v>
      </c>
      <c r="T119" s="2931">
        <v>120</v>
      </c>
      <c r="U119" s="373">
        <v>200</v>
      </c>
      <c r="V119" s="2926" t="s">
        <v>3656</v>
      </c>
      <c r="W119" s="2926" t="s">
        <v>3657</v>
      </c>
      <c r="X119" s="2926" t="s">
        <v>3658</v>
      </c>
      <c r="Y119" s="2926" t="s">
        <v>3620</v>
      </c>
      <c r="Z119" s="2926" t="s">
        <v>3659</v>
      </c>
      <c r="AA119" s="371"/>
    </row>
    <row r="120" spans="1:27" ht="12.75" customHeight="1" x14ac:dyDescent="0.2">
      <c r="A120" s="6418"/>
      <c r="B120" s="251" t="str">
        <f t="shared" si="1"/>
        <v>Creación80</v>
      </c>
      <c r="D120" s="272" t="s">
        <v>9757</v>
      </c>
      <c r="E120" s="2929" t="s">
        <v>1705</v>
      </c>
      <c r="F120" s="2929">
        <v>80</v>
      </c>
      <c r="G120" s="2930" t="s">
        <v>1381</v>
      </c>
      <c r="H120" s="2930" t="s">
        <v>1234</v>
      </c>
      <c r="I120" s="368" t="s">
        <v>1304</v>
      </c>
      <c r="J120" s="2929">
        <v>10</v>
      </c>
      <c r="K120" s="2929">
        <v>13</v>
      </c>
      <c r="L120" s="2929">
        <v>15</v>
      </c>
      <c r="M120" s="369">
        <v>17</v>
      </c>
      <c r="N120" s="2929">
        <v>250</v>
      </c>
      <c r="O120" s="2929">
        <v>500</v>
      </c>
      <c r="P120" s="2933">
        <v>1000</v>
      </c>
      <c r="Q120" s="375">
        <v>2500</v>
      </c>
      <c r="R120" s="2929" t="s">
        <v>1381</v>
      </c>
      <c r="S120" s="2929" t="s">
        <v>1381</v>
      </c>
      <c r="T120" s="2931" t="s">
        <v>1381</v>
      </c>
      <c r="U120" s="373" t="s">
        <v>1381</v>
      </c>
      <c r="V120" s="2926" t="s">
        <v>10215</v>
      </c>
      <c r="W120" s="2926" t="s">
        <v>10216</v>
      </c>
      <c r="X120" s="2926" t="s">
        <v>10217</v>
      </c>
      <c r="Y120" s="2926" t="s">
        <v>10218</v>
      </c>
      <c r="Z120" s="2926" t="s">
        <v>3660</v>
      </c>
      <c r="AA120" s="371"/>
    </row>
    <row r="121" spans="1:27" ht="12.75" customHeight="1" x14ac:dyDescent="0.2">
      <c r="A121" s="6418"/>
      <c r="B121" s="251" t="str">
        <f t="shared" si="1"/>
        <v>Creación82</v>
      </c>
      <c r="D121" s="272" t="s">
        <v>9758</v>
      </c>
      <c r="E121" s="2929" t="s">
        <v>1705</v>
      </c>
      <c r="F121" s="2929">
        <v>82</v>
      </c>
      <c r="G121" s="2930" t="s">
        <v>2087</v>
      </c>
      <c r="H121" s="2930" t="s">
        <v>3209</v>
      </c>
      <c r="I121" s="368" t="s">
        <v>1304</v>
      </c>
      <c r="J121" s="2929">
        <v>12</v>
      </c>
      <c r="K121" s="2929">
        <v>15</v>
      </c>
      <c r="L121" s="2929">
        <v>17</v>
      </c>
      <c r="M121" s="369">
        <v>18</v>
      </c>
      <c r="N121" s="2929">
        <v>350</v>
      </c>
      <c r="O121" s="2929">
        <v>500</v>
      </c>
      <c r="P121" s="2929">
        <v>800</v>
      </c>
      <c r="Q121" s="369">
        <v>1500</v>
      </c>
      <c r="R121" s="2929">
        <v>35</v>
      </c>
      <c r="S121" s="2929">
        <v>50</v>
      </c>
      <c r="T121" s="2931">
        <v>80</v>
      </c>
      <c r="U121" s="373">
        <v>150</v>
      </c>
      <c r="V121" s="2926" t="s">
        <v>3316</v>
      </c>
      <c r="W121" s="2926" t="s">
        <v>3318</v>
      </c>
      <c r="X121" s="2926" t="s">
        <v>10049</v>
      </c>
      <c r="Y121" s="2926" t="s">
        <v>10050</v>
      </c>
      <c r="Z121" s="2926" t="s">
        <v>3661</v>
      </c>
      <c r="AA121" s="371"/>
    </row>
    <row r="122" spans="1:27" ht="12.75" customHeight="1" x14ac:dyDescent="0.2">
      <c r="A122" s="6418"/>
      <c r="B122" s="251" t="str">
        <f t="shared" si="1"/>
        <v>Creación86</v>
      </c>
      <c r="D122" s="272" t="s">
        <v>2801</v>
      </c>
      <c r="E122" s="2929" t="s">
        <v>1705</v>
      </c>
      <c r="F122" s="2929">
        <v>86</v>
      </c>
      <c r="G122" s="2930" t="s">
        <v>1381</v>
      </c>
      <c r="H122" s="2930" t="s">
        <v>1234</v>
      </c>
      <c r="I122" s="368" t="s">
        <v>1304</v>
      </c>
      <c r="J122" s="2929">
        <v>10</v>
      </c>
      <c r="K122" s="2929">
        <v>12</v>
      </c>
      <c r="L122" s="2929">
        <v>14</v>
      </c>
      <c r="M122" s="369">
        <v>16</v>
      </c>
      <c r="N122" s="2929">
        <v>250</v>
      </c>
      <c r="O122" s="2929">
        <v>500</v>
      </c>
      <c r="P122" s="2929">
        <v>900</v>
      </c>
      <c r="Q122" s="369">
        <v>1600</v>
      </c>
      <c r="R122" s="2929" t="s">
        <v>1381</v>
      </c>
      <c r="S122" s="2929" t="s">
        <v>1381</v>
      </c>
      <c r="T122" s="2931" t="s">
        <v>1381</v>
      </c>
      <c r="U122" s="373" t="s">
        <v>1381</v>
      </c>
      <c r="V122" s="2926" t="s">
        <v>3662</v>
      </c>
      <c r="W122" s="2926" t="s">
        <v>3663</v>
      </c>
      <c r="X122" s="2926" t="s">
        <v>3664</v>
      </c>
      <c r="Y122" s="2926" t="s">
        <v>3665</v>
      </c>
      <c r="Z122" s="2926" t="s">
        <v>3666</v>
      </c>
      <c r="AA122" s="371"/>
    </row>
    <row r="123" spans="1:27" ht="12.75" customHeight="1" x14ac:dyDescent="0.2">
      <c r="A123" s="6418"/>
      <c r="B123" s="251" t="str">
        <f t="shared" si="1"/>
        <v>Creación88</v>
      </c>
      <c r="D123" s="272" t="s">
        <v>9759</v>
      </c>
      <c r="E123" s="2929" t="s">
        <v>1705</v>
      </c>
      <c r="F123" s="2929">
        <v>88</v>
      </c>
      <c r="G123" s="2930" t="s">
        <v>1381</v>
      </c>
      <c r="H123" s="2930" t="s">
        <v>1234</v>
      </c>
      <c r="I123" s="368" t="s">
        <v>1304</v>
      </c>
      <c r="J123" s="2929">
        <v>13</v>
      </c>
      <c r="K123" s="2929">
        <v>14</v>
      </c>
      <c r="L123" s="2929">
        <v>15</v>
      </c>
      <c r="M123" s="369">
        <v>16</v>
      </c>
      <c r="N123" s="2929">
        <v>500</v>
      </c>
      <c r="O123" s="2929">
        <v>800</v>
      </c>
      <c r="P123" s="2929">
        <v>1200</v>
      </c>
      <c r="Q123" s="369">
        <v>2000</v>
      </c>
      <c r="R123" s="2929" t="s">
        <v>1381</v>
      </c>
      <c r="S123" s="2929" t="s">
        <v>1381</v>
      </c>
      <c r="T123" s="2931" t="s">
        <v>1381</v>
      </c>
      <c r="U123" s="373" t="s">
        <v>1381</v>
      </c>
      <c r="V123" s="2926" t="s">
        <v>3540</v>
      </c>
      <c r="W123" s="2926" t="s">
        <v>3542</v>
      </c>
      <c r="X123" s="2926" t="s">
        <v>3403</v>
      </c>
      <c r="Y123" s="2926" t="s">
        <v>3404</v>
      </c>
      <c r="Z123" s="2926" t="s">
        <v>3667</v>
      </c>
      <c r="AA123" s="371"/>
    </row>
    <row r="124" spans="1:27" ht="12.75" customHeight="1" x14ac:dyDescent="0.2">
      <c r="A124" s="6418"/>
      <c r="B124" s="251" t="str">
        <f t="shared" si="1"/>
        <v>Creación90</v>
      </c>
      <c r="D124" s="272" t="s">
        <v>9760</v>
      </c>
      <c r="E124" s="2929" t="s">
        <v>1705</v>
      </c>
      <c r="F124" s="2929">
        <v>90</v>
      </c>
      <c r="G124" s="2930" t="s">
        <v>2087</v>
      </c>
      <c r="H124" s="2930" t="s">
        <v>1234</v>
      </c>
      <c r="I124" s="368" t="s">
        <v>1304</v>
      </c>
      <c r="J124" s="2929">
        <v>10</v>
      </c>
      <c r="K124" s="2929">
        <v>12</v>
      </c>
      <c r="L124" s="2929">
        <v>14</v>
      </c>
      <c r="M124" s="369">
        <v>16</v>
      </c>
      <c r="N124" s="2929">
        <v>400</v>
      </c>
      <c r="O124" s="2929">
        <v>800</v>
      </c>
      <c r="P124" s="2929">
        <v>1200</v>
      </c>
      <c r="Q124" s="369">
        <v>2000</v>
      </c>
      <c r="R124" s="2929">
        <v>20</v>
      </c>
      <c r="S124" s="2929">
        <v>25</v>
      </c>
      <c r="T124" s="2931">
        <v>25</v>
      </c>
      <c r="U124" s="373">
        <v>30</v>
      </c>
      <c r="V124" s="2926" t="s">
        <v>3668</v>
      </c>
      <c r="W124" s="2926" t="s">
        <v>3669</v>
      </c>
      <c r="X124" s="2926" t="s">
        <v>3670</v>
      </c>
      <c r="Y124" s="2926" t="s">
        <v>3671</v>
      </c>
      <c r="Z124" s="2926" t="s">
        <v>7041</v>
      </c>
      <c r="AA124" s="371"/>
    </row>
    <row r="125" spans="1:27" ht="12.75" customHeight="1" x14ac:dyDescent="0.2">
      <c r="A125" s="6418"/>
      <c r="B125" s="251" t="str">
        <f t="shared" si="1"/>
        <v>Creación92</v>
      </c>
      <c r="D125" s="272" t="s">
        <v>9761</v>
      </c>
      <c r="E125" s="2929" t="s">
        <v>1705</v>
      </c>
      <c r="F125" s="2929">
        <v>92</v>
      </c>
      <c r="G125" s="2930" t="s">
        <v>1381</v>
      </c>
      <c r="H125" s="2930" t="s">
        <v>1234</v>
      </c>
      <c r="I125" s="368" t="s">
        <v>1304</v>
      </c>
      <c r="J125" s="2929">
        <v>12</v>
      </c>
      <c r="K125" s="2929">
        <v>14</v>
      </c>
      <c r="L125" s="2929">
        <v>16</v>
      </c>
      <c r="M125" s="369">
        <v>18</v>
      </c>
      <c r="N125" s="2929">
        <v>600</v>
      </c>
      <c r="O125" s="2929">
        <v>1000</v>
      </c>
      <c r="P125" s="2929">
        <v>2500</v>
      </c>
      <c r="Q125" s="369">
        <v>5000</v>
      </c>
      <c r="R125" s="2929" t="s">
        <v>1381</v>
      </c>
      <c r="S125" s="2929" t="s">
        <v>1381</v>
      </c>
      <c r="T125" s="2931" t="s">
        <v>1381</v>
      </c>
      <c r="U125" s="373" t="s">
        <v>1381</v>
      </c>
      <c r="V125" s="2926" t="s">
        <v>3672</v>
      </c>
      <c r="W125" s="2926" t="s">
        <v>3673</v>
      </c>
      <c r="X125" s="2926" t="s">
        <v>3674</v>
      </c>
      <c r="Y125" s="2926" t="s">
        <v>3675</v>
      </c>
      <c r="Z125" s="2926" t="s">
        <v>3676</v>
      </c>
      <c r="AA125" s="371"/>
    </row>
    <row r="126" spans="1:27" ht="12.75" customHeight="1" x14ac:dyDescent="0.2">
      <c r="A126" s="6418"/>
      <c r="B126" s="251" t="str">
        <f t="shared" si="1"/>
        <v>Creación96</v>
      </c>
      <c r="D126" s="272" t="s">
        <v>9762</v>
      </c>
      <c r="E126" s="2929" t="s">
        <v>1705</v>
      </c>
      <c r="F126" s="2929">
        <v>96</v>
      </c>
      <c r="G126" s="2930" t="s">
        <v>2087</v>
      </c>
      <c r="H126" s="2930" t="s">
        <v>1234</v>
      </c>
      <c r="I126" s="368" t="s">
        <v>1304</v>
      </c>
      <c r="J126" s="2929">
        <v>15</v>
      </c>
      <c r="K126" s="2929">
        <v>16</v>
      </c>
      <c r="L126" s="2929">
        <v>17</v>
      </c>
      <c r="M126" s="369">
        <v>19</v>
      </c>
      <c r="N126" s="2929">
        <v>800</v>
      </c>
      <c r="O126" s="2929">
        <v>2500</v>
      </c>
      <c r="P126" s="2929">
        <v>5000</v>
      </c>
      <c r="Q126" s="369">
        <v>10000</v>
      </c>
      <c r="R126" s="2929">
        <v>40</v>
      </c>
      <c r="S126" s="2929">
        <v>45</v>
      </c>
      <c r="T126" s="2931">
        <v>45</v>
      </c>
      <c r="U126" s="373">
        <v>50</v>
      </c>
      <c r="V126" s="2926" t="s">
        <v>3677</v>
      </c>
      <c r="W126" s="2926" t="s">
        <v>3678</v>
      </c>
      <c r="X126" s="2926" t="s">
        <v>3679</v>
      </c>
      <c r="Y126" s="2926" t="s">
        <v>3680</v>
      </c>
      <c r="Z126" s="2926" t="s">
        <v>3681</v>
      </c>
      <c r="AA126" s="371"/>
    </row>
    <row r="127" spans="1:27" ht="12.75" customHeight="1" x14ac:dyDescent="0.2">
      <c r="A127" s="6418"/>
      <c r="B127" s="251" t="str">
        <f t="shared" si="1"/>
        <v>Creación98</v>
      </c>
      <c r="D127" s="272" t="s">
        <v>9763</v>
      </c>
      <c r="E127" s="2929" t="s">
        <v>1705</v>
      </c>
      <c r="F127" s="2929">
        <v>98</v>
      </c>
      <c r="G127" s="2930" t="s">
        <v>1381</v>
      </c>
      <c r="H127" s="2930" t="s">
        <v>1234</v>
      </c>
      <c r="I127" s="368" t="s">
        <v>1304</v>
      </c>
      <c r="J127" s="2929">
        <v>16</v>
      </c>
      <c r="K127" s="2929">
        <v>17</v>
      </c>
      <c r="L127" s="2929">
        <v>18</v>
      </c>
      <c r="M127" s="369">
        <v>19</v>
      </c>
      <c r="N127" s="2929">
        <v>800</v>
      </c>
      <c r="O127" s="2929">
        <v>2000</v>
      </c>
      <c r="P127" s="2929">
        <v>4000</v>
      </c>
      <c r="Q127" s="369">
        <v>8000</v>
      </c>
      <c r="R127" s="2929" t="s">
        <v>1381</v>
      </c>
      <c r="S127" s="2929" t="s">
        <v>1381</v>
      </c>
      <c r="T127" s="2931" t="s">
        <v>1381</v>
      </c>
      <c r="U127" s="373" t="s">
        <v>1381</v>
      </c>
      <c r="V127" s="2926" t="s">
        <v>3682</v>
      </c>
      <c r="W127" s="2926" t="s">
        <v>3683</v>
      </c>
      <c r="X127" s="2926" t="s">
        <v>3684</v>
      </c>
      <c r="Y127" s="2926" t="s">
        <v>3685</v>
      </c>
      <c r="Z127" s="2926" t="s">
        <v>3686</v>
      </c>
      <c r="AA127" s="371"/>
    </row>
    <row r="128" spans="1:27" ht="12.75" customHeight="1" x14ac:dyDescent="0.2">
      <c r="A128" s="6418"/>
      <c r="B128" s="251" t="str">
        <f t="shared" si="1"/>
        <v>Creación100</v>
      </c>
      <c r="D128" s="272" t="s">
        <v>9764</v>
      </c>
      <c r="E128" s="2929" t="s">
        <v>1705</v>
      </c>
      <c r="F128" s="2929">
        <v>100</v>
      </c>
      <c r="G128" s="2930" t="s">
        <v>1381</v>
      </c>
      <c r="H128" s="2930" t="s">
        <v>1234</v>
      </c>
      <c r="I128" s="368" t="s">
        <v>1304</v>
      </c>
      <c r="J128" s="2929">
        <v>17</v>
      </c>
      <c r="K128" s="2929">
        <v>18</v>
      </c>
      <c r="L128" s="2929">
        <v>19</v>
      </c>
      <c r="M128" s="369">
        <v>20</v>
      </c>
      <c r="N128" s="2929">
        <v>1000</v>
      </c>
      <c r="O128" s="2929">
        <v>3000</v>
      </c>
      <c r="P128" s="2929">
        <v>6000</v>
      </c>
      <c r="Q128" s="369">
        <v>12000</v>
      </c>
      <c r="R128" s="2929" t="s">
        <v>1381</v>
      </c>
      <c r="S128" s="2929" t="s">
        <v>1381</v>
      </c>
      <c r="T128" s="2931" t="s">
        <v>1381</v>
      </c>
      <c r="U128" s="373" t="s">
        <v>1381</v>
      </c>
      <c r="V128" s="2926" t="s">
        <v>3687</v>
      </c>
      <c r="W128" s="2926" t="s">
        <v>3688</v>
      </c>
      <c r="X128" s="2926" t="s">
        <v>3689</v>
      </c>
      <c r="Y128" s="2926" t="s">
        <v>3690</v>
      </c>
      <c r="Z128" s="2926" t="s">
        <v>3691</v>
      </c>
      <c r="AA128" s="371"/>
    </row>
    <row r="129" spans="1:27" ht="12.75" customHeight="1" x14ac:dyDescent="0.2">
      <c r="A129" s="6418"/>
      <c r="B129" s="251" t="str">
        <f t="shared" si="1"/>
        <v/>
      </c>
      <c r="D129" s="272" t="s">
        <v>301</v>
      </c>
      <c r="E129" s="2929"/>
      <c r="F129" s="2929"/>
      <c r="G129" s="2930"/>
      <c r="H129" s="2930"/>
      <c r="I129" s="368"/>
      <c r="J129" s="2929"/>
      <c r="K129" s="2929"/>
      <c r="L129" s="2929"/>
      <c r="M129" s="369"/>
      <c r="N129" s="2929"/>
      <c r="O129" s="2929"/>
      <c r="P129" s="2929"/>
      <c r="Q129" s="369"/>
      <c r="R129" s="2929"/>
      <c r="S129" s="2929"/>
      <c r="T129" s="2931"/>
      <c r="U129" s="373"/>
      <c r="V129" s="2926"/>
      <c r="W129" s="2926"/>
      <c r="X129" s="2926"/>
      <c r="Y129" s="2926"/>
      <c r="Z129" s="2926"/>
      <c r="AA129" s="371"/>
    </row>
    <row r="130" spans="1:27" ht="12.75" customHeight="1" x14ac:dyDescent="0.2">
      <c r="A130" s="6418"/>
      <c r="B130" s="251" t="str">
        <f t="shared" si="1"/>
        <v>Destrucción2</v>
      </c>
      <c r="D130" s="272" t="s">
        <v>9765</v>
      </c>
      <c r="E130" s="2929" t="s">
        <v>1706</v>
      </c>
      <c r="F130" s="2929">
        <v>2</v>
      </c>
      <c r="G130" s="2930" t="s">
        <v>1381</v>
      </c>
      <c r="H130" s="2930" t="s">
        <v>1234</v>
      </c>
      <c r="I130" s="368" t="s">
        <v>1304</v>
      </c>
      <c r="J130" s="2929">
        <v>5</v>
      </c>
      <c r="K130" s="2929">
        <v>8</v>
      </c>
      <c r="L130" s="2929">
        <v>10</v>
      </c>
      <c r="M130" s="369">
        <v>12</v>
      </c>
      <c r="N130" s="2929">
        <v>30</v>
      </c>
      <c r="O130" s="2929">
        <v>60</v>
      </c>
      <c r="P130" s="2929">
        <v>120</v>
      </c>
      <c r="Q130" s="369">
        <v>150</v>
      </c>
      <c r="R130" s="2929">
        <v>5</v>
      </c>
      <c r="S130" s="2929">
        <v>10</v>
      </c>
      <c r="T130" s="2931">
        <v>15</v>
      </c>
      <c r="U130" s="373">
        <v>15</v>
      </c>
      <c r="V130" s="2926" t="s">
        <v>3692</v>
      </c>
      <c r="W130" s="2926" t="s">
        <v>3693</v>
      </c>
      <c r="X130" s="2926" t="s">
        <v>3694</v>
      </c>
      <c r="Y130" s="2926" t="s">
        <v>3695</v>
      </c>
      <c r="Z130" s="2926" t="s">
        <v>3696</v>
      </c>
      <c r="AA130" s="371"/>
    </row>
    <row r="131" spans="1:27" ht="12.75" customHeight="1" x14ac:dyDescent="0.2">
      <c r="A131" s="6418"/>
      <c r="B131" s="251" t="str">
        <f t="shared" si="1"/>
        <v>Destrucción6</v>
      </c>
      <c r="D131" s="272" t="s">
        <v>9766</v>
      </c>
      <c r="E131" s="2929" t="s">
        <v>1706</v>
      </c>
      <c r="F131" s="2929">
        <v>6</v>
      </c>
      <c r="G131" s="2930" t="s">
        <v>1381</v>
      </c>
      <c r="H131" s="2930" t="s">
        <v>1234</v>
      </c>
      <c r="I131" s="368" t="s">
        <v>1304</v>
      </c>
      <c r="J131" s="2929">
        <v>5</v>
      </c>
      <c r="K131" s="2929">
        <v>8</v>
      </c>
      <c r="L131" s="2929">
        <v>10</v>
      </c>
      <c r="M131" s="369">
        <v>12</v>
      </c>
      <c r="N131" s="2929">
        <v>40</v>
      </c>
      <c r="O131" s="2929">
        <v>80</v>
      </c>
      <c r="P131" s="2929">
        <v>120</v>
      </c>
      <c r="Q131" s="369">
        <v>150</v>
      </c>
      <c r="R131" s="2929" t="s">
        <v>1381</v>
      </c>
      <c r="S131" s="2929" t="s">
        <v>1381</v>
      </c>
      <c r="T131" s="2931" t="s">
        <v>1381</v>
      </c>
      <c r="U131" s="373" t="s">
        <v>1381</v>
      </c>
      <c r="V131" s="2926" t="s">
        <v>3539</v>
      </c>
      <c r="W131" s="2926" t="s">
        <v>3541</v>
      </c>
      <c r="X131" s="2926" t="s">
        <v>3652</v>
      </c>
      <c r="Y131" s="2926" t="s">
        <v>3403</v>
      </c>
      <c r="Z131" s="2926" t="s">
        <v>3697</v>
      </c>
      <c r="AA131" s="371"/>
    </row>
    <row r="132" spans="1:27" ht="12.75" customHeight="1" x14ac:dyDescent="0.2">
      <c r="A132" s="6418"/>
      <c r="B132" s="251" t="str">
        <f t="shared" si="1"/>
        <v>Destrucción8</v>
      </c>
      <c r="D132" s="272" t="s">
        <v>9767</v>
      </c>
      <c r="E132" s="2929" t="s">
        <v>1706</v>
      </c>
      <c r="F132" s="2929">
        <v>8</v>
      </c>
      <c r="G132" s="2930" t="s">
        <v>1381</v>
      </c>
      <c r="H132" s="2930" t="s">
        <v>1234</v>
      </c>
      <c r="I132" s="368" t="s">
        <v>1304</v>
      </c>
      <c r="J132" s="2929">
        <v>5</v>
      </c>
      <c r="K132" s="2929">
        <v>8</v>
      </c>
      <c r="L132" s="2929">
        <v>10</v>
      </c>
      <c r="M132" s="369">
        <v>12</v>
      </c>
      <c r="N132" s="2929">
        <v>40</v>
      </c>
      <c r="O132" s="2929">
        <v>80</v>
      </c>
      <c r="P132" s="2929">
        <v>120</v>
      </c>
      <c r="Q132" s="369">
        <v>150</v>
      </c>
      <c r="R132" s="2929" t="s">
        <v>1381</v>
      </c>
      <c r="S132" s="2929" t="s">
        <v>1381</v>
      </c>
      <c r="T132" s="2931" t="s">
        <v>1381</v>
      </c>
      <c r="U132" s="373" t="s">
        <v>1381</v>
      </c>
      <c r="V132" s="2926" t="s">
        <v>3698</v>
      </c>
      <c r="W132" s="2926" t="s">
        <v>3699</v>
      </c>
      <c r="X132" s="2926" t="s">
        <v>3700</v>
      </c>
      <c r="Y132" s="2926" t="s">
        <v>3701</v>
      </c>
      <c r="Z132" s="2926" t="s">
        <v>3702</v>
      </c>
      <c r="AA132" s="371"/>
    </row>
    <row r="133" spans="1:27" ht="12.75" customHeight="1" x14ac:dyDescent="0.2">
      <c r="A133" s="6418"/>
      <c r="B133" s="251" t="str">
        <f t="shared" si="1"/>
        <v>Destrucción10</v>
      </c>
      <c r="D133" s="272" t="s">
        <v>9768</v>
      </c>
      <c r="E133" s="2929" t="s">
        <v>1706</v>
      </c>
      <c r="F133" s="2929">
        <v>10</v>
      </c>
      <c r="G133" s="2930" t="s">
        <v>1381</v>
      </c>
      <c r="H133" s="2930" t="s">
        <v>1234</v>
      </c>
      <c r="I133" s="368" t="s">
        <v>1304</v>
      </c>
      <c r="J133" s="2929">
        <v>6</v>
      </c>
      <c r="K133" s="2929">
        <v>9</v>
      </c>
      <c r="L133" s="2929">
        <v>11</v>
      </c>
      <c r="M133" s="369">
        <v>13</v>
      </c>
      <c r="N133" s="2929">
        <v>50</v>
      </c>
      <c r="O133" s="2929">
        <v>90</v>
      </c>
      <c r="P133" s="2929">
        <v>140</v>
      </c>
      <c r="Q133" s="369">
        <v>180</v>
      </c>
      <c r="R133" s="2929" t="s">
        <v>1381</v>
      </c>
      <c r="S133" s="2929" t="s">
        <v>1381</v>
      </c>
      <c r="T133" s="2931" t="s">
        <v>1381</v>
      </c>
      <c r="U133" s="373" t="s">
        <v>1381</v>
      </c>
      <c r="V133" s="2926" t="s">
        <v>3539</v>
      </c>
      <c r="W133" s="2926" t="s">
        <v>3541</v>
      </c>
      <c r="X133" s="2926" t="s">
        <v>3652</v>
      </c>
      <c r="Y133" s="2926" t="s">
        <v>3403</v>
      </c>
      <c r="Z133" s="2926" t="s">
        <v>3703</v>
      </c>
      <c r="AA133" s="371"/>
    </row>
    <row r="134" spans="1:27" ht="12.75" customHeight="1" x14ac:dyDescent="0.2">
      <c r="A134" s="6418"/>
      <c r="B134" s="251" t="str">
        <f t="shared" si="1"/>
        <v>Destrucción12</v>
      </c>
      <c r="D134" s="272" t="s">
        <v>9769</v>
      </c>
      <c r="E134" s="2929" t="s">
        <v>1706</v>
      </c>
      <c r="F134" s="2929">
        <v>12</v>
      </c>
      <c r="G134" s="2930" t="s">
        <v>1381</v>
      </c>
      <c r="H134" s="2930" t="s">
        <v>1232</v>
      </c>
      <c r="I134" s="368" t="s">
        <v>1304</v>
      </c>
      <c r="J134" s="2929">
        <v>5</v>
      </c>
      <c r="K134" s="2929">
        <v>8</v>
      </c>
      <c r="L134" s="2929">
        <v>10</v>
      </c>
      <c r="M134" s="369">
        <v>13</v>
      </c>
      <c r="N134" s="2929">
        <v>30</v>
      </c>
      <c r="O134" s="2929">
        <v>60</v>
      </c>
      <c r="P134" s="2929">
        <v>100</v>
      </c>
      <c r="Q134" s="369">
        <v>150</v>
      </c>
      <c r="R134" s="2929" t="s">
        <v>1381</v>
      </c>
      <c r="S134" s="2929" t="s">
        <v>1381</v>
      </c>
      <c r="T134" s="2931" t="s">
        <v>1381</v>
      </c>
      <c r="U134" s="373" t="s">
        <v>1381</v>
      </c>
      <c r="V134" s="2926" t="s">
        <v>3704</v>
      </c>
      <c r="W134" s="2926" t="s">
        <v>3705</v>
      </c>
      <c r="X134" s="2926" t="s">
        <v>3706</v>
      </c>
      <c r="Y134" s="2926" t="s">
        <v>3707</v>
      </c>
      <c r="Z134" s="2926" t="s">
        <v>3708</v>
      </c>
      <c r="AA134" s="371"/>
    </row>
    <row r="135" spans="1:27" ht="12.75" customHeight="1" x14ac:dyDescent="0.2">
      <c r="A135" s="6418"/>
      <c r="B135" s="251" t="str">
        <f t="shared" si="1"/>
        <v>Destrucción16</v>
      </c>
      <c r="D135" s="272" t="s">
        <v>9770</v>
      </c>
      <c r="E135" s="2929" t="s">
        <v>1706</v>
      </c>
      <c r="F135" s="2929">
        <v>16</v>
      </c>
      <c r="G135" s="2930" t="s">
        <v>2087</v>
      </c>
      <c r="H135" s="2930" t="s">
        <v>1233</v>
      </c>
      <c r="I135" s="368" t="s">
        <v>1304</v>
      </c>
      <c r="J135" s="2929">
        <v>6</v>
      </c>
      <c r="K135" s="2929">
        <v>8</v>
      </c>
      <c r="L135" s="2929">
        <v>10</v>
      </c>
      <c r="M135" s="369">
        <v>12</v>
      </c>
      <c r="N135" s="2929">
        <v>50</v>
      </c>
      <c r="O135" s="2929">
        <v>80</v>
      </c>
      <c r="P135" s="2929">
        <v>120</v>
      </c>
      <c r="Q135" s="369">
        <v>150</v>
      </c>
      <c r="R135" s="2929">
        <v>5</v>
      </c>
      <c r="S135" s="2929">
        <v>10</v>
      </c>
      <c r="T135" s="2931">
        <v>15</v>
      </c>
      <c r="U135" s="373">
        <v>15</v>
      </c>
      <c r="V135" s="2926" t="s">
        <v>3709</v>
      </c>
      <c r="W135" s="2926" t="s">
        <v>3710</v>
      </c>
      <c r="X135" s="2926" t="s">
        <v>3711</v>
      </c>
      <c r="Y135" s="2926" t="s">
        <v>3712</v>
      </c>
      <c r="Z135" s="2926" t="s">
        <v>3713</v>
      </c>
      <c r="AA135" s="371"/>
    </row>
    <row r="136" spans="1:27" ht="12.75" customHeight="1" x14ac:dyDescent="0.2">
      <c r="A136" s="6418"/>
      <c r="B136" s="251" t="str">
        <f t="shared" ref="B136:B199" si="2">E136&amp;F136</f>
        <v>Destrucción18</v>
      </c>
      <c r="D136" s="272" t="s">
        <v>9771</v>
      </c>
      <c r="E136" s="2929" t="s">
        <v>1706</v>
      </c>
      <c r="F136" s="2929">
        <v>18</v>
      </c>
      <c r="G136" s="2930" t="s">
        <v>1381</v>
      </c>
      <c r="H136" s="2930" t="s">
        <v>1234</v>
      </c>
      <c r="I136" s="368" t="s">
        <v>1305</v>
      </c>
      <c r="J136" s="2929">
        <v>6</v>
      </c>
      <c r="K136" s="2929">
        <v>9</v>
      </c>
      <c r="L136" s="2929">
        <v>12</v>
      </c>
      <c r="M136" s="369">
        <v>16</v>
      </c>
      <c r="N136" s="2929">
        <v>60</v>
      </c>
      <c r="O136" s="2929">
        <v>150</v>
      </c>
      <c r="P136" s="2929">
        <v>300</v>
      </c>
      <c r="Q136" s="369">
        <v>500</v>
      </c>
      <c r="R136" s="2929" t="s">
        <v>1381</v>
      </c>
      <c r="S136" s="2929" t="s">
        <v>1381</v>
      </c>
      <c r="T136" s="2931" t="s">
        <v>1381</v>
      </c>
      <c r="U136" s="373" t="s">
        <v>1381</v>
      </c>
      <c r="V136" s="2926" t="s">
        <v>3714</v>
      </c>
      <c r="W136" s="2926" t="s">
        <v>3715</v>
      </c>
      <c r="X136" s="2926" t="s">
        <v>3716</v>
      </c>
      <c r="Y136" s="2926" t="s">
        <v>3717</v>
      </c>
      <c r="Z136" s="2926" t="s">
        <v>3718</v>
      </c>
      <c r="AA136" s="371"/>
    </row>
    <row r="137" spans="1:27" ht="12.75" customHeight="1" x14ac:dyDescent="0.2">
      <c r="A137" s="6418"/>
      <c r="B137" s="251" t="str">
        <f t="shared" si="2"/>
        <v>Destrucción20</v>
      </c>
      <c r="D137" s="272" t="s">
        <v>9772</v>
      </c>
      <c r="E137" s="2929" t="s">
        <v>1706</v>
      </c>
      <c r="F137" s="2929">
        <v>20</v>
      </c>
      <c r="G137" s="2930" t="s">
        <v>1381</v>
      </c>
      <c r="H137" s="2930" t="s">
        <v>1234</v>
      </c>
      <c r="I137" s="368" t="s">
        <v>1305</v>
      </c>
      <c r="J137" s="2929">
        <v>6</v>
      </c>
      <c r="K137" s="2929">
        <v>9</v>
      </c>
      <c r="L137" s="2929">
        <v>12</v>
      </c>
      <c r="M137" s="369">
        <v>15</v>
      </c>
      <c r="N137" s="2929">
        <v>60</v>
      </c>
      <c r="O137" s="2929">
        <v>100</v>
      </c>
      <c r="P137" s="2929">
        <v>150</v>
      </c>
      <c r="Q137" s="369">
        <v>220</v>
      </c>
      <c r="R137" s="2929" t="s">
        <v>1381</v>
      </c>
      <c r="S137" s="2929" t="s">
        <v>1381</v>
      </c>
      <c r="T137" s="2931" t="s">
        <v>1381</v>
      </c>
      <c r="U137" s="373" t="s">
        <v>1381</v>
      </c>
      <c r="V137" s="2926" t="s">
        <v>3719</v>
      </c>
      <c r="W137" s="2926" t="s">
        <v>3720</v>
      </c>
      <c r="X137" s="2926" t="s">
        <v>3721</v>
      </c>
      <c r="Y137" s="2926" t="s">
        <v>3722</v>
      </c>
      <c r="Z137" s="2926" t="s">
        <v>3723</v>
      </c>
      <c r="AA137" s="371"/>
    </row>
    <row r="138" spans="1:27" ht="12.75" customHeight="1" x14ac:dyDescent="0.2">
      <c r="A138" s="6418"/>
      <c r="B138" s="251" t="str">
        <f t="shared" si="2"/>
        <v>Destrucción22</v>
      </c>
      <c r="D138" s="272" t="s">
        <v>9773</v>
      </c>
      <c r="E138" s="2929" t="s">
        <v>1706</v>
      </c>
      <c r="F138" s="2929">
        <v>22</v>
      </c>
      <c r="G138" s="2930" t="s">
        <v>1381</v>
      </c>
      <c r="H138" s="2930" t="s">
        <v>1234</v>
      </c>
      <c r="I138" s="368" t="s">
        <v>1305</v>
      </c>
      <c r="J138" s="2929">
        <v>6</v>
      </c>
      <c r="K138" s="2929">
        <v>9</v>
      </c>
      <c r="L138" s="2929">
        <v>12</v>
      </c>
      <c r="M138" s="369">
        <v>16</v>
      </c>
      <c r="N138" s="2929">
        <v>80</v>
      </c>
      <c r="O138" s="2929">
        <v>140</v>
      </c>
      <c r="P138" s="2929">
        <v>240</v>
      </c>
      <c r="Q138" s="369">
        <v>320</v>
      </c>
      <c r="R138" s="2929" t="s">
        <v>3724</v>
      </c>
      <c r="S138" s="2929" t="s">
        <v>1381</v>
      </c>
      <c r="T138" s="2931" t="s">
        <v>1381</v>
      </c>
      <c r="U138" s="373" t="s">
        <v>1381</v>
      </c>
      <c r="V138" s="2926" t="s">
        <v>3725</v>
      </c>
      <c r="W138" s="2926" t="s">
        <v>3726</v>
      </c>
      <c r="X138" s="2926" t="s">
        <v>3727</v>
      </c>
      <c r="Y138" s="2926" t="s">
        <v>3728</v>
      </c>
      <c r="Z138" s="2926" t="s">
        <v>3729</v>
      </c>
      <c r="AA138" s="371"/>
    </row>
    <row r="139" spans="1:27" ht="12.75" customHeight="1" x14ac:dyDescent="0.2">
      <c r="A139" s="6418"/>
      <c r="B139" s="251" t="str">
        <f t="shared" si="2"/>
        <v>Destrucción26</v>
      </c>
      <c r="D139" s="272" t="s">
        <v>9774</v>
      </c>
      <c r="E139" s="2929" t="s">
        <v>1706</v>
      </c>
      <c r="F139" s="2929">
        <v>26</v>
      </c>
      <c r="G139" s="2930" t="s">
        <v>1381</v>
      </c>
      <c r="H139" s="2930" t="s">
        <v>1233</v>
      </c>
      <c r="I139" s="368" t="s">
        <v>1304</v>
      </c>
      <c r="J139" s="2929">
        <v>6</v>
      </c>
      <c r="K139" s="2929">
        <v>9</v>
      </c>
      <c r="L139" s="2929">
        <v>12</v>
      </c>
      <c r="M139" s="369">
        <v>15</v>
      </c>
      <c r="N139" s="2929">
        <v>80</v>
      </c>
      <c r="O139" s="2929">
        <v>120</v>
      </c>
      <c r="P139" s="2929">
        <v>180</v>
      </c>
      <c r="Q139" s="369">
        <v>300</v>
      </c>
      <c r="R139" s="2929" t="s">
        <v>1381</v>
      </c>
      <c r="S139" s="2929" t="s">
        <v>1381</v>
      </c>
      <c r="T139" s="2931" t="s">
        <v>1381</v>
      </c>
      <c r="U139" s="373" t="s">
        <v>1381</v>
      </c>
      <c r="V139" s="2926" t="s">
        <v>3730</v>
      </c>
      <c r="W139" s="2926" t="s">
        <v>3731</v>
      </c>
      <c r="X139" s="2926" t="s">
        <v>3732</v>
      </c>
      <c r="Y139" s="2926" t="s">
        <v>3733</v>
      </c>
      <c r="Z139" s="2926" t="s">
        <v>3734</v>
      </c>
      <c r="AA139" s="371"/>
    </row>
    <row r="140" spans="1:27" ht="12.75" customHeight="1" x14ac:dyDescent="0.2">
      <c r="A140" s="6418"/>
      <c r="B140" s="251" t="str">
        <f t="shared" si="2"/>
        <v>Destrucción28</v>
      </c>
      <c r="D140" s="272" t="s">
        <v>9775</v>
      </c>
      <c r="E140" s="2929" t="s">
        <v>1706</v>
      </c>
      <c r="F140" s="2929">
        <v>28</v>
      </c>
      <c r="G140" s="2930" t="s">
        <v>1381</v>
      </c>
      <c r="H140" s="2930" t="s">
        <v>1233</v>
      </c>
      <c r="I140" s="368" t="s">
        <v>1304</v>
      </c>
      <c r="J140" s="2929">
        <v>6</v>
      </c>
      <c r="K140" s="2929">
        <v>9</v>
      </c>
      <c r="L140" s="2929">
        <v>12</v>
      </c>
      <c r="M140" s="369">
        <v>15</v>
      </c>
      <c r="N140" s="2929">
        <v>80</v>
      </c>
      <c r="O140" s="2929">
        <v>140</v>
      </c>
      <c r="P140" s="2929">
        <v>220</v>
      </c>
      <c r="Q140" s="369">
        <v>300</v>
      </c>
      <c r="R140" s="2929" t="s">
        <v>1381</v>
      </c>
      <c r="S140" s="2929" t="s">
        <v>1381</v>
      </c>
      <c r="T140" s="2931" t="s">
        <v>1381</v>
      </c>
      <c r="U140" s="373" t="s">
        <v>1381</v>
      </c>
      <c r="V140" s="2926" t="s">
        <v>3710</v>
      </c>
      <c r="W140" s="2926" t="s">
        <v>3711</v>
      </c>
      <c r="X140" s="2926" t="s">
        <v>3735</v>
      </c>
      <c r="Y140" s="2926" t="s">
        <v>3736</v>
      </c>
      <c r="Z140" s="2926" t="s">
        <v>3737</v>
      </c>
      <c r="AA140" s="371"/>
    </row>
    <row r="141" spans="1:27" ht="12.75" customHeight="1" x14ac:dyDescent="0.2">
      <c r="A141" s="6418"/>
      <c r="B141" s="251" t="str">
        <f t="shared" si="2"/>
        <v>Destrucción30</v>
      </c>
      <c r="D141" s="272" t="s">
        <v>9776</v>
      </c>
      <c r="E141" s="2929" t="s">
        <v>1706</v>
      </c>
      <c r="F141" s="2929">
        <v>30</v>
      </c>
      <c r="G141" s="2930" t="s">
        <v>1381</v>
      </c>
      <c r="H141" s="2930" t="s">
        <v>1233</v>
      </c>
      <c r="I141" s="368"/>
      <c r="J141" s="2929">
        <v>6</v>
      </c>
      <c r="K141" s="2929">
        <v>9</v>
      </c>
      <c r="L141" s="2929">
        <v>12</v>
      </c>
      <c r="M141" s="369">
        <v>15</v>
      </c>
      <c r="N141" s="2929">
        <v>80</v>
      </c>
      <c r="O141" s="2929">
        <v>120</v>
      </c>
      <c r="P141" s="2929">
        <v>180</v>
      </c>
      <c r="Q141" s="369">
        <v>300</v>
      </c>
      <c r="R141" s="2929" t="s">
        <v>1381</v>
      </c>
      <c r="S141" s="2929" t="s">
        <v>1381</v>
      </c>
      <c r="T141" s="2931" t="s">
        <v>1381</v>
      </c>
      <c r="U141" s="373" t="s">
        <v>1381</v>
      </c>
      <c r="V141" s="2926" t="s">
        <v>3738</v>
      </c>
      <c r="W141" s="2926" t="s">
        <v>3739</v>
      </c>
      <c r="X141" s="2926" t="s">
        <v>3740</v>
      </c>
      <c r="Y141" s="2926" t="s">
        <v>3741</v>
      </c>
      <c r="Z141" s="2926" t="s">
        <v>3742</v>
      </c>
      <c r="AA141" s="371"/>
    </row>
    <row r="142" spans="1:27" ht="12.75" customHeight="1" x14ac:dyDescent="0.2">
      <c r="A142" s="6418"/>
      <c r="B142" s="251" t="str">
        <f t="shared" si="2"/>
        <v>Destrucción32</v>
      </c>
      <c r="D142" s="272" t="s">
        <v>9777</v>
      </c>
      <c r="E142" s="2929" t="s">
        <v>1706</v>
      </c>
      <c r="F142" s="2929">
        <v>32</v>
      </c>
      <c r="G142" s="2930" t="s">
        <v>1381</v>
      </c>
      <c r="H142" s="2930" t="s">
        <v>1233</v>
      </c>
      <c r="I142" s="368" t="s">
        <v>1304</v>
      </c>
      <c r="J142" s="2929">
        <v>8</v>
      </c>
      <c r="K142" s="2929">
        <v>10</v>
      </c>
      <c r="L142" s="2929">
        <v>12</v>
      </c>
      <c r="M142" s="369">
        <v>15</v>
      </c>
      <c r="N142" s="2929">
        <v>100</v>
      </c>
      <c r="O142" s="2929">
        <v>140</v>
      </c>
      <c r="P142" s="2929">
        <v>200</v>
      </c>
      <c r="Q142" s="369">
        <v>280</v>
      </c>
      <c r="R142" s="2929">
        <v>5</v>
      </c>
      <c r="S142" s="2929">
        <v>10</v>
      </c>
      <c r="T142" s="2931">
        <v>15</v>
      </c>
      <c r="U142" s="373">
        <v>15</v>
      </c>
      <c r="V142" s="2926" t="s">
        <v>3743</v>
      </c>
      <c r="W142" s="2926" t="s">
        <v>3709</v>
      </c>
      <c r="X142" s="2926" t="s">
        <v>3710</v>
      </c>
      <c r="Y142" s="2926" t="s">
        <v>3735</v>
      </c>
      <c r="Z142" s="2926" t="s">
        <v>3744</v>
      </c>
      <c r="AA142" s="371"/>
    </row>
    <row r="143" spans="1:27" ht="12.75" customHeight="1" x14ac:dyDescent="0.2">
      <c r="A143" s="6418"/>
      <c r="B143" s="251" t="str">
        <f t="shared" si="2"/>
        <v>Destrucción36</v>
      </c>
      <c r="D143" s="272" t="s">
        <v>9778</v>
      </c>
      <c r="E143" s="2929" t="s">
        <v>1706</v>
      </c>
      <c r="F143" s="2929">
        <v>36</v>
      </c>
      <c r="G143" s="2930" t="s">
        <v>1381</v>
      </c>
      <c r="H143" s="2930" t="s">
        <v>1232</v>
      </c>
      <c r="I143" s="368" t="s">
        <v>1304</v>
      </c>
      <c r="J143" s="2929">
        <v>6</v>
      </c>
      <c r="K143" s="2929">
        <v>9</v>
      </c>
      <c r="L143" s="2929">
        <v>12</v>
      </c>
      <c r="M143" s="369">
        <v>15</v>
      </c>
      <c r="N143" s="2929">
        <v>80</v>
      </c>
      <c r="O143" s="2929">
        <v>140</v>
      </c>
      <c r="P143" s="2929">
        <v>220</v>
      </c>
      <c r="Q143" s="369">
        <v>300</v>
      </c>
      <c r="R143" s="2929" t="s">
        <v>3724</v>
      </c>
      <c r="S143" s="2929" t="s">
        <v>1381</v>
      </c>
      <c r="T143" s="2931" t="s">
        <v>1381</v>
      </c>
      <c r="U143" s="373" t="s">
        <v>1381</v>
      </c>
      <c r="V143" s="2926" t="s">
        <v>3745</v>
      </c>
      <c r="W143" s="2926" t="s">
        <v>3427</v>
      </c>
      <c r="X143" s="2926" t="s">
        <v>3746</v>
      </c>
      <c r="Y143" s="2926" t="s">
        <v>3747</v>
      </c>
      <c r="Z143" s="2926" t="s">
        <v>3748</v>
      </c>
      <c r="AA143" s="371"/>
    </row>
    <row r="144" spans="1:27" ht="12.75" customHeight="1" x14ac:dyDescent="0.2">
      <c r="A144" s="6418"/>
      <c r="B144" s="251" t="str">
        <f t="shared" si="2"/>
        <v>Destrucción38</v>
      </c>
      <c r="D144" s="272" t="s">
        <v>9779</v>
      </c>
      <c r="E144" s="2929" t="s">
        <v>1706</v>
      </c>
      <c r="F144" s="2929">
        <v>38</v>
      </c>
      <c r="G144" s="2930" t="s">
        <v>1381</v>
      </c>
      <c r="H144" s="2930" t="s">
        <v>1233</v>
      </c>
      <c r="I144" s="368" t="s">
        <v>1304</v>
      </c>
      <c r="J144" s="2929">
        <v>8</v>
      </c>
      <c r="K144" s="2929">
        <v>10</v>
      </c>
      <c r="L144" s="2929">
        <v>13</v>
      </c>
      <c r="M144" s="369">
        <v>16</v>
      </c>
      <c r="N144" s="2929">
        <v>100</v>
      </c>
      <c r="O144" s="2929">
        <v>200</v>
      </c>
      <c r="P144" s="2929">
        <v>300</v>
      </c>
      <c r="Q144" s="369">
        <v>500</v>
      </c>
      <c r="R144" s="2929" t="s">
        <v>1381</v>
      </c>
      <c r="S144" s="2929" t="s">
        <v>1381</v>
      </c>
      <c r="T144" s="2931" t="s">
        <v>1381</v>
      </c>
      <c r="U144" s="373" t="s">
        <v>1381</v>
      </c>
      <c r="V144" s="2926" t="s">
        <v>3709</v>
      </c>
      <c r="W144" s="2926" t="s">
        <v>3710</v>
      </c>
      <c r="X144" s="2926" t="s">
        <v>3711</v>
      </c>
      <c r="Y144" s="2926" t="s">
        <v>3712</v>
      </c>
      <c r="Z144" s="2926" t="s">
        <v>3749</v>
      </c>
      <c r="AA144" s="371"/>
    </row>
    <row r="145" spans="1:27" ht="12.75" customHeight="1" x14ac:dyDescent="0.2">
      <c r="A145" s="6418"/>
      <c r="B145" s="251" t="str">
        <f t="shared" si="2"/>
        <v>Destrucción40</v>
      </c>
      <c r="D145" s="272" t="s">
        <v>9780</v>
      </c>
      <c r="E145" s="2931" t="s">
        <v>1706</v>
      </c>
      <c r="F145" s="2931">
        <v>40</v>
      </c>
      <c r="G145" s="2934" t="s">
        <v>1381</v>
      </c>
      <c r="H145" s="2934" t="s">
        <v>1233</v>
      </c>
      <c r="I145" s="376" t="s">
        <v>1304</v>
      </c>
      <c r="J145" s="2931">
        <v>7</v>
      </c>
      <c r="K145" s="2931">
        <v>9</v>
      </c>
      <c r="L145" s="2931">
        <v>12</v>
      </c>
      <c r="M145" s="373">
        <v>15</v>
      </c>
      <c r="N145" s="2931">
        <v>80</v>
      </c>
      <c r="O145" s="2931">
        <v>160</v>
      </c>
      <c r="P145" s="2931">
        <v>240</v>
      </c>
      <c r="Q145" s="373">
        <v>300</v>
      </c>
      <c r="R145" s="2931">
        <v>10</v>
      </c>
      <c r="S145" s="2931">
        <v>20</v>
      </c>
      <c r="T145" s="2931">
        <v>25</v>
      </c>
      <c r="U145" s="373">
        <v>30</v>
      </c>
      <c r="V145" s="2926" t="s">
        <v>3709</v>
      </c>
      <c r="W145" s="2926" t="s">
        <v>3711</v>
      </c>
      <c r="X145" s="2926" t="s">
        <v>3712</v>
      </c>
      <c r="Y145" s="2926" t="s">
        <v>3750</v>
      </c>
      <c r="Z145" s="2926" t="s">
        <v>3751</v>
      </c>
      <c r="AA145" s="371"/>
    </row>
    <row r="146" spans="1:27" ht="12.75" customHeight="1" x14ac:dyDescent="0.2">
      <c r="A146" s="6418"/>
      <c r="B146" s="251" t="str">
        <f t="shared" si="2"/>
        <v>Destrucción42</v>
      </c>
      <c r="D146" s="272" t="s">
        <v>9781</v>
      </c>
      <c r="E146" s="2931" t="s">
        <v>1706</v>
      </c>
      <c r="F146" s="2931">
        <v>42</v>
      </c>
      <c r="G146" s="2934" t="s">
        <v>1381</v>
      </c>
      <c r="H146" s="2934" t="s">
        <v>1234</v>
      </c>
      <c r="I146" s="376" t="s">
        <v>1304</v>
      </c>
      <c r="J146" s="2931">
        <v>7</v>
      </c>
      <c r="K146" s="2931">
        <v>10</v>
      </c>
      <c r="L146" s="2931">
        <v>12</v>
      </c>
      <c r="M146" s="373">
        <v>15</v>
      </c>
      <c r="N146" s="2931">
        <v>120</v>
      </c>
      <c r="O146" s="2931">
        <v>180</v>
      </c>
      <c r="P146" s="2931">
        <v>240</v>
      </c>
      <c r="Q146" s="373">
        <v>300</v>
      </c>
      <c r="R146" s="2931" t="s">
        <v>1381</v>
      </c>
      <c r="S146" s="2931" t="s">
        <v>1381</v>
      </c>
      <c r="T146" s="2931" t="s">
        <v>1381</v>
      </c>
      <c r="U146" s="373" t="s">
        <v>1381</v>
      </c>
      <c r="V146" s="2926" t="s">
        <v>3752</v>
      </c>
      <c r="W146" s="2926" t="s">
        <v>3753</v>
      </c>
      <c r="X146" s="2926" t="s">
        <v>3754</v>
      </c>
      <c r="Y146" s="2926" t="s">
        <v>3755</v>
      </c>
      <c r="Z146" s="2926" t="s">
        <v>3756</v>
      </c>
      <c r="AA146" s="371"/>
    </row>
    <row r="147" spans="1:27" ht="12.75" customHeight="1" x14ac:dyDescent="0.2">
      <c r="A147" s="6418"/>
      <c r="B147" s="251" t="str">
        <f t="shared" si="2"/>
        <v>Destrucción46</v>
      </c>
      <c r="D147" s="272" t="s">
        <v>9782</v>
      </c>
      <c r="E147" s="2931" t="s">
        <v>1706</v>
      </c>
      <c r="F147" s="2931">
        <v>46</v>
      </c>
      <c r="G147" s="2934" t="s">
        <v>1381</v>
      </c>
      <c r="H147" s="2934" t="s">
        <v>1232</v>
      </c>
      <c r="I147" s="376" t="s">
        <v>1304</v>
      </c>
      <c r="J147" s="2931">
        <v>7</v>
      </c>
      <c r="K147" s="2931">
        <v>10</v>
      </c>
      <c r="L147" s="2931">
        <v>12</v>
      </c>
      <c r="M147" s="373">
        <v>15</v>
      </c>
      <c r="N147" s="2931">
        <v>100</v>
      </c>
      <c r="O147" s="2931">
        <v>180</v>
      </c>
      <c r="P147" s="2931">
        <v>240</v>
      </c>
      <c r="Q147" s="373">
        <v>300</v>
      </c>
      <c r="R147" s="2931" t="s">
        <v>1381</v>
      </c>
      <c r="S147" s="2931" t="s">
        <v>1381</v>
      </c>
      <c r="T147" s="2931" t="s">
        <v>1381</v>
      </c>
      <c r="U147" s="373" t="s">
        <v>1381</v>
      </c>
      <c r="V147" s="2926" t="s">
        <v>3757</v>
      </c>
      <c r="W147" s="2926" t="s">
        <v>3758</v>
      </c>
      <c r="X147" s="2926" t="s">
        <v>3759</v>
      </c>
      <c r="Y147" s="2926" t="s">
        <v>3760</v>
      </c>
      <c r="Z147" s="2926" t="s">
        <v>3761</v>
      </c>
      <c r="AA147" s="371"/>
    </row>
    <row r="148" spans="1:27" ht="12.75" customHeight="1" x14ac:dyDescent="0.2">
      <c r="A148" s="6418"/>
      <c r="B148" s="251" t="str">
        <f t="shared" si="2"/>
        <v>Destrucción48</v>
      </c>
      <c r="D148" s="272" t="s">
        <v>9783</v>
      </c>
      <c r="E148" s="2931" t="s">
        <v>1706</v>
      </c>
      <c r="F148" s="2931">
        <v>48</v>
      </c>
      <c r="G148" s="2934" t="s">
        <v>1381</v>
      </c>
      <c r="H148" s="2934" t="s">
        <v>3209</v>
      </c>
      <c r="I148" s="376" t="s">
        <v>1304</v>
      </c>
      <c r="J148" s="2931">
        <v>7</v>
      </c>
      <c r="K148" s="2931">
        <v>9</v>
      </c>
      <c r="L148" s="2931">
        <v>12</v>
      </c>
      <c r="M148" s="373">
        <v>15</v>
      </c>
      <c r="N148" s="2931">
        <v>140</v>
      </c>
      <c r="O148" s="2931">
        <v>180</v>
      </c>
      <c r="P148" s="2931">
        <v>240</v>
      </c>
      <c r="Q148" s="373">
        <v>300</v>
      </c>
      <c r="R148" s="2931">
        <v>15</v>
      </c>
      <c r="S148" s="2931">
        <v>20</v>
      </c>
      <c r="T148" s="2931">
        <v>25</v>
      </c>
      <c r="U148" s="373">
        <v>30</v>
      </c>
      <c r="V148" s="2926" t="s">
        <v>3762</v>
      </c>
      <c r="W148" s="2926" t="s">
        <v>3763</v>
      </c>
      <c r="X148" s="2926" t="s">
        <v>3764</v>
      </c>
      <c r="Y148" s="2926" t="s">
        <v>3765</v>
      </c>
      <c r="Z148" s="2926" t="s">
        <v>3766</v>
      </c>
      <c r="AA148" s="371"/>
    </row>
    <row r="149" spans="1:27" ht="12.75" customHeight="1" x14ac:dyDescent="0.2">
      <c r="A149" s="6418"/>
      <c r="B149" s="251" t="str">
        <f t="shared" si="2"/>
        <v>Destrucción50</v>
      </c>
      <c r="D149" s="272" t="s">
        <v>9784</v>
      </c>
      <c r="E149" s="2931" t="s">
        <v>1706</v>
      </c>
      <c r="F149" s="2931">
        <v>50</v>
      </c>
      <c r="G149" s="2934" t="s">
        <v>2583</v>
      </c>
      <c r="H149" s="2934" t="s">
        <v>1234</v>
      </c>
      <c r="I149" s="376" t="s">
        <v>1304</v>
      </c>
      <c r="J149" s="2931">
        <v>8</v>
      </c>
      <c r="K149" s="2931">
        <v>10</v>
      </c>
      <c r="L149" s="2931">
        <v>12</v>
      </c>
      <c r="M149" s="373">
        <v>15</v>
      </c>
      <c r="N149" s="2931">
        <v>150</v>
      </c>
      <c r="O149" s="2931">
        <v>200</v>
      </c>
      <c r="P149" s="2931">
        <v>250</v>
      </c>
      <c r="Q149" s="373">
        <v>350</v>
      </c>
      <c r="R149" s="2931">
        <v>15</v>
      </c>
      <c r="S149" s="2931">
        <v>20</v>
      </c>
      <c r="T149" s="2931">
        <v>25</v>
      </c>
      <c r="U149" s="373">
        <v>30</v>
      </c>
      <c r="V149" s="2926" t="s">
        <v>3767</v>
      </c>
      <c r="W149" s="2926" t="s">
        <v>3768</v>
      </c>
      <c r="X149" s="2926" t="s">
        <v>3769</v>
      </c>
      <c r="Y149" s="2926" t="s">
        <v>3770</v>
      </c>
      <c r="Z149" s="2926" t="s">
        <v>3771</v>
      </c>
      <c r="AA149" s="371"/>
    </row>
    <row r="150" spans="1:27" ht="12.75" customHeight="1" x14ac:dyDescent="0.2">
      <c r="A150" s="6418"/>
      <c r="B150" s="251" t="str">
        <f t="shared" si="2"/>
        <v>Destrucción52</v>
      </c>
      <c r="D150" s="272" t="s">
        <v>9785</v>
      </c>
      <c r="E150" s="2931" t="s">
        <v>1706</v>
      </c>
      <c r="F150" s="2931">
        <v>52</v>
      </c>
      <c r="G150" s="2934" t="s">
        <v>1381</v>
      </c>
      <c r="H150" s="2934" t="s">
        <v>1233</v>
      </c>
      <c r="I150" s="376" t="s">
        <v>1304</v>
      </c>
      <c r="J150" s="2931">
        <v>7</v>
      </c>
      <c r="K150" s="2931">
        <v>9</v>
      </c>
      <c r="L150" s="2931">
        <v>12</v>
      </c>
      <c r="M150" s="373">
        <v>15</v>
      </c>
      <c r="N150" s="2931">
        <v>140</v>
      </c>
      <c r="O150" s="2931">
        <v>180</v>
      </c>
      <c r="P150" s="2931">
        <v>240</v>
      </c>
      <c r="Q150" s="373">
        <v>300</v>
      </c>
      <c r="R150" s="2931" t="s">
        <v>1381</v>
      </c>
      <c r="S150" s="2931" t="s">
        <v>1381</v>
      </c>
      <c r="T150" s="2931" t="s">
        <v>1381</v>
      </c>
      <c r="U150" s="373" t="s">
        <v>1381</v>
      </c>
      <c r="V150" s="2926" t="s">
        <v>3602</v>
      </c>
      <c r="W150" s="2926" t="s">
        <v>3603</v>
      </c>
      <c r="X150" s="2926" t="s">
        <v>3604</v>
      </c>
      <c r="Y150" s="2926" t="s">
        <v>3605</v>
      </c>
      <c r="Z150" s="2926" t="s">
        <v>3772</v>
      </c>
      <c r="AA150" s="371"/>
    </row>
    <row r="151" spans="1:27" ht="12.75" customHeight="1" x14ac:dyDescent="0.2">
      <c r="A151" s="6418"/>
      <c r="B151" s="251" t="str">
        <f t="shared" si="2"/>
        <v>Destrucción56</v>
      </c>
      <c r="D151" s="272" t="s">
        <v>9786</v>
      </c>
      <c r="E151" s="2931" t="s">
        <v>1706</v>
      </c>
      <c r="F151" s="2931">
        <v>56</v>
      </c>
      <c r="G151" s="2934" t="s">
        <v>2583</v>
      </c>
      <c r="H151" s="2934" t="s">
        <v>1234</v>
      </c>
      <c r="I151" s="376" t="s">
        <v>1304</v>
      </c>
      <c r="J151" s="2931">
        <v>7</v>
      </c>
      <c r="K151" s="2931">
        <v>9</v>
      </c>
      <c r="L151" s="2931">
        <v>12</v>
      </c>
      <c r="M151" s="373">
        <v>15</v>
      </c>
      <c r="N151" s="2931">
        <v>80</v>
      </c>
      <c r="O151" s="2931">
        <v>180</v>
      </c>
      <c r="P151" s="2931">
        <v>300</v>
      </c>
      <c r="Q151" s="373">
        <v>500</v>
      </c>
      <c r="R151" s="2931">
        <v>15</v>
      </c>
      <c r="S151" s="2931">
        <v>20</v>
      </c>
      <c r="T151" s="2931">
        <v>25</v>
      </c>
      <c r="U151" s="373">
        <v>30</v>
      </c>
      <c r="V151" s="2926" t="s">
        <v>3589</v>
      </c>
      <c r="W151" s="2926" t="s">
        <v>3486</v>
      </c>
      <c r="X151" s="2926" t="s">
        <v>3487</v>
      </c>
      <c r="Y151" s="2926" t="s">
        <v>3488</v>
      </c>
      <c r="Z151" s="2926" t="s">
        <v>3773</v>
      </c>
      <c r="AA151" s="371"/>
    </row>
    <row r="152" spans="1:27" ht="12.75" customHeight="1" x14ac:dyDescent="0.2">
      <c r="A152" s="6418"/>
      <c r="B152" s="251" t="str">
        <f t="shared" si="2"/>
        <v>Destrucción58</v>
      </c>
      <c r="D152" s="272" t="s">
        <v>9787</v>
      </c>
      <c r="E152" s="2929" t="s">
        <v>1706</v>
      </c>
      <c r="F152" s="2929">
        <v>58</v>
      </c>
      <c r="G152" s="2934" t="s">
        <v>1381</v>
      </c>
      <c r="H152" s="2934" t="s">
        <v>1233</v>
      </c>
      <c r="I152" s="376" t="s">
        <v>1304</v>
      </c>
      <c r="J152" s="2931">
        <v>7</v>
      </c>
      <c r="K152" s="2931">
        <v>10</v>
      </c>
      <c r="L152" s="2931">
        <v>13</v>
      </c>
      <c r="M152" s="373">
        <v>16</v>
      </c>
      <c r="N152" s="2931">
        <v>100</v>
      </c>
      <c r="O152" s="2931">
        <v>180</v>
      </c>
      <c r="P152" s="2931">
        <v>240</v>
      </c>
      <c r="Q152" s="373">
        <v>300</v>
      </c>
      <c r="R152" s="2931">
        <v>10</v>
      </c>
      <c r="S152" s="2931">
        <v>15</v>
      </c>
      <c r="T152" s="2931">
        <v>25</v>
      </c>
      <c r="U152" s="373">
        <v>30</v>
      </c>
      <c r="V152" s="2926" t="s">
        <v>3589</v>
      </c>
      <c r="W152" s="2926" t="s">
        <v>3486</v>
      </c>
      <c r="X152" s="2926" t="s">
        <v>3487</v>
      </c>
      <c r="Y152" s="2926" t="s">
        <v>3488</v>
      </c>
      <c r="Z152" s="2926" t="s">
        <v>3774</v>
      </c>
      <c r="AA152" s="371"/>
    </row>
    <row r="153" spans="1:27" ht="12.75" customHeight="1" x14ac:dyDescent="0.2">
      <c r="A153" s="6418"/>
      <c r="B153" s="251" t="str">
        <f t="shared" si="2"/>
        <v>Destrucción60</v>
      </c>
      <c r="D153" s="272" t="s">
        <v>9788</v>
      </c>
      <c r="E153" s="2929" t="s">
        <v>1706</v>
      </c>
      <c r="F153" s="2929">
        <v>60</v>
      </c>
      <c r="G153" s="2934" t="s">
        <v>1381</v>
      </c>
      <c r="H153" s="2934" t="s">
        <v>1233</v>
      </c>
      <c r="I153" s="376" t="s">
        <v>1304</v>
      </c>
      <c r="J153" s="2931">
        <v>7</v>
      </c>
      <c r="K153" s="2931">
        <v>9</v>
      </c>
      <c r="L153" s="2931">
        <v>12</v>
      </c>
      <c r="M153" s="373">
        <v>15</v>
      </c>
      <c r="N153" s="2931">
        <v>140</v>
      </c>
      <c r="O153" s="2931">
        <v>180</v>
      </c>
      <c r="P153" s="2931">
        <v>240</v>
      </c>
      <c r="Q153" s="373">
        <v>300</v>
      </c>
      <c r="R153" s="2931">
        <v>15</v>
      </c>
      <c r="S153" s="2931">
        <v>20</v>
      </c>
      <c r="T153" s="2931">
        <v>25</v>
      </c>
      <c r="U153" s="373">
        <v>30</v>
      </c>
      <c r="V153" s="2926" t="s">
        <v>3589</v>
      </c>
      <c r="W153" s="2926" t="s">
        <v>3590</v>
      </c>
      <c r="X153" s="2926" t="s">
        <v>3321</v>
      </c>
      <c r="Y153" s="2926" t="s">
        <v>3775</v>
      </c>
      <c r="Z153" s="2926" t="s">
        <v>3776</v>
      </c>
      <c r="AA153" s="371"/>
    </row>
    <row r="154" spans="1:27" ht="12.75" customHeight="1" x14ac:dyDescent="0.2">
      <c r="A154" s="6418"/>
      <c r="B154" s="251" t="str">
        <f t="shared" si="2"/>
        <v>Destrucción62</v>
      </c>
      <c r="D154" s="272" t="s">
        <v>9789</v>
      </c>
      <c r="E154" s="2929" t="s">
        <v>1706</v>
      </c>
      <c r="F154" s="2929">
        <v>62</v>
      </c>
      <c r="G154" s="2934" t="s">
        <v>1381</v>
      </c>
      <c r="H154" s="2934" t="s">
        <v>1232</v>
      </c>
      <c r="I154" s="376" t="s">
        <v>1304</v>
      </c>
      <c r="J154" s="2931">
        <v>8</v>
      </c>
      <c r="K154" s="2931">
        <v>10</v>
      </c>
      <c r="L154" s="2931">
        <v>13</v>
      </c>
      <c r="M154" s="373">
        <v>16</v>
      </c>
      <c r="N154" s="2931">
        <v>150</v>
      </c>
      <c r="O154" s="2931">
        <v>300</v>
      </c>
      <c r="P154" s="2931">
        <v>450</v>
      </c>
      <c r="Q154" s="373">
        <v>600</v>
      </c>
      <c r="R154" s="2931" t="s">
        <v>1381</v>
      </c>
      <c r="S154" s="2931" t="s">
        <v>1381</v>
      </c>
      <c r="T154" s="2931" t="s">
        <v>1381</v>
      </c>
      <c r="U154" s="373" t="s">
        <v>1381</v>
      </c>
      <c r="V154" s="2926" t="s">
        <v>3427</v>
      </c>
      <c r="W154" s="2926" t="s">
        <v>3777</v>
      </c>
      <c r="X154" s="2926" t="s">
        <v>3778</v>
      </c>
      <c r="Y154" s="2926" t="s">
        <v>3779</v>
      </c>
      <c r="Z154" s="2926" t="s">
        <v>3780</v>
      </c>
      <c r="AA154" s="371"/>
    </row>
    <row r="155" spans="1:27" ht="12.75" customHeight="1" x14ac:dyDescent="0.2">
      <c r="A155" s="6418"/>
      <c r="B155" s="251" t="str">
        <f t="shared" si="2"/>
        <v>Destrucción66</v>
      </c>
      <c r="D155" s="272" t="s">
        <v>9790</v>
      </c>
      <c r="E155" s="2929" t="s">
        <v>1706</v>
      </c>
      <c r="F155" s="2929">
        <v>66</v>
      </c>
      <c r="G155" s="2934" t="s">
        <v>1381</v>
      </c>
      <c r="H155" s="2934" t="s">
        <v>1233</v>
      </c>
      <c r="I155" s="376" t="s">
        <v>1304</v>
      </c>
      <c r="J155" s="2931">
        <v>8</v>
      </c>
      <c r="K155" s="2931">
        <v>10</v>
      </c>
      <c r="L155" s="2931">
        <v>13</v>
      </c>
      <c r="M155" s="373">
        <v>16</v>
      </c>
      <c r="N155" s="2931">
        <v>160</v>
      </c>
      <c r="O155" s="2931">
        <v>200</v>
      </c>
      <c r="P155" s="2931">
        <v>240</v>
      </c>
      <c r="Q155" s="373">
        <v>280</v>
      </c>
      <c r="R155" s="2931">
        <v>20</v>
      </c>
      <c r="S155" s="2931">
        <v>20</v>
      </c>
      <c r="T155" s="2931">
        <v>25</v>
      </c>
      <c r="U155" s="373">
        <v>30</v>
      </c>
      <c r="V155" s="2926" t="s">
        <v>3781</v>
      </c>
      <c r="W155" s="2926" t="s">
        <v>3782</v>
      </c>
      <c r="X155" s="2926" t="s">
        <v>3783</v>
      </c>
      <c r="Y155" s="2926" t="s">
        <v>3784</v>
      </c>
      <c r="Z155" s="2926" t="s">
        <v>3785</v>
      </c>
      <c r="AA155" s="371"/>
    </row>
    <row r="156" spans="1:27" ht="12.75" customHeight="1" x14ac:dyDescent="0.2">
      <c r="A156" s="6418"/>
      <c r="B156" s="251" t="str">
        <f t="shared" si="2"/>
        <v>Destrucción68</v>
      </c>
      <c r="D156" s="272" t="s">
        <v>9791</v>
      </c>
      <c r="E156" s="2929" t="s">
        <v>1706</v>
      </c>
      <c r="F156" s="2929">
        <v>68</v>
      </c>
      <c r="G156" s="2934" t="s">
        <v>2583</v>
      </c>
      <c r="H156" s="2934" t="s">
        <v>3209</v>
      </c>
      <c r="I156" s="376" t="s">
        <v>1304</v>
      </c>
      <c r="J156" s="2931">
        <v>9</v>
      </c>
      <c r="K156" s="2931">
        <v>12</v>
      </c>
      <c r="L156" s="2931">
        <v>14</v>
      </c>
      <c r="M156" s="373">
        <v>16</v>
      </c>
      <c r="N156" s="2931">
        <v>200</v>
      </c>
      <c r="O156" s="2931">
        <v>300</v>
      </c>
      <c r="P156" s="2931">
        <v>400</v>
      </c>
      <c r="Q156" s="373">
        <v>500</v>
      </c>
      <c r="R156" s="2931">
        <v>20</v>
      </c>
      <c r="S156" s="2931">
        <v>30</v>
      </c>
      <c r="T156" s="2931">
        <v>40</v>
      </c>
      <c r="U156" s="373">
        <v>50</v>
      </c>
      <c r="V156" s="2926" t="s">
        <v>3786</v>
      </c>
      <c r="W156" s="2926" t="s">
        <v>3787</v>
      </c>
      <c r="X156" s="2926" t="s">
        <v>3788</v>
      </c>
      <c r="Y156" s="2926" t="s">
        <v>3789</v>
      </c>
      <c r="Z156" s="2926" t="s">
        <v>3790</v>
      </c>
      <c r="AA156" s="371"/>
    </row>
    <row r="157" spans="1:27" ht="12.75" customHeight="1" x14ac:dyDescent="0.2">
      <c r="A157" s="6418"/>
      <c r="B157" s="251" t="str">
        <f t="shared" si="2"/>
        <v>Destrucción70</v>
      </c>
      <c r="D157" s="272" t="s">
        <v>9792</v>
      </c>
      <c r="E157" s="2929" t="s">
        <v>1706</v>
      </c>
      <c r="F157" s="2929">
        <v>70</v>
      </c>
      <c r="G157" s="2934" t="s">
        <v>1381</v>
      </c>
      <c r="H157" s="2934" t="s">
        <v>1234</v>
      </c>
      <c r="I157" s="376" t="s">
        <v>1304</v>
      </c>
      <c r="J157" s="2931">
        <v>9</v>
      </c>
      <c r="K157" s="2931">
        <v>12</v>
      </c>
      <c r="L157" s="2931">
        <v>14</v>
      </c>
      <c r="M157" s="373">
        <v>16</v>
      </c>
      <c r="N157" s="2931">
        <v>150</v>
      </c>
      <c r="O157" s="2931">
        <v>200</v>
      </c>
      <c r="P157" s="2931">
        <v>250</v>
      </c>
      <c r="Q157" s="373">
        <v>300</v>
      </c>
      <c r="R157" s="2931">
        <v>15</v>
      </c>
      <c r="S157" s="2931">
        <v>20</v>
      </c>
      <c r="T157" s="2931">
        <v>25</v>
      </c>
      <c r="U157" s="373">
        <v>30</v>
      </c>
      <c r="V157" s="2926" t="s">
        <v>3791</v>
      </c>
      <c r="W157" s="2926" t="s">
        <v>3792</v>
      </c>
      <c r="X157" s="2926" t="s">
        <v>3793</v>
      </c>
      <c r="Y157" s="2926" t="s">
        <v>3794</v>
      </c>
      <c r="Z157" s="2926" t="s">
        <v>3795</v>
      </c>
      <c r="AA157" s="371"/>
    </row>
    <row r="158" spans="1:27" ht="12.75" customHeight="1" x14ac:dyDescent="0.2">
      <c r="A158" s="6418"/>
      <c r="B158" s="251" t="str">
        <f t="shared" si="2"/>
        <v>Destrucción72</v>
      </c>
      <c r="D158" s="272" t="s">
        <v>84</v>
      </c>
      <c r="E158" s="2929" t="s">
        <v>1706</v>
      </c>
      <c r="F158" s="2929">
        <v>72</v>
      </c>
      <c r="G158" s="2934" t="s">
        <v>1381</v>
      </c>
      <c r="H158" s="2934" t="s">
        <v>1233</v>
      </c>
      <c r="I158" s="376" t="s">
        <v>1304</v>
      </c>
      <c r="J158" s="2931">
        <v>10</v>
      </c>
      <c r="K158" s="2931">
        <v>12</v>
      </c>
      <c r="L158" s="2931">
        <v>14</v>
      </c>
      <c r="M158" s="373">
        <v>16</v>
      </c>
      <c r="N158" s="2931">
        <v>200</v>
      </c>
      <c r="O158" s="2931">
        <v>250</v>
      </c>
      <c r="P158" s="2931">
        <v>300</v>
      </c>
      <c r="Q158" s="373">
        <v>350</v>
      </c>
      <c r="R158" s="2931" t="s">
        <v>1381</v>
      </c>
      <c r="S158" s="2931" t="s">
        <v>1381</v>
      </c>
      <c r="T158" s="2931" t="s">
        <v>1381</v>
      </c>
      <c r="U158" s="373" t="s">
        <v>1381</v>
      </c>
      <c r="V158" s="2926" t="s">
        <v>3796</v>
      </c>
      <c r="W158" s="2926" t="s">
        <v>3797</v>
      </c>
      <c r="X158" s="2926" t="s">
        <v>3798</v>
      </c>
      <c r="Y158" s="2926" t="s">
        <v>3799</v>
      </c>
      <c r="Z158" s="2926" t="s">
        <v>3800</v>
      </c>
      <c r="AA158" s="371"/>
    </row>
    <row r="159" spans="1:27" ht="12.75" customHeight="1" x14ac:dyDescent="0.2">
      <c r="A159" s="6418"/>
      <c r="B159" s="251" t="str">
        <f t="shared" si="2"/>
        <v>Destrucción76</v>
      </c>
      <c r="D159" s="272" t="s">
        <v>9793</v>
      </c>
      <c r="E159" s="2929" t="s">
        <v>1706</v>
      </c>
      <c r="F159" s="2929">
        <v>76</v>
      </c>
      <c r="G159" s="2934" t="s">
        <v>2583</v>
      </c>
      <c r="H159" s="2934" t="s">
        <v>3209</v>
      </c>
      <c r="I159" s="376" t="s">
        <v>1304</v>
      </c>
      <c r="J159" s="2931">
        <v>9</v>
      </c>
      <c r="K159" s="2931">
        <v>12</v>
      </c>
      <c r="L159" s="2931">
        <v>15</v>
      </c>
      <c r="M159" s="373">
        <v>17</v>
      </c>
      <c r="N159" s="2931">
        <v>250</v>
      </c>
      <c r="O159" s="2931">
        <v>360</v>
      </c>
      <c r="P159" s="2931">
        <v>450</v>
      </c>
      <c r="Q159" s="373">
        <v>600</v>
      </c>
      <c r="R159" s="2931">
        <v>25</v>
      </c>
      <c r="S159" s="2931">
        <v>40</v>
      </c>
      <c r="T159" s="2931">
        <v>45</v>
      </c>
      <c r="U159" s="373">
        <v>55</v>
      </c>
      <c r="V159" s="2926" t="s">
        <v>3801</v>
      </c>
      <c r="W159" s="2926" t="s">
        <v>3802</v>
      </c>
      <c r="X159" s="2926" t="s">
        <v>3803</v>
      </c>
      <c r="Y159" s="2926" t="s">
        <v>3804</v>
      </c>
      <c r="Z159" s="2926" t="s">
        <v>3805</v>
      </c>
      <c r="AA159" s="371"/>
    </row>
    <row r="160" spans="1:27" ht="12.75" customHeight="1" x14ac:dyDescent="0.2">
      <c r="A160" s="6418"/>
      <c r="B160" s="251" t="str">
        <f t="shared" si="2"/>
        <v>Destrucción78</v>
      </c>
      <c r="D160" s="272" t="s">
        <v>9794</v>
      </c>
      <c r="E160" s="2929" t="s">
        <v>1706</v>
      </c>
      <c r="F160" s="2929">
        <v>78</v>
      </c>
      <c r="G160" s="2934" t="s">
        <v>1381</v>
      </c>
      <c r="H160" s="2934" t="s">
        <v>1233</v>
      </c>
      <c r="I160" s="376" t="s">
        <v>1304</v>
      </c>
      <c r="J160" s="2931">
        <v>8</v>
      </c>
      <c r="K160" s="2931">
        <v>10</v>
      </c>
      <c r="L160" s="2931">
        <v>12</v>
      </c>
      <c r="M160" s="373">
        <v>15</v>
      </c>
      <c r="N160" s="2931">
        <v>150</v>
      </c>
      <c r="O160" s="2931">
        <v>250</v>
      </c>
      <c r="P160" s="2931">
        <v>350</v>
      </c>
      <c r="Q160" s="373">
        <v>500</v>
      </c>
      <c r="R160" s="2931" t="s">
        <v>1381</v>
      </c>
      <c r="S160" s="2931" t="s">
        <v>1381</v>
      </c>
      <c r="T160" s="2931" t="s">
        <v>1381</v>
      </c>
      <c r="U160" s="373" t="s">
        <v>1381</v>
      </c>
      <c r="V160" s="2926" t="s">
        <v>3806</v>
      </c>
      <c r="W160" s="2926" t="s">
        <v>3807</v>
      </c>
      <c r="X160" s="2926" t="s">
        <v>3808</v>
      </c>
      <c r="Y160" s="2926" t="s">
        <v>3809</v>
      </c>
      <c r="Z160" s="2926" t="s">
        <v>3810</v>
      </c>
      <c r="AA160" s="371"/>
    </row>
    <row r="161" spans="1:27" ht="12.75" customHeight="1" x14ac:dyDescent="0.2">
      <c r="A161" s="6418"/>
      <c r="B161" s="251" t="str">
        <f t="shared" si="2"/>
        <v>Destrucción80</v>
      </c>
      <c r="D161" s="272" t="s">
        <v>9795</v>
      </c>
      <c r="E161" s="2929" t="s">
        <v>1706</v>
      </c>
      <c r="F161" s="2929">
        <v>80</v>
      </c>
      <c r="G161" s="2934" t="s">
        <v>1381</v>
      </c>
      <c r="H161" s="2934" t="s">
        <v>1233</v>
      </c>
      <c r="I161" s="376" t="s">
        <v>1304</v>
      </c>
      <c r="J161" s="2931">
        <v>12</v>
      </c>
      <c r="K161" s="2931">
        <v>14</v>
      </c>
      <c r="L161" s="2931">
        <v>16</v>
      </c>
      <c r="M161" s="373">
        <v>18</v>
      </c>
      <c r="N161" s="2931">
        <v>350</v>
      </c>
      <c r="O161" s="2931">
        <v>500</v>
      </c>
      <c r="P161" s="2931">
        <v>600</v>
      </c>
      <c r="Q161" s="373">
        <v>800</v>
      </c>
      <c r="R161" s="2931" t="s">
        <v>1381</v>
      </c>
      <c r="S161" s="2931" t="s">
        <v>1381</v>
      </c>
      <c r="T161" s="2931" t="s">
        <v>1381</v>
      </c>
      <c r="U161" s="373" t="s">
        <v>1381</v>
      </c>
      <c r="V161" s="2926" t="s">
        <v>3811</v>
      </c>
      <c r="W161" s="2926" t="s">
        <v>3812</v>
      </c>
      <c r="X161" s="2926" t="s">
        <v>3813</v>
      </c>
      <c r="Y161" s="2926" t="s">
        <v>3814</v>
      </c>
      <c r="Z161" s="2926" t="s">
        <v>3815</v>
      </c>
      <c r="AA161" s="371"/>
    </row>
    <row r="162" spans="1:27" ht="12.75" customHeight="1" x14ac:dyDescent="0.2">
      <c r="A162" s="6418"/>
      <c r="B162" s="251" t="str">
        <f t="shared" si="2"/>
        <v>Destrucción82</v>
      </c>
      <c r="D162" s="272" t="s">
        <v>9796</v>
      </c>
      <c r="E162" s="2929" t="s">
        <v>1706</v>
      </c>
      <c r="F162" s="2929">
        <v>82</v>
      </c>
      <c r="G162" s="2934" t="s">
        <v>1381</v>
      </c>
      <c r="H162" s="2934" t="s">
        <v>1232</v>
      </c>
      <c r="I162" s="376" t="s">
        <v>1304</v>
      </c>
      <c r="J162" s="2931">
        <v>10</v>
      </c>
      <c r="K162" s="2931">
        <v>13</v>
      </c>
      <c r="L162" s="2931">
        <v>15</v>
      </c>
      <c r="M162" s="373">
        <v>17</v>
      </c>
      <c r="N162" s="2931">
        <v>250</v>
      </c>
      <c r="O162" s="2931">
        <v>350</v>
      </c>
      <c r="P162" s="2931">
        <v>450</v>
      </c>
      <c r="Q162" s="373">
        <v>600</v>
      </c>
      <c r="R162" s="2931" t="s">
        <v>1381</v>
      </c>
      <c r="S162" s="2931" t="s">
        <v>1381</v>
      </c>
      <c r="T162" s="2931" t="s">
        <v>1381</v>
      </c>
      <c r="U162" s="373" t="s">
        <v>1381</v>
      </c>
      <c r="V162" s="2926" t="s">
        <v>3816</v>
      </c>
      <c r="W162" s="2926" t="s">
        <v>3817</v>
      </c>
      <c r="X162" s="2926" t="s">
        <v>3818</v>
      </c>
      <c r="Y162" s="2926" t="s">
        <v>3819</v>
      </c>
      <c r="Z162" s="2926" t="s">
        <v>3820</v>
      </c>
      <c r="AA162" s="371"/>
    </row>
    <row r="163" spans="1:27" ht="12.75" customHeight="1" x14ac:dyDescent="0.2">
      <c r="A163" s="6418"/>
      <c r="B163" s="251" t="str">
        <f t="shared" si="2"/>
        <v>Destrucción86</v>
      </c>
      <c r="D163" s="272" t="s">
        <v>9797</v>
      </c>
      <c r="E163" s="2929" t="s">
        <v>1706</v>
      </c>
      <c r="F163" s="2929">
        <v>86</v>
      </c>
      <c r="G163" s="2934" t="s">
        <v>1381</v>
      </c>
      <c r="H163" s="2934" t="s">
        <v>1234</v>
      </c>
      <c r="I163" s="376" t="s">
        <v>1304</v>
      </c>
      <c r="J163" s="2931">
        <v>10</v>
      </c>
      <c r="K163" s="2931">
        <v>12</v>
      </c>
      <c r="L163" s="2931">
        <v>14</v>
      </c>
      <c r="M163" s="373">
        <v>16</v>
      </c>
      <c r="N163" s="2931">
        <v>200</v>
      </c>
      <c r="O163" s="2931">
        <v>400</v>
      </c>
      <c r="P163" s="2931">
        <v>600</v>
      </c>
      <c r="Q163" s="373">
        <v>700</v>
      </c>
      <c r="R163" s="2931" t="s">
        <v>1381</v>
      </c>
      <c r="S163" s="2931" t="s">
        <v>1381</v>
      </c>
      <c r="T163" s="2931" t="s">
        <v>1381</v>
      </c>
      <c r="U163" s="373" t="s">
        <v>1381</v>
      </c>
      <c r="V163" s="2926" t="s">
        <v>3821</v>
      </c>
      <c r="W163" s="2926" t="s">
        <v>3822</v>
      </c>
      <c r="X163" s="2926" t="s">
        <v>3823</v>
      </c>
      <c r="Y163" s="2926" t="s">
        <v>3824</v>
      </c>
      <c r="Z163" s="2926" t="s">
        <v>3825</v>
      </c>
      <c r="AA163" s="371"/>
    </row>
    <row r="164" spans="1:27" ht="12.75" customHeight="1" x14ac:dyDescent="0.2">
      <c r="A164" s="6418"/>
      <c r="B164" s="251" t="str">
        <f t="shared" si="2"/>
        <v>Destrucción88</v>
      </c>
      <c r="D164" s="272" t="s">
        <v>9798</v>
      </c>
      <c r="E164" s="2929" t="s">
        <v>1706</v>
      </c>
      <c r="F164" s="2929">
        <v>88</v>
      </c>
      <c r="G164" s="2934" t="s">
        <v>2583</v>
      </c>
      <c r="H164" s="2934" t="s">
        <v>1234</v>
      </c>
      <c r="I164" s="376" t="s">
        <v>1304</v>
      </c>
      <c r="J164" s="2931">
        <v>12</v>
      </c>
      <c r="K164" s="2931">
        <v>14</v>
      </c>
      <c r="L164" s="2931">
        <v>16</v>
      </c>
      <c r="M164" s="373">
        <v>18</v>
      </c>
      <c r="N164" s="2931">
        <v>300</v>
      </c>
      <c r="O164" s="2931">
        <v>600</v>
      </c>
      <c r="P164" s="2931">
        <v>1000</v>
      </c>
      <c r="Q164" s="373">
        <v>2000</v>
      </c>
      <c r="R164" s="2931">
        <v>15</v>
      </c>
      <c r="S164" s="2931">
        <v>30</v>
      </c>
      <c r="T164" s="2931">
        <v>50</v>
      </c>
      <c r="U164" s="373">
        <v>100</v>
      </c>
      <c r="V164" s="2926" t="s">
        <v>3826</v>
      </c>
      <c r="W164" s="2926" t="s">
        <v>3827</v>
      </c>
      <c r="X164" s="2926" t="s">
        <v>3828</v>
      </c>
      <c r="Y164" s="2926" t="s">
        <v>3829</v>
      </c>
      <c r="Z164" s="2926" t="s">
        <v>3830</v>
      </c>
      <c r="AA164" s="371"/>
    </row>
    <row r="165" spans="1:27" ht="12.75" customHeight="1" x14ac:dyDescent="0.2">
      <c r="A165" s="6418"/>
      <c r="B165" s="251" t="str">
        <f t="shared" si="2"/>
        <v>Destrucción90</v>
      </c>
      <c r="D165" s="272" t="s">
        <v>93</v>
      </c>
      <c r="E165" s="2929" t="s">
        <v>1706</v>
      </c>
      <c r="F165" s="2929">
        <v>90</v>
      </c>
      <c r="G165" s="2934" t="s">
        <v>1381</v>
      </c>
      <c r="H165" s="2934" t="s">
        <v>1234</v>
      </c>
      <c r="I165" s="376" t="s">
        <v>1304</v>
      </c>
      <c r="J165" s="2931">
        <v>12</v>
      </c>
      <c r="K165" s="2931">
        <v>14</v>
      </c>
      <c r="L165" s="2931">
        <v>16</v>
      </c>
      <c r="M165" s="373">
        <v>18</v>
      </c>
      <c r="N165" s="2931">
        <v>250</v>
      </c>
      <c r="O165" s="2931">
        <v>350</v>
      </c>
      <c r="P165" s="2931">
        <v>500</v>
      </c>
      <c r="Q165" s="373">
        <v>800</v>
      </c>
      <c r="R165" s="2931">
        <v>25</v>
      </c>
      <c r="S165" s="2931">
        <v>40</v>
      </c>
      <c r="T165" s="2931">
        <v>45</v>
      </c>
      <c r="U165" s="373">
        <v>55</v>
      </c>
      <c r="V165" s="2926" t="s">
        <v>3831</v>
      </c>
      <c r="W165" s="2926" t="s">
        <v>3832</v>
      </c>
      <c r="X165" s="2926" t="s">
        <v>3833</v>
      </c>
      <c r="Y165" s="2926" t="s">
        <v>3834</v>
      </c>
      <c r="Z165" s="2926" t="s">
        <v>3835</v>
      </c>
      <c r="AA165" s="371"/>
    </row>
    <row r="166" spans="1:27" ht="12.75" customHeight="1" x14ac:dyDescent="0.2">
      <c r="A166" s="6418"/>
      <c r="B166" s="251" t="str">
        <f t="shared" si="2"/>
        <v>Destrucción92</v>
      </c>
      <c r="D166" s="272" t="s">
        <v>9799</v>
      </c>
      <c r="E166" s="2929" t="s">
        <v>1706</v>
      </c>
      <c r="F166" s="2929">
        <v>92</v>
      </c>
      <c r="G166" s="2934" t="s">
        <v>1381</v>
      </c>
      <c r="H166" s="2934" t="s">
        <v>1234</v>
      </c>
      <c r="I166" s="376" t="s">
        <v>1304</v>
      </c>
      <c r="J166" s="2931">
        <v>12</v>
      </c>
      <c r="K166" s="2931">
        <v>14</v>
      </c>
      <c r="L166" s="2931">
        <v>16</v>
      </c>
      <c r="M166" s="373">
        <v>18</v>
      </c>
      <c r="N166" s="2931">
        <v>350</v>
      </c>
      <c r="O166" s="2931">
        <v>600</v>
      </c>
      <c r="P166" s="2931">
        <v>900</v>
      </c>
      <c r="Q166" s="373">
        <v>1500</v>
      </c>
      <c r="R166" s="2931" t="s">
        <v>1381</v>
      </c>
      <c r="S166" s="2931" t="s">
        <v>1381</v>
      </c>
      <c r="T166" s="2931" t="s">
        <v>1381</v>
      </c>
      <c r="U166" s="373" t="s">
        <v>1381</v>
      </c>
      <c r="V166" s="2926" t="s">
        <v>3404</v>
      </c>
      <c r="W166" s="2926" t="s">
        <v>3575</v>
      </c>
      <c r="X166" s="2926" t="s">
        <v>3836</v>
      </c>
      <c r="Y166" s="2926" t="s">
        <v>3654</v>
      </c>
      <c r="Z166" s="2926" t="s">
        <v>3837</v>
      </c>
      <c r="AA166" s="371"/>
    </row>
    <row r="167" spans="1:27" ht="12.75" customHeight="1" x14ac:dyDescent="0.2">
      <c r="A167" s="6418"/>
      <c r="B167" s="251" t="str">
        <f t="shared" si="2"/>
        <v>Destrucción96</v>
      </c>
      <c r="D167" s="272" t="s">
        <v>9800</v>
      </c>
      <c r="E167" s="2929" t="s">
        <v>1706</v>
      </c>
      <c r="F167" s="2929">
        <v>96</v>
      </c>
      <c r="G167" s="2934" t="s">
        <v>1381</v>
      </c>
      <c r="H167" s="2934" t="s">
        <v>3209</v>
      </c>
      <c r="I167" s="376" t="s">
        <v>1304</v>
      </c>
      <c r="J167" s="2931">
        <v>13</v>
      </c>
      <c r="K167" s="2931">
        <v>15</v>
      </c>
      <c r="L167" s="2931">
        <v>17</v>
      </c>
      <c r="M167" s="373">
        <v>19</v>
      </c>
      <c r="N167" s="2931">
        <v>500</v>
      </c>
      <c r="O167" s="2931">
        <v>800</v>
      </c>
      <c r="P167" s="2931">
        <v>1500</v>
      </c>
      <c r="Q167" s="373">
        <v>2500</v>
      </c>
      <c r="R167" s="2931" t="s">
        <v>1381</v>
      </c>
      <c r="S167" s="2931" t="s">
        <v>1381</v>
      </c>
      <c r="T167" s="2931" t="s">
        <v>1381</v>
      </c>
      <c r="U167" s="373" t="s">
        <v>1381</v>
      </c>
      <c r="V167" s="2926" t="s">
        <v>3838</v>
      </c>
      <c r="W167" s="2926" t="s">
        <v>3839</v>
      </c>
      <c r="X167" s="2926" t="s">
        <v>3840</v>
      </c>
      <c r="Y167" s="2926" t="s">
        <v>3841</v>
      </c>
      <c r="Z167" s="2926" t="s">
        <v>3842</v>
      </c>
      <c r="AA167" s="371"/>
    </row>
    <row r="168" spans="1:27" ht="12.75" customHeight="1" x14ac:dyDescent="0.2">
      <c r="A168" s="6418"/>
      <c r="B168" s="251" t="str">
        <f t="shared" si="2"/>
        <v>Destrucción98</v>
      </c>
      <c r="D168" s="272" t="s">
        <v>81</v>
      </c>
      <c r="E168" s="2929" t="s">
        <v>1706</v>
      </c>
      <c r="F168" s="2929">
        <v>98</v>
      </c>
      <c r="G168" s="2934" t="s">
        <v>2583</v>
      </c>
      <c r="H168" s="2934" t="s">
        <v>3209</v>
      </c>
      <c r="I168" s="376" t="s">
        <v>1304</v>
      </c>
      <c r="J168" s="2931">
        <v>14</v>
      </c>
      <c r="K168" s="2931">
        <v>16</v>
      </c>
      <c r="L168" s="2931">
        <v>18</v>
      </c>
      <c r="M168" s="373">
        <v>20</v>
      </c>
      <c r="N168" s="2931">
        <v>700</v>
      </c>
      <c r="O168" s="2931">
        <v>1200</v>
      </c>
      <c r="P168" s="2931">
        <v>2000</v>
      </c>
      <c r="Q168" s="373">
        <v>5000</v>
      </c>
      <c r="R168" s="2931">
        <v>70</v>
      </c>
      <c r="S168" s="2931">
        <v>80</v>
      </c>
      <c r="T168" s="2931">
        <v>90</v>
      </c>
      <c r="U168" s="373">
        <v>100</v>
      </c>
      <c r="V168" s="2926" t="s">
        <v>3843</v>
      </c>
      <c r="W168" s="2926" t="s">
        <v>3844</v>
      </c>
      <c r="X168" s="2926" t="s">
        <v>3845</v>
      </c>
      <c r="Y168" s="2926" t="s">
        <v>3846</v>
      </c>
      <c r="Z168" s="2926" t="s">
        <v>3847</v>
      </c>
      <c r="AA168" s="371"/>
    </row>
    <row r="169" spans="1:27" ht="12.75" customHeight="1" x14ac:dyDescent="0.2">
      <c r="A169" s="6418"/>
      <c r="B169" s="251" t="str">
        <f t="shared" si="2"/>
        <v>Destrucción100</v>
      </c>
      <c r="D169" s="272" t="s">
        <v>9801</v>
      </c>
      <c r="E169" s="2929" t="s">
        <v>1706</v>
      </c>
      <c r="F169" s="2929">
        <v>100</v>
      </c>
      <c r="G169" s="2934" t="s">
        <v>1381</v>
      </c>
      <c r="H169" s="2934" t="s">
        <v>3209</v>
      </c>
      <c r="I169" s="376" t="s">
        <v>1304</v>
      </c>
      <c r="J169" s="2931">
        <v>17</v>
      </c>
      <c r="K169" s="2931">
        <v>18</v>
      </c>
      <c r="L169" s="2931">
        <v>19</v>
      </c>
      <c r="M169" s="373">
        <v>20</v>
      </c>
      <c r="N169" s="2931">
        <v>1000</v>
      </c>
      <c r="O169" s="2931">
        <v>2500</v>
      </c>
      <c r="P169" s="2931">
        <v>5000</v>
      </c>
      <c r="Q169" s="373">
        <v>10000</v>
      </c>
      <c r="R169" s="2931" t="s">
        <v>1381</v>
      </c>
      <c r="S169" s="2931" t="s">
        <v>1381</v>
      </c>
      <c r="T169" s="2931" t="s">
        <v>1381</v>
      </c>
      <c r="U169" s="373" t="s">
        <v>1381</v>
      </c>
      <c r="V169" s="2926" t="s">
        <v>3590</v>
      </c>
      <c r="W169" s="2926" t="s">
        <v>3486</v>
      </c>
      <c r="X169" s="2926" t="s">
        <v>3487</v>
      </c>
      <c r="Y169" s="2926" t="s">
        <v>3488</v>
      </c>
      <c r="Z169" s="2926" t="s">
        <v>3848</v>
      </c>
      <c r="AA169" s="371"/>
    </row>
    <row r="170" spans="1:27" ht="12.75" customHeight="1" x14ac:dyDescent="0.2">
      <c r="A170" s="6418"/>
      <c r="B170" s="251" t="str">
        <f t="shared" si="2"/>
        <v/>
      </c>
      <c r="D170" s="272" t="s">
        <v>302</v>
      </c>
      <c r="E170" s="2929"/>
      <c r="F170" s="2929"/>
      <c r="G170" s="2934"/>
      <c r="H170" s="2934"/>
      <c r="I170" s="376"/>
      <c r="J170" s="2931"/>
      <c r="K170" s="2931"/>
      <c r="L170" s="2931"/>
      <c r="M170" s="373"/>
      <c r="N170" s="2931"/>
      <c r="O170" s="2931"/>
      <c r="P170" s="2931"/>
      <c r="Q170" s="373"/>
      <c r="R170" s="2931"/>
      <c r="S170" s="2931"/>
      <c r="T170" s="2931"/>
      <c r="U170" s="373"/>
      <c r="V170" s="2926"/>
      <c r="W170" s="2926"/>
      <c r="X170" s="2926"/>
      <c r="Y170" s="2926"/>
      <c r="Z170" s="2926"/>
      <c r="AA170" s="371"/>
    </row>
    <row r="171" spans="1:27" ht="12.75" customHeight="1" x14ac:dyDescent="0.2">
      <c r="A171" s="6418"/>
      <c r="B171" s="251" t="str">
        <f t="shared" si="2"/>
        <v>Aire2</v>
      </c>
      <c r="D171" s="272" t="s">
        <v>9802</v>
      </c>
      <c r="E171" s="2929" t="s">
        <v>1602</v>
      </c>
      <c r="F171" s="2929">
        <v>2</v>
      </c>
      <c r="G171" s="2934" t="s">
        <v>1381</v>
      </c>
      <c r="H171" s="2934" t="s">
        <v>1234</v>
      </c>
      <c r="I171" s="376" t="s">
        <v>1304</v>
      </c>
      <c r="J171" s="2931">
        <v>5</v>
      </c>
      <c r="K171" s="2931">
        <v>8</v>
      </c>
      <c r="L171" s="2931">
        <v>10</v>
      </c>
      <c r="M171" s="373">
        <v>12</v>
      </c>
      <c r="N171" s="2931">
        <v>30</v>
      </c>
      <c r="O171" s="2931">
        <v>60</v>
      </c>
      <c r="P171" s="2931">
        <v>90</v>
      </c>
      <c r="Q171" s="373">
        <v>120</v>
      </c>
      <c r="R171" s="2931">
        <v>5</v>
      </c>
      <c r="S171" s="2931">
        <v>10</v>
      </c>
      <c r="T171" s="2931">
        <v>10</v>
      </c>
      <c r="U171" s="373">
        <v>15</v>
      </c>
      <c r="V171" s="2926" t="s">
        <v>3849</v>
      </c>
      <c r="W171" s="2926" t="s">
        <v>3850</v>
      </c>
      <c r="X171" s="2926" t="s">
        <v>3851</v>
      </c>
      <c r="Y171" s="2926" t="s">
        <v>3852</v>
      </c>
      <c r="Z171" s="2926" t="s">
        <v>3853</v>
      </c>
      <c r="AA171" s="371"/>
    </row>
    <row r="172" spans="1:27" ht="12.75" customHeight="1" x14ac:dyDescent="0.2">
      <c r="A172" s="6418"/>
      <c r="B172" s="251" t="str">
        <f t="shared" si="2"/>
        <v>Aire6</v>
      </c>
      <c r="D172" s="272" t="s">
        <v>9803</v>
      </c>
      <c r="E172" s="2929" t="s">
        <v>1602</v>
      </c>
      <c r="F172" s="2929">
        <v>6</v>
      </c>
      <c r="G172" s="2934" t="s">
        <v>2087</v>
      </c>
      <c r="H172" s="2934" t="s">
        <v>1234</v>
      </c>
      <c r="I172" s="376" t="s">
        <v>1304</v>
      </c>
      <c r="J172" s="2931">
        <v>5</v>
      </c>
      <c r="K172" s="2931">
        <v>8</v>
      </c>
      <c r="L172" s="2931">
        <v>10</v>
      </c>
      <c r="M172" s="373">
        <v>12</v>
      </c>
      <c r="N172" s="2931">
        <v>30</v>
      </c>
      <c r="O172" s="2931">
        <v>60</v>
      </c>
      <c r="P172" s="2931">
        <v>90</v>
      </c>
      <c r="Q172" s="373">
        <v>120</v>
      </c>
      <c r="R172" s="2931">
        <v>5</v>
      </c>
      <c r="S172" s="2931">
        <v>10</v>
      </c>
      <c r="T172" s="2931">
        <v>10</v>
      </c>
      <c r="U172" s="373">
        <v>15</v>
      </c>
      <c r="V172" s="2926" t="s">
        <v>3854</v>
      </c>
      <c r="W172" s="2926" t="s">
        <v>3855</v>
      </c>
      <c r="X172" s="2926" t="s">
        <v>3856</v>
      </c>
      <c r="Y172" s="2926" t="s">
        <v>3857</v>
      </c>
      <c r="Z172" s="2926" t="s">
        <v>3858</v>
      </c>
      <c r="AA172" s="371"/>
    </row>
    <row r="173" spans="1:27" ht="12.75" customHeight="1" x14ac:dyDescent="0.2">
      <c r="A173" s="6418"/>
      <c r="B173" s="251" t="str">
        <f t="shared" si="2"/>
        <v>Aire10</v>
      </c>
      <c r="D173" s="272" t="s">
        <v>9804</v>
      </c>
      <c r="E173" s="2929" t="s">
        <v>1602</v>
      </c>
      <c r="F173" s="2929">
        <v>10</v>
      </c>
      <c r="G173" s="2934" t="s">
        <v>2087</v>
      </c>
      <c r="H173" s="2934" t="s">
        <v>1234</v>
      </c>
      <c r="I173" s="376" t="s">
        <v>1304</v>
      </c>
      <c r="J173" s="2931">
        <v>5</v>
      </c>
      <c r="K173" s="2931">
        <v>8</v>
      </c>
      <c r="L173" s="2931">
        <v>10</v>
      </c>
      <c r="M173" s="373">
        <v>12</v>
      </c>
      <c r="N173" s="2931">
        <v>40</v>
      </c>
      <c r="O173" s="2931">
        <v>140</v>
      </c>
      <c r="P173" s="2931">
        <v>240</v>
      </c>
      <c r="Q173" s="373">
        <v>350</v>
      </c>
      <c r="R173" s="2931">
        <v>5</v>
      </c>
      <c r="S173" s="2931">
        <v>15</v>
      </c>
      <c r="T173" s="2931">
        <v>25</v>
      </c>
      <c r="U173" s="373">
        <v>35</v>
      </c>
      <c r="V173" s="2926" t="s">
        <v>3859</v>
      </c>
      <c r="W173" s="2926" t="s">
        <v>3860</v>
      </c>
      <c r="X173" s="2926" t="s">
        <v>3861</v>
      </c>
      <c r="Y173" s="2926" t="s">
        <v>3862</v>
      </c>
      <c r="Z173" s="2926" t="s">
        <v>3863</v>
      </c>
      <c r="AA173" s="371"/>
    </row>
    <row r="174" spans="1:27" ht="12.75" customHeight="1" x14ac:dyDescent="0.2">
      <c r="A174" s="6418"/>
      <c r="B174" s="251" t="str">
        <f t="shared" si="2"/>
        <v>Aire12</v>
      </c>
      <c r="D174" s="272" t="s">
        <v>9805</v>
      </c>
      <c r="E174" s="2929" t="s">
        <v>1602</v>
      </c>
      <c r="F174" s="2929">
        <v>12</v>
      </c>
      <c r="G174" s="2934" t="s">
        <v>2087</v>
      </c>
      <c r="H174" s="2934" t="s">
        <v>1234</v>
      </c>
      <c r="I174" s="376" t="s">
        <v>1305</v>
      </c>
      <c r="J174" s="2931">
        <v>6</v>
      </c>
      <c r="K174" s="2931">
        <v>8</v>
      </c>
      <c r="L174" s="2931">
        <v>10</v>
      </c>
      <c r="M174" s="373">
        <v>12</v>
      </c>
      <c r="N174" s="2931">
        <v>40</v>
      </c>
      <c r="O174" s="2931">
        <v>80</v>
      </c>
      <c r="P174" s="2931">
        <v>110</v>
      </c>
      <c r="Q174" s="373">
        <v>150</v>
      </c>
      <c r="R174" s="2931">
        <v>5</v>
      </c>
      <c r="S174" s="2931">
        <v>10</v>
      </c>
      <c r="T174" s="2931">
        <v>10</v>
      </c>
      <c r="U174" s="373">
        <v>15</v>
      </c>
      <c r="V174" s="2926" t="s">
        <v>3864</v>
      </c>
      <c r="W174" s="2926" t="s">
        <v>3865</v>
      </c>
      <c r="X174" s="2926" t="s">
        <v>3866</v>
      </c>
      <c r="Y174" s="2926" t="s">
        <v>3867</v>
      </c>
      <c r="Z174" s="2926" t="s">
        <v>3868</v>
      </c>
      <c r="AA174" s="371"/>
    </row>
    <row r="175" spans="1:27" ht="12.75" customHeight="1" x14ac:dyDescent="0.2">
      <c r="A175" s="6418"/>
      <c r="B175" s="251" t="str">
        <f t="shared" si="2"/>
        <v>Aire16</v>
      </c>
      <c r="D175" s="272" t="s">
        <v>1310</v>
      </c>
      <c r="E175" s="2929" t="s">
        <v>1602</v>
      </c>
      <c r="F175" s="2929">
        <v>16</v>
      </c>
      <c r="G175" s="2934" t="s">
        <v>1381</v>
      </c>
      <c r="H175" s="2934" t="s">
        <v>1234</v>
      </c>
      <c r="I175" s="376" t="s">
        <v>1304</v>
      </c>
      <c r="J175" s="2931">
        <v>6</v>
      </c>
      <c r="K175" s="2931">
        <v>8</v>
      </c>
      <c r="L175" s="2931">
        <v>10</v>
      </c>
      <c r="M175" s="373">
        <v>12</v>
      </c>
      <c r="N175" s="2931">
        <v>50</v>
      </c>
      <c r="O175" s="2931">
        <v>80</v>
      </c>
      <c r="P175" s="2931">
        <v>110</v>
      </c>
      <c r="Q175" s="373">
        <v>150</v>
      </c>
      <c r="R175" s="2931">
        <v>5</v>
      </c>
      <c r="S175" s="2931">
        <v>10</v>
      </c>
      <c r="T175" s="2931">
        <v>10</v>
      </c>
      <c r="U175" s="373">
        <v>15</v>
      </c>
      <c r="V175" s="2926" t="s">
        <v>3864</v>
      </c>
      <c r="W175" s="2926" t="s">
        <v>3869</v>
      </c>
      <c r="X175" s="2926" t="s">
        <v>3870</v>
      </c>
      <c r="Y175" s="2926" t="s">
        <v>3871</v>
      </c>
      <c r="Z175" s="2926" t="s">
        <v>3872</v>
      </c>
      <c r="AA175" s="371"/>
    </row>
    <row r="176" spans="1:27" ht="12.75" customHeight="1" x14ac:dyDescent="0.2">
      <c r="A176" s="6418"/>
      <c r="B176" s="251" t="str">
        <f t="shared" si="2"/>
        <v>Aire20</v>
      </c>
      <c r="D176" s="272" t="s">
        <v>9806</v>
      </c>
      <c r="E176" s="2929" t="s">
        <v>1602</v>
      </c>
      <c r="F176" s="2929">
        <v>20</v>
      </c>
      <c r="G176" s="2934" t="s">
        <v>1381</v>
      </c>
      <c r="H176" s="2934" t="s">
        <v>1232</v>
      </c>
      <c r="I176" s="376" t="s">
        <v>1304</v>
      </c>
      <c r="J176" s="2931">
        <v>6</v>
      </c>
      <c r="K176" s="2931">
        <v>9</v>
      </c>
      <c r="L176" s="2931">
        <v>11</v>
      </c>
      <c r="M176" s="373">
        <v>13</v>
      </c>
      <c r="N176" s="2931">
        <v>40</v>
      </c>
      <c r="O176" s="2931">
        <v>80</v>
      </c>
      <c r="P176" s="2931">
        <v>140</v>
      </c>
      <c r="Q176" s="373">
        <v>200</v>
      </c>
      <c r="R176" s="2931" t="s">
        <v>1381</v>
      </c>
      <c r="S176" s="2931" t="s">
        <v>1381</v>
      </c>
      <c r="T176" s="2931" t="s">
        <v>1381</v>
      </c>
      <c r="U176" s="373" t="s">
        <v>1381</v>
      </c>
      <c r="V176" s="2926" t="s">
        <v>3873</v>
      </c>
      <c r="W176" s="2926" t="s">
        <v>3874</v>
      </c>
      <c r="X176" s="2926" t="s">
        <v>3875</v>
      </c>
      <c r="Y176" s="2926" t="s">
        <v>3876</v>
      </c>
      <c r="Z176" s="2926" t="s">
        <v>3877</v>
      </c>
      <c r="AA176" s="371"/>
    </row>
    <row r="177" spans="1:27" ht="12.75" customHeight="1" x14ac:dyDescent="0.2">
      <c r="A177" s="6418"/>
      <c r="B177" s="251" t="str">
        <f t="shared" si="2"/>
        <v>Aire22</v>
      </c>
      <c r="D177" s="272" t="s">
        <v>9807</v>
      </c>
      <c r="E177" s="2929" t="s">
        <v>1602</v>
      </c>
      <c r="F177" s="2929">
        <v>22</v>
      </c>
      <c r="G177" s="2934" t="s">
        <v>1381</v>
      </c>
      <c r="H177" s="2934" t="s">
        <v>1564</v>
      </c>
      <c r="I177" s="376" t="s">
        <v>1305</v>
      </c>
      <c r="J177" s="2931">
        <v>6</v>
      </c>
      <c r="K177" s="2931">
        <v>8</v>
      </c>
      <c r="L177" s="2931">
        <v>10</v>
      </c>
      <c r="M177" s="373">
        <v>14</v>
      </c>
      <c r="N177" s="2931">
        <v>50</v>
      </c>
      <c r="O177" s="2931">
        <v>160</v>
      </c>
      <c r="P177" s="2931">
        <v>200</v>
      </c>
      <c r="Q177" s="373">
        <v>240</v>
      </c>
      <c r="R177" s="2931">
        <v>5</v>
      </c>
      <c r="S177" s="2931">
        <v>20</v>
      </c>
      <c r="T177" s="2931">
        <v>20</v>
      </c>
      <c r="U177" s="373">
        <v>25</v>
      </c>
      <c r="V177" s="2926" t="s">
        <v>3878</v>
      </c>
      <c r="W177" s="2926" t="s">
        <v>3879</v>
      </c>
      <c r="X177" s="2926" t="s">
        <v>3880</v>
      </c>
      <c r="Y177" s="2926" t="s">
        <v>3881</v>
      </c>
      <c r="Z177" s="2926" t="s">
        <v>3882</v>
      </c>
      <c r="AA177" s="371"/>
    </row>
    <row r="178" spans="1:27" ht="12.75" customHeight="1" x14ac:dyDescent="0.2">
      <c r="A178" s="6418"/>
      <c r="B178" s="251" t="str">
        <f t="shared" si="2"/>
        <v>Aire26</v>
      </c>
      <c r="D178" s="272" t="s">
        <v>7368</v>
      </c>
      <c r="E178" s="2929" t="s">
        <v>1602</v>
      </c>
      <c r="F178" s="2929">
        <v>26</v>
      </c>
      <c r="G178" s="2934" t="s">
        <v>1381</v>
      </c>
      <c r="H178" s="2934" t="s">
        <v>1234</v>
      </c>
      <c r="I178" s="376" t="s">
        <v>1304</v>
      </c>
      <c r="J178" s="2931">
        <v>6</v>
      </c>
      <c r="K178" s="2931">
        <v>8</v>
      </c>
      <c r="L178" s="2931">
        <v>10</v>
      </c>
      <c r="M178" s="373">
        <v>12</v>
      </c>
      <c r="N178" s="2931">
        <v>50</v>
      </c>
      <c r="O178" s="2931">
        <v>80</v>
      </c>
      <c r="P178" s="2931">
        <v>120</v>
      </c>
      <c r="Q178" s="373">
        <v>150</v>
      </c>
      <c r="R178" s="2931" t="s">
        <v>1381</v>
      </c>
      <c r="S178" s="2931" t="s">
        <v>1381</v>
      </c>
      <c r="T178" s="2931" t="s">
        <v>1381</v>
      </c>
      <c r="U178" s="373" t="s">
        <v>1381</v>
      </c>
      <c r="V178" s="2926" t="s">
        <v>3883</v>
      </c>
      <c r="W178" s="2926" t="s">
        <v>3884</v>
      </c>
      <c r="X178" s="2926" t="s">
        <v>3885</v>
      </c>
      <c r="Y178" s="2926" t="s">
        <v>3886</v>
      </c>
      <c r="Z178" s="2926" t="s">
        <v>3887</v>
      </c>
      <c r="AA178" s="371"/>
    </row>
    <row r="179" spans="1:27" ht="12.75" customHeight="1" x14ac:dyDescent="0.2">
      <c r="A179" s="6418"/>
      <c r="B179" s="251" t="str">
        <f t="shared" si="2"/>
        <v>Aire30</v>
      </c>
      <c r="D179" s="272" t="s">
        <v>10100</v>
      </c>
      <c r="E179" s="2929" t="s">
        <v>1602</v>
      </c>
      <c r="F179" s="2929">
        <v>30</v>
      </c>
      <c r="G179" s="2935" t="s">
        <v>1381</v>
      </c>
      <c r="H179" s="2934" t="s">
        <v>1234</v>
      </c>
      <c r="I179" s="376" t="s">
        <v>1304</v>
      </c>
      <c r="J179" s="2931">
        <v>6</v>
      </c>
      <c r="K179" s="2931">
        <v>9</v>
      </c>
      <c r="L179" s="2931">
        <v>12</v>
      </c>
      <c r="M179" s="373">
        <v>15</v>
      </c>
      <c r="N179" s="2931">
        <v>60</v>
      </c>
      <c r="O179" s="2931">
        <v>100</v>
      </c>
      <c r="P179" s="2931">
        <v>150</v>
      </c>
      <c r="Q179" s="373">
        <v>240</v>
      </c>
      <c r="R179" s="2931">
        <v>15</v>
      </c>
      <c r="S179" s="2931">
        <v>20</v>
      </c>
      <c r="T179" s="2931">
        <v>25</v>
      </c>
      <c r="U179" s="373">
        <v>30</v>
      </c>
      <c r="V179" s="2926" t="s">
        <v>3888</v>
      </c>
      <c r="W179" s="2926" t="s">
        <v>3889</v>
      </c>
      <c r="X179" s="2926" t="s">
        <v>3890</v>
      </c>
      <c r="Y179" s="2926" t="s">
        <v>3891</v>
      </c>
      <c r="Z179" s="2926" t="s">
        <v>3892</v>
      </c>
      <c r="AA179" s="371"/>
    </row>
    <row r="180" spans="1:27" ht="12.75" customHeight="1" x14ac:dyDescent="0.2">
      <c r="A180" s="6418"/>
      <c r="B180" s="251" t="str">
        <f t="shared" si="2"/>
        <v>Aire32</v>
      </c>
      <c r="D180" s="272" t="s">
        <v>182</v>
      </c>
      <c r="E180" s="2929" t="s">
        <v>1602</v>
      </c>
      <c r="F180" s="2929">
        <v>32</v>
      </c>
      <c r="G180" s="2934" t="s">
        <v>1381</v>
      </c>
      <c r="H180" s="2934" t="s">
        <v>1234</v>
      </c>
      <c r="I180" s="376" t="s">
        <v>1304</v>
      </c>
      <c r="J180" s="2931">
        <v>6</v>
      </c>
      <c r="K180" s="2931">
        <v>9</v>
      </c>
      <c r="L180" s="2931">
        <v>12</v>
      </c>
      <c r="M180" s="373">
        <v>15</v>
      </c>
      <c r="N180" s="2931">
        <v>60</v>
      </c>
      <c r="O180" s="2931">
        <v>90</v>
      </c>
      <c r="P180" s="2931">
        <v>120</v>
      </c>
      <c r="Q180" s="373">
        <v>150</v>
      </c>
      <c r="R180" s="2931">
        <v>5</v>
      </c>
      <c r="S180" s="2931">
        <v>5</v>
      </c>
      <c r="T180" s="2931">
        <v>10</v>
      </c>
      <c r="U180" s="373">
        <v>15</v>
      </c>
      <c r="V180" s="2926" t="s">
        <v>3893</v>
      </c>
      <c r="W180" s="2926" t="s">
        <v>3894</v>
      </c>
      <c r="X180" s="2926" t="s">
        <v>3895</v>
      </c>
      <c r="Y180" s="2932" t="s">
        <v>9676</v>
      </c>
      <c r="Z180" s="2926" t="s">
        <v>3896</v>
      </c>
      <c r="AA180" s="371"/>
    </row>
    <row r="181" spans="1:27" ht="12.75" customHeight="1" x14ac:dyDescent="0.2">
      <c r="A181" s="6418"/>
      <c r="B181" s="251" t="str">
        <f t="shared" si="2"/>
        <v>Aire36</v>
      </c>
      <c r="D181" s="272" t="s">
        <v>9808</v>
      </c>
      <c r="E181" s="2929" t="s">
        <v>1602</v>
      </c>
      <c r="F181" s="2929">
        <v>36</v>
      </c>
      <c r="G181" s="2934" t="s">
        <v>2087</v>
      </c>
      <c r="H181" s="2934" t="s">
        <v>1234</v>
      </c>
      <c r="I181" s="376" t="s">
        <v>1304</v>
      </c>
      <c r="J181" s="2931">
        <v>7</v>
      </c>
      <c r="K181" s="2931">
        <v>10</v>
      </c>
      <c r="L181" s="2931">
        <v>13</v>
      </c>
      <c r="M181" s="373">
        <v>15</v>
      </c>
      <c r="N181" s="2931">
        <v>80</v>
      </c>
      <c r="O181" s="2931">
        <v>120</v>
      </c>
      <c r="P181" s="2931">
        <v>160</v>
      </c>
      <c r="Q181" s="373">
        <v>240</v>
      </c>
      <c r="R181" s="2931">
        <v>10</v>
      </c>
      <c r="S181" s="2931">
        <v>15</v>
      </c>
      <c r="T181" s="2931">
        <v>20</v>
      </c>
      <c r="U181" s="373">
        <v>25</v>
      </c>
      <c r="V181" s="2926" t="s">
        <v>3897</v>
      </c>
      <c r="W181" s="2926" t="s">
        <v>3898</v>
      </c>
      <c r="X181" s="2926" t="s">
        <v>3899</v>
      </c>
      <c r="Y181" s="2926" t="s">
        <v>3900</v>
      </c>
      <c r="Z181" s="2926" t="s">
        <v>3901</v>
      </c>
      <c r="AA181" s="371"/>
    </row>
    <row r="182" spans="1:27" ht="12.75" customHeight="1" x14ac:dyDescent="0.2">
      <c r="A182" s="6418"/>
      <c r="B182" s="251" t="str">
        <f t="shared" si="2"/>
        <v>Aire40</v>
      </c>
      <c r="D182" s="272" t="s">
        <v>9809</v>
      </c>
      <c r="E182" s="2929" t="s">
        <v>1602</v>
      </c>
      <c r="F182" s="2929">
        <v>40</v>
      </c>
      <c r="G182" s="2934" t="s">
        <v>1381</v>
      </c>
      <c r="H182" s="2934" t="s">
        <v>1232</v>
      </c>
      <c r="I182" s="376" t="s">
        <v>1304</v>
      </c>
      <c r="J182" s="2931">
        <v>6</v>
      </c>
      <c r="K182" s="2931">
        <v>9</v>
      </c>
      <c r="L182" s="2931">
        <v>12</v>
      </c>
      <c r="M182" s="373">
        <v>15</v>
      </c>
      <c r="N182" s="2931">
        <v>60</v>
      </c>
      <c r="O182" s="2931">
        <v>150</v>
      </c>
      <c r="P182" s="2931">
        <v>240</v>
      </c>
      <c r="Q182" s="373">
        <v>350</v>
      </c>
      <c r="R182" s="2931" t="s">
        <v>1381</v>
      </c>
      <c r="S182" s="2931" t="s">
        <v>1381</v>
      </c>
      <c r="T182" s="2931" t="s">
        <v>1381</v>
      </c>
      <c r="U182" s="373" t="s">
        <v>1381</v>
      </c>
      <c r="V182" s="2926" t="s">
        <v>3902</v>
      </c>
      <c r="W182" s="2926" t="s">
        <v>10077</v>
      </c>
      <c r="X182" s="2926" t="s">
        <v>10078</v>
      </c>
      <c r="Y182" s="2926" t="s">
        <v>3903</v>
      </c>
      <c r="Z182" s="2926" t="s">
        <v>3904</v>
      </c>
      <c r="AA182" s="371"/>
    </row>
    <row r="183" spans="1:27" ht="12.75" customHeight="1" x14ac:dyDescent="0.2">
      <c r="A183" s="6418"/>
      <c r="B183" s="251" t="str">
        <f t="shared" si="2"/>
        <v>Aire42</v>
      </c>
      <c r="D183" s="272" t="s">
        <v>9810</v>
      </c>
      <c r="E183" s="2929" t="s">
        <v>1602</v>
      </c>
      <c r="F183" s="2929">
        <v>42</v>
      </c>
      <c r="G183" s="2934" t="s">
        <v>2087</v>
      </c>
      <c r="H183" s="2934" t="s">
        <v>1234</v>
      </c>
      <c r="I183" s="376" t="s">
        <v>1304</v>
      </c>
      <c r="J183" s="2931">
        <v>8</v>
      </c>
      <c r="K183" s="2931">
        <v>10</v>
      </c>
      <c r="L183" s="2931">
        <v>12</v>
      </c>
      <c r="M183" s="373">
        <v>14</v>
      </c>
      <c r="N183" s="2931">
        <v>80</v>
      </c>
      <c r="O183" s="2931">
        <v>100</v>
      </c>
      <c r="P183" s="2931">
        <v>120</v>
      </c>
      <c r="Q183" s="373">
        <v>140</v>
      </c>
      <c r="R183" s="2931">
        <v>10</v>
      </c>
      <c r="S183" s="2931">
        <v>10</v>
      </c>
      <c r="T183" s="2931">
        <v>15</v>
      </c>
      <c r="U183" s="373">
        <v>15</v>
      </c>
      <c r="V183" s="2926" t="s">
        <v>3905</v>
      </c>
      <c r="W183" s="2926" t="s">
        <v>3906</v>
      </c>
      <c r="X183" s="2926" t="s">
        <v>3907</v>
      </c>
      <c r="Y183" s="2926" t="s">
        <v>3870</v>
      </c>
      <c r="Z183" s="2926" t="s">
        <v>3908</v>
      </c>
      <c r="AA183" s="371"/>
    </row>
    <row r="184" spans="1:27" ht="12.75" customHeight="1" x14ac:dyDescent="0.2">
      <c r="A184" s="6418"/>
      <c r="B184" s="251" t="str">
        <f t="shared" si="2"/>
        <v>Aire46</v>
      </c>
      <c r="D184" s="272" t="s">
        <v>9811</v>
      </c>
      <c r="E184" s="2929" t="s">
        <v>1602</v>
      </c>
      <c r="F184" s="2929">
        <v>46</v>
      </c>
      <c r="G184" s="2934" t="s">
        <v>1381</v>
      </c>
      <c r="H184" s="2934" t="s">
        <v>1232</v>
      </c>
      <c r="I184" s="376" t="s">
        <v>1304</v>
      </c>
      <c r="J184" s="2931">
        <v>6</v>
      </c>
      <c r="K184" s="2931">
        <v>9</v>
      </c>
      <c r="L184" s="2931">
        <v>12</v>
      </c>
      <c r="M184" s="373">
        <v>15</v>
      </c>
      <c r="N184" s="2931">
        <v>80</v>
      </c>
      <c r="O184" s="2931">
        <v>180</v>
      </c>
      <c r="P184" s="2931">
        <v>280</v>
      </c>
      <c r="Q184" s="373">
        <v>400</v>
      </c>
      <c r="R184" s="2931" t="s">
        <v>1381</v>
      </c>
      <c r="S184" s="2931" t="s">
        <v>1381</v>
      </c>
      <c r="T184" s="2931" t="s">
        <v>1381</v>
      </c>
      <c r="U184" s="373" t="s">
        <v>1381</v>
      </c>
      <c r="V184" s="2926" t="s">
        <v>3909</v>
      </c>
      <c r="W184" s="2926" t="s">
        <v>3910</v>
      </c>
      <c r="X184" s="2926" t="s">
        <v>3911</v>
      </c>
      <c r="Y184" s="2926" t="s">
        <v>3912</v>
      </c>
      <c r="Z184" s="2926" t="s">
        <v>3913</v>
      </c>
      <c r="AA184" s="371"/>
    </row>
    <row r="185" spans="1:27" ht="12.75" customHeight="1" x14ac:dyDescent="0.2">
      <c r="A185" s="6418"/>
      <c r="B185" s="251" t="str">
        <f t="shared" si="2"/>
        <v>Aire50</v>
      </c>
      <c r="D185" s="272" t="s">
        <v>9812</v>
      </c>
      <c r="E185" s="2929" t="s">
        <v>1602</v>
      </c>
      <c r="F185" s="2929">
        <v>50</v>
      </c>
      <c r="G185" s="2934" t="s">
        <v>1381</v>
      </c>
      <c r="H185" s="2934" t="s">
        <v>1235</v>
      </c>
      <c r="I185" s="376" t="s">
        <v>1304</v>
      </c>
      <c r="J185" s="2931">
        <v>7</v>
      </c>
      <c r="K185" s="2931">
        <v>9</v>
      </c>
      <c r="L185" s="2931">
        <v>12</v>
      </c>
      <c r="M185" s="373">
        <v>15</v>
      </c>
      <c r="N185" s="2931">
        <v>140</v>
      </c>
      <c r="O185" s="2931">
        <v>180</v>
      </c>
      <c r="P185" s="2931">
        <v>240</v>
      </c>
      <c r="Q185" s="373">
        <v>300</v>
      </c>
      <c r="R185" s="2931">
        <v>30</v>
      </c>
      <c r="S185" s="2931">
        <v>40</v>
      </c>
      <c r="T185" s="2931">
        <v>50</v>
      </c>
      <c r="U185" s="373">
        <v>60</v>
      </c>
      <c r="V185" s="2926" t="s">
        <v>3914</v>
      </c>
      <c r="W185" s="2926" t="s">
        <v>3915</v>
      </c>
      <c r="X185" s="2926" t="s">
        <v>3916</v>
      </c>
      <c r="Y185" s="2926" t="s">
        <v>3394</v>
      </c>
      <c r="Z185" s="2926" t="s">
        <v>3917</v>
      </c>
      <c r="AA185" s="371"/>
    </row>
    <row r="186" spans="1:27" ht="12.75" customHeight="1" x14ac:dyDescent="0.2">
      <c r="A186" s="6418"/>
      <c r="B186" s="251" t="str">
        <f t="shared" si="2"/>
        <v>Aire52</v>
      </c>
      <c r="D186" s="272" t="s">
        <v>9813</v>
      </c>
      <c r="E186" s="2929" t="s">
        <v>1602</v>
      </c>
      <c r="F186" s="2929">
        <v>52</v>
      </c>
      <c r="G186" s="2934" t="s">
        <v>1381</v>
      </c>
      <c r="H186" s="2934" t="s">
        <v>1234</v>
      </c>
      <c r="I186" s="376" t="s">
        <v>1304</v>
      </c>
      <c r="J186" s="2931">
        <v>8</v>
      </c>
      <c r="K186" s="2931">
        <v>11</v>
      </c>
      <c r="L186" s="2931">
        <v>13</v>
      </c>
      <c r="M186" s="373">
        <v>16</v>
      </c>
      <c r="N186" s="2931">
        <v>100</v>
      </c>
      <c r="O186" s="2931">
        <v>120</v>
      </c>
      <c r="P186" s="2931">
        <v>140</v>
      </c>
      <c r="Q186" s="373">
        <v>160</v>
      </c>
      <c r="R186" s="2931">
        <v>10</v>
      </c>
      <c r="S186" s="2931">
        <v>15</v>
      </c>
      <c r="T186" s="2931">
        <v>15</v>
      </c>
      <c r="U186" s="373">
        <v>20</v>
      </c>
      <c r="V186" s="2926" t="s">
        <v>3918</v>
      </c>
      <c r="W186" s="2926" t="s">
        <v>3919</v>
      </c>
      <c r="X186" s="2926" t="s">
        <v>3920</v>
      </c>
      <c r="Y186" s="2926" t="s">
        <v>3921</v>
      </c>
      <c r="Z186" s="2926" t="s">
        <v>3922</v>
      </c>
      <c r="AA186" s="371"/>
    </row>
    <row r="187" spans="1:27" ht="12.75" customHeight="1" x14ac:dyDescent="0.2">
      <c r="A187" s="6418"/>
      <c r="B187" s="251" t="str">
        <f t="shared" si="2"/>
        <v>Aire56</v>
      </c>
      <c r="D187" s="272" t="s">
        <v>9814</v>
      </c>
      <c r="E187" s="2931" t="s">
        <v>1602</v>
      </c>
      <c r="F187" s="2931">
        <v>56</v>
      </c>
      <c r="G187" s="2934" t="s">
        <v>1381</v>
      </c>
      <c r="H187" s="2934" t="s">
        <v>3923</v>
      </c>
      <c r="I187" s="376" t="s">
        <v>1304</v>
      </c>
      <c r="J187" s="2931">
        <v>8</v>
      </c>
      <c r="K187" s="2931">
        <v>10</v>
      </c>
      <c r="L187" s="2931">
        <v>13</v>
      </c>
      <c r="M187" s="373">
        <v>15</v>
      </c>
      <c r="N187" s="2931">
        <v>80</v>
      </c>
      <c r="O187" s="2931">
        <v>150</v>
      </c>
      <c r="P187" s="2931">
        <v>240</v>
      </c>
      <c r="Q187" s="373">
        <v>350</v>
      </c>
      <c r="R187" s="2931">
        <v>10</v>
      </c>
      <c r="S187" s="2931">
        <v>20</v>
      </c>
      <c r="T187" s="2931">
        <v>25</v>
      </c>
      <c r="U187" s="373">
        <v>35</v>
      </c>
      <c r="V187" s="2926" t="s">
        <v>3924</v>
      </c>
      <c r="W187" s="2926" t="s">
        <v>3925</v>
      </c>
      <c r="X187" s="2926" t="s">
        <v>3926</v>
      </c>
      <c r="Y187" s="2926" t="s">
        <v>3927</v>
      </c>
      <c r="Z187" s="2926" t="s">
        <v>3928</v>
      </c>
      <c r="AA187" s="371"/>
    </row>
    <row r="188" spans="1:27" ht="12.75" customHeight="1" x14ac:dyDescent="0.2">
      <c r="A188" s="6418"/>
      <c r="B188" s="251" t="str">
        <f t="shared" si="2"/>
        <v>Aire60</v>
      </c>
      <c r="D188" s="272" t="s">
        <v>9815</v>
      </c>
      <c r="E188" s="2931" t="s">
        <v>1602</v>
      </c>
      <c r="F188" s="2931">
        <v>60</v>
      </c>
      <c r="G188" s="2934" t="s">
        <v>1381</v>
      </c>
      <c r="H188" s="2934" t="s">
        <v>3923</v>
      </c>
      <c r="I188" s="376" t="s">
        <v>1304</v>
      </c>
      <c r="J188" s="2931">
        <v>8</v>
      </c>
      <c r="K188" s="2931">
        <v>10</v>
      </c>
      <c r="L188" s="2931">
        <v>13</v>
      </c>
      <c r="M188" s="373">
        <v>15</v>
      </c>
      <c r="N188" s="2931">
        <v>80</v>
      </c>
      <c r="O188" s="2931">
        <v>150</v>
      </c>
      <c r="P188" s="2931">
        <v>240</v>
      </c>
      <c r="Q188" s="373">
        <v>350</v>
      </c>
      <c r="R188" s="2931">
        <v>10</v>
      </c>
      <c r="S188" s="2931">
        <v>20</v>
      </c>
      <c r="T188" s="2931">
        <v>25</v>
      </c>
      <c r="U188" s="373">
        <v>35</v>
      </c>
      <c r="V188" s="2926" t="s">
        <v>3929</v>
      </c>
      <c r="W188" s="2926" t="s">
        <v>3930</v>
      </c>
      <c r="X188" s="2926" t="s">
        <v>3931</v>
      </c>
      <c r="Y188" s="2926" t="s">
        <v>3932</v>
      </c>
      <c r="Z188" s="2926" t="s">
        <v>3933</v>
      </c>
      <c r="AA188" s="371"/>
    </row>
    <row r="189" spans="1:27" ht="12.75" customHeight="1" x14ac:dyDescent="0.2">
      <c r="A189" s="6418"/>
      <c r="B189" s="251" t="str">
        <f t="shared" si="2"/>
        <v>Aire62</v>
      </c>
      <c r="D189" s="272" t="s">
        <v>9816</v>
      </c>
      <c r="E189" s="2931" t="s">
        <v>1602</v>
      </c>
      <c r="F189" s="2931">
        <v>62</v>
      </c>
      <c r="G189" s="2934" t="s">
        <v>1381</v>
      </c>
      <c r="H189" s="2934" t="s">
        <v>1564</v>
      </c>
      <c r="I189" s="376" t="s">
        <v>1305</v>
      </c>
      <c r="J189" s="2931">
        <v>7</v>
      </c>
      <c r="K189" s="2931">
        <v>10</v>
      </c>
      <c r="L189" s="2931">
        <v>12</v>
      </c>
      <c r="M189" s="373">
        <v>15</v>
      </c>
      <c r="N189" s="2931">
        <v>120</v>
      </c>
      <c r="O189" s="2931">
        <v>180</v>
      </c>
      <c r="P189" s="2931">
        <v>240</v>
      </c>
      <c r="Q189" s="373">
        <v>300</v>
      </c>
      <c r="R189" s="2931">
        <v>15</v>
      </c>
      <c r="S189" s="2931">
        <v>20</v>
      </c>
      <c r="T189" s="2931">
        <v>25</v>
      </c>
      <c r="U189" s="373">
        <v>30</v>
      </c>
      <c r="V189" s="2926" t="s">
        <v>3934</v>
      </c>
      <c r="W189" s="2926" t="s">
        <v>3935</v>
      </c>
      <c r="X189" s="2926" t="s">
        <v>3936</v>
      </c>
      <c r="Y189" s="2926" t="s">
        <v>3937</v>
      </c>
      <c r="Z189" s="2926" t="s">
        <v>3938</v>
      </c>
      <c r="AA189" s="371"/>
    </row>
    <row r="190" spans="1:27" ht="12.75" customHeight="1" x14ac:dyDescent="0.2">
      <c r="A190" s="6418"/>
      <c r="B190" s="251" t="str">
        <f t="shared" si="2"/>
        <v>Aire66</v>
      </c>
      <c r="D190" s="272" t="s">
        <v>9817</v>
      </c>
      <c r="E190" s="2931" t="s">
        <v>1602</v>
      </c>
      <c r="F190" s="2931">
        <v>66</v>
      </c>
      <c r="G190" s="2934" t="s">
        <v>1381</v>
      </c>
      <c r="H190" s="2934" t="s">
        <v>1234</v>
      </c>
      <c r="I190" s="376" t="s">
        <v>1304</v>
      </c>
      <c r="J190" s="2931">
        <v>8</v>
      </c>
      <c r="K190" s="2931">
        <v>11</v>
      </c>
      <c r="L190" s="2931">
        <v>13</v>
      </c>
      <c r="M190" s="373">
        <v>16</v>
      </c>
      <c r="N190" s="2931">
        <v>180</v>
      </c>
      <c r="O190" s="2931">
        <v>300</v>
      </c>
      <c r="P190" s="2931">
        <v>450</v>
      </c>
      <c r="Q190" s="373">
        <v>600</v>
      </c>
      <c r="R190" s="2931" t="s">
        <v>1381</v>
      </c>
      <c r="S190" s="2931" t="s">
        <v>1381</v>
      </c>
      <c r="T190" s="2931" t="s">
        <v>1381</v>
      </c>
      <c r="U190" s="373" t="s">
        <v>1381</v>
      </c>
      <c r="V190" s="2926" t="s">
        <v>3939</v>
      </c>
      <c r="W190" s="2926" t="s">
        <v>3940</v>
      </c>
      <c r="X190" s="2926" t="s">
        <v>3941</v>
      </c>
      <c r="Y190" s="2926" t="s">
        <v>3942</v>
      </c>
      <c r="Z190" s="2926" t="s">
        <v>3943</v>
      </c>
      <c r="AA190" s="371"/>
    </row>
    <row r="191" spans="1:27" ht="12.75" customHeight="1" x14ac:dyDescent="0.2">
      <c r="A191" s="6418"/>
      <c r="B191" s="251" t="str">
        <f t="shared" si="2"/>
        <v>Aire70</v>
      </c>
      <c r="D191" s="272" t="s">
        <v>9818</v>
      </c>
      <c r="E191" s="2931" t="s">
        <v>1602</v>
      </c>
      <c r="F191" s="2931">
        <v>70</v>
      </c>
      <c r="G191" s="2934" t="s">
        <v>2087</v>
      </c>
      <c r="H191" s="2934" t="s">
        <v>3923</v>
      </c>
      <c r="I191" s="376" t="s">
        <v>1304</v>
      </c>
      <c r="J191" s="2931">
        <v>6</v>
      </c>
      <c r="K191" s="2931">
        <v>9</v>
      </c>
      <c r="L191" s="2931">
        <v>12</v>
      </c>
      <c r="M191" s="373">
        <v>15</v>
      </c>
      <c r="N191" s="2931">
        <v>120</v>
      </c>
      <c r="O191" s="2931">
        <v>180</v>
      </c>
      <c r="P191" s="2931">
        <v>240</v>
      </c>
      <c r="Q191" s="373">
        <v>350</v>
      </c>
      <c r="R191" s="2931">
        <v>15</v>
      </c>
      <c r="S191" s="2931">
        <v>20</v>
      </c>
      <c r="T191" s="2931">
        <v>25</v>
      </c>
      <c r="U191" s="373">
        <v>30</v>
      </c>
      <c r="V191" s="2926" t="s">
        <v>3944</v>
      </c>
      <c r="W191" s="2926" t="s">
        <v>3945</v>
      </c>
      <c r="X191" s="2926" t="s">
        <v>3946</v>
      </c>
      <c r="Y191" s="2926" t="s">
        <v>3947</v>
      </c>
      <c r="Z191" s="2926" t="s">
        <v>3948</v>
      </c>
      <c r="AA191" s="371"/>
    </row>
    <row r="192" spans="1:27" ht="12.75" customHeight="1" x14ac:dyDescent="0.2">
      <c r="A192" s="6418"/>
      <c r="B192" s="251" t="str">
        <f t="shared" si="2"/>
        <v>Aire72</v>
      </c>
      <c r="D192" s="272" t="s">
        <v>9819</v>
      </c>
      <c r="E192" s="2931" t="s">
        <v>1602</v>
      </c>
      <c r="F192" s="2931">
        <v>72</v>
      </c>
      <c r="G192" s="2934" t="s">
        <v>1381</v>
      </c>
      <c r="H192" s="2934" t="s">
        <v>3949</v>
      </c>
      <c r="I192" s="376" t="s">
        <v>1304</v>
      </c>
      <c r="J192" s="2931">
        <v>9</v>
      </c>
      <c r="K192" s="2931">
        <v>12</v>
      </c>
      <c r="L192" s="2931">
        <v>14</v>
      </c>
      <c r="M192" s="373">
        <v>16</v>
      </c>
      <c r="N192" s="2931">
        <v>200</v>
      </c>
      <c r="O192" s="2931">
        <v>300</v>
      </c>
      <c r="P192" s="2931">
        <v>450</v>
      </c>
      <c r="Q192" s="373">
        <v>600</v>
      </c>
      <c r="R192" s="2931">
        <v>10</v>
      </c>
      <c r="S192" s="2931">
        <v>15</v>
      </c>
      <c r="T192" s="2931">
        <v>20</v>
      </c>
      <c r="U192" s="373">
        <v>25</v>
      </c>
      <c r="V192" s="2926" t="s">
        <v>3950</v>
      </c>
      <c r="W192" s="2926" t="s">
        <v>3951</v>
      </c>
      <c r="X192" s="2926" t="s">
        <v>3952</v>
      </c>
      <c r="Y192" s="2926" t="s">
        <v>3953</v>
      </c>
      <c r="Z192" s="2926" t="s">
        <v>3954</v>
      </c>
      <c r="AA192" s="371"/>
    </row>
    <row r="193" spans="1:27" ht="12.75" customHeight="1" x14ac:dyDescent="0.2">
      <c r="A193" s="6418"/>
      <c r="B193" s="251" t="str">
        <f t="shared" si="2"/>
        <v>Aire76</v>
      </c>
      <c r="D193" s="272" t="s">
        <v>9820</v>
      </c>
      <c r="E193" s="2931" t="s">
        <v>1602</v>
      </c>
      <c r="F193" s="2931">
        <v>76</v>
      </c>
      <c r="G193" s="2934" t="s">
        <v>1381</v>
      </c>
      <c r="H193" s="2934" t="s">
        <v>3955</v>
      </c>
      <c r="I193" s="376" t="s">
        <v>1304</v>
      </c>
      <c r="J193" s="2931">
        <v>9</v>
      </c>
      <c r="K193" s="2931">
        <v>11</v>
      </c>
      <c r="L193" s="2931">
        <v>13</v>
      </c>
      <c r="M193" s="373">
        <v>16</v>
      </c>
      <c r="N193" s="2931">
        <v>140</v>
      </c>
      <c r="O193" s="2931">
        <v>200</v>
      </c>
      <c r="P193" s="2931">
        <v>260</v>
      </c>
      <c r="Q193" s="373">
        <v>350</v>
      </c>
      <c r="R193" s="2931">
        <v>10</v>
      </c>
      <c r="S193" s="2931">
        <v>10</v>
      </c>
      <c r="T193" s="2931">
        <v>15</v>
      </c>
      <c r="U193" s="373">
        <v>25</v>
      </c>
      <c r="V193" s="2926" t="s">
        <v>3956</v>
      </c>
      <c r="W193" s="2926" t="s">
        <v>3957</v>
      </c>
      <c r="X193" s="2926" t="s">
        <v>3958</v>
      </c>
      <c r="Y193" s="2926" t="s">
        <v>3959</v>
      </c>
      <c r="Z193" s="2926" t="s">
        <v>3960</v>
      </c>
      <c r="AA193" s="371"/>
    </row>
    <row r="194" spans="1:27" ht="12.75" customHeight="1" x14ac:dyDescent="0.2">
      <c r="A194" s="6418"/>
      <c r="B194" s="251" t="str">
        <f t="shared" si="2"/>
        <v>Aire80</v>
      </c>
      <c r="D194" s="272" t="s">
        <v>9821</v>
      </c>
      <c r="E194" s="2931" t="s">
        <v>1602</v>
      </c>
      <c r="F194" s="2931">
        <v>80</v>
      </c>
      <c r="G194" s="2934" t="s">
        <v>2087</v>
      </c>
      <c r="H194" s="2934" t="s">
        <v>1234</v>
      </c>
      <c r="I194" s="376" t="s">
        <v>1304</v>
      </c>
      <c r="J194" s="2931">
        <v>9</v>
      </c>
      <c r="K194" s="2931">
        <v>12</v>
      </c>
      <c r="L194" s="2931">
        <v>14</v>
      </c>
      <c r="M194" s="373">
        <v>16</v>
      </c>
      <c r="N194" s="2931">
        <v>250</v>
      </c>
      <c r="O194" s="2931">
        <v>300</v>
      </c>
      <c r="P194" s="2931">
        <v>380</v>
      </c>
      <c r="Q194" s="373">
        <v>500</v>
      </c>
      <c r="R194" s="2931">
        <v>50</v>
      </c>
      <c r="S194" s="2931">
        <v>60</v>
      </c>
      <c r="T194" s="2931">
        <v>80</v>
      </c>
      <c r="U194" s="373">
        <v>100</v>
      </c>
      <c r="V194" s="2926" t="s">
        <v>3961</v>
      </c>
      <c r="W194" s="2926" t="s">
        <v>3962</v>
      </c>
      <c r="X194" s="2926" t="s">
        <v>3963</v>
      </c>
      <c r="Y194" s="2926" t="s">
        <v>3964</v>
      </c>
      <c r="Z194" s="2926" t="s">
        <v>3965</v>
      </c>
      <c r="AA194" s="371"/>
    </row>
    <row r="195" spans="1:27" ht="12.75" customHeight="1" x14ac:dyDescent="0.2">
      <c r="A195" s="6418"/>
      <c r="B195" s="251" t="str">
        <f t="shared" si="2"/>
        <v>Aire82</v>
      </c>
      <c r="D195" s="272" t="s">
        <v>9822</v>
      </c>
      <c r="E195" s="2931" t="s">
        <v>1602</v>
      </c>
      <c r="F195" s="2931">
        <v>82</v>
      </c>
      <c r="G195" s="2934" t="s">
        <v>2087</v>
      </c>
      <c r="H195" s="2934" t="s">
        <v>1234</v>
      </c>
      <c r="I195" s="376" t="s">
        <v>1304</v>
      </c>
      <c r="J195" s="2931">
        <v>10</v>
      </c>
      <c r="K195" s="2931">
        <v>12</v>
      </c>
      <c r="L195" s="2931">
        <v>14</v>
      </c>
      <c r="M195" s="373">
        <v>16</v>
      </c>
      <c r="N195" s="2931">
        <v>250</v>
      </c>
      <c r="O195" s="2931">
        <v>350</v>
      </c>
      <c r="P195" s="2931">
        <v>500</v>
      </c>
      <c r="Q195" s="373">
        <v>700</v>
      </c>
      <c r="R195" s="2931">
        <v>50</v>
      </c>
      <c r="S195" s="2931">
        <v>70</v>
      </c>
      <c r="T195" s="2931">
        <v>100</v>
      </c>
      <c r="U195" s="373">
        <v>140</v>
      </c>
      <c r="V195" s="2926" t="s">
        <v>3354</v>
      </c>
      <c r="W195" s="2926" t="s">
        <v>3355</v>
      </c>
      <c r="X195" s="2926" t="s">
        <v>3356</v>
      </c>
      <c r="Y195" s="2926" t="s">
        <v>3357</v>
      </c>
      <c r="Z195" s="2926" t="s">
        <v>3966</v>
      </c>
      <c r="AA195" s="371"/>
    </row>
    <row r="196" spans="1:27" ht="12.75" customHeight="1" x14ac:dyDescent="0.2">
      <c r="A196" s="6418"/>
      <c r="B196" s="251" t="str">
        <f t="shared" si="2"/>
        <v>Aire86</v>
      </c>
      <c r="D196" s="272" t="s">
        <v>9823</v>
      </c>
      <c r="E196" s="2931" t="s">
        <v>1602</v>
      </c>
      <c r="F196" s="2931">
        <v>86</v>
      </c>
      <c r="G196" s="2934" t="s">
        <v>2087</v>
      </c>
      <c r="H196" s="2934" t="s">
        <v>1234</v>
      </c>
      <c r="I196" s="376" t="s">
        <v>1304</v>
      </c>
      <c r="J196" s="2931">
        <v>10</v>
      </c>
      <c r="K196" s="2931">
        <v>12</v>
      </c>
      <c r="L196" s="2931">
        <v>14</v>
      </c>
      <c r="M196" s="373">
        <v>16</v>
      </c>
      <c r="N196" s="2931">
        <v>160</v>
      </c>
      <c r="O196" s="2931">
        <v>280</v>
      </c>
      <c r="P196" s="2931">
        <v>400</v>
      </c>
      <c r="Q196" s="373">
        <v>550</v>
      </c>
      <c r="R196" s="2931">
        <v>35</v>
      </c>
      <c r="S196" s="2931">
        <v>40</v>
      </c>
      <c r="T196" s="2931">
        <v>50</v>
      </c>
      <c r="U196" s="373">
        <v>60</v>
      </c>
      <c r="V196" s="2926" t="s">
        <v>3967</v>
      </c>
      <c r="W196" s="2926" t="s">
        <v>3968</v>
      </c>
      <c r="X196" s="2926" t="s">
        <v>3969</v>
      </c>
      <c r="Y196" s="2926" t="s">
        <v>3970</v>
      </c>
      <c r="Z196" s="2926" t="s">
        <v>3971</v>
      </c>
      <c r="AA196" s="371"/>
    </row>
    <row r="197" spans="1:27" ht="12.75" customHeight="1" x14ac:dyDescent="0.2">
      <c r="A197" s="6418"/>
      <c r="B197" s="251" t="str">
        <f t="shared" si="2"/>
        <v>Aire90</v>
      </c>
      <c r="D197" s="272" t="s">
        <v>9824</v>
      </c>
      <c r="E197" s="2931" t="s">
        <v>1602</v>
      </c>
      <c r="F197" s="2931">
        <v>90</v>
      </c>
      <c r="G197" s="2934" t="s">
        <v>2087</v>
      </c>
      <c r="H197" s="2934" t="s">
        <v>1234</v>
      </c>
      <c r="I197" s="376" t="s">
        <v>1304</v>
      </c>
      <c r="J197" s="2931">
        <v>9</v>
      </c>
      <c r="K197" s="2931">
        <v>11</v>
      </c>
      <c r="L197" s="2931">
        <v>13</v>
      </c>
      <c r="M197" s="373">
        <v>16</v>
      </c>
      <c r="N197" s="2931">
        <v>180</v>
      </c>
      <c r="O197" s="2931">
        <v>270</v>
      </c>
      <c r="P197" s="2931">
        <v>360</v>
      </c>
      <c r="Q197" s="373">
        <v>450</v>
      </c>
      <c r="R197" s="2931">
        <v>20</v>
      </c>
      <c r="S197" s="2931">
        <v>30</v>
      </c>
      <c r="T197" s="2931">
        <v>40</v>
      </c>
      <c r="U197" s="373">
        <v>45</v>
      </c>
      <c r="V197" s="2926" t="s">
        <v>3972</v>
      </c>
      <c r="W197" s="2926" t="s">
        <v>3973</v>
      </c>
      <c r="X197" s="2926" t="s">
        <v>3974</v>
      </c>
      <c r="Y197" s="2926" t="s">
        <v>3975</v>
      </c>
      <c r="Z197" s="2926" t="s">
        <v>3976</v>
      </c>
      <c r="AA197" s="371"/>
    </row>
    <row r="198" spans="1:27" ht="12.75" customHeight="1" x14ac:dyDescent="0.2">
      <c r="A198" s="6418"/>
      <c r="B198" s="251" t="str">
        <f t="shared" si="2"/>
        <v>Aire92</v>
      </c>
      <c r="D198" s="272" t="s">
        <v>9696</v>
      </c>
      <c r="E198" s="2931" t="s">
        <v>1602</v>
      </c>
      <c r="F198" s="2931">
        <v>92</v>
      </c>
      <c r="G198" s="2934" t="s">
        <v>1381</v>
      </c>
      <c r="H198" s="2934" t="s">
        <v>1234</v>
      </c>
      <c r="I198" s="376" t="s">
        <v>1304</v>
      </c>
      <c r="J198" s="2931">
        <v>12</v>
      </c>
      <c r="K198" s="2931">
        <v>12</v>
      </c>
      <c r="L198" s="2931">
        <v>14</v>
      </c>
      <c r="M198" s="373">
        <v>16</v>
      </c>
      <c r="N198" s="2931">
        <v>300</v>
      </c>
      <c r="O198" s="2931">
        <v>400</v>
      </c>
      <c r="P198" s="2931">
        <v>550</v>
      </c>
      <c r="Q198" s="373">
        <v>800</v>
      </c>
      <c r="R198" s="2931">
        <v>30</v>
      </c>
      <c r="S198" s="2931">
        <v>40</v>
      </c>
      <c r="T198" s="2931">
        <v>55</v>
      </c>
      <c r="U198" s="373">
        <v>80</v>
      </c>
      <c r="V198" s="2926" t="s">
        <v>3977</v>
      </c>
      <c r="W198" s="2926" t="s">
        <v>3502</v>
      </c>
      <c r="X198" s="2926" t="s">
        <v>3503</v>
      </c>
      <c r="Y198" s="2926" t="s">
        <v>3504</v>
      </c>
      <c r="Z198" s="2926" t="s">
        <v>3978</v>
      </c>
      <c r="AA198" s="371"/>
    </row>
    <row r="199" spans="1:27" ht="12.75" customHeight="1" x14ac:dyDescent="0.2">
      <c r="A199" s="6418"/>
      <c r="B199" s="251" t="str">
        <f t="shared" si="2"/>
        <v>Aire96</v>
      </c>
      <c r="D199" s="272" t="s">
        <v>9697</v>
      </c>
      <c r="E199" s="2931" t="s">
        <v>1602</v>
      </c>
      <c r="F199" s="2931">
        <v>96</v>
      </c>
      <c r="G199" s="2934" t="s">
        <v>2087</v>
      </c>
      <c r="H199" s="2934" t="s">
        <v>1235</v>
      </c>
      <c r="I199" s="376" t="s">
        <v>1304</v>
      </c>
      <c r="J199" s="2931">
        <v>10</v>
      </c>
      <c r="K199" s="2931">
        <v>12</v>
      </c>
      <c r="L199" s="2931">
        <v>14</v>
      </c>
      <c r="M199" s="373">
        <v>16</v>
      </c>
      <c r="N199" s="2931">
        <v>300</v>
      </c>
      <c r="O199" s="2931">
        <v>450</v>
      </c>
      <c r="P199" s="2931">
        <v>600</v>
      </c>
      <c r="Q199" s="373">
        <v>1000</v>
      </c>
      <c r="R199" s="2931">
        <v>30</v>
      </c>
      <c r="S199" s="2931">
        <v>45</v>
      </c>
      <c r="T199" s="2931">
        <v>60</v>
      </c>
      <c r="U199" s="373">
        <v>100</v>
      </c>
      <c r="V199" s="2926" t="s">
        <v>3979</v>
      </c>
      <c r="W199" s="2926" t="s">
        <v>3980</v>
      </c>
      <c r="X199" s="2926" t="s">
        <v>3981</v>
      </c>
      <c r="Y199" s="2926" t="s">
        <v>3982</v>
      </c>
      <c r="Z199" s="2926" t="s">
        <v>3983</v>
      </c>
      <c r="AA199" s="371"/>
    </row>
    <row r="200" spans="1:27" ht="12.75" customHeight="1" x14ac:dyDescent="0.2">
      <c r="A200" s="6418"/>
      <c r="B200" s="251" t="str">
        <f t="shared" ref="B200:B263" si="3">E200&amp;F200</f>
        <v>Aire100</v>
      </c>
      <c r="D200" s="272" t="s">
        <v>9698</v>
      </c>
      <c r="E200" s="2931" t="s">
        <v>1602</v>
      </c>
      <c r="F200" s="2931">
        <v>100</v>
      </c>
      <c r="G200" s="2934" t="s">
        <v>1381</v>
      </c>
      <c r="H200" s="2934" t="s">
        <v>1235</v>
      </c>
      <c r="I200" s="376" t="s">
        <v>1304</v>
      </c>
      <c r="J200" s="2931">
        <v>12</v>
      </c>
      <c r="K200" s="2931">
        <v>14</v>
      </c>
      <c r="L200" s="2931">
        <v>16</v>
      </c>
      <c r="M200" s="373">
        <v>18</v>
      </c>
      <c r="N200" s="2931">
        <v>450</v>
      </c>
      <c r="O200" s="2931">
        <v>800</v>
      </c>
      <c r="P200" s="2931">
        <v>1200</v>
      </c>
      <c r="Q200" s="373">
        <v>1600</v>
      </c>
      <c r="R200" s="2931">
        <v>45</v>
      </c>
      <c r="S200" s="2931">
        <v>80</v>
      </c>
      <c r="T200" s="2931">
        <v>120</v>
      </c>
      <c r="U200" s="373">
        <v>200</v>
      </c>
      <c r="V200" s="2926" t="s">
        <v>3984</v>
      </c>
      <c r="W200" s="2926" t="s">
        <v>3985</v>
      </c>
      <c r="X200" s="2926" t="s">
        <v>3986</v>
      </c>
      <c r="Y200" s="2926" t="s">
        <v>3987</v>
      </c>
      <c r="Z200" s="2926" t="s">
        <v>3988</v>
      </c>
      <c r="AA200" s="371"/>
    </row>
    <row r="201" spans="1:27" ht="12.75" customHeight="1" x14ac:dyDescent="0.2">
      <c r="A201" s="6418"/>
      <c r="B201" s="251" t="str">
        <f t="shared" si="3"/>
        <v/>
      </c>
      <c r="D201" s="272" t="s">
        <v>303</v>
      </c>
      <c r="E201" s="2931"/>
      <c r="F201" s="2931"/>
      <c r="G201" s="2934"/>
      <c r="H201" s="2934"/>
      <c r="I201" s="376"/>
      <c r="J201" s="2931"/>
      <c r="K201" s="2931"/>
      <c r="L201" s="2931"/>
      <c r="M201" s="373"/>
      <c r="N201" s="2931"/>
      <c r="O201" s="2931"/>
      <c r="P201" s="2931"/>
      <c r="Q201" s="373"/>
      <c r="R201" s="2931"/>
      <c r="S201" s="2931"/>
      <c r="T201" s="2931"/>
      <c r="U201" s="373"/>
      <c r="V201" s="2926"/>
      <c r="W201" s="2926"/>
      <c r="X201" s="2926"/>
      <c r="Y201" s="2926"/>
      <c r="Z201" s="2926"/>
      <c r="AA201" s="371"/>
    </row>
    <row r="202" spans="1:27" ht="12.75" customHeight="1" x14ac:dyDescent="0.2">
      <c r="A202" s="6418"/>
      <c r="B202" s="251" t="str">
        <f t="shared" si="3"/>
        <v>Agua2</v>
      </c>
      <c r="D202" s="272" t="s">
        <v>9695</v>
      </c>
      <c r="E202" s="2931" t="s">
        <v>1605</v>
      </c>
      <c r="F202" s="2931">
        <v>2</v>
      </c>
      <c r="G202" s="2934" t="s">
        <v>2087</v>
      </c>
      <c r="H202" s="2934" t="s">
        <v>1234</v>
      </c>
      <c r="I202" s="376" t="s">
        <v>1304</v>
      </c>
      <c r="J202" s="2931">
        <v>5</v>
      </c>
      <c r="K202" s="2931">
        <v>7</v>
      </c>
      <c r="L202" s="2931">
        <v>10</v>
      </c>
      <c r="M202" s="373">
        <v>12</v>
      </c>
      <c r="N202" s="2931">
        <v>30</v>
      </c>
      <c r="O202" s="2931">
        <v>80</v>
      </c>
      <c r="P202" s="2931">
        <v>120</v>
      </c>
      <c r="Q202" s="373">
        <v>180</v>
      </c>
      <c r="R202" s="2931">
        <v>5</v>
      </c>
      <c r="S202" s="2931">
        <v>10</v>
      </c>
      <c r="T202" s="2931">
        <v>15</v>
      </c>
      <c r="U202" s="373">
        <v>20</v>
      </c>
      <c r="V202" s="2926" t="s">
        <v>3989</v>
      </c>
      <c r="W202" s="2926" t="s">
        <v>3990</v>
      </c>
      <c r="X202" s="2926" t="s">
        <v>3991</v>
      </c>
      <c r="Y202" s="2926" t="s">
        <v>3992</v>
      </c>
      <c r="Z202" s="2926" t="s">
        <v>3993</v>
      </c>
      <c r="AA202" s="371"/>
    </row>
    <row r="203" spans="1:27" ht="12.75" customHeight="1" x14ac:dyDescent="0.2">
      <c r="A203" s="6418"/>
      <c r="B203" s="251" t="str">
        <f t="shared" si="3"/>
        <v>Agua6</v>
      </c>
      <c r="D203" s="272" t="s">
        <v>163</v>
      </c>
      <c r="E203" s="2931" t="s">
        <v>1605</v>
      </c>
      <c r="F203" s="2931">
        <v>6</v>
      </c>
      <c r="G203" s="2934" t="s">
        <v>2087</v>
      </c>
      <c r="H203" s="2934" t="s">
        <v>1234</v>
      </c>
      <c r="I203" s="376" t="s">
        <v>1304</v>
      </c>
      <c r="J203" s="2931">
        <v>5</v>
      </c>
      <c r="K203" s="2931">
        <v>7</v>
      </c>
      <c r="L203" s="2931">
        <v>10</v>
      </c>
      <c r="M203" s="373">
        <v>12</v>
      </c>
      <c r="N203" s="2931">
        <v>30</v>
      </c>
      <c r="O203" s="2931">
        <v>50</v>
      </c>
      <c r="P203" s="2931">
        <v>90</v>
      </c>
      <c r="Q203" s="373">
        <v>140</v>
      </c>
      <c r="R203" s="2931">
        <v>5</v>
      </c>
      <c r="S203" s="2931">
        <v>5</v>
      </c>
      <c r="T203" s="2931">
        <v>10</v>
      </c>
      <c r="U203" s="373">
        <v>15</v>
      </c>
      <c r="V203" s="2926" t="s">
        <v>3994</v>
      </c>
      <c r="W203" s="2926" t="s">
        <v>3995</v>
      </c>
      <c r="X203" s="2926" t="s">
        <v>3996</v>
      </c>
      <c r="Y203" s="2926" t="s">
        <v>3997</v>
      </c>
      <c r="Z203" s="2926" t="s">
        <v>3998</v>
      </c>
      <c r="AA203" s="371"/>
    </row>
    <row r="204" spans="1:27" ht="12.75" customHeight="1" x14ac:dyDescent="0.2">
      <c r="A204" s="6418"/>
      <c r="B204" s="251" t="str">
        <f t="shared" si="3"/>
        <v>Agua10</v>
      </c>
      <c r="D204" s="272" t="s">
        <v>9699</v>
      </c>
      <c r="E204" s="2931" t="s">
        <v>1605</v>
      </c>
      <c r="F204" s="2931">
        <v>10</v>
      </c>
      <c r="G204" s="2934" t="s">
        <v>2087</v>
      </c>
      <c r="H204" s="2934" t="s">
        <v>1234</v>
      </c>
      <c r="I204" s="376" t="s">
        <v>1304</v>
      </c>
      <c r="J204" s="2931">
        <v>5</v>
      </c>
      <c r="K204" s="2931">
        <v>8</v>
      </c>
      <c r="L204" s="2931">
        <v>10</v>
      </c>
      <c r="M204" s="373">
        <v>12</v>
      </c>
      <c r="N204" s="2931">
        <v>50</v>
      </c>
      <c r="O204" s="2931">
        <v>70</v>
      </c>
      <c r="P204" s="2931">
        <v>100</v>
      </c>
      <c r="Q204" s="373">
        <v>140</v>
      </c>
      <c r="R204" s="2931">
        <v>10</v>
      </c>
      <c r="S204" s="2931">
        <v>20</v>
      </c>
      <c r="T204" s="2931">
        <v>20</v>
      </c>
      <c r="U204" s="373">
        <v>25</v>
      </c>
      <c r="V204" s="2926" t="s">
        <v>3999</v>
      </c>
      <c r="W204" s="2926" t="s">
        <v>4000</v>
      </c>
      <c r="X204" s="2926" t="s">
        <v>4001</v>
      </c>
      <c r="Y204" s="2926" t="s">
        <v>4002</v>
      </c>
      <c r="Z204" s="2926" t="s">
        <v>4003</v>
      </c>
      <c r="AA204" s="371"/>
    </row>
    <row r="205" spans="1:27" ht="12.75" customHeight="1" x14ac:dyDescent="0.2">
      <c r="A205" s="6418"/>
      <c r="B205" s="251" t="str">
        <f t="shared" si="3"/>
        <v>Agua12</v>
      </c>
      <c r="D205" s="272" t="s">
        <v>172</v>
      </c>
      <c r="E205" s="2931" t="s">
        <v>1605</v>
      </c>
      <c r="F205" s="2931">
        <v>12</v>
      </c>
      <c r="G205" s="2934" t="s">
        <v>2087</v>
      </c>
      <c r="H205" s="2934" t="s">
        <v>1234</v>
      </c>
      <c r="I205" s="376" t="s">
        <v>1304</v>
      </c>
      <c r="J205" s="2931">
        <v>6</v>
      </c>
      <c r="K205" s="2931">
        <v>8</v>
      </c>
      <c r="L205" s="2931">
        <v>10</v>
      </c>
      <c r="M205" s="373">
        <v>13</v>
      </c>
      <c r="N205" s="2931">
        <v>50</v>
      </c>
      <c r="O205" s="2931">
        <v>140</v>
      </c>
      <c r="P205" s="2931">
        <v>200</v>
      </c>
      <c r="Q205" s="373">
        <v>300</v>
      </c>
      <c r="R205" s="2931">
        <v>5</v>
      </c>
      <c r="S205" s="2931">
        <v>10</v>
      </c>
      <c r="T205" s="2931">
        <v>10</v>
      </c>
      <c r="U205" s="373">
        <v>15</v>
      </c>
      <c r="V205" s="2926" t="s">
        <v>4004</v>
      </c>
      <c r="W205" s="2926" t="s">
        <v>4005</v>
      </c>
      <c r="X205" s="2926" t="s">
        <v>4006</v>
      </c>
      <c r="Y205" s="2926" t="s">
        <v>4007</v>
      </c>
      <c r="Z205" s="2926" t="s">
        <v>4008</v>
      </c>
      <c r="AA205" s="371"/>
    </row>
    <row r="206" spans="1:27" ht="12.75" customHeight="1" x14ac:dyDescent="0.2">
      <c r="A206" s="6418"/>
      <c r="B206" s="251" t="str">
        <f t="shared" si="3"/>
        <v>Agua16</v>
      </c>
      <c r="D206" s="272" t="s">
        <v>9700</v>
      </c>
      <c r="E206" s="2931" t="s">
        <v>1605</v>
      </c>
      <c r="F206" s="2931">
        <v>16</v>
      </c>
      <c r="G206" s="2934" t="s">
        <v>1381</v>
      </c>
      <c r="H206" s="2934" t="s">
        <v>1564</v>
      </c>
      <c r="I206" s="376" t="s">
        <v>1305</v>
      </c>
      <c r="J206" s="2931">
        <v>6</v>
      </c>
      <c r="K206" s="2931">
        <v>9</v>
      </c>
      <c r="L206" s="2931">
        <v>12</v>
      </c>
      <c r="M206" s="373">
        <v>15</v>
      </c>
      <c r="N206" s="2931">
        <v>40</v>
      </c>
      <c r="O206" s="2931">
        <v>90</v>
      </c>
      <c r="P206" s="2931">
        <v>140</v>
      </c>
      <c r="Q206" s="373">
        <v>220</v>
      </c>
      <c r="R206" s="2931">
        <v>5</v>
      </c>
      <c r="S206" s="2931">
        <v>5</v>
      </c>
      <c r="T206" s="2931">
        <v>10</v>
      </c>
      <c r="U206" s="373">
        <v>10</v>
      </c>
      <c r="V206" s="2926" t="s">
        <v>4009</v>
      </c>
      <c r="W206" s="2926" t="s">
        <v>4010</v>
      </c>
      <c r="X206" s="2926" t="s">
        <v>4011</v>
      </c>
      <c r="Y206" s="2926" t="s">
        <v>4012</v>
      </c>
      <c r="Z206" s="2926" t="s">
        <v>4013</v>
      </c>
      <c r="AA206" s="371"/>
    </row>
    <row r="207" spans="1:27" ht="12.75" customHeight="1" x14ac:dyDescent="0.2">
      <c r="A207" s="6418"/>
      <c r="B207" s="251" t="str">
        <f t="shared" si="3"/>
        <v>Agua20</v>
      </c>
      <c r="D207" s="272" t="s">
        <v>9701</v>
      </c>
      <c r="E207" s="2931" t="s">
        <v>1605</v>
      </c>
      <c r="F207" s="2931">
        <v>20</v>
      </c>
      <c r="G207" s="2934" t="s">
        <v>1381</v>
      </c>
      <c r="H207" s="2934" t="s">
        <v>1232</v>
      </c>
      <c r="I207" s="376" t="s">
        <v>1304</v>
      </c>
      <c r="J207" s="2931">
        <v>5</v>
      </c>
      <c r="K207" s="2931">
        <v>8</v>
      </c>
      <c r="L207" s="2931">
        <v>10</v>
      </c>
      <c r="M207" s="373">
        <v>12</v>
      </c>
      <c r="N207" s="2931">
        <v>50</v>
      </c>
      <c r="O207" s="2931">
        <v>90</v>
      </c>
      <c r="P207" s="2931">
        <v>140</v>
      </c>
      <c r="Q207" s="373">
        <v>200</v>
      </c>
      <c r="R207" s="2931" t="s">
        <v>1381</v>
      </c>
      <c r="S207" s="2931" t="s">
        <v>1381</v>
      </c>
      <c r="T207" s="2931" t="s">
        <v>1381</v>
      </c>
      <c r="U207" s="373" t="s">
        <v>1381</v>
      </c>
      <c r="V207" s="2926" t="s">
        <v>4014</v>
      </c>
      <c r="W207" s="2926" t="s">
        <v>4015</v>
      </c>
      <c r="X207" s="2926" t="s">
        <v>4016</v>
      </c>
      <c r="Y207" s="2926" t="s">
        <v>4017</v>
      </c>
      <c r="Z207" s="2926" t="s">
        <v>4018</v>
      </c>
      <c r="AA207" s="371"/>
    </row>
    <row r="208" spans="1:27" ht="12.75" customHeight="1" x14ac:dyDescent="0.2">
      <c r="A208" s="6418"/>
      <c r="B208" s="251" t="str">
        <f t="shared" si="3"/>
        <v>Agua22</v>
      </c>
      <c r="D208" s="272" t="s">
        <v>9694</v>
      </c>
      <c r="E208" s="2931" t="s">
        <v>1605</v>
      </c>
      <c r="F208" s="2931">
        <v>22</v>
      </c>
      <c r="G208" s="2934" t="s">
        <v>2087</v>
      </c>
      <c r="H208" s="2934" t="s">
        <v>4019</v>
      </c>
      <c r="I208" s="376" t="s">
        <v>1304</v>
      </c>
      <c r="J208" s="2931">
        <v>6</v>
      </c>
      <c r="K208" s="2931">
        <v>9</v>
      </c>
      <c r="L208" s="2931">
        <v>12</v>
      </c>
      <c r="M208" s="373">
        <v>15</v>
      </c>
      <c r="N208" s="2931">
        <v>60</v>
      </c>
      <c r="O208" s="2931">
        <v>100</v>
      </c>
      <c r="P208" s="2931">
        <v>150</v>
      </c>
      <c r="Q208" s="373">
        <v>220</v>
      </c>
      <c r="R208" s="2931">
        <v>10</v>
      </c>
      <c r="S208" s="2931">
        <v>10</v>
      </c>
      <c r="T208" s="2931">
        <v>15</v>
      </c>
      <c r="U208" s="373">
        <v>15</v>
      </c>
      <c r="V208" s="2926" t="s">
        <v>4020</v>
      </c>
      <c r="W208" s="2926" t="s">
        <v>4021</v>
      </c>
      <c r="X208" s="2926" t="s">
        <v>4022</v>
      </c>
      <c r="Y208" s="2926" t="s">
        <v>4023</v>
      </c>
      <c r="Z208" s="2926" t="s">
        <v>4024</v>
      </c>
      <c r="AA208" s="371"/>
    </row>
    <row r="209" spans="1:27" ht="12.75" customHeight="1" x14ac:dyDescent="0.2">
      <c r="A209" s="6418"/>
      <c r="B209" s="251" t="str">
        <f t="shared" si="3"/>
        <v>Agua26</v>
      </c>
      <c r="D209" s="272" t="s">
        <v>9693</v>
      </c>
      <c r="E209" s="2931" t="s">
        <v>1605</v>
      </c>
      <c r="F209" s="2931">
        <v>26</v>
      </c>
      <c r="G209" s="2934" t="s">
        <v>1381</v>
      </c>
      <c r="H209" s="2934" t="s">
        <v>1234</v>
      </c>
      <c r="I209" s="376" t="s">
        <v>1304</v>
      </c>
      <c r="J209" s="2931">
        <v>6</v>
      </c>
      <c r="K209" s="2931">
        <v>9</v>
      </c>
      <c r="L209" s="2931">
        <v>12</v>
      </c>
      <c r="M209" s="373">
        <v>15</v>
      </c>
      <c r="N209" s="2931">
        <v>60</v>
      </c>
      <c r="O209" s="2931">
        <v>90</v>
      </c>
      <c r="P209" s="2931">
        <v>120</v>
      </c>
      <c r="Q209" s="373">
        <v>150</v>
      </c>
      <c r="R209" s="2931">
        <v>5</v>
      </c>
      <c r="S209" s="2931">
        <v>5</v>
      </c>
      <c r="T209" s="2931">
        <v>10</v>
      </c>
      <c r="U209" s="373">
        <v>10</v>
      </c>
      <c r="V209" s="2926" t="s">
        <v>4025</v>
      </c>
      <c r="W209" s="2926" t="s">
        <v>4026</v>
      </c>
      <c r="X209" s="2926" t="s">
        <v>9692</v>
      </c>
      <c r="Y209" s="2926" t="s">
        <v>9925</v>
      </c>
      <c r="Z209" s="2926" t="s">
        <v>4027</v>
      </c>
      <c r="AA209" s="371"/>
    </row>
    <row r="210" spans="1:27" ht="12.75" customHeight="1" x14ac:dyDescent="0.2">
      <c r="A210" s="6418"/>
      <c r="B210" s="251" t="str">
        <f t="shared" si="3"/>
        <v>Agua30</v>
      </c>
      <c r="D210" s="272" t="s">
        <v>9825</v>
      </c>
      <c r="E210" s="2931" t="s">
        <v>1605</v>
      </c>
      <c r="F210" s="2931">
        <v>30</v>
      </c>
      <c r="G210" s="2934" t="s">
        <v>2087</v>
      </c>
      <c r="H210" s="2934" t="s">
        <v>4019</v>
      </c>
      <c r="I210" s="376" t="s">
        <v>1304</v>
      </c>
      <c r="J210" s="2931">
        <v>6</v>
      </c>
      <c r="K210" s="2931">
        <v>9</v>
      </c>
      <c r="L210" s="2931">
        <v>12</v>
      </c>
      <c r="M210" s="373">
        <v>15</v>
      </c>
      <c r="N210" s="2931">
        <v>50</v>
      </c>
      <c r="O210" s="2931">
        <v>80</v>
      </c>
      <c r="P210" s="2931">
        <v>120</v>
      </c>
      <c r="Q210" s="373">
        <v>180</v>
      </c>
      <c r="R210" s="2931">
        <v>5</v>
      </c>
      <c r="S210" s="2931">
        <v>10</v>
      </c>
      <c r="T210" s="2931">
        <v>15</v>
      </c>
      <c r="U210" s="373">
        <v>20</v>
      </c>
      <c r="V210" s="2926" t="s">
        <v>4028</v>
      </c>
      <c r="W210" s="2926" t="s">
        <v>4029</v>
      </c>
      <c r="X210" s="2926" t="s">
        <v>4030</v>
      </c>
      <c r="Y210" s="2926" t="s">
        <v>4031</v>
      </c>
      <c r="Z210" s="2926" t="s">
        <v>4032</v>
      </c>
      <c r="AA210" s="371"/>
    </row>
    <row r="211" spans="1:27" ht="12.75" customHeight="1" x14ac:dyDescent="0.2">
      <c r="A211" s="6418"/>
      <c r="B211" s="251" t="str">
        <f t="shared" si="3"/>
        <v>Agua32</v>
      </c>
      <c r="D211" s="272" t="s">
        <v>167</v>
      </c>
      <c r="E211" s="2931" t="s">
        <v>1605</v>
      </c>
      <c r="F211" s="2931">
        <v>32</v>
      </c>
      <c r="G211" s="2934" t="s">
        <v>2087</v>
      </c>
      <c r="H211" s="2934" t="s">
        <v>4019</v>
      </c>
      <c r="I211" s="376" t="s">
        <v>1304</v>
      </c>
      <c r="J211" s="2931">
        <v>6</v>
      </c>
      <c r="K211" s="2931">
        <v>9</v>
      </c>
      <c r="L211" s="2931">
        <v>12</v>
      </c>
      <c r="M211" s="373">
        <v>15</v>
      </c>
      <c r="N211" s="2931">
        <v>60</v>
      </c>
      <c r="O211" s="2931">
        <v>100</v>
      </c>
      <c r="P211" s="2931">
        <v>140</v>
      </c>
      <c r="Q211" s="373">
        <v>220</v>
      </c>
      <c r="R211" s="2931">
        <v>10</v>
      </c>
      <c r="S211" s="2931">
        <v>10</v>
      </c>
      <c r="T211" s="2931">
        <v>15</v>
      </c>
      <c r="U211" s="373">
        <v>15</v>
      </c>
      <c r="V211" s="2926" t="s">
        <v>4033</v>
      </c>
      <c r="W211" s="2926" t="s">
        <v>4034</v>
      </c>
      <c r="X211" s="2926" t="s">
        <v>4035</v>
      </c>
      <c r="Y211" s="2926" t="s">
        <v>4036</v>
      </c>
      <c r="Z211" s="2926" t="s">
        <v>4037</v>
      </c>
      <c r="AA211" s="371"/>
    </row>
    <row r="212" spans="1:27" ht="12.75" customHeight="1" x14ac:dyDescent="0.2">
      <c r="A212" s="6418"/>
      <c r="B212" s="251" t="str">
        <f t="shared" si="3"/>
        <v>Agua36</v>
      </c>
      <c r="D212" s="272" t="s">
        <v>9826</v>
      </c>
      <c r="E212" s="2931" t="s">
        <v>1605</v>
      </c>
      <c r="F212" s="2931">
        <v>36</v>
      </c>
      <c r="G212" s="2934" t="s">
        <v>1381</v>
      </c>
      <c r="H212" s="2934" t="s">
        <v>1564</v>
      </c>
      <c r="I212" s="376" t="s">
        <v>1305</v>
      </c>
      <c r="J212" s="2931">
        <v>6</v>
      </c>
      <c r="K212" s="2931">
        <v>9</v>
      </c>
      <c r="L212" s="2931">
        <v>12</v>
      </c>
      <c r="M212" s="373">
        <v>15</v>
      </c>
      <c r="N212" s="2931">
        <v>60</v>
      </c>
      <c r="O212" s="2931">
        <v>180</v>
      </c>
      <c r="P212" s="2931">
        <v>240</v>
      </c>
      <c r="Q212" s="373">
        <v>300</v>
      </c>
      <c r="R212" s="2931">
        <v>10</v>
      </c>
      <c r="S212" s="2931">
        <v>10</v>
      </c>
      <c r="T212" s="2931">
        <v>15</v>
      </c>
      <c r="U212" s="373">
        <v>15</v>
      </c>
      <c r="V212" s="2926" t="s">
        <v>4038</v>
      </c>
      <c r="W212" s="2926" t="s">
        <v>4039</v>
      </c>
      <c r="X212" s="2926" t="s">
        <v>4040</v>
      </c>
      <c r="Y212" s="2926" t="s">
        <v>4041</v>
      </c>
      <c r="Z212" s="2927" t="s">
        <v>10136</v>
      </c>
      <c r="AA212" s="371"/>
    </row>
    <row r="213" spans="1:27" ht="12.75" customHeight="1" x14ac:dyDescent="0.2">
      <c r="A213" s="6418"/>
      <c r="B213" s="251" t="str">
        <f t="shared" si="3"/>
        <v>Agua40</v>
      </c>
      <c r="D213" s="272" t="s">
        <v>9827</v>
      </c>
      <c r="E213" s="2931" t="s">
        <v>1605</v>
      </c>
      <c r="F213" s="2931">
        <v>40</v>
      </c>
      <c r="G213" s="2934" t="s">
        <v>2087</v>
      </c>
      <c r="H213" s="2934" t="s">
        <v>1234</v>
      </c>
      <c r="I213" s="376" t="s">
        <v>1304</v>
      </c>
      <c r="J213" s="2931">
        <v>6</v>
      </c>
      <c r="K213" s="2931">
        <v>9</v>
      </c>
      <c r="L213" s="2931">
        <v>12</v>
      </c>
      <c r="M213" s="373">
        <v>16</v>
      </c>
      <c r="N213" s="2931">
        <v>80</v>
      </c>
      <c r="O213" s="2931">
        <v>140</v>
      </c>
      <c r="P213" s="2931">
        <v>240</v>
      </c>
      <c r="Q213" s="373">
        <v>350</v>
      </c>
      <c r="R213" s="2931">
        <v>10</v>
      </c>
      <c r="S213" s="2931">
        <v>20</v>
      </c>
      <c r="T213" s="2931">
        <v>25</v>
      </c>
      <c r="U213" s="373">
        <v>30</v>
      </c>
      <c r="V213" s="2926" t="s">
        <v>4042</v>
      </c>
      <c r="W213" s="2926" t="s">
        <v>4043</v>
      </c>
      <c r="X213" s="2926" t="s">
        <v>4044</v>
      </c>
      <c r="Y213" s="2926" t="s">
        <v>4045</v>
      </c>
      <c r="Z213" s="2926" t="s">
        <v>4046</v>
      </c>
      <c r="AA213" s="371"/>
    </row>
    <row r="214" spans="1:27" ht="12.75" customHeight="1" x14ac:dyDescent="0.2">
      <c r="A214" s="6418"/>
      <c r="B214" s="251" t="str">
        <f t="shared" si="3"/>
        <v>Agua42</v>
      </c>
      <c r="D214" s="272" t="s">
        <v>9828</v>
      </c>
      <c r="E214" s="2931" t="s">
        <v>1605</v>
      </c>
      <c r="F214" s="2931">
        <v>42</v>
      </c>
      <c r="G214" s="2934" t="s">
        <v>1381</v>
      </c>
      <c r="H214" s="2934" t="s">
        <v>1232</v>
      </c>
      <c r="I214" s="376" t="s">
        <v>1304</v>
      </c>
      <c r="J214" s="2931">
        <v>6</v>
      </c>
      <c r="K214" s="2931">
        <v>9</v>
      </c>
      <c r="L214" s="2931">
        <v>12</v>
      </c>
      <c r="M214" s="373">
        <v>15</v>
      </c>
      <c r="N214" s="2931">
        <v>80</v>
      </c>
      <c r="O214" s="2931">
        <v>160</v>
      </c>
      <c r="P214" s="2931">
        <v>240</v>
      </c>
      <c r="Q214" s="373">
        <v>300</v>
      </c>
      <c r="R214" s="2931" t="s">
        <v>1381</v>
      </c>
      <c r="S214" s="2931" t="s">
        <v>1381</v>
      </c>
      <c r="T214" s="2931" t="s">
        <v>1381</v>
      </c>
      <c r="U214" s="373" t="s">
        <v>1381</v>
      </c>
      <c r="V214" s="2926" t="s">
        <v>4047</v>
      </c>
      <c r="W214" s="2926" t="s">
        <v>3243</v>
      </c>
      <c r="X214" s="2926" t="s">
        <v>4048</v>
      </c>
      <c r="Y214" s="2926" t="s">
        <v>4049</v>
      </c>
      <c r="Z214" s="2926" t="s">
        <v>4050</v>
      </c>
      <c r="AA214" s="371"/>
    </row>
    <row r="215" spans="1:27" ht="12.75" customHeight="1" x14ac:dyDescent="0.2">
      <c r="A215" s="6418"/>
      <c r="B215" s="251" t="str">
        <f t="shared" si="3"/>
        <v>Agua46</v>
      </c>
      <c r="D215" s="272" t="s">
        <v>9829</v>
      </c>
      <c r="E215" s="2931" t="s">
        <v>1605</v>
      </c>
      <c r="F215" s="2931">
        <v>46</v>
      </c>
      <c r="G215" s="2934" t="s">
        <v>1381</v>
      </c>
      <c r="H215" s="2934" t="s">
        <v>4019</v>
      </c>
      <c r="I215" s="376" t="s">
        <v>1304</v>
      </c>
      <c r="J215" s="2931">
        <v>8</v>
      </c>
      <c r="K215" s="2931">
        <v>10</v>
      </c>
      <c r="L215" s="2931">
        <v>12</v>
      </c>
      <c r="M215" s="373">
        <v>14</v>
      </c>
      <c r="N215" s="2931">
        <v>80</v>
      </c>
      <c r="O215" s="2931">
        <v>120</v>
      </c>
      <c r="P215" s="2931">
        <v>150</v>
      </c>
      <c r="Q215" s="373">
        <v>200</v>
      </c>
      <c r="R215" s="2931">
        <v>5</v>
      </c>
      <c r="S215" s="2931">
        <v>10</v>
      </c>
      <c r="T215" s="2931">
        <v>15</v>
      </c>
      <c r="U215" s="373">
        <v>20</v>
      </c>
      <c r="V215" s="2926" t="s">
        <v>4051</v>
      </c>
      <c r="W215" s="2926" t="s">
        <v>4052</v>
      </c>
      <c r="X215" s="2926" t="s">
        <v>4053</v>
      </c>
      <c r="Y215" s="2926" t="s">
        <v>4054</v>
      </c>
      <c r="Z215" s="2926" t="s">
        <v>4055</v>
      </c>
      <c r="AA215" s="371"/>
    </row>
    <row r="216" spans="1:27" ht="12.75" customHeight="1" x14ac:dyDescent="0.2">
      <c r="A216" s="6418"/>
      <c r="B216" s="251" t="str">
        <f t="shared" si="3"/>
        <v>Agua50</v>
      </c>
      <c r="D216" s="272" t="s">
        <v>9830</v>
      </c>
      <c r="E216" s="2931" t="s">
        <v>1605</v>
      </c>
      <c r="F216" s="2931">
        <v>50</v>
      </c>
      <c r="G216" s="2934" t="s">
        <v>1381</v>
      </c>
      <c r="H216" s="2934" t="s">
        <v>4019</v>
      </c>
      <c r="I216" s="376" t="s">
        <v>1304</v>
      </c>
      <c r="J216" s="2931">
        <v>7</v>
      </c>
      <c r="K216" s="2931">
        <v>10</v>
      </c>
      <c r="L216" s="2931">
        <v>13</v>
      </c>
      <c r="M216" s="373">
        <v>15</v>
      </c>
      <c r="N216" s="2931">
        <v>80</v>
      </c>
      <c r="O216" s="2931">
        <v>160</v>
      </c>
      <c r="P216" s="2931">
        <v>240</v>
      </c>
      <c r="Q216" s="373">
        <v>350</v>
      </c>
      <c r="R216" s="2931">
        <v>5</v>
      </c>
      <c r="S216" s="2931">
        <v>10</v>
      </c>
      <c r="T216" s="2931">
        <v>15</v>
      </c>
      <c r="U216" s="373">
        <v>20</v>
      </c>
      <c r="V216" s="2926" t="s">
        <v>4056</v>
      </c>
      <c r="W216" s="2926" t="s">
        <v>4057</v>
      </c>
      <c r="X216" s="2926" t="s">
        <v>4058</v>
      </c>
      <c r="Y216" s="2926" t="s">
        <v>4059</v>
      </c>
      <c r="Z216" s="2926" t="s">
        <v>4060</v>
      </c>
      <c r="AA216" s="371"/>
    </row>
    <row r="217" spans="1:27" ht="12.75" customHeight="1" x14ac:dyDescent="0.2">
      <c r="A217" s="6418"/>
      <c r="B217" s="251" t="str">
        <f t="shared" si="3"/>
        <v>Agua52</v>
      </c>
      <c r="D217" s="272" t="s">
        <v>9831</v>
      </c>
      <c r="E217" s="2931" t="s">
        <v>1605</v>
      </c>
      <c r="F217" s="2931">
        <v>52</v>
      </c>
      <c r="G217" s="2934" t="s">
        <v>1381</v>
      </c>
      <c r="H217" s="2934" t="s">
        <v>1234</v>
      </c>
      <c r="I217" s="376" t="s">
        <v>1304</v>
      </c>
      <c r="J217" s="2931">
        <v>8</v>
      </c>
      <c r="K217" s="2931">
        <v>11</v>
      </c>
      <c r="L217" s="2931">
        <v>13</v>
      </c>
      <c r="M217" s="373">
        <v>16</v>
      </c>
      <c r="N217" s="2931">
        <v>100</v>
      </c>
      <c r="O217" s="2931">
        <v>120</v>
      </c>
      <c r="P217" s="2931">
        <v>140</v>
      </c>
      <c r="Q217" s="373">
        <v>160</v>
      </c>
      <c r="R217" s="2931">
        <v>10</v>
      </c>
      <c r="S217" s="2931">
        <v>15</v>
      </c>
      <c r="T217" s="2931">
        <v>15</v>
      </c>
      <c r="U217" s="373">
        <v>20</v>
      </c>
      <c r="V217" s="2926" t="s">
        <v>4061</v>
      </c>
      <c r="W217" s="2926" t="s">
        <v>4062</v>
      </c>
      <c r="X217" s="2926" t="s">
        <v>4063</v>
      </c>
      <c r="Y217" s="2926" t="s">
        <v>4064</v>
      </c>
      <c r="Z217" s="2926" t="s">
        <v>4065</v>
      </c>
      <c r="AA217" s="371"/>
    </row>
    <row r="218" spans="1:27" ht="12.75" customHeight="1" x14ac:dyDescent="0.2">
      <c r="A218" s="6418"/>
      <c r="B218" s="251" t="str">
        <f t="shared" si="3"/>
        <v>Agua56</v>
      </c>
      <c r="D218" s="272" t="s">
        <v>9832</v>
      </c>
      <c r="E218" s="2931" t="s">
        <v>1605</v>
      </c>
      <c r="F218" s="2931">
        <v>56</v>
      </c>
      <c r="G218" s="2934" t="s">
        <v>1381</v>
      </c>
      <c r="H218" s="2934" t="s">
        <v>4066</v>
      </c>
      <c r="I218" s="376" t="s">
        <v>1305</v>
      </c>
      <c r="J218" s="2931">
        <v>7</v>
      </c>
      <c r="K218" s="2931">
        <v>10</v>
      </c>
      <c r="L218" s="2931">
        <v>13</v>
      </c>
      <c r="M218" s="373">
        <v>16</v>
      </c>
      <c r="N218" s="2931">
        <v>120</v>
      </c>
      <c r="O218" s="2931">
        <v>180</v>
      </c>
      <c r="P218" s="2931">
        <v>240</v>
      </c>
      <c r="Q218" s="373">
        <v>320</v>
      </c>
      <c r="R218" s="2931" t="s">
        <v>1381</v>
      </c>
      <c r="S218" s="2931" t="s">
        <v>1381</v>
      </c>
      <c r="T218" s="2931" t="s">
        <v>1381</v>
      </c>
      <c r="U218" s="373" t="s">
        <v>1381</v>
      </c>
      <c r="V218" s="2926" t="s">
        <v>3485</v>
      </c>
      <c r="W218" s="2926" t="s">
        <v>4067</v>
      </c>
      <c r="X218" s="2926" t="s">
        <v>4068</v>
      </c>
      <c r="Y218" s="2926" t="s">
        <v>3322</v>
      </c>
      <c r="Z218" s="2926" t="s">
        <v>4069</v>
      </c>
      <c r="AA218" s="371"/>
    </row>
    <row r="219" spans="1:27" ht="12.75" customHeight="1" x14ac:dyDescent="0.2">
      <c r="A219" s="6418"/>
      <c r="B219" s="251" t="str">
        <f t="shared" si="3"/>
        <v>Agua60</v>
      </c>
      <c r="D219" s="272" t="s">
        <v>9833</v>
      </c>
      <c r="E219" s="2931" t="s">
        <v>1605</v>
      </c>
      <c r="F219" s="2931">
        <v>60</v>
      </c>
      <c r="G219" s="2934" t="s">
        <v>1381</v>
      </c>
      <c r="H219" s="2934" t="s">
        <v>3209</v>
      </c>
      <c r="I219" s="376" t="s">
        <v>1304</v>
      </c>
      <c r="J219" s="2931">
        <v>7</v>
      </c>
      <c r="K219" s="2931">
        <v>10</v>
      </c>
      <c r="L219" s="2931">
        <v>12</v>
      </c>
      <c r="M219" s="373">
        <v>15</v>
      </c>
      <c r="N219" s="2931">
        <v>120</v>
      </c>
      <c r="O219" s="2931">
        <v>180</v>
      </c>
      <c r="P219" s="2931">
        <v>240</v>
      </c>
      <c r="Q219" s="373">
        <v>320</v>
      </c>
      <c r="R219" s="2931">
        <v>10</v>
      </c>
      <c r="S219" s="2931">
        <v>10</v>
      </c>
      <c r="T219" s="2931">
        <v>15</v>
      </c>
      <c r="U219" s="373">
        <v>15</v>
      </c>
      <c r="V219" s="2926" t="s">
        <v>3474</v>
      </c>
      <c r="W219" s="2926" t="s">
        <v>4070</v>
      </c>
      <c r="X219" s="2926" t="s">
        <v>4071</v>
      </c>
      <c r="Y219" s="2926" t="s">
        <v>4072</v>
      </c>
      <c r="Z219" s="2926" t="s">
        <v>4073</v>
      </c>
      <c r="AA219" s="371"/>
    </row>
    <row r="220" spans="1:27" ht="12.75" customHeight="1" x14ac:dyDescent="0.2">
      <c r="A220" s="6418"/>
      <c r="B220" s="251" t="str">
        <f t="shared" si="3"/>
        <v>Agua62</v>
      </c>
      <c r="D220" s="272" t="s">
        <v>9834</v>
      </c>
      <c r="E220" s="2931" t="s">
        <v>1605</v>
      </c>
      <c r="F220" s="2931">
        <v>62</v>
      </c>
      <c r="G220" s="2934" t="s">
        <v>2087</v>
      </c>
      <c r="H220" s="2934" t="s">
        <v>1234</v>
      </c>
      <c r="I220" s="376" t="s">
        <v>1304</v>
      </c>
      <c r="J220" s="2931">
        <v>6</v>
      </c>
      <c r="K220" s="2931">
        <v>9</v>
      </c>
      <c r="L220" s="2931">
        <v>12</v>
      </c>
      <c r="M220" s="373">
        <v>15</v>
      </c>
      <c r="N220" s="2931">
        <v>150</v>
      </c>
      <c r="O220" s="2931">
        <v>300</v>
      </c>
      <c r="P220" s="2931">
        <v>450</v>
      </c>
      <c r="Q220" s="373">
        <v>600</v>
      </c>
      <c r="R220" s="2931">
        <v>15</v>
      </c>
      <c r="S220" s="2931">
        <v>30</v>
      </c>
      <c r="T220" s="2931">
        <v>45</v>
      </c>
      <c r="U220" s="373">
        <v>60</v>
      </c>
      <c r="V220" s="2926" t="s">
        <v>4074</v>
      </c>
      <c r="W220" s="2926" t="s">
        <v>4075</v>
      </c>
      <c r="X220" s="2926" t="s">
        <v>4076</v>
      </c>
      <c r="Y220" s="2926" t="s">
        <v>4077</v>
      </c>
      <c r="Z220" s="2926" t="s">
        <v>4078</v>
      </c>
      <c r="AA220" s="371"/>
    </row>
    <row r="221" spans="1:27" ht="12.75" customHeight="1" x14ac:dyDescent="0.2">
      <c r="A221" s="6418"/>
      <c r="B221" s="251" t="str">
        <f t="shared" si="3"/>
        <v>Agua66</v>
      </c>
      <c r="D221" s="272" t="s">
        <v>9835</v>
      </c>
      <c r="E221" s="2931" t="s">
        <v>1605</v>
      </c>
      <c r="F221" s="2931">
        <v>66</v>
      </c>
      <c r="G221" s="2934" t="s">
        <v>1381</v>
      </c>
      <c r="H221" s="2934" t="s">
        <v>3209</v>
      </c>
      <c r="I221" s="376" t="s">
        <v>1304</v>
      </c>
      <c r="J221" s="2931">
        <v>7</v>
      </c>
      <c r="K221" s="2931">
        <v>10</v>
      </c>
      <c r="L221" s="2931">
        <v>13</v>
      </c>
      <c r="M221" s="373">
        <v>16</v>
      </c>
      <c r="N221" s="2931">
        <v>140</v>
      </c>
      <c r="O221" s="2931">
        <v>200</v>
      </c>
      <c r="P221" s="2931">
        <v>280</v>
      </c>
      <c r="Q221" s="373">
        <v>350</v>
      </c>
      <c r="R221" s="2931">
        <v>10</v>
      </c>
      <c r="S221" s="2931">
        <v>10</v>
      </c>
      <c r="T221" s="2931">
        <v>15</v>
      </c>
      <c r="U221" s="373">
        <v>20</v>
      </c>
      <c r="V221" s="2926" t="s">
        <v>4079</v>
      </c>
      <c r="W221" s="2926" t="s">
        <v>4080</v>
      </c>
      <c r="X221" s="2926" t="s">
        <v>4081</v>
      </c>
      <c r="Y221" s="2926" t="s">
        <v>4082</v>
      </c>
      <c r="Z221" s="2926" t="s">
        <v>4083</v>
      </c>
      <c r="AA221" s="371"/>
    </row>
    <row r="222" spans="1:27" ht="12.75" customHeight="1" x14ac:dyDescent="0.2">
      <c r="A222" s="6418"/>
      <c r="B222" s="251" t="str">
        <f t="shared" si="3"/>
        <v>Agua70</v>
      </c>
      <c r="D222" s="272" t="s">
        <v>9836</v>
      </c>
      <c r="E222" s="2931" t="s">
        <v>1605</v>
      </c>
      <c r="F222" s="2931">
        <v>70</v>
      </c>
      <c r="G222" s="2934" t="s">
        <v>2087</v>
      </c>
      <c r="H222" s="2934" t="s">
        <v>1234</v>
      </c>
      <c r="I222" s="376" t="s">
        <v>1304</v>
      </c>
      <c r="J222" s="2931">
        <v>10</v>
      </c>
      <c r="K222" s="2931">
        <v>12</v>
      </c>
      <c r="L222" s="2931">
        <v>14</v>
      </c>
      <c r="M222" s="373">
        <v>16</v>
      </c>
      <c r="N222" s="2931">
        <v>200</v>
      </c>
      <c r="O222" s="2931">
        <v>300</v>
      </c>
      <c r="P222" s="2931">
        <v>400</v>
      </c>
      <c r="Q222" s="373">
        <v>500</v>
      </c>
      <c r="R222" s="2931">
        <v>40</v>
      </c>
      <c r="S222" s="2931">
        <v>60</v>
      </c>
      <c r="T222" s="2931">
        <v>80</v>
      </c>
      <c r="U222" s="373">
        <v>100</v>
      </c>
      <c r="V222" s="2926" t="s">
        <v>4084</v>
      </c>
      <c r="W222" s="2926" t="s">
        <v>4085</v>
      </c>
      <c r="X222" s="2926" t="s">
        <v>4086</v>
      </c>
      <c r="Y222" s="2926" t="s">
        <v>4087</v>
      </c>
      <c r="Z222" s="2926" t="s">
        <v>4088</v>
      </c>
      <c r="AA222" s="371"/>
    </row>
    <row r="223" spans="1:27" ht="12.75" customHeight="1" x14ac:dyDescent="0.2">
      <c r="A223" s="6418"/>
      <c r="B223" s="251" t="str">
        <f t="shared" si="3"/>
        <v>Agua72</v>
      </c>
      <c r="D223" s="272" t="s">
        <v>3069</v>
      </c>
      <c r="E223" s="2931" t="s">
        <v>1605</v>
      </c>
      <c r="F223" s="2931">
        <v>72</v>
      </c>
      <c r="G223" s="2934" t="s">
        <v>1381</v>
      </c>
      <c r="H223" s="2934" t="s">
        <v>1234</v>
      </c>
      <c r="I223" s="376" t="s">
        <v>1304</v>
      </c>
      <c r="J223" s="2931">
        <v>10</v>
      </c>
      <c r="K223" s="2931">
        <v>12</v>
      </c>
      <c r="L223" s="2931">
        <v>15</v>
      </c>
      <c r="M223" s="373">
        <v>17</v>
      </c>
      <c r="N223" s="2931">
        <v>250</v>
      </c>
      <c r="O223" s="2931">
        <v>350</v>
      </c>
      <c r="P223" s="2931">
        <v>450</v>
      </c>
      <c r="Q223" s="373">
        <v>550</v>
      </c>
      <c r="R223" s="2931" t="s">
        <v>1381</v>
      </c>
      <c r="S223" s="2931" t="s">
        <v>1381</v>
      </c>
      <c r="T223" s="2931" t="s">
        <v>1381</v>
      </c>
      <c r="U223" s="373" t="s">
        <v>1381</v>
      </c>
      <c r="V223" s="2926" t="s">
        <v>4089</v>
      </c>
      <c r="W223" s="2926" t="s">
        <v>4090</v>
      </c>
      <c r="X223" s="2926" t="s">
        <v>4091</v>
      </c>
      <c r="Y223" s="2926" t="s">
        <v>4092</v>
      </c>
      <c r="Z223" s="2926" t="s">
        <v>4093</v>
      </c>
      <c r="AA223" s="371"/>
    </row>
    <row r="224" spans="1:27" ht="12.75" customHeight="1" x14ac:dyDescent="0.2">
      <c r="A224" s="6418"/>
      <c r="B224" s="251" t="str">
        <f t="shared" si="3"/>
        <v>Agua76</v>
      </c>
      <c r="D224" s="272" t="s">
        <v>9837</v>
      </c>
      <c r="E224" s="2931" t="s">
        <v>1605</v>
      </c>
      <c r="F224" s="2931">
        <v>76</v>
      </c>
      <c r="G224" s="2934" t="s">
        <v>1381</v>
      </c>
      <c r="H224" s="2934" t="s">
        <v>3209</v>
      </c>
      <c r="I224" s="376" t="s">
        <v>1304</v>
      </c>
      <c r="J224" s="2931">
        <v>10</v>
      </c>
      <c r="K224" s="2931">
        <v>12</v>
      </c>
      <c r="L224" s="2931">
        <v>14</v>
      </c>
      <c r="M224" s="373">
        <v>16</v>
      </c>
      <c r="N224" s="2931">
        <v>200</v>
      </c>
      <c r="O224" s="2931">
        <v>280</v>
      </c>
      <c r="P224" s="2931">
        <v>320</v>
      </c>
      <c r="Q224" s="373">
        <v>400</v>
      </c>
      <c r="R224" s="2931">
        <v>20</v>
      </c>
      <c r="S224" s="2931">
        <v>30</v>
      </c>
      <c r="T224" s="2931">
        <v>35</v>
      </c>
      <c r="U224" s="373">
        <v>40</v>
      </c>
      <c r="V224" s="2926" t="s">
        <v>4094</v>
      </c>
      <c r="W224" s="2926" t="s">
        <v>4095</v>
      </c>
      <c r="X224" s="2926" t="s">
        <v>4096</v>
      </c>
      <c r="Y224" s="2926" t="s">
        <v>4097</v>
      </c>
      <c r="Z224" s="2926" t="s">
        <v>4098</v>
      </c>
      <c r="AA224" s="371"/>
    </row>
    <row r="225" spans="1:27" ht="12.75" customHeight="1" x14ac:dyDescent="0.2">
      <c r="A225" s="6418"/>
      <c r="B225" s="251" t="str">
        <f t="shared" si="3"/>
        <v>Agua80</v>
      </c>
      <c r="D225" s="272" t="s">
        <v>9838</v>
      </c>
      <c r="E225" s="2931" t="s">
        <v>1605</v>
      </c>
      <c r="F225" s="2931">
        <v>80</v>
      </c>
      <c r="G225" s="2934" t="s">
        <v>1381</v>
      </c>
      <c r="H225" s="2934" t="s">
        <v>3209</v>
      </c>
      <c r="I225" s="376" t="s">
        <v>1304</v>
      </c>
      <c r="J225" s="2931">
        <v>10</v>
      </c>
      <c r="K225" s="2931">
        <v>12</v>
      </c>
      <c r="L225" s="2931">
        <v>14</v>
      </c>
      <c r="M225" s="373">
        <v>16</v>
      </c>
      <c r="N225" s="2931">
        <v>200</v>
      </c>
      <c r="O225" s="2931">
        <v>320</v>
      </c>
      <c r="P225" s="2931">
        <v>450</v>
      </c>
      <c r="Q225" s="373">
        <v>600</v>
      </c>
      <c r="R225" s="2931">
        <v>20</v>
      </c>
      <c r="S225" s="2931">
        <v>25</v>
      </c>
      <c r="T225" s="2931">
        <v>30</v>
      </c>
      <c r="U225" s="373">
        <v>35</v>
      </c>
      <c r="V225" s="2926" t="s">
        <v>4099</v>
      </c>
      <c r="W225" s="2926" t="s">
        <v>4100</v>
      </c>
      <c r="X225" s="2926" t="s">
        <v>4101</v>
      </c>
      <c r="Y225" s="2926" t="s">
        <v>4102</v>
      </c>
      <c r="Z225" s="2926" t="s">
        <v>4103</v>
      </c>
      <c r="AA225" s="371"/>
    </row>
    <row r="226" spans="1:27" ht="12.75" customHeight="1" x14ac:dyDescent="0.2">
      <c r="A226" s="6418"/>
      <c r="B226" s="251" t="str">
        <f t="shared" si="3"/>
        <v>Agua82</v>
      </c>
      <c r="D226" s="272" t="s">
        <v>9839</v>
      </c>
      <c r="E226" s="2931" t="s">
        <v>1605</v>
      </c>
      <c r="F226" s="2931">
        <v>82</v>
      </c>
      <c r="G226" s="2934" t="s">
        <v>2087</v>
      </c>
      <c r="H226" s="2934" t="s">
        <v>1234</v>
      </c>
      <c r="I226" s="376" t="s">
        <v>1304</v>
      </c>
      <c r="J226" s="2931">
        <v>10</v>
      </c>
      <c r="K226" s="2931">
        <v>12</v>
      </c>
      <c r="L226" s="2931">
        <v>14</v>
      </c>
      <c r="M226" s="373">
        <v>16</v>
      </c>
      <c r="N226" s="2931">
        <v>250</v>
      </c>
      <c r="O226" s="2931">
        <v>350</v>
      </c>
      <c r="P226" s="2931">
        <v>500</v>
      </c>
      <c r="Q226" s="373">
        <v>700</v>
      </c>
      <c r="R226" s="2931">
        <v>50</v>
      </c>
      <c r="S226" s="2931">
        <v>70</v>
      </c>
      <c r="T226" s="2931">
        <v>100</v>
      </c>
      <c r="U226" s="373">
        <v>140</v>
      </c>
      <c r="V226" s="2926" t="s">
        <v>3354</v>
      </c>
      <c r="W226" s="2926" t="s">
        <v>3499</v>
      </c>
      <c r="X226" s="2926" t="s">
        <v>3356</v>
      </c>
      <c r="Y226" s="2926" t="s">
        <v>3357</v>
      </c>
      <c r="Z226" s="2926" t="s">
        <v>4104</v>
      </c>
      <c r="AA226" s="371"/>
    </row>
    <row r="227" spans="1:27" ht="12.75" customHeight="1" x14ac:dyDescent="0.2">
      <c r="A227" s="6418"/>
      <c r="B227" s="251" t="str">
        <f t="shared" si="3"/>
        <v>Agua86</v>
      </c>
      <c r="D227" s="272" t="s">
        <v>9840</v>
      </c>
      <c r="E227" s="2931" t="s">
        <v>1605</v>
      </c>
      <c r="F227" s="2931">
        <v>86</v>
      </c>
      <c r="G227" s="2934" t="s">
        <v>2087</v>
      </c>
      <c r="H227" s="2934" t="s">
        <v>1234</v>
      </c>
      <c r="I227" s="376" t="s">
        <v>1305</v>
      </c>
      <c r="J227" s="2931">
        <v>9</v>
      </c>
      <c r="K227" s="2931">
        <v>12</v>
      </c>
      <c r="L227" s="2931">
        <v>15</v>
      </c>
      <c r="M227" s="373">
        <v>18</v>
      </c>
      <c r="N227" s="2931">
        <v>250</v>
      </c>
      <c r="O227" s="2931">
        <v>400</v>
      </c>
      <c r="P227" s="2931">
        <v>550</v>
      </c>
      <c r="Q227" s="373">
        <v>800</v>
      </c>
      <c r="R227" s="2931">
        <v>50</v>
      </c>
      <c r="S227" s="2931">
        <v>75</v>
      </c>
      <c r="T227" s="2931">
        <v>90</v>
      </c>
      <c r="U227" s="373">
        <v>100</v>
      </c>
      <c r="V227" s="2926" t="s">
        <v>4105</v>
      </c>
      <c r="W227" s="2926" t="s">
        <v>4106</v>
      </c>
      <c r="X227" s="2926" t="s">
        <v>4107</v>
      </c>
      <c r="Y227" s="2926" t="s">
        <v>4108</v>
      </c>
      <c r="Z227" s="2926" t="s">
        <v>4109</v>
      </c>
      <c r="AA227" s="371"/>
    </row>
    <row r="228" spans="1:27" ht="12.75" customHeight="1" x14ac:dyDescent="0.2">
      <c r="A228" s="6418"/>
      <c r="B228" s="251" t="str">
        <f t="shared" si="3"/>
        <v>Agua90</v>
      </c>
      <c r="D228" s="272" t="s">
        <v>9841</v>
      </c>
      <c r="E228" s="2931" t="s">
        <v>1605</v>
      </c>
      <c r="F228" s="2931">
        <v>90</v>
      </c>
      <c r="G228" s="2934" t="s">
        <v>2087</v>
      </c>
      <c r="H228" s="2934" t="s">
        <v>1234</v>
      </c>
      <c r="I228" s="376" t="s">
        <v>1304</v>
      </c>
      <c r="J228" s="2931">
        <v>9</v>
      </c>
      <c r="K228" s="2931">
        <v>12</v>
      </c>
      <c r="L228" s="2931">
        <v>15</v>
      </c>
      <c r="M228" s="373">
        <v>17</v>
      </c>
      <c r="N228" s="2931">
        <v>300</v>
      </c>
      <c r="O228" s="2931">
        <v>480</v>
      </c>
      <c r="P228" s="2931">
        <v>600</v>
      </c>
      <c r="Q228" s="373">
        <v>800</v>
      </c>
      <c r="R228" s="2931">
        <v>30</v>
      </c>
      <c r="S228" s="2931">
        <v>50</v>
      </c>
      <c r="T228" s="2931">
        <v>60</v>
      </c>
      <c r="U228" s="373">
        <v>70</v>
      </c>
      <c r="V228" s="2926" t="s">
        <v>4110</v>
      </c>
      <c r="W228" s="2926" t="s">
        <v>4111</v>
      </c>
      <c r="X228" s="2926" t="s">
        <v>4112</v>
      </c>
      <c r="Y228" s="2926" t="s">
        <v>4113</v>
      </c>
      <c r="Z228" s="2926" t="s">
        <v>4114</v>
      </c>
      <c r="AA228" s="371"/>
    </row>
    <row r="229" spans="1:27" ht="12.75" customHeight="1" x14ac:dyDescent="0.2">
      <c r="A229" s="6418"/>
      <c r="B229" s="251" t="str">
        <f t="shared" si="3"/>
        <v>Agua92</v>
      </c>
      <c r="D229" s="272" t="s">
        <v>9842</v>
      </c>
      <c r="E229" s="2931" t="s">
        <v>1605</v>
      </c>
      <c r="F229" s="2931">
        <v>92</v>
      </c>
      <c r="G229" s="2934" t="s">
        <v>2087</v>
      </c>
      <c r="H229" s="2934" t="s">
        <v>3209</v>
      </c>
      <c r="I229" s="376" t="s">
        <v>1304</v>
      </c>
      <c r="J229" s="2931">
        <v>10</v>
      </c>
      <c r="K229" s="2931">
        <v>12</v>
      </c>
      <c r="L229" s="2931">
        <v>14</v>
      </c>
      <c r="M229" s="373">
        <v>16</v>
      </c>
      <c r="N229" s="2931">
        <v>300</v>
      </c>
      <c r="O229" s="2931">
        <v>450</v>
      </c>
      <c r="P229" s="2931">
        <v>600</v>
      </c>
      <c r="Q229" s="373">
        <v>1000</v>
      </c>
      <c r="R229" s="2931">
        <v>30</v>
      </c>
      <c r="S229" s="2931">
        <v>45</v>
      </c>
      <c r="T229" s="2931">
        <v>60</v>
      </c>
      <c r="U229" s="373">
        <v>100</v>
      </c>
      <c r="V229" s="2926" t="s">
        <v>4115</v>
      </c>
      <c r="W229" s="2926" t="s">
        <v>4116</v>
      </c>
      <c r="X229" s="2926" t="s">
        <v>4117</v>
      </c>
      <c r="Y229" s="2926" t="s">
        <v>4118</v>
      </c>
      <c r="Z229" s="2926" t="s">
        <v>4119</v>
      </c>
      <c r="AA229" s="371"/>
    </row>
    <row r="230" spans="1:27" ht="12.75" customHeight="1" x14ac:dyDescent="0.2">
      <c r="A230" s="6418"/>
      <c r="B230" s="251" t="str">
        <f t="shared" si="3"/>
        <v>Agua96</v>
      </c>
      <c r="D230" s="272" t="s">
        <v>9843</v>
      </c>
      <c r="E230" s="2931" t="s">
        <v>1605</v>
      </c>
      <c r="F230" s="2931">
        <v>96</v>
      </c>
      <c r="G230" s="2934" t="s">
        <v>2087</v>
      </c>
      <c r="H230" s="2934" t="s">
        <v>3209</v>
      </c>
      <c r="I230" s="376" t="s">
        <v>1304</v>
      </c>
      <c r="J230" s="2931">
        <v>10</v>
      </c>
      <c r="K230" s="2931">
        <v>12</v>
      </c>
      <c r="L230" s="2931">
        <v>15</v>
      </c>
      <c r="M230" s="373">
        <v>18</v>
      </c>
      <c r="N230" s="2931">
        <v>300</v>
      </c>
      <c r="O230" s="2931">
        <v>450</v>
      </c>
      <c r="P230" s="2931">
        <v>600</v>
      </c>
      <c r="Q230" s="373">
        <v>1000</v>
      </c>
      <c r="R230" s="2931">
        <v>30</v>
      </c>
      <c r="S230" s="2931">
        <v>45</v>
      </c>
      <c r="T230" s="2931">
        <v>60</v>
      </c>
      <c r="U230" s="373">
        <v>100</v>
      </c>
      <c r="V230" s="2926" t="s">
        <v>4115</v>
      </c>
      <c r="W230" s="2926" t="s">
        <v>4116</v>
      </c>
      <c r="X230" s="2926" t="s">
        <v>4117</v>
      </c>
      <c r="Y230" s="2926" t="s">
        <v>4120</v>
      </c>
      <c r="Z230" s="2926" t="s">
        <v>4121</v>
      </c>
      <c r="AA230" s="371"/>
    </row>
    <row r="231" spans="1:27" ht="12.75" customHeight="1" x14ac:dyDescent="0.2">
      <c r="A231" s="6418"/>
      <c r="B231" s="251" t="str">
        <f t="shared" si="3"/>
        <v>Agua100</v>
      </c>
      <c r="D231" s="272" t="s">
        <v>9844</v>
      </c>
      <c r="E231" s="2931" t="s">
        <v>1605</v>
      </c>
      <c r="F231" s="2931">
        <v>100</v>
      </c>
      <c r="G231" s="2934" t="s">
        <v>2087</v>
      </c>
      <c r="H231" s="2934" t="s">
        <v>3209</v>
      </c>
      <c r="I231" s="376" t="s">
        <v>1304</v>
      </c>
      <c r="J231" s="2931">
        <v>12</v>
      </c>
      <c r="K231" s="2931">
        <v>15</v>
      </c>
      <c r="L231" s="2931">
        <v>17</v>
      </c>
      <c r="M231" s="373">
        <v>20</v>
      </c>
      <c r="N231" s="2931">
        <v>450</v>
      </c>
      <c r="O231" s="2931">
        <v>800</v>
      </c>
      <c r="P231" s="2931">
        <v>1200</v>
      </c>
      <c r="Q231" s="373">
        <v>1600</v>
      </c>
      <c r="R231" s="2931">
        <v>90</v>
      </c>
      <c r="S231" s="2931">
        <v>115</v>
      </c>
      <c r="T231" s="2931">
        <v>130</v>
      </c>
      <c r="U231" s="373">
        <v>145</v>
      </c>
      <c r="V231" s="2926" t="s">
        <v>3485</v>
      </c>
      <c r="W231" s="2926" t="s">
        <v>4068</v>
      </c>
      <c r="X231" s="2926" t="s">
        <v>3322</v>
      </c>
      <c r="Y231" s="2926" t="s">
        <v>3323</v>
      </c>
      <c r="Z231" s="2926" t="s">
        <v>4122</v>
      </c>
      <c r="AA231" s="371"/>
    </row>
    <row r="232" spans="1:27" ht="12.75" customHeight="1" x14ac:dyDescent="0.2">
      <c r="A232" s="6418"/>
      <c r="B232" s="251" t="str">
        <f t="shared" si="3"/>
        <v/>
      </c>
      <c r="D232" s="272" t="s">
        <v>304</v>
      </c>
      <c r="E232" s="2931"/>
      <c r="F232" s="2931"/>
      <c r="G232" s="2934"/>
      <c r="H232" s="2934"/>
      <c r="I232" s="376"/>
      <c r="J232" s="2931"/>
      <c r="K232" s="2931"/>
      <c r="L232" s="2931"/>
      <c r="M232" s="373"/>
      <c r="N232" s="2931"/>
      <c r="O232" s="2931"/>
      <c r="P232" s="2931"/>
      <c r="Q232" s="373"/>
      <c r="R232" s="2931"/>
      <c r="S232" s="2931"/>
      <c r="T232" s="2931"/>
      <c r="U232" s="373"/>
      <c r="V232" s="2926"/>
      <c r="W232" s="2926"/>
      <c r="X232" s="2926"/>
      <c r="Y232" s="2926"/>
      <c r="Z232" s="2926"/>
      <c r="AA232" s="371"/>
    </row>
    <row r="233" spans="1:27" ht="12.75" customHeight="1" x14ac:dyDescent="0.2">
      <c r="A233" s="6418"/>
      <c r="B233" s="251" t="str">
        <f t="shared" si="3"/>
        <v>Fuego2</v>
      </c>
      <c r="D233" s="272" t="s">
        <v>151</v>
      </c>
      <c r="E233" s="2931" t="s">
        <v>1609</v>
      </c>
      <c r="F233" s="2931">
        <v>2</v>
      </c>
      <c r="G233" s="2934" t="s">
        <v>2087</v>
      </c>
      <c r="H233" s="2934" t="s">
        <v>1234</v>
      </c>
      <c r="I233" s="376" t="s">
        <v>1304</v>
      </c>
      <c r="J233" s="2931">
        <v>5</v>
      </c>
      <c r="K233" s="2931">
        <v>8</v>
      </c>
      <c r="L233" s="2931">
        <v>10</v>
      </c>
      <c r="M233" s="373">
        <v>12</v>
      </c>
      <c r="N233" s="2931">
        <v>30</v>
      </c>
      <c r="O233" s="2931">
        <v>80</v>
      </c>
      <c r="P233" s="2931">
        <v>100</v>
      </c>
      <c r="Q233" s="373">
        <v>120</v>
      </c>
      <c r="R233" s="2931">
        <v>5</v>
      </c>
      <c r="S233" s="2931">
        <v>10</v>
      </c>
      <c r="T233" s="2931">
        <v>10</v>
      </c>
      <c r="U233" s="373">
        <v>15</v>
      </c>
      <c r="V233" s="2926" t="s">
        <v>4123</v>
      </c>
      <c r="W233" s="2926" t="s">
        <v>4124</v>
      </c>
      <c r="X233" s="2926" t="s">
        <v>4125</v>
      </c>
      <c r="Y233" s="2926" t="s">
        <v>4126</v>
      </c>
      <c r="Z233" s="2926" t="s">
        <v>4127</v>
      </c>
      <c r="AA233" s="371"/>
    </row>
    <row r="234" spans="1:27" ht="12.75" customHeight="1" x14ac:dyDescent="0.2">
      <c r="A234" s="6418"/>
      <c r="B234" s="251" t="str">
        <f t="shared" si="3"/>
        <v>Fuego6</v>
      </c>
      <c r="D234" s="272" t="s">
        <v>152</v>
      </c>
      <c r="E234" s="2931" t="s">
        <v>1609</v>
      </c>
      <c r="F234" s="2931">
        <v>6</v>
      </c>
      <c r="G234" s="2934" t="s">
        <v>1381</v>
      </c>
      <c r="H234" s="2934" t="s">
        <v>1234</v>
      </c>
      <c r="I234" s="376" t="s">
        <v>1304</v>
      </c>
      <c r="J234" s="2931">
        <v>5</v>
      </c>
      <c r="K234" s="2931">
        <v>8</v>
      </c>
      <c r="L234" s="2931">
        <v>10</v>
      </c>
      <c r="M234" s="373">
        <v>13</v>
      </c>
      <c r="N234" s="2931">
        <v>30</v>
      </c>
      <c r="O234" s="2931">
        <v>80</v>
      </c>
      <c r="P234" s="2931">
        <v>120</v>
      </c>
      <c r="Q234" s="373">
        <v>200</v>
      </c>
      <c r="R234" s="2931" t="s">
        <v>1381</v>
      </c>
      <c r="S234" s="2931" t="s">
        <v>1381</v>
      </c>
      <c r="T234" s="2931" t="s">
        <v>1381</v>
      </c>
      <c r="U234" s="373" t="s">
        <v>1381</v>
      </c>
      <c r="V234" s="2926" t="s">
        <v>4128</v>
      </c>
      <c r="W234" s="2926" t="s">
        <v>4129</v>
      </c>
      <c r="X234" s="2926" t="s">
        <v>4130</v>
      </c>
      <c r="Y234" s="2926" t="s">
        <v>4131</v>
      </c>
      <c r="Z234" s="2926" t="s">
        <v>4132</v>
      </c>
      <c r="AA234" s="371"/>
    </row>
    <row r="235" spans="1:27" ht="12.75" customHeight="1" x14ac:dyDescent="0.2">
      <c r="A235" s="6418"/>
      <c r="B235" s="251" t="str">
        <f t="shared" si="3"/>
        <v>Fuego10</v>
      </c>
      <c r="D235" s="272" t="s">
        <v>9845</v>
      </c>
      <c r="E235" s="2931" t="s">
        <v>1609</v>
      </c>
      <c r="F235" s="2931">
        <v>10</v>
      </c>
      <c r="G235" s="2934" t="s">
        <v>2087</v>
      </c>
      <c r="H235" s="2934" t="s">
        <v>1234</v>
      </c>
      <c r="I235" s="376" t="s">
        <v>1304</v>
      </c>
      <c r="J235" s="2931">
        <v>6</v>
      </c>
      <c r="K235" s="2931">
        <v>8</v>
      </c>
      <c r="L235" s="2931">
        <v>10</v>
      </c>
      <c r="M235" s="373">
        <v>13</v>
      </c>
      <c r="N235" s="2931">
        <v>50</v>
      </c>
      <c r="O235" s="2931">
        <v>140</v>
      </c>
      <c r="P235" s="2931">
        <v>200</v>
      </c>
      <c r="Q235" s="373">
        <v>300</v>
      </c>
      <c r="R235" s="2931">
        <v>5</v>
      </c>
      <c r="S235" s="2931">
        <v>10</v>
      </c>
      <c r="T235" s="2931">
        <v>10</v>
      </c>
      <c r="U235" s="373">
        <v>15</v>
      </c>
      <c r="V235" s="2926" t="s">
        <v>4133</v>
      </c>
      <c r="W235" s="2926" t="s">
        <v>4134</v>
      </c>
      <c r="X235" s="2926" t="s">
        <v>10243</v>
      </c>
      <c r="Y235" s="2926" t="s">
        <v>10244</v>
      </c>
      <c r="Z235" s="2926" t="s">
        <v>4135</v>
      </c>
      <c r="AA235" s="371"/>
    </row>
    <row r="236" spans="1:27" ht="12.75" customHeight="1" x14ac:dyDescent="0.2">
      <c r="A236" s="6418"/>
      <c r="B236" s="251" t="str">
        <f t="shared" si="3"/>
        <v>Fuego12</v>
      </c>
      <c r="D236" s="272" t="s">
        <v>9846</v>
      </c>
      <c r="E236" s="2931" t="s">
        <v>1609</v>
      </c>
      <c r="F236" s="2931">
        <v>12</v>
      </c>
      <c r="G236" s="2934" t="s">
        <v>1381</v>
      </c>
      <c r="H236" s="2934" t="s">
        <v>1236</v>
      </c>
      <c r="I236" s="376" t="s">
        <v>1304</v>
      </c>
      <c r="J236" s="2931">
        <v>6</v>
      </c>
      <c r="K236" s="2931">
        <v>9</v>
      </c>
      <c r="L236" s="2931">
        <v>12</v>
      </c>
      <c r="M236" s="373">
        <v>15</v>
      </c>
      <c r="N236" s="2931">
        <v>60</v>
      </c>
      <c r="O236" s="2931">
        <v>100</v>
      </c>
      <c r="P236" s="2931">
        <v>140</v>
      </c>
      <c r="Q236" s="373">
        <v>200</v>
      </c>
      <c r="R236" s="2931">
        <v>10</v>
      </c>
      <c r="S236" s="2931">
        <v>10</v>
      </c>
      <c r="T236" s="2931">
        <v>15</v>
      </c>
      <c r="U236" s="373">
        <v>15</v>
      </c>
      <c r="V236" s="2926" t="s">
        <v>4136</v>
      </c>
      <c r="W236" s="2926" t="s">
        <v>4137</v>
      </c>
      <c r="X236" s="2926" t="s">
        <v>4138</v>
      </c>
      <c r="Y236" s="2926" t="s">
        <v>4139</v>
      </c>
      <c r="Z236" s="2926" t="s">
        <v>4140</v>
      </c>
      <c r="AA236" s="371"/>
    </row>
    <row r="237" spans="1:27" ht="12.75" customHeight="1" x14ac:dyDescent="0.2">
      <c r="A237" s="6418"/>
      <c r="B237" s="251" t="str">
        <f t="shared" si="3"/>
        <v>Fuego16</v>
      </c>
      <c r="D237" s="272" t="s">
        <v>9847</v>
      </c>
      <c r="E237" s="2931" t="s">
        <v>1609</v>
      </c>
      <c r="F237" s="2931">
        <v>16</v>
      </c>
      <c r="G237" s="2934" t="s">
        <v>1381</v>
      </c>
      <c r="H237" s="2934" t="s">
        <v>1232</v>
      </c>
      <c r="I237" s="376" t="s">
        <v>1304</v>
      </c>
      <c r="J237" s="2931">
        <v>6</v>
      </c>
      <c r="K237" s="2931">
        <v>9</v>
      </c>
      <c r="L237" s="2931">
        <v>12</v>
      </c>
      <c r="M237" s="373">
        <v>15</v>
      </c>
      <c r="N237" s="2931">
        <v>50</v>
      </c>
      <c r="O237" s="2931">
        <v>100</v>
      </c>
      <c r="P237" s="2931">
        <v>160</v>
      </c>
      <c r="Q237" s="373">
        <v>250</v>
      </c>
      <c r="R237" s="2931" t="s">
        <v>1381</v>
      </c>
      <c r="S237" s="2931" t="s">
        <v>1381</v>
      </c>
      <c r="T237" s="2931" t="s">
        <v>1381</v>
      </c>
      <c r="U237" s="373" t="s">
        <v>1381</v>
      </c>
      <c r="V237" s="2926" t="s">
        <v>4141</v>
      </c>
      <c r="W237" s="2926" t="s">
        <v>4142</v>
      </c>
      <c r="X237" s="2926" t="s">
        <v>4143</v>
      </c>
      <c r="Y237" s="2926" t="s">
        <v>4144</v>
      </c>
      <c r="Z237" s="2926" t="s">
        <v>4145</v>
      </c>
      <c r="AA237" s="371"/>
    </row>
    <row r="238" spans="1:27" ht="12.75" customHeight="1" x14ac:dyDescent="0.2">
      <c r="A238" s="6418"/>
      <c r="B238" s="251" t="str">
        <f t="shared" si="3"/>
        <v>Fuego20</v>
      </c>
      <c r="D238" s="272" t="s">
        <v>9848</v>
      </c>
      <c r="E238" s="2931" t="s">
        <v>1609</v>
      </c>
      <c r="F238" s="2931">
        <v>20</v>
      </c>
      <c r="G238" s="2934" t="s">
        <v>2087</v>
      </c>
      <c r="H238" s="2934" t="s">
        <v>1234</v>
      </c>
      <c r="I238" s="376" t="s">
        <v>1304</v>
      </c>
      <c r="J238" s="2931">
        <v>6</v>
      </c>
      <c r="K238" s="2931">
        <v>9</v>
      </c>
      <c r="L238" s="2931">
        <v>12</v>
      </c>
      <c r="M238" s="373">
        <v>15</v>
      </c>
      <c r="N238" s="2931">
        <v>50</v>
      </c>
      <c r="O238" s="2931">
        <v>80</v>
      </c>
      <c r="P238" s="2931">
        <v>120</v>
      </c>
      <c r="Q238" s="373">
        <v>180</v>
      </c>
      <c r="R238" s="2931">
        <v>5</v>
      </c>
      <c r="S238" s="2931">
        <v>10</v>
      </c>
      <c r="T238" s="2931">
        <v>15</v>
      </c>
      <c r="U238" s="373">
        <v>20</v>
      </c>
      <c r="V238" s="2926" t="s">
        <v>4146</v>
      </c>
      <c r="W238" s="2926" t="s">
        <v>4147</v>
      </c>
      <c r="X238" s="2926" t="s">
        <v>4148</v>
      </c>
      <c r="Y238" s="2926" t="s">
        <v>4149</v>
      </c>
      <c r="Z238" s="2926" t="s">
        <v>4150</v>
      </c>
      <c r="AA238" s="371"/>
    </row>
    <row r="239" spans="1:27" ht="12.75" customHeight="1" x14ac:dyDescent="0.2">
      <c r="A239" s="6418"/>
      <c r="B239" s="251" t="str">
        <f t="shared" si="3"/>
        <v>Fuego22</v>
      </c>
      <c r="D239" s="272" t="s">
        <v>9849</v>
      </c>
      <c r="E239" s="2931" t="s">
        <v>1609</v>
      </c>
      <c r="F239" s="2931">
        <v>22</v>
      </c>
      <c r="G239" s="2934" t="s">
        <v>1381</v>
      </c>
      <c r="H239" s="2934" t="s">
        <v>1564</v>
      </c>
      <c r="I239" s="376" t="s">
        <v>1304</v>
      </c>
      <c r="J239" s="2931">
        <v>6</v>
      </c>
      <c r="K239" s="2931">
        <v>9</v>
      </c>
      <c r="L239" s="2931">
        <v>12</v>
      </c>
      <c r="M239" s="373">
        <v>15</v>
      </c>
      <c r="N239" s="2931">
        <v>50</v>
      </c>
      <c r="O239" s="2931">
        <v>90</v>
      </c>
      <c r="P239" s="2931">
        <v>120</v>
      </c>
      <c r="Q239" s="373">
        <v>150</v>
      </c>
      <c r="R239" s="2931">
        <v>5</v>
      </c>
      <c r="S239" s="2931">
        <v>10</v>
      </c>
      <c r="T239" s="2931">
        <v>10</v>
      </c>
      <c r="U239" s="373">
        <v>15</v>
      </c>
      <c r="V239" s="2926" t="s">
        <v>4151</v>
      </c>
      <c r="W239" s="2926" t="s">
        <v>4152</v>
      </c>
      <c r="X239" s="2926" t="s">
        <v>4153</v>
      </c>
      <c r="Y239" s="2926" t="s">
        <v>4154</v>
      </c>
      <c r="Z239" s="2926" t="s">
        <v>4155</v>
      </c>
      <c r="AA239" s="371"/>
    </row>
    <row r="240" spans="1:27" ht="12.75" customHeight="1" x14ac:dyDescent="0.2">
      <c r="A240" s="6418"/>
      <c r="B240" s="251" t="str">
        <f t="shared" si="3"/>
        <v>Fuego26</v>
      </c>
      <c r="D240" s="272" t="s">
        <v>9850</v>
      </c>
      <c r="E240" s="2931" t="s">
        <v>1609</v>
      </c>
      <c r="F240" s="2931">
        <v>26</v>
      </c>
      <c r="G240" s="2934" t="s">
        <v>1381</v>
      </c>
      <c r="H240" s="2934" t="s">
        <v>1234</v>
      </c>
      <c r="I240" s="376" t="s">
        <v>1304</v>
      </c>
      <c r="J240" s="2931">
        <v>6</v>
      </c>
      <c r="K240" s="2931">
        <v>9</v>
      </c>
      <c r="L240" s="2931">
        <v>11</v>
      </c>
      <c r="M240" s="373">
        <v>14</v>
      </c>
      <c r="N240" s="2931">
        <v>50</v>
      </c>
      <c r="O240" s="2931">
        <v>80</v>
      </c>
      <c r="P240" s="2931">
        <v>100</v>
      </c>
      <c r="Q240" s="373">
        <v>120</v>
      </c>
      <c r="R240" s="2931">
        <v>5</v>
      </c>
      <c r="S240" s="2931">
        <v>10</v>
      </c>
      <c r="T240" s="2931">
        <v>10</v>
      </c>
      <c r="U240" s="373">
        <v>15</v>
      </c>
      <c r="V240" s="2926" t="s">
        <v>4156</v>
      </c>
      <c r="W240" s="2926" t="s">
        <v>4157</v>
      </c>
      <c r="X240" s="2926" t="s">
        <v>4158</v>
      </c>
      <c r="Y240" s="2926" t="s">
        <v>4159</v>
      </c>
      <c r="Z240" s="2926" t="s">
        <v>4160</v>
      </c>
      <c r="AA240" s="371"/>
    </row>
    <row r="241" spans="1:27" ht="12.75" customHeight="1" x14ac:dyDescent="0.2">
      <c r="A241" s="6418"/>
      <c r="B241" s="251" t="str">
        <f t="shared" si="3"/>
        <v>Fuego30</v>
      </c>
      <c r="D241" s="272" t="s">
        <v>9851</v>
      </c>
      <c r="E241" s="2931" t="s">
        <v>1609</v>
      </c>
      <c r="F241" s="2931">
        <v>30</v>
      </c>
      <c r="G241" s="2934" t="s">
        <v>1381</v>
      </c>
      <c r="H241" s="2934" t="s">
        <v>1232</v>
      </c>
      <c r="I241" s="376" t="s">
        <v>1304</v>
      </c>
      <c r="J241" s="2931">
        <v>6</v>
      </c>
      <c r="K241" s="2931">
        <v>9</v>
      </c>
      <c r="L241" s="2931">
        <v>12</v>
      </c>
      <c r="M241" s="373">
        <v>15</v>
      </c>
      <c r="N241" s="2931">
        <v>60</v>
      </c>
      <c r="O241" s="2931">
        <v>90</v>
      </c>
      <c r="P241" s="2931">
        <v>120</v>
      </c>
      <c r="Q241" s="373">
        <v>150</v>
      </c>
      <c r="R241" s="2931" t="s">
        <v>1381</v>
      </c>
      <c r="S241" s="2931" t="s">
        <v>1381</v>
      </c>
      <c r="T241" s="2931" t="s">
        <v>1381</v>
      </c>
      <c r="U241" s="373" t="s">
        <v>1381</v>
      </c>
      <c r="V241" s="2926" t="s">
        <v>4161</v>
      </c>
      <c r="W241" s="2926" t="s">
        <v>4162</v>
      </c>
      <c r="X241" s="2926" t="s">
        <v>4163</v>
      </c>
      <c r="Y241" s="2926" t="s">
        <v>4164</v>
      </c>
      <c r="Z241" s="2926" t="s">
        <v>4165</v>
      </c>
      <c r="AA241" s="371"/>
    </row>
    <row r="242" spans="1:27" ht="12.75" customHeight="1" x14ac:dyDescent="0.2">
      <c r="A242" s="6418"/>
      <c r="B242" s="251" t="str">
        <f t="shared" si="3"/>
        <v>Fuego32</v>
      </c>
      <c r="D242" s="272" t="s">
        <v>9852</v>
      </c>
      <c r="E242" s="2931" t="s">
        <v>1609</v>
      </c>
      <c r="F242" s="2931">
        <v>32</v>
      </c>
      <c r="G242" s="2934" t="s">
        <v>1381</v>
      </c>
      <c r="H242" s="2934" t="s">
        <v>1234</v>
      </c>
      <c r="I242" s="376" t="s">
        <v>1304</v>
      </c>
      <c r="J242" s="2931">
        <v>6</v>
      </c>
      <c r="K242" s="2931">
        <v>10</v>
      </c>
      <c r="L242" s="2931">
        <v>13</v>
      </c>
      <c r="M242" s="373">
        <v>15</v>
      </c>
      <c r="N242" s="2931">
        <v>60</v>
      </c>
      <c r="O242" s="2931">
        <v>140</v>
      </c>
      <c r="P242" s="2931">
        <v>220</v>
      </c>
      <c r="Q242" s="373">
        <v>340</v>
      </c>
      <c r="R242" s="2931" t="s">
        <v>1381</v>
      </c>
      <c r="S242" s="2931" t="s">
        <v>1381</v>
      </c>
      <c r="T242" s="2931" t="s">
        <v>1381</v>
      </c>
      <c r="U242" s="373" t="s">
        <v>1381</v>
      </c>
      <c r="V242" s="2926" t="s">
        <v>4166</v>
      </c>
      <c r="W242" s="2926" t="s">
        <v>4167</v>
      </c>
      <c r="X242" s="2926" t="s">
        <v>4168</v>
      </c>
      <c r="Y242" s="2926" t="s">
        <v>4169</v>
      </c>
      <c r="Z242" s="2926" t="s">
        <v>4170</v>
      </c>
      <c r="AA242" s="371"/>
    </row>
    <row r="243" spans="1:27" ht="12.75" customHeight="1" x14ac:dyDescent="0.2">
      <c r="A243" s="6418"/>
      <c r="B243" s="251" t="str">
        <f t="shared" si="3"/>
        <v>Fuego36</v>
      </c>
      <c r="D243" s="272" t="s">
        <v>9853</v>
      </c>
      <c r="E243" s="2931" t="s">
        <v>1609</v>
      </c>
      <c r="F243" s="2931">
        <v>36</v>
      </c>
      <c r="G243" s="2934" t="s">
        <v>2087</v>
      </c>
      <c r="H243" s="2934" t="s">
        <v>1234</v>
      </c>
      <c r="I243" s="376" t="s">
        <v>1304</v>
      </c>
      <c r="J243" s="2931">
        <v>7</v>
      </c>
      <c r="K243" s="2931">
        <v>10</v>
      </c>
      <c r="L243" s="2931">
        <v>12</v>
      </c>
      <c r="M243" s="373">
        <v>15</v>
      </c>
      <c r="N243" s="2931">
        <v>60</v>
      </c>
      <c r="O243" s="2931">
        <v>140</v>
      </c>
      <c r="P243" s="2931">
        <v>240</v>
      </c>
      <c r="Q243" s="373">
        <v>300</v>
      </c>
      <c r="R243" s="2931">
        <v>15</v>
      </c>
      <c r="S243" s="2931">
        <v>40</v>
      </c>
      <c r="T243" s="2931">
        <v>50</v>
      </c>
      <c r="U243" s="373">
        <v>60</v>
      </c>
      <c r="V243" s="2926" t="s">
        <v>4171</v>
      </c>
      <c r="W243" s="2926" t="s">
        <v>4172</v>
      </c>
      <c r="X243" s="2926" t="s">
        <v>4173</v>
      </c>
      <c r="Y243" s="2926" t="s">
        <v>4174</v>
      </c>
      <c r="Z243" s="2926" t="s">
        <v>4175</v>
      </c>
      <c r="AA243" s="371"/>
    </row>
    <row r="244" spans="1:27" ht="12.75" customHeight="1" x14ac:dyDescent="0.2">
      <c r="A244" s="6418"/>
      <c r="B244" s="251" t="str">
        <f t="shared" si="3"/>
        <v>Fuego40</v>
      </c>
      <c r="D244" s="272" t="s">
        <v>9854</v>
      </c>
      <c r="E244" s="2931" t="s">
        <v>1609</v>
      </c>
      <c r="F244" s="2931">
        <v>40</v>
      </c>
      <c r="G244" s="2934" t="s">
        <v>2087</v>
      </c>
      <c r="H244" s="2934" t="s">
        <v>1234</v>
      </c>
      <c r="I244" s="376" t="s">
        <v>1304</v>
      </c>
      <c r="J244" s="2931">
        <v>7</v>
      </c>
      <c r="K244" s="2931">
        <v>10</v>
      </c>
      <c r="L244" s="2931">
        <v>12</v>
      </c>
      <c r="M244" s="373">
        <v>15</v>
      </c>
      <c r="N244" s="2931">
        <v>80</v>
      </c>
      <c r="O244" s="2931">
        <v>160</v>
      </c>
      <c r="P244" s="2931">
        <v>240</v>
      </c>
      <c r="Q244" s="373">
        <v>320</v>
      </c>
      <c r="R244" s="2931">
        <v>20</v>
      </c>
      <c r="S244" s="2931">
        <v>40</v>
      </c>
      <c r="T244" s="2931">
        <v>50</v>
      </c>
      <c r="U244" s="373">
        <v>60</v>
      </c>
      <c r="V244" s="2926" t="s">
        <v>4176</v>
      </c>
      <c r="W244" s="2926" t="s">
        <v>4177</v>
      </c>
      <c r="X244" s="2926" t="s">
        <v>4178</v>
      </c>
      <c r="Y244" s="2926" t="s">
        <v>4179</v>
      </c>
      <c r="Z244" s="2926" t="s">
        <v>4180</v>
      </c>
      <c r="AA244" s="371"/>
    </row>
    <row r="245" spans="1:27" ht="12.75" customHeight="1" x14ac:dyDescent="0.2">
      <c r="A245" s="6418"/>
      <c r="B245" s="251" t="str">
        <f t="shared" si="3"/>
        <v>Fuego42</v>
      </c>
      <c r="D245" s="272" t="s">
        <v>9855</v>
      </c>
      <c r="E245" s="2931" t="s">
        <v>1609</v>
      </c>
      <c r="F245" s="2931">
        <v>42</v>
      </c>
      <c r="G245" s="2934" t="s">
        <v>1381</v>
      </c>
      <c r="H245" s="2934" t="s">
        <v>1234</v>
      </c>
      <c r="I245" s="376" t="s">
        <v>1305</v>
      </c>
      <c r="J245" s="2931">
        <v>6</v>
      </c>
      <c r="K245" s="2931">
        <v>9</v>
      </c>
      <c r="L245" s="2931">
        <v>12</v>
      </c>
      <c r="M245" s="373">
        <v>15</v>
      </c>
      <c r="N245" s="2931">
        <v>60</v>
      </c>
      <c r="O245" s="2931">
        <v>90</v>
      </c>
      <c r="P245" s="2931">
        <v>120</v>
      </c>
      <c r="Q245" s="373">
        <v>150</v>
      </c>
      <c r="R245" s="2931" t="s">
        <v>1381</v>
      </c>
      <c r="S245" s="2931" t="s">
        <v>1381</v>
      </c>
      <c r="T245" s="2931" t="s">
        <v>1381</v>
      </c>
      <c r="U245" s="373" t="s">
        <v>1381</v>
      </c>
      <c r="V245" s="2926" t="s">
        <v>4181</v>
      </c>
      <c r="W245" s="2926" t="s">
        <v>4182</v>
      </c>
      <c r="X245" s="2926" t="s">
        <v>4183</v>
      </c>
      <c r="Y245" s="2926" t="s">
        <v>4184</v>
      </c>
      <c r="Z245" s="2926" t="s">
        <v>4185</v>
      </c>
      <c r="AA245" s="371"/>
    </row>
    <row r="246" spans="1:27" ht="12.75" customHeight="1" x14ac:dyDescent="0.2">
      <c r="A246" s="6418"/>
      <c r="B246" s="251" t="str">
        <f t="shared" si="3"/>
        <v>Fuego46</v>
      </c>
      <c r="D246" s="272" t="s">
        <v>9856</v>
      </c>
      <c r="E246" s="2931" t="s">
        <v>1609</v>
      </c>
      <c r="F246" s="2931">
        <v>46</v>
      </c>
      <c r="G246" s="2934" t="s">
        <v>1381</v>
      </c>
      <c r="H246" s="2934" t="s">
        <v>1234</v>
      </c>
      <c r="I246" s="376" t="s">
        <v>1304</v>
      </c>
      <c r="J246" s="2931">
        <v>8</v>
      </c>
      <c r="K246" s="2931">
        <v>10</v>
      </c>
      <c r="L246" s="2931">
        <v>12</v>
      </c>
      <c r="M246" s="373">
        <v>14</v>
      </c>
      <c r="N246" s="2931">
        <v>80</v>
      </c>
      <c r="O246" s="2931">
        <v>120</v>
      </c>
      <c r="P246" s="2931">
        <v>180</v>
      </c>
      <c r="Q246" s="373">
        <v>240</v>
      </c>
      <c r="R246" s="2931" t="s">
        <v>1381</v>
      </c>
      <c r="S246" s="2931" t="s">
        <v>1381</v>
      </c>
      <c r="T246" s="2931" t="s">
        <v>1381</v>
      </c>
      <c r="U246" s="373" t="s">
        <v>1381</v>
      </c>
      <c r="V246" s="2926" t="s">
        <v>4186</v>
      </c>
      <c r="W246" s="2926" t="s">
        <v>4187</v>
      </c>
      <c r="X246" s="2926" t="s">
        <v>4188</v>
      </c>
      <c r="Y246" s="2926" t="s">
        <v>4189</v>
      </c>
      <c r="Z246" s="2926" t="s">
        <v>4190</v>
      </c>
      <c r="AA246" s="371"/>
    </row>
    <row r="247" spans="1:27" ht="12.75" customHeight="1" x14ac:dyDescent="0.2">
      <c r="A247" s="6418"/>
      <c r="B247" s="251" t="str">
        <f t="shared" si="3"/>
        <v>Fuego50</v>
      </c>
      <c r="D247" s="272" t="s">
        <v>9857</v>
      </c>
      <c r="E247" s="2931" t="s">
        <v>1609</v>
      </c>
      <c r="F247" s="2931">
        <v>50</v>
      </c>
      <c r="G247" s="2934" t="s">
        <v>1381</v>
      </c>
      <c r="H247" s="2934" t="s">
        <v>1234</v>
      </c>
      <c r="I247" s="376" t="s">
        <v>1304</v>
      </c>
      <c r="J247" s="2931">
        <v>8</v>
      </c>
      <c r="K247" s="2931">
        <v>10</v>
      </c>
      <c r="L247" s="2931">
        <v>12</v>
      </c>
      <c r="M247" s="373">
        <v>14</v>
      </c>
      <c r="N247" s="2931">
        <v>80</v>
      </c>
      <c r="O247" s="2931">
        <v>120</v>
      </c>
      <c r="P247" s="2931">
        <v>180</v>
      </c>
      <c r="Q247" s="373">
        <v>240</v>
      </c>
      <c r="R247" s="2931">
        <v>10</v>
      </c>
      <c r="S247" s="2931">
        <v>10</v>
      </c>
      <c r="T247" s="2931">
        <v>15</v>
      </c>
      <c r="U247" s="373">
        <v>15</v>
      </c>
      <c r="V247" s="2926" t="s">
        <v>4191</v>
      </c>
      <c r="W247" s="2926" t="s">
        <v>4192</v>
      </c>
      <c r="X247" s="2926" t="s">
        <v>4193</v>
      </c>
      <c r="Y247" s="2926" t="s">
        <v>4194</v>
      </c>
      <c r="Z247" s="2926" t="s">
        <v>4195</v>
      </c>
      <c r="AA247" s="371"/>
    </row>
    <row r="248" spans="1:27" ht="12.75" customHeight="1" x14ac:dyDescent="0.2">
      <c r="A248" s="6418"/>
      <c r="B248" s="251" t="str">
        <f t="shared" si="3"/>
        <v>Fuego52</v>
      </c>
      <c r="D248" s="272" t="s">
        <v>9858</v>
      </c>
      <c r="E248" s="2931" t="s">
        <v>1609</v>
      </c>
      <c r="F248" s="2931">
        <v>52</v>
      </c>
      <c r="G248" s="2934" t="s">
        <v>1381</v>
      </c>
      <c r="H248" s="2934" t="s">
        <v>1234</v>
      </c>
      <c r="I248" s="376" t="s">
        <v>1304</v>
      </c>
      <c r="J248" s="2931">
        <v>8</v>
      </c>
      <c r="K248" s="2931">
        <v>11</v>
      </c>
      <c r="L248" s="2931">
        <v>12</v>
      </c>
      <c r="M248" s="373">
        <v>16</v>
      </c>
      <c r="N248" s="2931">
        <v>100</v>
      </c>
      <c r="O248" s="2931">
        <v>120</v>
      </c>
      <c r="P248" s="2931">
        <v>140</v>
      </c>
      <c r="Q248" s="373">
        <v>160</v>
      </c>
      <c r="R248" s="2931">
        <v>10</v>
      </c>
      <c r="S248" s="2931">
        <v>15</v>
      </c>
      <c r="T248" s="2931">
        <v>15</v>
      </c>
      <c r="U248" s="373">
        <v>20</v>
      </c>
      <c r="V248" s="2926" t="s">
        <v>3918</v>
      </c>
      <c r="W248" s="2926" t="s">
        <v>4196</v>
      </c>
      <c r="X248" s="2926" t="s">
        <v>4197</v>
      </c>
      <c r="Y248" s="2926" t="s">
        <v>4198</v>
      </c>
      <c r="Z248" s="2926" t="s">
        <v>4199</v>
      </c>
      <c r="AA248" s="371"/>
    </row>
    <row r="249" spans="1:27" ht="12.75" customHeight="1" x14ac:dyDescent="0.2">
      <c r="A249" s="6418"/>
      <c r="B249" s="251" t="str">
        <f t="shared" si="3"/>
        <v>Fuego56</v>
      </c>
      <c r="D249" s="272" t="s">
        <v>1652</v>
      </c>
      <c r="E249" s="2931" t="s">
        <v>1609</v>
      </c>
      <c r="F249" s="2931">
        <v>56</v>
      </c>
      <c r="G249" s="2934" t="s">
        <v>2087</v>
      </c>
      <c r="H249" s="2934" t="s">
        <v>1234</v>
      </c>
      <c r="I249" s="376" t="s">
        <v>1304</v>
      </c>
      <c r="J249" s="2931">
        <v>6</v>
      </c>
      <c r="K249" s="2931">
        <v>9</v>
      </c>
      <c r="L249" s="2931">
        <v>13</v>
      </c>
      <c r="M249" s="373">
        <v>15</v>
      </c>
      <c r="N249" s="2931">
        <v>120</v>
      </c>
      <c r="O249" s="2931">
        <v>180</v>
      </c>
      <c r="P249" s="2931">
        <v>240</v>
      </c>
      <c r="Q249" s="373">
        <v>300</v>
      </c>
      <c r="R249" s="2931">
        <v>10</v>
      </c>
      <c r="S249" s="2931">
        <v>10</v>
      </c>
      <c r="T249" s="2931">
        <v>15</v>
      </c>
      <c r="U249" s="373">
        <v>15</v>
      </c>
      <c r="V249" s="2926" t="s">
        <v>4200</v>
      </c>
      <c r="W249" s="2926" t="s">
        <v>4201</v>
      </c>
      <c r="X249" s="2926" t="s">
        <v>4202</v>
      </c>
      <c r="Y249" s="2926" t="s">
        <v>4203</v>
      </c>
      <c r="Z249" s="2926" t="s">
        <v>4204</v>
      </c>
      <c r="AA249" s="371"/>
    </row>
    <row r="250" spans="1:27" ht="12.75" customHeight="1" x14ac:dyDescent="0.2">
      <c r="A250" s="6418"/>
      <c r="B250" s="251" t="str">
        <f t="shared" si="3"/>
        <v>Fuego60</v>
      </c>
      <c r="D250" s="272" t="s">
        <v>9859</v>
      </c>
      <c r="E250" s="2931" t="s">
        <v>1609</v>
      </c>
      <c r="F250" s="2931">
        <v>60</v>
      </c>
      <c r="G250" s="2934" t="s">
        <v>1381</v>
      </c>
      <c r="H250" s="2934" t="s">
        <v>1235</v>
      </c>
      <c r="I250" s="376" t="s">
        <v>1304</v>
      </c>
      <c r="J250" s="2931">
        <v>10</v>
      </c>
      <c r="K250" s="2931">
        <v>12</v>
      </c>
      <c r="L250" s="2931">
        <v>12</v>
      </c>
      <c r="M250" s="373">
        <v>16</v>
      </c>
      <c r="N250" s="2931">
        <v>100</v>
      </c>
      <c r="O250" s="2931">
        <v>150</v>
      </c>
      <c r="P250" s="2931">
        <v>200</v>
      </c>
      <c r="Q250" s="373">
        <v>260</v>
      </c>
      <c r="R250" s="2931">
        <v>10</v>
      </c>
      <c r="S250" s="2931">
        <v>15</v>
      </c>
      <c r="T250" s="2931">
        <v>15</v>
      </c>
      <c r="U250" s="373">
        <v>20</v>
      </c>
      <c r="V250" s="2926" t="s">
        <v>4205</v>
      </c>
      <c r="W250" s="2926" t="s">
        <v>4206</v>
      </c>
      <c r="X250" s="2926" t="s">
        <v>4207</v>
      </c>
      <c r="Y250" s="2926" t="s">
        <v>4208</v>
      </c>
      <c r="Z250" s="2926" t="s">
        <v>4209</v>
      </c>
      <c r="AA250" s="371"/>
    </row>
    <row r="251" spans="1:27" ht="12.75" customHeight="1" x14ac:dyDescent="0.2">
      <c r="A251" s="6418"/>
      <c r="B251" s="251" t="str">
        <f t="shared" si="3"/>
        <v>Fuego62</v>
      </c>
      <c r="D251" s="272" t="s">
        <v>9860</v>
      </c>
      <c r="E251" s="2931" t="s">
        <v>1609</v>
      </c>
      <c r="F251" s="2931">
        <v>62</v>
      </c>
      <c r="G251" s="2934" t="s">
        <v>1381</v>
      </c>
      <c r="H251" s="2934" t="s">
        <v>1233</v>
      </c>
      <c r="I251" s="376" t="s">
        <v>1304</v>
      </c>
      <c r="J251" s="2931">
        <v>6</v>
      </c>
      <c r="K251" s="2931">
        <v>9</v>
      </c>
      <c r="L251" s="2931">
        <v>14</v>
      </c>
      <c r="M251" s="373">
        <v>15</v>
      </c>
      <c r="N251" s="2931">
        <v>120</v>
      </c>
      <c r="O251" s="2931">
        <v>180</v>
      </c>
      <c r="P251" s="2931">
        <v>240</v>
      </c>
      <c r="Q251" s="373">
        <v>300</v>
      </c>
      <c r="R251" s="2931" t="s">
        <v>1381</v>
      </c>
      <c r="S251" s="2931" t="s">
        <v>1381</v>
      </c>
      <c r="T251" s="2931" t="s">
        <v>1381</v>
      </c>
      <c r="U251" s="373" t="s">
        <v>1381</v>
      </c>
      <c r="V251" s="2926" t="s">
        <v>4210</v>
      </c>
      <c r="W251" s="2926" t="s">
        <v>4211</v>
      </c>
      <c r="X251" s="2926" t="s">
        <v>4212</v>
      </c>
      <c r="Y251" s="2926" t="s">
        <v>4213</v>
      </c>
      <c r="Z251" s="2926" t="s">
        <v>4214</v>
      </c>
      <c r="AA251" s="371"/>
    </row>
    <row r="252" spans="1:27" ht="12.75" customHeight="1" x14ac:dyDescent="0.2">
      <c r="A252" s="6418"/>
      <c r="B252" s="251" t="str">
        <f t="shared" si="3"/>
        <v>Fuego66</v>
      </c>
      <c r="D252" s="272" t="s">
        <v>9861</v>
      </c>
      <c r="E252" s="2931" t="s">
        <v>1609</v>
      </c>
      <c r="F252" s="2931">
        <v>66</v>
      </c>
      <c r="G252" s="2934" t="s">
        <v>2087</v>
      </c>
      <c r="H252" s="2934" t="s">
        <v>1234</v>
      </c>
      <c r="I252" s="376" t="s">
        <v>1304</v>
      </c>
      <c r="J252" s="2931">
        <v>7</v>
      </c>
      <c r="K252" s="2931">
        <v>10</v>
      </c>
      <c r="L252" s="2931">
        <v>12</v>
      </c>
      <c r="M252" s="373">
        <v>15</v>
      </c>
      <c r="N252" s="2931">
        <v>120</v>
      </c>
      <c r="O252" s="2931">
        <v>180</v>
      </c>
      <c r="P252" s="2931">
        <v>240</v>
      </c>
      <c r="Q252" s="373">
        <v>300</v>
      </c>
      <c r="R252" s="2931">
        <v>10</v>
      </c>
      <c r="S252" s="2931">
        <v>10</v>
      </c>
      <c r="T252" s="2931">
        <v>15</v>
      </c>
      <c r="U252" s="373">
        <v>15</v>
      </c>
      <c r="V252" s="2926" t="s">
        <v>4215</v>
      </c>
      <c r="W252" s="2926" t="s">
        <v>4216</v>
      </c>
      <c r="X252" s="2926" t="s">
        <v>4217</v>
      </c>
      <c r="Y252" s="2926" t="s">
        <v>4218</v>
      </c>
      <c r="Z252" s="2926" t="s">
        <v>4219</v>
      </c>
      <c r="AA252" s="371"/>
    </row>
    <row r="253" spans="1:27" ht="12.75" customHeight="1" x14ac:dyDescent="0.2">
      <c r="A253" s="6418"/>
      <c r="B253" s="251" t="str">
        <f t="shared" si="3"/>
        <v>Fuego70</v>
      </c>
      <c r="D253" s="272" t="s">
        <v>9862</v>
      </c>
      <c r="E253" s="2931" t="s">
        <v>1609</v>
      </c>
      <c r="F253" s="2931">
        <v>70</v>
      </c>
      <c r="G253" s="2934" t="s">
        <v>1381</v>
      </c>
      <c r="H253" s="2934" t="s">
        <v>1233</v>
      </c>
      <c r="I253" s="376" t="s">
        <v>1304</v>
      </c>
      <c r="J253" s="2931">
        <v>9</v>
      </c>
      <c r="K253" s="2931">
        <v>11</v>
      </c>
      <c r="L253" s="2931">
        <v>13</v>
      </c>
      <c r="M253" s="373">
        <v>16</v>
      </c>
      <c r="N253" s="2931">
        <v>100</v>
      </c>
      <c r="O253" s="2931">
        <v>140</v>
      </c>
      <c r="P253" s="2931">
        <v>200</v>
      </c>
      <c r="Q253" s="373">
        <v>280</v>
      </c>
      <c r="R253" s="2931" t="s">
        <v>1381</v>
      </c>
      <c r="S253" s="2931" t="s">
        <v>1381</v>
      </c>
      <c r="T253" s="2931" t="s">
        <v>1381</v>
      </c>
      <c r="U253" s="373" t="s">
        <v>1381</v>
      </c>
      <c r="V253" s="2926" t="s">
        <v>4220</v>
      </c>
      <c r="W253" s="2926" t="s">
        <v>4221</v>
      </c>
      <c r="X253" s="2926" t="s">
        <v>4222</v>
      </c>
      <c r="Y253" s="2926" t="s">
        <v>4223</v>
      </c>
      <c r="Z253" s="2926" t="s">
        <v>4224</v>
      </c>
      <c r="AA253" s="371"/>
    </row>
    <row r="254" spans="1:27" ht="12.75" customHeight="1" x14ac:dyDescent="0.2">
      <c r="A254" s="6418"/>
      <c r="B254" s="251" t="str">
        <f t="shared" si="3"/>
        <v>Fuego72</v>
      </c>
      <c r="D254" s="272" t="s">
        <v>9863</v>
      </c>
      <c r="E254" s="2931" t="s">
        <v>1609</v>
      </c>
      <c r="F254" s="2931">
        <v>72</v>
      </c>
      <c r="G254" s="2934" t="s">
        <v>2087</v>
      </c>
      <c r="H254" s="2934" t="s">
        <v>1234</v>
      </c>
      <c r="I254" s="376" t="s">
        <v>1304</v>
      </c>
      <c r="J254" s="2931">
        <v>6</v>
      </c>
      <c r="K254" s="2931">
        <v>9</v>
      </c>
      <c r="L254" s="2931">
        <v>13</v>
      </c>
      <c r="M254" s="373">
        <v>15</v>
      </c>
      <c r="N254" s="2931">
        <v>120</v>
      </c>
      <c r="O254" s="2931">
        <v>180</v>
      </c>
      <c r="P254" s="2931">
        <v>240</v>
      </c>
      <c r="Q254" s="373">
        <v>300</v>
      </c>
      <c r="R254" s="2931">
        <v>10</v>
      </c>
      <c r="S254" s="2931">
        <v>10</v>
      </c>
      <c r="T254" s="2931">
        <v>15</v>
      </c>
      <c r="U254" s="373">
        <v>15</v>
      </c>
      <c r="V254" s="2926" t="s">
        <v>4216</v>
      </c>
      <c r="W254" s="2926" t="s">
        <v>4225</v>
      </c>
      <c r="X254" s="2926" t="s">
        <v>4226</v>
      </c>
      <c r="Y254" s="2926" t="s">
        <v>4227</v>
      </c>
      <c r="Z254" s="2926" t="s">
        <v>4228</v>
      </c>
      <c r="AA254" s="371"/>
    </row>
    <row r="255" spans="1:27" ht="12.75" customHeight="1" x14ac:dyDescent="0.2">
      <c r="A255" s="6418"/>
      <c r="B255" s="251" t="str">
        <f t="shared" si="3"/>
        <v>Fuego76</v>
      </c>
      <c r="D255" s="272" t="s">
        <v>9864</v>
      </c>
      <c r="E255" s="2931" t="s">
        <v>1609</v>
      </c>
      <c r="F255" s="2931">
        <v>76</v>
      </c>
      <c r="G255" s="2934" t="s">
        <v>1381</v>
      </c>
      <c r="H255" s="2934" t="s">
        <v>1235</v>
      </c>
      <c r="I255" s="376" t="s">
        <v>1304</v>
      </c>
      <c r="J255" s="2931">
        <v>8</v>
      </c>
      <c r="K255" s="2931">
        <v>10</v>
      </c>
      <c r="L255" s="2931">
        <v>12</v>
      </c>
      <c r="M255" s="373">
        <v>15</v>
      </c>
      <c r="N255" s="2931">
        <v>150</v>
      </c>
      <c r="O255" s="2931">
        <v>200</v>
      </c>
      <c r="P255" s="2931">
        <v>240</v>
      </c>
      <c r="Q255" s="373">
        <v>280</v>
      </c>
      <c r="R255" s="2931">
        <v>15</v>
      </c>
      <c r="S255" s="2931">
        <v>20</v>
      </c>
      <c r="T255" s="2931">
        <v>25</v>
      </c>
      <c r="U255" s="373">
        <v>30</v>
      </c>
      <c r="V255" s="2926" t="s">
        <v>4229</v>
      </c>
      <c r="W255" s="2926" t="s">
        <v>4230</v>
      </c>
      <c r="X255" s="2926" t="s">
        <v>4231</v>
      </c>
      <c r="Y255" s="2926" t="s">
        <v>4232</v>
      </c>
      <c r="Z255" s="2926" t="s">
        <v>4233</v>
      </c>
      <c r="AA255" s="371"/>
    </row>
    <row r="256" spans="1:27" ht="12.75" customHeight="1" x14ac:dyDescent="0.2">
      <c r="A256" s="6418"/>
      <c r="B256" s="251" t="str">
        <f t="shared" si="3"/>
        <v>Fuego80</v>
      </c>
      <c r="D256" s="272" t="s">
        <v>9865</v>
      </c>
      <c r="E256" s="2931" t="s">
        <v>1609</v>
      </c>
      <c r="F256" s="2931">
        <v>80</v>
      </c>
      <c r="G256" s="2934" t="s">
        <v>2087</v>
      </c>
      <c r="H256" s="2934" t="s">
        <v>1234</v>
      </c>
      <c r="I256" s="376" t="s">
        <v>1304</v>
      </c>
      <c r="J256" s="2931">
        <v>6</v>
      </c>
      <c r="K256" s="2931">
        <v>9</v>
      </c>
      <c r="L256" s="2931">
        <v>12</v>
      </c>
      <c r="M256" s="373">
        <v>15</v>
      </c>
      <c r="N256" s="2931">
        <v>120</v>
      </c>
      <c r="O256" s="2931">
        <v>180</v>
      </c>
      <c r="P256" s="2931">
        <v>240</v>
      </c>
      <c r="Q256" s="373">
        <v>300</v>
      </c>
      <c r="R256" s="2931">
        <v>10</v>
      </c>
      <c r="S256" s="2931">
        <v>10</v>
      </c>
      <c r="T256" s="2931">
        <v>15</v>
      </c>
      <c r="U256" s="373">
        <v>15</v>
      </c>
      <c r="V256" s="2926" t="s">
        <v>4234</v>
      </c>
      <c r="W256" s="2926" t="s">
        <v>4235</v>
      </c>
      <c r="X256" s="2926" t="s">
        <v>4236</v>
      </c>
      <c r="Y256" s="2926" t="s">
        <v>4237</v>
      </c>
      <c r="Z256" s="2926" t="s">
        <v>4238</v>
      </c>
      <c r="AA256" s="371"/>
    </row>
    <row r="257" spans="1:27" ht="12.75" customHeight="1" x14ac:dyDescent="0.2">
      <c r="A257" s="6418"/>
      <c r="B257" s="251" t="str">
        <f t="shared" si="3"/>
        <v>Fuego82</v>
      </c>
      <c r="D257" s="272" t="s">
        <v>9866</v>
      </c>
      <c r="E257" s="2931" t="s">
        <v>1609</v>
      </c>
      <c r="F257" s="2931">
        <v>82</v>
      </c>
      <c r="G257" s="2934" t="s">
        <v>2087</v>
      </c>
      <c r="H257" s="2934" t="s">
        <v>1234</v>
      </c>
      <c r="I257" s="376" t="s">
        <v>1304</v>
      </c>
      <c r="J257" s="2931">
        <v>10</v>
      </c>
      <c r="K257" s="2931">
        <v>12</v>
      </c>
      <c r="L257" s="2931">
        <v>14</v>
      </c>
      <c r="M257" s="373">
        <v>16</v>
      </c>
      <c r="N257" s="2931">
        <v>250</v>
      </c>
      <c r="O257" s="2931">
        <v>350</v>
      </c>
      <c r="P257" s="2931">
        <v>500</v>
      </c>
      <c r="Q257" s="373">
        <v>700</v>
      </c>
      <c r="R257" s="2931">
        <v>50</v>
      </c>
      <c r="S257" s="2931">
        <v>70</v>
      </c>
      <c r="T257" s="2931">
        <v>100</v>
      </c>
      <c r="U257" s="373">
        <v>140</v>
      </c>
      <c r="V257" s="2926" t="s">
        <v>3354</v>
      </c>
      <c r="W257" s="2926" t="s">
        <v>3355</v>
      </c>
      <c r="X257" s="2926" t="s">
        <v>3356</v>
      </c>
      <c r="Y257" s="2926" t="s">
        <v>3357</v>
      </c>
      <c r="Z257" s="2926" t="s">
        <v>4239</v>
      </c>
      <c r="AA257" s="371"/>
    </row>
    <row r="258" spans="1:27" ht="12.75" customHeight="1" x14ac:dyDescent="0.2">
      <c r="A258" s="6418"/>
      <c r="B258" s="251" t="str">
        <f t="shared" si="3"/>
        <v>Fuego86</v>
      </c>
      <c r="D258" s="272" t="s">
        <v>9867</v>
      </c>
      <c r="E258" s="2931" t="s">
        <v>1609</v>
      </c>
      <c r="F258" s="2931">
        <v>86</v>
      </c>
      <c r="G258" s="2934" t="s">
        <v>2087</v>
      </c>
      <c r="H258" s="2934" t="s">
        <v>1234</v>
      </c>
      <c r="I258" s="376" t="s">
        <v>1304</v>
      </c>
      <c r="J258" s="2931">
        <v>10</v>
      </c>
      <c r="K258" s="2931">
        <v>12</v>
      </c>
      <c r="L258" s="2931">
        <v>14</v>
      </c>
      <c r="M258" s="373">
        <v>18</v>
      </c>
      <c r="N258" s="2931">
        <v>250</v>
      </c>
      <c r="O258" s="2931">
        <v>300</v>
      </c>
      <c r="P258" s="2931">
        <v>350</v>
      </c>
      <c r="Q258" s="373">
        <v>400</v>
      </c>
      <c r="R258" s="2931">
        <v>25</v>
      </c>
      <c r="S258" s="2931">
        <v>30</v>
      </c>
      <c r="T258" s="2931">
        <v>30</v>
      </c>
      <c r="U258" s="373">
        <v>35</v>
      </c>
      <c r="V258" s="2926" t="s">
        <v>4240</v>
      </c>
      <c r="W258" s="2926" t="s">
        <v>4241</v>
      </c>
      <c r="X258" s="2926" t="s">
        <v>4242</v>
      </c>
      <c r="Y258" s="2926" t="s">
        <v>4243</v>
      </c>
      <c r="Z258" s="2926" t="s">
        <v>4244</v>
      </c>
      <c r="AA258" s="371"/>
    </row>
    <row r="259" spans="1:27" ht="12.75" customHeight="1" x14ac:dyDescent="0.2">
      <c r="A259" s="6418"/>
      <c r="B259" s="251" t="str">
        <f t="shared" si="3"/>
        <v>Fuego90</v>
      </c>
      <c r="D259" s="272" t="s">
        <v>9868</v>
      </c>
      <c r="E259" s="2931" t="s">
        <v>1609</v>
      </c>
      <c r="F259" s="2931">
        <v>90</v>
      </c>
      <c r="G259" s="2934" t="s">
        <v>1381</v>
      </c>
      <c r="H259" s="2934" t="s">
        <v>1232</v>
      </c>
      <c r="I259" s="376" t="s">
        <v>1304</v>
      </c>
      <c r="J259" s="2931">
        <v>10</v>
      </c>
      <c r="K259" s="2931">
        <v>13</v>
      </c>
      <c r="L259" s="2931">
        <v>16</v>
      </c>
      <c r="M259" s="373">
        <v>18</v>
      </c>
      <c r="N259" s="2931">
        <v>200</v>
      </c>
      <c r="O259" s="2931">
        <v>300</v>
      </c>
      <c r="P259" s="2931">
        <v>400</v>
      </c>
      <c r="Q259" s="373">
        <v>500</v>
      </c>
      <c r="R259" s="2931" t="s">
        <v>1381</v>
      </c>
      <c r="S259" s="2931" t="s">
        <v>1381</v>
      </c>
      <c r="T259" s="2931" t="s">
        <v>1381</v>
      </c>
      <c r="U259" s="373" t="s">
        <v>1381</v>
      </c>
      <c r="V259" s="2926" t="s">
        <v>4245</v>
      </c>
      <c r="W259" s="2926" t="s">
        <v>4246</v>
      </c>
      <c r="X259" s="2926" t="s">
        <v>4247</v>
      </c>
      <c r="Y259" s="2926" t="s">
        <v>4248</v>
      </c>
      <c r="Z259" s="2926" t="s">
        <v>4249</v>
      </c>
      <c r="AA259" s="371"/>
    </row>
    <row r="260" spans="1:27" ht="12.75" customHeight="1" x14ac:dyDescent="0.2">
      <c r="A260" s="6418"/>
      <c r="B260" s="251" t="str">
        <f t="shared" si="3"/>
        <v>Fuego92</v>
      </c>
      <c r="D260" s="272" t="s">
        <v>9869</v>
      </c>
      <c r="E260" s="2931" t="s">
        <v>1609</v>
      </c>
      <c r="F260" s="2931">
        <v>92</v>
      </c>
      <c r="G260" s="2934" t="s">
        <v>2087</v>
      </c>
      <c r="H260" s="2934" t="s">
        <v>1234</v>
      </c>
      <c r="I260" s="376" t="s">
        <v>1304</v>
      </c>
      <c r="J260" s="2931">
        <v>13</v>
      </c>
      <c r="K260" s="2931">
        <v>15</v>
      </c>
      <c r="L260" s="2931">
        <v>17</v>
      </c>
      <c r="M260" s="373">
        <v>19</v>
      </c>
      <c r="N260" s="2931">
        <v>250</v>
      </c>
      <c r="O260" s="2931">
        <v>350</v>
      </c>
      <c r="P260" s="2931">
        <v>500</v>
      </c>
      <c r="Q260" s="373">
        <v>750</v>
      </c>
      <c r="R260" s="2931">
        <v>50</v>
      </c>
      <c r="S260" s="2931">
        <v>70</v>
      </c>
      <c r="T260" s="2931">
        <v>100</v>
      </c>
      <c r="U260" s="373">
        <v>150</v>
      </c>
      <c r="V260" s="2926" t="s">
        <v>4250</v>
      </c>
      <c r="W260" s="2926" t="s">
        <v>4251</v>
      </c>
      <c r="X260" s="2926" t="s">
        <v>4252</v>
      </c>
      <c r="Y260" s="2926" t="s">
        <v>4253</v>
      </c>
      <c r="Z260" s="2926" t="s">
        <v>4254</v>
      </c>
      <c r="AA260" s="371"/>
    </row>
    <row r="261" spans="1:27" ht="12.75" customHeight="1" x14ac:dyDescent="0.2">
      <c r="A261" s="6418"/>
      <c r="B261" s="251" t="str">
        <f t="shared" si="3"/>
        <v>Fuego96</v>
      </c>
      <c r="D261" s="272" t="s">
        <v>9870</v>
      </c>
      <c r="E261" s="2931" t="s">
        <v>1609</v>
      </c>
      <c r="F261" s="2931">
        <v>96</v>
      </c>
      <c r="G261" s="2934" t="s">
        <v>2087</v>
      </c>
      <c r="H261" s="2934" t="s">
        <v>1235</v>
      </c>
      <c r="I261" s="376" t="s">
        <v>1304</v>
      </c>
      <c r="J261" s="2931">
        <v>10</v>
      </c>
      <c r="K261" s="2931">
        <v>12</v>
      </c>
      <c r="L261" s="2931">
        <v>15</v>
      </c>
      <c r="M261" s="373">
        <v>18</v>
      </c>
      <c r="N261" s="2931">
        <v>300</v>
      </c>
      <c r="O261" s="2931">
        <v>450</v>
      </c>
      <c r="P261" s="2931">
        <v>600</v>
      </c>
      <c r="Q261" s="373">
        <v>1000</v>
      </c>
      <c r="R261" s="2931">
        <v>30</v>
      </c>
      <c r="S261" s="2931">
        <v>45</v>
      </c>
      <c r="T261" s="2931">
        <v>60</v>
      </c>
      <c r="U261" s="373">
        <v>100</v>
      </c>
      <c r="V261" s="2926" t="s">
        <v>4255</v>
      </c>
      <c r="W261" s="2926" t="s">
        <v>4256</v>
      </c>
      <c r="X261" s="2926" t="s">
        <v>4257</v>
      </c>
      <c r="Y261" s="2926" t="s">
        <v>4258</v>
      </c>
      <c r="Z261" s="2926" t="s">
        <v>4259</v>
      </c>
      <c r="AA261" s="371"/>
    </row>
    <row r="262" spans="1:27" ht="12.75" customHeight="1" x14ac:dyDescent="0.2">
      <c r="A262" s="6418"/>
      <c r="B262" s="251" t="str">
        <f t="shared" si="3"/>
        <v>Fuego100</v>
      </c>
      <c r="D262" s="272" t="s">
        <v>9871</v>
      </c>
      <c r="E262" s="2931" t="s">
        <v>1609</v>
      </c>
      <c r="F262" s="2931">
        <v>100</v>
      </c>
      <c r="G262" s="2934" t="s">
        <v>2087</v>
      </c>
      <c r="H262" s="2934" t="s">
        <v>1235</v>
      </c>
      <c r="I262" s="376" t="s">
        <v>1304</v>
      </c>
      <c r="J262" s="2931">
        <v>15</v>
      </c>
      <c r="K262" s="2931">
        <v>16</v>
      </c>
      <c r="L262" s="2931">
        <v>17</v>
      </c>
      <c r="M262" s="373">
        <v>18</v>
      </c>
      <c r="N262" s="2931">
        <v>450</v>
      </c>
      <c r="O262" s="2931">
        <v>800</v>
      </c>
      <c r="P262" s="2931">
        <v>1200</v>
      </c>
      <c r="Q262" s="373">
        <v>1600</v>
      </c>
      <c r="R262" s="2931">
        <v>90</v>
      </c>
      <c r="S262" s="2931">
        <v>100</v>
      </c>
      <c r="T262" s="2931">
        <v>105</v>
      </c>
      <c r="U262" s="373">
        <v>110</v>
      </c>
      <c r="V262" s="2926" t="s">
        <v>10251</v>
      </c>
      <c r="W262" s="2926" t="s">
        <v>4260</v>
      </c>
      <c r="X262" s="2926" t="s">
        <v>4261</v>
      </c>
      <c r="Y262" s="2926" t="s">
        <v>4262</v>
      </c>
      <c r="Z262" s="2926" t="s">
        <v>4263</v>
      </c>
      <c r="AA262" s="371"/>
    </row>
    <row r="263" spans="1:27" ht="12.75" customHeight="1" x14ac:dyDescent="0.2">
      <c r="A263" s="6418"/>
      <c r="B263" s="251" t="str">
        <f t="shared" si="3"/>
        <v/>
      </c>
      <c r="D263" s="272" t="s">
        <v>305</v>
      </c>
      <c r="E263" s="2931"/>
      <c r="F263" s="2931"/>
      <c r="G263" s="2934"/>
      <c r="H263" s="2934"/>
      <c r="I263" s="376"/>
      <c r="J263" s="2931"/>
      <c r="K263" s="2931"/>
      <c r="L263" s="2931"/>
      <c r="M263" s="373"/>
      <c r="N263" s="2931"/>
      <c r="O263" s="2931"/>
      <c r="P263" s="2931"/>
      <c r="Q263" s="373"/>
      <c r="R263" s="2931"/>
      <c r="S263" s="2931"/>
      <c r="T263" s="2931"/>
      <c r="U263" s="373"/>
      <c r="V263" s="2926"/>
      <c r="W263" s="2926"/>
      <c r="X263" s="2926"/>
      <c r="Y263" s="2926"/>
      <c r="Z263" s="2926"/>
      <c r="AA263" s="371"/>
    </row>
    <row r="264" spans="1:27" ht="12.75" customHeight="1" x14ac:dyDescent="0.2">
      <c r="A264" s="6418"/>
      <c r="B264" s="251" t="str">
        <f t="shared" ref="B264:B327" si="4">E264&amp;F264</f>
        <v>Tierra2</v>
      </c>
      <c r="D264" s="272" t="s">
        <v>9872</v>
      </c>
      <c r="E264" s="2931" t="s">
        <v>1703</v>
      </c>
      <c r="F264" s="2931">
        <v>2</v>
      </c>
      <c r="G264" s="2934" t="s">
        <v>1381</v>
      </c>
      <c r="H264" s="2934" t="s">
        <v>3209</v>
      </c>
      <c r="I264" s="376" t="s">
        <v>1304</v>
      </c>
      <c r="J264" s="2931">
        <v>5</v>
      </c>
      <c r="K264" s="2931">
        <v>8</v>
      </c>
      <c r="L264" s="2931">
        <v>10</v>
      </c>
      <c r="M264" s="373">
        <v>12</v>
      </c>
      <c r="N264" s="2931">
        <v>20</v>
      </c>
      <c r="O264" s="2931">
        <v>60</v>
      </c>
      <c r="P264" s="2931">
        <v>100</v>
      </c>
      <c r="Q264" s="373">
        <v>140</v>
      </c>
      <c r="R264" s="2931" t="s">
        <v>1381</v>
      </c>
      <c r="S264" s="2931" t="s">
        <v>1381</v>
      </c>
      <c r="T264" s="2931" t="s">
        <v>1381</v>
      </c>
      <c r="U264" s="373" t="s">
        <v>4264</v>
      </c>
      <c r="V264" s="2926" t="s">
        <v>4265</v>
      </c>
      <c r="W264" s="2926" t="s">
        <v>3506</v>
      </c>
      <c r="X264" s="2926" t="s">
        <v>4266</v>
      </c>
      <c r="Y264" s="2926" t="s">
        <v>3396</v>
      </c>
      <c r="Z264" s="2926" t="s">
        <v>4267</v>
      </c>
      <c r="AA264" s="371"/>
    </row>
    <row r="265" spans="1:27" ht="12.75" customHeight="1" x14ac:dyDescent="0.2">
      <c r="A265" s="6418"/>
      <c r="B265" s="251" t="str">
        <f t="shared" si="4"/>
        <v>Tierra6</v>
      </c>
      <c r="D265" s="272" t="s">
        <v>9873</v>
      </c>
      <c r="E265" s="2931" t="s">
        <v>1703</v>
      </c>
      <c r="F265" s="2931">
        <v>6</v>
      </c>
      <c r="G265" s="2934" t="s">
        <v>2087</v>
      </c>
      <c r="H265" s="2934" t="s">
        <v>3923</v>
      </c>
      <c r="I265" s="376" t="s">
        <v>1304</v>
      </c>
      <c r="J265" s="2931">
        <v>5</v>
      </c>
      <c r="K265" s="2931">
        <v>8</v>
      </c>
      <c r="L265" s="2931">
        <v>10</v>
      </c>
      <c r="M265" s="373">
        <v>12</v>
      </c>
      <c r="N265" s="2931">
        <v>30</v>
      </c>
      <c r="O265" s="2931">
        <v>60</v>
      </c>
      <c r="P265" s="2931">
        <v>100</v>
      </c>
      <c r="Q265" s="373">
        <v>140</v>
      </c>
      <c r="R265" s="2931">
        <v>5</v>
      </c>
      <c r="S265" s="2931">
        <v>10</v>
      </c>
      <c r="T265" s="2931">
        <v>10</v>
      </c>
      <c r="U265" s="373">
        <v>15</v>
      </c>
      <c r="V265" s="2926" t="s">
        <v>4268</v>
      </c>
      <c r="W265" s="2926" t="s">
        <v>4269</v>
      </c>
      <c r="X265" s="2926" t="s">
        <v>4270</v>
      </c>
      <c r="Y265" s="2926" t="s">
        <v>4271</v>
      </c>
      <c r="Z265" s="2926" t="s">
        <v>4272</v>
      </c>
      <c r="AA265" s="371"/>
    </row>
    <row r="266" spans="1:27" ht="12.75" customHeight="1" x14ac:dyDescent="0.2">
      <c r="A266" s="6418"/>
      <c r="B266" s="251" t="str">
        <f t="shared" si="4"/>
        <v>Tierra10</v>
      </c>
      <c r="D266" s="272" t="s">
        <v>9874</v>
      </c>
      <c r="E266" s="2931" t="s">
        <v>1703</v>
      </c>
      <c r="F266" s="2931">
        <v>10</v>
      </c>
      <c r="G266" s="2934" t="s">
        <v>2087</v>
      </c>
      <c r="H266" s="2934" t="s">
        <v>1234</v>
      </c>
      <c r="I266" s="376" t="s">
        <v>1304</v>
      </c>
      <c r="J266" s="2931">
        <v>5</v>
      </c>
      <c r="K266" s="2931">
        <v>8</v>
      </c>
      <c r="L266" s="2931">
        <v>10</v>
      </c>
      <c r="M266" s="373">
        <v>12</v>
      </c>
      <c r="N266" s="2931">
        <v>40</v>
      </c>
      <c r="O266" s="2931">
        <v>120</v>
      </c>
      <c r="P266" s="2931">
        <v>200</v>
      </c>
      <c r="Q266" s="373">
        <v>320</v>
      </c>
      <c r="R266" s="2931">
        <v>5</v>
      </c>
      <c r="S266" s="2931">
        <v>25</v>
      </c>
      <c r="T266" s="2931">
        <v>30</v>
      </c>
      <c r="U266" s="373">
        <v>40</v>
      </c>
      <c r="V266" s="2926" t="s">
        <v>4273</v>
      </c>
      <c r="W266" s="2926" t="s">
        <v>4274</v>
      </c>
      <c r="X266" s="2926" t="s">
        <v>4275</v>
      </c>
      <c r="Y266" s="2926" t="s">
        <v>4276</v>
      </c>
      <c r="Z266" s="2926" t="s">
        <v>4277</v>
      </c>
      <c r="AA266" s="371"/>
    </row>
    <row r="267" spans="1:27" ht="12.75" customHeight="1" x14ac:dyDescent="0.2">
      <c r="A267" s="6418"/>
      <c r="B267" s="251" t="str">
        <f t="shared" si="4"/>
        <v>Tierra12</v>
      </c>
      <c r="D267" s="272" t="s">
        <v>9875</v>
      </c>
      <c r="E267" s="2931" t="s">
        <v>1703</v>
      </c>
      <c r="F267" s="2931">
        <v>12</v>
      </c>
      <c r="G267" s="2934" t="s">
        <v>1381</v>
      </c>
      <c r="H267" s="2934" t="s">
        <v>1234</v>
      </c>
      <c r="I267" s="376" t="s">
        <v>1305</v>
      </c>
      <c r="J267" s="2931">
        <v>6</v>
      </c>
      <c r="K267" s="2931">
        <v>8</v>
      </c>
      <c r="L267" s="2931">
        <v>11</v>
      </c>
      <c r="M267" s="373">
        <v>13</v>
      </c>
      <c r="N267" s="2931">
        <v>40</v>
      </c>
      <c r="O267" s="2931">
        <v>80</v>
      </c>
      <c r="P267" s="2931">
        <v>120</v>
      </c>
      <c r="Q267" s="373">
        <v>160</v>
      </c>
      <c r="R267" s="2931">
        <v>5</v>
      </c>
      <c r="S267" s="2931">
        <v>5</v>
      </c>
      <c r="T267" s="2931">
        <v>5</v>
      </c>
      <c r="U267" s="373">
        <v>10</v>
      </c>
      <c r="V267" s="2926" t="s">
        <v>4278</v>
      </c>
      <c r="W267" s="2926" t="s">
        <v>4279</v>
      </c>
      <c r="X267" s="2926" t="s">
        <v>4280</v>
      </c>
      <c r="Y267" s="2926" t="s">
        <v>4281</v>
      </c>
      <c r="Z267" s="2926" t="s">
        <v>4282</v>
      </c>
      <c r="AA267" s="371"/>
    </row>
    <row r="268" spans="1:27" ht="12.75" customHeight="1" x14ac:dyDescent="0.2">
      <c r="A268" s="6418"/>
      <c r="B268" s="251" t="str">
        <f t="shared" si="4"/>
        <v>Tierra16</v>
      </c>
      <c r="D268" s="272" t="s">
        <v>9876</v>
      </c>
      <c r="E268" s="2931" t="s">
        <v>1703</v>
      </c>
      <c r="F268" s="2931">
        <v>16</v>
      </c>
      <c r="G268" s="2934" t="s">
        <v>2087</v>
      </c>
      <c r="H268" s="2934" t="s">
        <v>1234</v>
      </c>
      <c r="I268" s="376" t="s">
        <v>1304</v>
      </c>
      <c r="J268" s="2931">
        <v>6</v>
      </c>
      <c r="K268" s="2931">
        <v>9</v>
      </c>
      <c r="L268" s="2931">
        <v>11</v>
      </c>
      <c r="M268" s="373">
        <v>13</v>
      </c>
      <c r="N268" s="2931">
        <v>50</v>
      </c>
      <c r="O268" s="2931">
        <v>80</v>
      </c>
      <c r="P268" s="2931">
        <v>120</v>
      </c>
      <c r="Q268" s="373">
        <v>160</v>
      </c>
      <c r="R268" s="2931">
        <v>5</v>
      </c>
      <c r="S268" s="2931">
        <v>10</v>
      </c>
      <c r="T268" s="2931">
        <v>15</v>
      </c>
      <c r="U268" s="373">
        <v>20</v>
      </c>
      <c r="V268" s="2926" t="s">
        <v>4283</v>
      </c>
      <c r="W268" s="2926" t="s">
        <v>4284</v>
      </c>
      <c r="X268" s="2926" t="s">
        <v>4285</v>
      </c>
      <c r="Y268" s="2926" t="s">
        <v>4286</v>
      </c>
      <c r="Z268" s="2926" t="s">
        <v>4287</v>
      </c>
      <c r="AA268" s="371"/>
    </row>
    <row r="269" spans="1:27" ht="12.75" customHeight="1" x14ac:dyDescent="0.2">
      <c r="A269" s="6418"/>
      <c r="B269" s="251" t="str">
        <f t="shared" si="4"/>
        <v>Tierra20</v>
      </c>
      <c r="D269" s="272" t="s">
        <v>9877</v>
      </c>
      <c r="E269" s="2931" t="s">
        <v>1703</v>
      </c>
      <c r="F269" s="2931">
        <v>20</v>
      </c>
      <c r="G269" s="2934" t="s">
        <v>1381</v>
      </c>
      <c r="H269" s="2934" t="s">
        <v>1564</v>
      </c>
      <c r="I269" s="376" t="s">
        <v>1304</v>
      </c>
      <c r="J269" s="2931">
        <v>6</v>
      </c>
      <c r="K269" s="2931">
        <v>9</v>
      </c>
      <c r="L269" s="2931">
        <v>12</v>
      </c>
      <c r="M269" s="373">
        <v>15</v>
      </c>
      <c r="N269" s="2931">
        <v>60</v>
      </c>
      <c r="O269" s="2931">
        <v>160</v>
      </c>
      <c r="P269" s="2931">
        <v>240</v>
      </c>
      <c r="Q269" s="373">
        <v>300</v>
      </c>
      <c r="R269" s="2931">
        <v>10</v>
      </c>
      <c r="S269" s="2931">
        <v>20</v>
      </c>
      <c r="T269" s="2931">
        <v>25</v>
      </c>
      <c r="U269" s="373">
        <v>30</v>
      </c>
      <c r="V269" s="2926" t="s">
        <v>4288</v>
      </c>
      <c r="W269" s="2926" t="s">
        <v>4289</v>
      </c>
      <c r="X269" s="2926" t="s">
        <v>4290</v>
      </c>
      <c r="Y269" s="2926" t="s">
        <v>4291</v>
      </c>
      <c r="Z269" s="2926" t="s">
        <v>4292</v>
      </c>
      <c r="AA269" s="371"/>
    </row>
    <row r="270" spans="1:27" ht="12.75" customHeight="1" x14ac:dyDescent="0.2">
      <c r="A270" s="6418"/>
      <c r="B270" s="251" t="str">
        <f t="shared" si="4"/>
        <v>Tierra22</v>
      </c>
      <c r="D270" s="272" t="s">
        <v>2938</v>
      </c>
      <c r="E270" s="2931" t="s">
        <v>1703</v>
      </c>
      <c r="F270" s="2931">
        <v>22</v>
      </c>
      <c r="G270" s="2934" t="s">
        <v>1381</v>
      </c>
      <c r="H270" s="2934" t="s">
        <v>1233</v>
      </c>
      <c r="I270" s="376" t="s">
        <v>1304</v>
      </c>
      <c r="J270" s="2931">
        <v>6</v>
      </c>
      <c r="K270" s="2931">
        <v>9</v>
      </c>
      <c r="L270" s="2931">
        <v>12</v>
      </c>
      <c r="M270" s="373">
        <v>15</v>
      </c>
      <c r="N270" s="2931">
        <v>60</v>
      </c>
      <c r="O270" s="2931">
        <v>90</v>
      </c>
      <c r="P270" s="2931">
        <v>120</v>
      </c>
      <c r="Q270" s="373">
        <v>150</v>
      </c>
      <c r="R270" s="2931">
        <v>10</v>
      </c>
      <c r="S270" s="2931">
        <v>10</v>
      </c>
      <c r="T270" s="2931">
        <v>15</v>
      </c>
      <c r="U270" s="373">
        <v>15</v>
      </c>
      <c r="V270" s="2926" t="s">
        <v>4293</v>
      </c>
      <c r="W270" s="2926" t="s">
        <v>4294</v>
      </c>
      <c r="X270" s="2926" t="s">
        <v>4295</v>
      </c>
      <c r="Y270" s="2926" t="s">
        <v>4296</v>
      </c>
      <c r="Z270" s="2926" t="s">
        <v>9983</v>
      </c>
      <c r="AA270" s="371"/>
    </row>
    <row r="271" spans="1:27" ht="12.75" customHeight="1" x14ac:dyDescent="0.2">
      <c r="A271" s="6418"/>
      <c r="B271" s="251" t="str">
        <f t="shared" si="4"/>
        <v>Tierra26</v>
      </c>
      <c r="D271" s="272" t="s">
        <v>9878</v>
      </c>
      <c r="E271" s="2931" t="s">
        <v>1703</v>
      </c>
      <c r="F271" s="2931">
        <v>26</v>
      </c>
      <c r="G271" s="2934" t="s">
        <v>2087</v>
      </c>
      <c r="H271" s="2934" t="s">
        <v>1234</v>
      </c>
      <c r="I271" s="376" t="s">
        <v>1304</v>
      </c>
      <c r="J271" s="2931">
        <v>8</v>
      </c>
      <c r="K271" s="2931">
        <v>10</v>
      </c>
      <c r="L271" s="2931">
        <v>12</v>
      </c>
      <c r="M271" s="373">
        <v>15</v>
      </c>
      <c r="N271" s="2931">
        <v>80</v>
      </c>
      <c r="O271" s="2931">
        <v>100</v>
      </c>
      <c r="P271" s="2931">
        <v>120</v>
      </c>
      <c r="Q271" s="373">
        <v>140</v>
      </c>
      <c r="R271" s="2931">
        <v>5</v>
      </c>
      <c r="S271" s="2931">
        <v>5</v>
      </c>
      <c r="T271" s="2931">
        <v>10</v>
      </c>
      <c r="U271" s="373">
        <v>10</v>
      </c>
      <c r="V271" s="2926" t="s">
        <v>4297</v>
      </c>
      <c r="W271" s="2926" t="s">
        <v>4298</v>
      </c>
      <c r="X271" s="2926" t="s">
        <v>4299</v>
      </c>
      <c r="Y271" s="2926" t="s">
        <v>4300</v>
      </c>
      <c r="Z271" s="2926" t="s">
        <v>4301</v>
      </c>
      <c r="AA271" s="371"/>
    </row>
    <row r="272" spans="1:27" ht="12.75" customHeight="1" x14ac:dyDescent="0.2">
      <c r="A272" s="6418"/>
      <c r="B272" s="251" t="str">
        <f t="shared" si="4"/>
        <v>Tierra30</v>
      </c>
      <c r="D272" s="272" t="s">
        <v>226</v>
      </c>
      <c r="E272" s="2931" t="s">
        <v>1703</v>
      </c>
      <c r="F272" s="2931">
        <v>30</v>
      </c>
      <c r="G272" s="2934" t="s">
        <v>1381</v>
      </c>
      <c r="H272" s="2934" t="s">
        <v>1564</v>
      </c>
      <c r="I272" s="376" t="s">
        <v>1305</v>
      </c>
      <c r="J272" s="2931">
        <v>6</v>
      </c>
      <c r="K272" s="2931">
        <v>8</v>
      </c>
      <c r="L272" s="2931">
        <v>11</v>
      </c>
      <c r="M272" s="373">
        <v>14</v>
      </c>
      <c r="N272" s="2931">
        <v>50</v>
      </c>
      <c r="O272" s="2931">
        <v>90</v>
      </c>
      <c r="P272" s="2931">
        <v>120</v>
      </c>
      <c r="Q272" s="373">
        <v>160</v>
      </c>
      <c r="R272" s="2931">
        <v>5</v>
      </c>
      <c r="S272" s="2931">
        <v>10</v>
      </c>
      <c r="T272" s="2931">
        <v>10</v>
      </c>
      <c r="U272" s="373">
        <v>20</v>
      </c>
      <c r="V272" s="2926" t="s">
        <v>3878</v>
      </c>
      <c r="W272" s="2926" t="s">
        <v>4302</v>
      </c>
      <c r="X272" s="2926" t="s">
        <v>4303</v>
      </c>
      <c r="Y272" s="2926" t="s">
        <v>4304</v>
      </c>
      <c r="Z272" s="2926" t="s">
        <v>4305</v>
      </c>
      <c r="AA272" s="371"/>
    </row>
    <row r="273" spans="1:27" ht="12.75" customHeight="1" x14ac:dyDescent="0.2">
      <c r="A273" s="6418"/>
      <c r="B273" s="251" t="str">
        <f t="shared" si="4"/>
        <v>Tierra32</v>
      </c>
      <c r="D273" s="272" t="s">
        <v>9879</v>
      </c>
      <c r="E273" s="2931" t="s">
        <v>1703</v>
      </c>
      <c r="F273" s="2931">
        <v>32</v>
      </c>
      <c r="G273" s="2934" t="s">
        <v>1381</v>
      </c>
      <c r="H273" s="2934" t="s">
        <v>1234</v>
      </c>
      <c r="I273" s="376" t="s">
        <v>1304</v>
      </c>
      <c r="J273" s="2931">
        <v>7</v>
      </c>
      <c r="K273" s="2931">
        <v>10</v>
      </c>
      <c r="L273" s="2931">
        <v>12</v>
      </c>
      <c r="M273" s="373">
        <v>14</v>
      </c>
      <c r="N273" s="2931">
        <v>80</v>
      </c>
      <c r="O273" s="2931">
        <v>100</v>
      </c>
      <c r="P273" s="2931">
        <v>120</v>
      </c>
      <c r="Q273" s="373">
        <v>140</v>
      </c>
      <c r="R273" s="2931">
        <v>5</v>
      </c>
      <c r="S273" s="2931">
        <v>5</v>
      </c>
      <c r="T273" s="2931">
        <v>10</v>
      </c>
      <c r="U273" s="373">
        <v>10</v>
      </c>
      <c r="V273" s="2926" t="s">
        <v>3404</v>
      </c>
      <c r="W273" s="2926" t="s">
        <v>4306</v>
      </c>
      <c r="X273" s="2926" t="s">
        <v>3653</v>
      </c>
      <c r="Y273" s="2926" t="s">
        <v>3654</v>
      </c>
      <c r="Z273" s="2926" t="s">
        <v>4307</v>
      </c>
      <c r="AA273" s="371"/>
    </row>
    <row r="274" spans="1:27" ht="12.75" customHeight="1" x14ac:dyDescent="0.2">
      <c r="A274" s="6418"/>
      <c r="B274" s="251" t="str">
        <f t="shared" si="4"/>
        <v>Tierra36</v>
      </c>
      <c r="D274" s="272" t="s">
        <v>9880</v>
      </c>
      <c r="E274" s="2931" t="s">
        <v>1703</v>
      </c>
      <c r="F274" s="2931">
        <v>36</v>
      </c>
      <c r="G274" s="2934" t="s">
        <v>1381</v>
      </c>
      <c r="H274" s="2934" t="s">
        <v>1232</v>
      </c>
      <c r="I274" s="376" t="s">
        <v>1304</v>
      </c>
      <c r="J274" s="2931">
        <v>8</v>
      </c>
      <c r="K274" s="2931">
        <v>10</v>
      </c>
      <c r="L274" s="2931">
        <v>12</v>
      </c>
      <c r="M274" s="373">
        <v>14</v>
      </c>
      <c r="N274" s="2931">
        <v>80</v>
      </c>
      <c r="O274" s="2931">
        <v>120</v>
      </c>
      <c r="P274" s="2931">
        <v>150</v>
      </c>
      <c r="Q274" s="373">
        <v>200</v>
      </c>
      <c r="R274" s="2931" t="s">
        <v>1381</v>
      </c>
      <c r="S274" s="2931" t="s">
        <v>1381</v>
      </c>
      <c r="T274" s="2931" t="s">
        <v>1381</v>
      </c>
      <c r="U274" s="373" t="s">
        <v>1381</v>
      </c>
      <c r="V274" s="2926" t="s">
        <v>4308</v>
      </c>
      <c r="W274" s="2926" t="s">
        <v>4309</v>
      </c>
      <c r="X274" s="2926" t="s">
        <v>4310</v>
      </c>
      <c r="Y274" s="2926" t="s">
        <v>4311</v>
      </c>
      <c r="Z274" s="2926" t="s">
        <v>4312</v>
      </c>
      <c r="AA274" s="371"/>
    </row>
    <row r="275" spans="1:27" ht="12.75" customHeight="1" x14ac:dyDescent="0.2">
      <c r="A275" s="6418"/>
      <c r="B275" s="251" t="str">
        <f t="shared" si="4"/>
        <v>Tierra40</v>
      </c>
      <c r="D275" s="272" t="s">
        <v>1569</v>
      </c>
      <c r="E275" s="2931" t="s">
        <v>1703</v>
      </c>
      <c r="F275" s="2931">
        <v>40</v>
      </c>
      <c r="G275" s="2934" t="s">
        <v>1381</v>
      </c>
      <c r="H275" s="2934" t="s">
        <v>1234</v>
      </c>
      <c r="I275" s="376" t="s">
        <v>1304</v>
      </c>
      <c r="J275" s="2931">
        <v>6</v>
      </c>
      <c r="K275" s="2931">
        <v>9</v>
      </c>
      <c r="L275" s="2931">
        <v>12</v>
      </c>
      <c r="M275" s="373">
        <v>15</v>
      </c>
      <c r="N275" s="2931">
        <v>60</v>
      </c>
      <c r="O275" s="2931">
        <v>90</v>
      </c>
      <c r="P275" s="2931">
        <v>120</v>
      </c>
      <c r="Q275" s="373">
        <v>150</v>
      </c>
      <c r="R275" s="2931">
        <v>10</v>
      </c>
      <c r="S275" s="2931">
        <v>10</v>
      </c>
      <c r="T275" s="2931">
        <v>15</v>
      </c>
      <c r="U275" s="373">
        <v>15</v>
      </c>
      <c r="V275" s="2926" t="s">
        <v>4313</v>
      </c>
      <c r="W275" s="2926" t="s">
        <v>4314</v>
      </c>
      <c r="X275" s="2926" t="s">
        <v>4315</v>
      </c>
      <c r="Y275" s="2926" t="s">
        <v>4316</v>
      </c>
      <c r="Z275" s="2926" t="s">
        <v>4317</v>
      </c>
      <c r="AA275" s="371"/>
    </row>
    <row r="276" spans="1:27" ht="12.75" customHeight="1" x14ac:dyDescent="0.2">
      <c r="A276" s="6418"/>
      <c r="B276" s="251" t="str">
        <f t="shared" si="4"/>
        <v>Tierra42</v>
      </c>
      <c r="D276" s="272" t="s">
        <v>109</v>
      </c>
      <c r="E276" s="2931" t="s">
        <v>1703</v>
      </c>
      <c r="F276" s="2931">
        <v>42</v>
      </c>
      <c r="G276" s="2934" t="s">
        <v>1381</v>
      </c>
      <c r="H276" s="2934" t="s">
        <v>1234</v>
      </c>
      <c r="I276" s="376" t="s">
        <v>1304</v>
      </c>
      <c r="J276" s="2931">
        <v>6</v>
      </c>
      <c r="K276" s="2931">
        <v>9</v>
      </c>
      <c r="L276" s="2931">
        <v>12</v>
      </c>
      <c r="M276" s="373">
        <v>15</v>
      </c>
      <c r="N276" s="2931">
        <v>120</v>
      </c>
      <c r="O276" s="2931">
        <v>180</v>
      </c>
      <c r="P276" s="2931">
        <v>240</v>
      </c>
      <c r="Q276" s="373">
        <v>300</v>
      </c>
      <c r="R276" s="2931" t="s">
        <v>1381</v>
      </c>
      <c r="S276" s="2931" t="s">
        <v>1381</v>
      </c>
      <c r="T276" s="2931" t="s">
        <v>1381</v>
      </c>
      <c r="U276" s="373" t="s">
        <v>1381</v>
      </c>
      <c r="V276" s="2926" t="s">
        <v>4318</v>
      </c>
      <c r="W276" s="2926" t="s">
        <v>4319</v>
      </c>
      <c r="X276" s="2926" t="s">
        <v>4320</v>
      </c>
      <c r="Y276" s="2926" t="s">
        <v>4321</v>
      </c>
      <c r="Z276" s="2926" t="s">
        <v>4322</v>
      </c>
      <c r="AA276" s="371"/>
    </row>
    <row r="277" spans="1:27" ht="12.75" customHeight="1" x14ac:dyDescent="0.2">
      <c r="A277" s="6418"/>
      <c r="B277" s="251" t="str">
        <f t="shared" si="4"/>
        <v>Tierra46</v>
      </c>
      <c r="D277" s="272" t="s">
        <v>9881</v>
      </c>
      <c r="E277" s="2931" t="s">
        <v>1703</v>
      </c>
      <c r="F277" s="2931">
        <v>46</v>
      </c>
      <c r="G277" s="2934" t="s">
        <v>1381</v>
      </c>
      <c r="H277" s="2934" t="s">
        <v>1234</v>
      </c>
      <c r="I277" s="376" t="s">
        <v>1304</v>
      </c>
      <c r="J277" s="2931">
        <v>6</v>
      </c>
      <c r="K277" s="2931">
        <v>9</v>
      </c>
      <c r="L277" s="2931">
        <v>12</v>
      </c>
      <c r="M277" s="373">
        <v>15</v>
      </c>
      <c r="N277" s="2931">
        <v>100</v>
      </c>
      <c r="O277" s="2931">
        <v>180</v>
      </c>
      <c r="P277" s="2931">
        <v>240</v>
      </c>
      <c r="Q277" s="373">
        <v>320</v>
      </c>
      <c r="R277" s="2931">
        <v>10</v>
      </c>
      <c r="S277" s="2931">
        <v>20</v>
      </c>
      <c r="T277" s="2931">
        <v>25</v>
      </c>
      <c r="U277" s="373">
        <v>30</v>
      </c>
      <c r="V277" s="2926" t="s">
        <v>4323</v>
      </c>
      <c r="W277" s="2926" t="s">
        <v>4324</v>
      </c>
      <c r="X277" s="2926" t="s">
        <v>4325</v>
      </c>
      <c r="Y277" s="2926" t="s">
        <v>4326</v>
      </c>
      <c r="Z277" s="2926" t="s">
        <v>4327</v>
      </c>
      <c r="AA277" s="371"/>
    </row>
    <row r="278" spans="1:27" ht="12.75" customHeight="1" x14ac:dyDescent="0.2">
      <c r="A278" s="6418"/>
      <c r="B278" s="251" t="str">
        <f t="shared" si="4"/>
        <v>Tierra50</v>
      </c>
      <c r="D278" s="272" t="s">
        <v>1472</v>
      </c>
      <c r="E278" s="2931" t="s">
        <v>1703</v>
      </c>
      <c r="F278" s="2931">
        <v>50</v>
      </c>
      <c r="G278" s="2934" t="s">
        <v>1381</v>
      </c>
      <c r="H278" s="2934" t="s">
        <v>1234</v>
      </c>
      <c r="I278" s="376" t="s">
        <v>1304</v>
      </c>
      <c r="J278" s="2931">
        <v>7</v>
      </c>
      <c r="K278" s="2931">
        <v>9</v>
      </c>
      <c r="L278" s="2931">
        <v>12</v>
      </c>
      <c r="M278" s="373">
        <v>15</v>
      </c>
      <c r="N278" s="2931">
        <v>160</v>
      </c>
      <c r="O278" s="2931">
        <v>270</v>
      </c>
      <c r="P278" s="2931">
        <v>360</v>
      </c>
      <c r="Q278" s="373">
        <v>450</v>
      </c>
      <c r="R278" s="2931" t="s">
        <v>1381</v>
      </c>
      <c r="S278" s="2931" t="s">
        <v>1381</v>
      </c>
      <c r="T278" s="2931" t="s">
        <v>1381</v>
      </c>
      <c r="U278" s="373" t="s">
        <v>1381</v>
      </c>
      <c r="V278" s="2926" t="s">
        <v>4328</v>
      </c>
      <c r="W278" s="2926" t="s">
        <v>4329</v>
      </c>
      <c r="X278" s="2926" t="s">
        <v>4330</v>
      </c>
      <c r="Y278" s="2926" t="s">
        <v>4331</v>
      </c>
      <c r="Z278" s="2926" t="s">
        <v>4332</v>
      </c>
      <c r="AA278" s="371"/>
    </row>
    <row r="279" spans="1:27" ht="12.75" customHeight="1" x14ac:dyDescent="0.2">
      <c r="A279" s="6418"/>
      <c r="B279" s="251" t="str">
        <f t="shared" si="4"/>
        <v>Tierra52</v>
      </c>
      <c r="D279" s="272" t="s">
        <v>9882</v>
      </c>
      <c r="E279" s="2931" t="s">
        <v>1703</v>
      </c>
      <c r="F279" s="2931">
        <v>52</v>
      </c>
      <c r="G279" s="2934" t="s">
        <v>1381</v>
      </c>
      <c r="H279" s="2934" t="s">
        <v>1234</v>
      </c>
      <c r="I279" s="376" t="s">
        <v>1304</v>
      </c>
      <c r="J279" s="2931">
        <v>8</v>
      </c>
      <c r="K279" s="2931">
        <v>11</v>
      </c>
      <c r="L279" s="2931">
        <v>13</v>
      </c>
      <c r="M279" s="373">
        <v>16</v>
      </c>
      <c r="N279" s="2931">
        <v>100</v>
      </c>
      <c r="O279" s="2931">
        <v>120</v>
      </c>
      <c r="P279" s="2931">
        <v>140</v>
      </c>
      <c r="Q279" s="373">
        <v>160</v>
      </c>
      <c r="R279" s="2931">
        <v>10</v>
      </c>
      <c r="S279" s="2931">
        <v>15</v>
      </c>
      <c r="T279" s="2931">
        <v>15</v>
      </c>
      <c r="U279" s="373">
        <v>20</v>
      </c>
      <c r="V279" s="2926" t="s">
        <v>4333</v>
      </c>
      <c r="W279" s="2926" t="s">
        <v>4334</v>
      </c>
      <c r="X279" s="2926" t="s">
        <v>4335</v>
      </c>
      <c r="Y279" s="2926" t="s">
        <v>4336</v>
      </c>
      <c r="Z279" s="2926" t="s">
        <v>4337</v>
      </c>
      <c r="AA279" s="371"/>
    </row>
    <row r="280" spans="1:27" ht="12.75" customHeight="1" x14ac:dyDescent="0.2">
      <c r="A280" s="6418"/>
      <c r="B280" s="251" t="str">
        <f t="shared" si="4"/>
        <v>Tierra56</v>
      </c>
      <c r="D280" s="272" t="s">
        <v>2721</v>
      </c>
      <c r="E280" s="2931" t="s">
        <v>1703</v>
      </c>
      <c r="F280" s="2931">
        <v>56</v>
      </c>
      <c r="G280" s="2934" t="s">
        <v>1381</v>
      </c>
      <c r="H280" s="2934" t="s">
        <v>1234</v>
      </c>
      <c r="I280" s="376" t="s">
        <v>1304</v>
      </c>
      <c r="J280" s="2931">
        <v>8</v>
      </c>
      <c r="K280" s="2931">
        <v>10</v>
      </c>
      <c r="L280" s="2931">
        <v>13</v>
      </c>
      <c r="M280" s="373">
        <v>15</v>
      </c>
      <c r="N280" s="2931">
        <v>100</v>
      </c>
      <c r="O280" s="2931">
        <v>180</v>
      </c>
      <c r="P280" s="2931">
        <v>240</v>
      </c>
      <c r="Q280" s="373">
        <v>300</v>
      </c>
      <c r="R280" s="2931">
        <v>10</v>
      </c>
      <c r="S280" s="2931">
        <v>20</v>
      </c>
      <c r="T280" s="2931">
        <v>25</v>
      </c>
      <c r="U280" s="373">
        <v>30</v>
      </c>
      <c r="V280" s="2926" t="s">
        <v>4338</v>
      </c>
      <c r="W280" s="2926" t="s">
        <v>4339</v>
      </c>
      <c r="X280" s="2926" t="s">
        <v>4340</v>
      </c>
      <c r="Y280" s="2926" t="s">
        <v>4341</v>
      </c>
      <c r="Z280" s="2926" t="s">
        <v>4342</v>
      </c>
      <c r="AA280" s="371"/>
    </row>
    <row r="281" spans="1:27" ht="12.75" customHeight="1" x14ac:dyDescent="0.2">
      <c r="A281" s="6418"/>
      <c r="B281" s="251" t="str">
        <f t="shared" si="4"/>
        <v>Tierra60</v>
      </c>
      <c r="D281" s="272" t="s">
        <v>9883</v>
      </c>
      <c r="E281" s="2931" t="s">
        <v>1703</v>
      </c>
      <c r="F281" s="2931">
        <v>60</v>
      </c>
      <c r="G281" s="2934" t="s">
        <v>2087</v>
      </c>
      <c r="H281" s="2934" t="s">
        <v>1233</v>
      </c>
      <c r="I281" s="376" t="s">
        <v>1304</v>
      </c>
      <c r="J281" s="2931">
        <v>7</v>
      </c>
      <c r="K281" s="2931">
        <v>10</v>
      </c>
      <c r="L281" s="2931">
        <v>13</v>
      </c>
      <c r="M281" s="373">
        <v>16</v>
      </c>
      <c r="N281" s="2931">
        <v>140</v>
      </c>
      <c r="O281" s="2931">
        <v>200</v>
      </c>
      <c r="P281" s="2931">
        <v>260</v>
      </c>
      <c r="Q281" s="373">
        <v>320</v>
      </c>
      <c r="R281" s="2931">
        <v>10</v>
      </c>
      <c r="S281" s="2931">
        <v>10</v>
      </c>
      <c r="T281" s="2931">
        <v>15</v>
      </c>
      <c r="U281" s="373">
        <v>20</v>
      </c>
      <c r="V281" s="2926" t="s">
        <v>3589</v>
      </c>
      <c r="W281" s="2926" t="s">
        <v>4343</v>
      </c>
      <c r="X281" s="2926" t="s">
        <v>3321</v>
      </c>
      <c r="Y281" s="2926" t="s">
        <v>3775</v>
      </c>
      <c r="Z281" s="2926" t="s">
        <v>4344</v>
      </c>
      <c r="AA281" s="371"/>
    </row>
    <row r="282" spans="1:27" ht="12.75" customHeight="1" x14ac:dyDescent="0.2">
      <c r="A282" s="6418"/>
      <c r="B282" s="251" t="str">
        <f t="shared" si="4"/>
        <v>Tierra62</v>
      </c>
      <c r="D282" s="272" t="s">
        <v>9884</v>
      </c>
      <c r="E282" s="2931" t="s">
        <v>1703</v>
      </c>
      <c r="F282" s="2931">
        <v>62</v>
      </c>
      <c r="G282" s="2934" t="s">
        <v>1381</v>
      </c>
      <c r="H282" s="2934" t="s">
        <v>1234</v>
      </c>
      <c r="I282" s="376" t="s">
        <v>1304</v>
      </c>
      <c r="J282" s="2931">
        <v>8</v>
      </c>
      <c r="K282" s="2931">
        <v>10</v>
      </c>
      <c r="L282" s="2931">
        <v>12</v>
      </c>
      <c r="M282" s="373">
        <v>14</v>
      </c>
      <c r="N282" s="2931">
        <v>150</v>
      </c>
      <c r="O282" s="2931">
        <v>200</v>
      </c>
      <c r="P282" s="2931">
        <v>250</v>
      </c>
      <c r="Q282" s="373">
        <v>300</v>
      </c>
      <c r="R282" s="2931" t="s">
        <v>1381</v>
      </c>
      <c r="S282" s="2931" t="s">
        <v>1381</v>
      </c>
      <c r="T282" s="2931" t="s">
        <v>1381</v>
      </c>
      <c r="U282" s="373" t="s">
        <v>1381</v>
      </c>
      <c r="V282" s="2926" t="s">
        <v>4345</v>
      </c>
      <c r="W282" s="2926" t="s">
        <v>4346</v>
      </c>
      <c r="X282" s="2926" t="s">
        <v>4347</v>
      </c>
      <c r="Y282" s="2926" t="s">
        <v>4348</v>
      </c>
      <c r="Z282" s="2926" t="s">
        <v>4349</v>
      </c>
      <c r="AA282" s="371"/>
    </row>
    <row r="283" spans="1:27" ht="12.75" customHeight="1" x14ac:dyDescent="0.2">
      <c r="A283" s="6418"/>
      <c r="B283" s="251" t="str">
        <f t="shared" si="4"/>
        <v>Tierra66</v>
      </c>
      <c r="D283" s="272" t="s">
        <v>9885</v>
      </c>
      <c r="E283" s="2931" t="s">
        <v>1703</v>
      </c>
      <c r="F283" s="2931">
        <v>66</v>
      </c>
      <c r="G283" s="2934" t="s">
        <v>2087</v>
      </c>
      <c r="H283" s="2934" t="s">
        <v>3209</v>
      </c>
      <c r="I283" s="376" t="s">
        <v>1304</v>
      </c>
      <c r="J283" s="2931">
        <v>10</v>
      </c>
      <c r="K283" s="2931">
        <v>12</v>
      </c>
      <c r="L283" s="2931">
        <v>14</v>
      </c>
      <c r="M283" s="373">
        <v>16</v>
      </c>
      <c r="N283" s="2931">
        <v>200</v>
      </c>
      <c r="O283" s="2931">
        <v>240</v>
      </c>
      <c r="P283" s="2931">
        <v>280</v>
      </c>
      <c r="Q283" s="373">
        <v>320</v>
      </c>
      <c r="R283" s="2931">
        <v>40</v>
      </c>
      <c r="S283" s="2931">
        <v>50</v>
      </c>
      <c r="T283" s="2931">
        <v>60</v>
      </c>
      <c r="U283" s="373">
        <v>65</v>
      </c>
      <c r="V283" s="2926" t="s">
        <v>4350</v>
      </c>
      <c r="W283" s="2926" t="s">
        <v>4351</v>
      </c>
      <c r="X283" s="2926" t="s">
        <v>4352</v>
      </c>
      <c r="Y283" s="2926" t="s">
        <v>4353</v>
      </c>
      <c r="Z283" s="2926" t="s">
        <v>4354</v>
      </c>
      <c r="AA283" s="371"/>
    </row>
    <row r="284" spans="1:27" ht="12.75" customHeight="1" x14ac:dyDescent="0.2">
      <c r="A284" s="6418"/>
      <c r="B284" s="251" t="str">
        <f t="shared" si="4"/>
        <v>Tierra70</v>
      </c>
      <c r="D284" s="272" t="s">
        <v>9886</v>
      </c>
      <c r="E284" s="2931" t="s">
        <v>1703</v>
      </c>
      <c r="F284" s="2931">
        <v>70</v>
      </c>
      <c r="G284" s="2934" t="s">
        <v>2087</v>
      </c>
      <c r="H284" s="2934" t="s">
        <v>1234</v>
      </c>
      <c r="I284" s="376" t="s">
        <v>1304</v>
      </c>
      <c r="J284" s="2931">
        <v>8</v>
      </c>
      <c r="K284" s="2931">
        <v>10</v>
      </c>
      <c r="L284" s="2931">
        <v>12</v>
      </c>
      <c r="M284" s="373">
        <v>15</v>
      </c>
      <c r="N284" s="2931">
        <v>120</v>
      </c>
      <c r="O284" s="2931">
        <v>180</v>
      </c>
      <c r="P284" s="2931">
        <v>240</v>
      </c>
      <c r="Q284" s="373">
        <v>300</v>
      </c>
      <c r="R284" s="2931">
        <v>15</v>
      </c>
      <c r="S284" s="2931">
        <v>20</v>
      </c>
      <c r="T284" s="2931">
        <v>25</v>
      </c>
      <c r="U284" s="373">
        <v>30</v>
      </c>
      <c r="V284" s="2926" t="s">
        <v>4355</v>
      </c>
      <c r="W284" s="2926" t="s">
        <v>4356</v>
      </c>
      <c r="X284" s="2926" t="s">
        <v>4357</v>
      </c>
      <c r="Y284" s="2926" t="s">
        <v>4358</v>
      </c>
      <c r="Z284" s="2926" t="s">
        <v>4359</v>
      </c>
      <c r="AA284" s="371"/>
    </row>
    <row r="285" spans="1:27" ht="12.75" customHeight="1" x14ac:dyDescent="0.2">
      <c r="A285" s="6418"/>
      <c r="B285" s="251" t="str">
        <f t="shared" si="4"/>
        <v>Tierra72</v>
      </c>
      <c r="D285" s="272" t="s">
        <v>9887</v>
      </c>
      <c r="E285" s="2931" t="s">
        <v>1703</v>
      </c>
      <c r="F285" s="2931">
        <v>72</v>
      </c>
      <c r="G285" s="2934" t="s">
        <v>1381</v>
      </c>
      <c r="H285" s="2934" t="s">
        <v>1234</v>
      </c>
      <c r="I285" s="376" t="s">
        <v>1304</v>
      </c>
      <c r="J285" s="2931">
        <v>7</v>
      </c>
      <c r="K285" s="2931">
        <v>10</v>
      </c>
      <c r="L285" s="2931">
        <v>12</v>
      </c>
      <c r="M285" s="373">
        <v>15</v>
      </c>
      <c r="N285" s="2931">
        <v>120</v>
      </c>
      <c r="O285" s="2931">
        <v>270</v>
      </c>
      <c r="P285" s="2931">
        <v>360</v>
      </c>
      <c r="Q285" s="373">
        <v>450</v>
      </c>
      <c r="R285" s="2931" t="s">
        <v>1381</v>
      </c>
      <c r="S285" s="2931" t="s">
        <v>1381</v>
      </c>
      <c r="T285" s="2931" t="s">
        <v>1381</v>
      </c>
      <c r="U285" s="373" t="s">
        <v>1381</v>
      </c>
      <c r="V285" s="2926" t="s">
        <v>3396</v>
      </c>
      <c r="W285" s="2926" t="s">
        <v>4360</v>
      </c>
      <c r="X285" s="2926" t="s">
        <v>4361</v>
      </c>
      <c r="Y285" s="2926" t="s">
        <v>4362</v>
      </c>
      <c r="Z285" s="2926" t="s">
        <v>4363</v>
      </c>
      <c r="AA285" s="371"/>
    </row>
    <row r="286" spans="1:27" ht="12.75" customHeight="1" x14ac:dyDescent="0.2">
      <c r="A286" s="6418"/>
      <c r="B286" s="251" t="str">
        <f t="shared" si="4"/>
        <v>Tierra76</v>
      </c>
      <c r="D286" s="272" t="s">
        <v>9888</v>
      </c>
      <c r="E286" s="2931" t="s">
        <v>1703</v>
      </c>
      <c r="F286" s="2931">
        <v>76</v>
      </c>
      <c r="G286" s="2934" t="s">
        <v>1381</v>
      </c>
      <c r="H286" s="2934" t="s">
        <v>4364</v>
      </c>
      <c r="I286" s="376" t="s">
        <v>1304</v>
      </c>
      <c r="J286" s="2931">
        <v>8</v>
      </c>
      <c r="K286" s="2931">
        <v>10</v>
      </c>
      <c r="L286" s="2931">
        <v>12</v>
      </c>
      <c r="M286" s="373">
        <v>14</v>
      </c>
      <c r="N286" s="2931">
        <v>150</v>
      </c>
      <c r="O286" s="2931">
        <v>200</v>
      </c>
      <c r="P286" s="2931">
        <v>300</v>
      </c>
      <c r="Q286" s="373">
        <v>400</v>
      </c>
      <c r="R286" s="2931">
        <v>15</v>
      </c>
      <c r="S286" s="2931">
        <v>20</v>
      </c>
      <c r="T286" s="2931">
        <v>25</v>
      </c>
      <c r="U286" s="373">
        <v>30</v>
      </c>
      <c r="V286" s="2926" t="s">
        <v>3396</v>
      </c>
      <c r="W286" s="2926" t="s">
        <v>4360</v>
      </c>
      <c r="X286" s="2926" t="s">
        <v>4361</v>
      </c>
      <c r="Y286" s="2926" t="s">
        <v>4362</v>
      </c>
      <c r="Z286" s="2926" t="s">
        <v>4365</v>
      </c>
      <c r="AA286" s="371"/>
    </row>
    <row r="287" spans="1:27" ht="12.75" customHeight="1" x14ac:dyDescent="0.2">
      <c r="A287" s="6418"/>
      <c r="B287" s="251" t="str">
        <f t="shared" si="4"/>
        <v>Tierra80</v>
      </c>
      <c r="D287" s="272" t="s">
        <v>9889</v>
      </c>
      <c r="E287" s="2931" t="s">
        <v>1703</v>
      </c>
      <c r="F287" s="2931">
        <v>80</v>
      </c>
      <c r="G287" s="2934" t="s">
        <v>1381</v>
      </c>
      <c r="H287" s="2934" t="s">
        <v>3209</v>
      </c>
      <c r="I287" s="376" t="s">
        <v>1304</v>
      </c>
      <c r="J287" s="2931">
        <v>9</v>
      </c>
      <c r="K287" s="2931">
        <v>12</v>
      </c>
      <c r="L287" s="2931">
        <v>15</v>
      </c>
      <c r="M287" s="373">
        <v>17</v>
      </c>
      <c r="N287" s="2931">
        <v>180</v>
      </c>
      <c r="O287" s="2931">
        <v>250</v>
      </c>
      <c r="P287" s="2931">
        <v>320</v>
      </c>
      <c r="Q287" s="373">
        <v>400</v>
      </c>
      <c r="R287" s="2931">
        <v>20</v>
      </c>
      <c r="S287" s="2931">
        <v>25</v>
      </c>
      <c r="T287" s="2931">
        <v>30</v>
      </c>
      <c r="U287" s="373">
        <v>40</v>
      </c>
      <c r="V287" s="2926" t="s">
        <v>4366</v>
      </c>
      <c r="W287" s="2926" t="s">
        <v>3506</v>
      </c>
      <c r="X287" s="2926" t="s">
        <v>3395</v>
      </c>
      <c r="Y287" s="2926" t="s">
        <v>4266</v>
      </c>
      <c r="Z287" s="2926" t="s">
        <v>4367</v>
      </c>
      <c r="AA287" s="371"/>
    </row>
    <row r="288" spans="1:27" ht="12.75" customHeight="1" x14ac:dyDescent="0.2">
      <c r="A288" s="6418"/>
      <c r="B288" s="251" t="str">
        <f t="shared" si="4"/>
        <v>Tierra82</v>
      </c>
      <c r="D288" s="272" t="s">
        <v>9890</v>
      </c>
      <c r="E288" s="2931" t="s">
        <v>1703</v>
      </c>
      <c r="F288" s="2931">
        <v>82</v>
      </c>
      <c r="G288" s="2934" t="s">
        <v>2087</v>
      </c>
      <c r="H288" s="2934" t="s">
        <v>1234</v>
      </c>
      <c r="I288" s="376" t="s">
        <v>1304</v>
      </c>
      <c r="J288" s="2931">
        <v>10</v>
      </c>
      <c r="K288" s="2931">
        <v>12</v>
      </c>
      <c r="L288" s="2931">
        <v>14</v>
      </c>
      <c r="M288" s="373">
        <v>16</v>
      </c>
      <c r="N288" s="2931">
        <v>250</v>
      </c>
      <c r="O288" s="2931">
        <v>350</v>
      </c>
      <c r="P288" s="2931">
        <v>500</v>
      </c>
      <c r="Q288" s="373">
        <v>700</v>
      </c>
      <c r="R288" s="2931">
        <v>50</v>
      </c>
      <c r="S288" s="2931">
        <v>70</v>
      </c>
      <c r="T288" s="2931">
        <v>100</v>
      </c>
      <c r="U288" s="373">
        <v>140</v>
      </c>
      <c r="V288" s="2926" t="s">
        <v>3656</v>
      </c>
      <c r="W288" s="2926" t="s">
        <v>3355</v>
      </c>
      <c r="X288" s="2926" t="s">
        <v>4368</v>
      </c>
      <c r="Y288" s="2926" t="s">
        <v>4369</v>
      </c>
      <c r="Z288" s="2926" t="s">
        <v>4370</v>
      </c>
      <c r="AA288" s="371"/>
    </row>
    <row r="289" spans="1:27" ht="12.75" customHeight="1" x14ac:dyDescent="0.2">
      <c r="A289" s="6418"/>
      <c r="B289" s="251" t="str">
        <f t="shared" si="4"/>
        <v>Tierra86</v>
      </c>
      <c r="D289" s="272" t="s">
        <v>9891</v>
      </c>
      <c r="E289" s="2931" t="s">
        <v>1703</v>
      </c>
      <c r="F289" s="2931">
        <v>86</v>
      </c>
      <c r="G289" s="2934" t="s">
        <v>2087</v>
      </c>
      <c r="H289" s="2934" t="s">
        <v>3209</v>
      </c>
      <c r="I289" s="376" t="s">
        <v>1304</v>
      </c>
      <c r="J289" s="2931">
        <v>10</v>
      </c>
      <c r="K289" s="2931">
        <v>12</v>
      </c>
      <c r="L289" s="2931">
        <v>14</v>
      </c>
      <c r="M289" s="373">
        <v>16</v>
      </c>
      <c r="N289" s="2931">
        <v>200</v>
      </c>
      <c r="O289" s="2931">
        <v>240</v>
      </c>
      <c r="P289" s="2931">
        <v>280</v>
      </c>
      <c r="Q289" s="373">
        <v>320</v>
      </c>
      <c r="R289" s="2931">
        <v>20</v>
      </c>
      <c r="S289" s="2931">
        <v>25</v>
      </c>
      <c r="T289" s="2931">
        <v>30</v>
      </c>
      <c r="U289" s="373">
        <v>35</v>
      </c>
      <c r="V289" s="2926" t="s">
        <v>4371</v>
      </c>
      <c r="W289" s="2926" t="s">
        <v>4372</v>
      </c>
      <c r="X289" s="2926" t="s">
        <v>4373</v>
      </c>
      <c r="Y289" s="2926" t="s">
        <v>4374</v>
      </c>
      <c r="Z289" s="2926" t="s">
        <v>4375</v>
      </c>
      <c r="AA289" s="371"/>
    </row>
    <row r="290" spans="1:27" ht="12.75" customHeight="1" x14ac:dyDescent="0.2">
      <c r="A290" s="6418"/>
      <c r="B290" s="251" t="str">
        <f t="shared" si="4"/>
        <v>Tierra90</v>
      </c>
      <c r="D290" s="272" t="s">
        <v>2702</v>
      </c>
      <c r="E290" s="2931" t="s">
        <v>1703</v>
      </c>
      <c r="F290" s="2931">
        <v>90</v>
      </c>
      <c r="G290" s="2934" t="s">
        <v>1381</v>
      </c>
      <c r="H290" s="2934" t="s">
        <v>1232</v>
      </c>
      <c r="I290" s="376" t="s">
        <v>1304</v>
      </c>
      <c r="J290" s="2931">
        <v>10</v>
      </c>
      <c r="K290" s="2931">
        <v>13</v>
      </c>
      <c r="L290" s="2931">
        <v>15</v>
      </c>
      <c r="M290" s="373">
        <v>17</v>
      </c>
      <c r="N290" s="2931">
        <v>200</v>
      </c>
      <c r="O290" s="2931">
        <v>250</v>
      </c>
      <c r="P290" s="2931">
        <v>350</v>
      </c>
      <c r="Q290" s="373">
        <v>450</v>
      </c>
      <c r="R290" s="2931" t="s">
        <v>1381</v>
      </c>
      <c r="S290" s="2931" t="s">
        <v>1381</v>
      </c>
      <c r="T290" s="2931" t="s">
        <v>1381</v>
      </c>
      <c r="U290" s="373" t="s">
        <v>1381</v>
      </c>
      <c r="V290" s="2926" t="s">
        <v>4376</v>
      </c>
      <c r="W290" s="2926" t="s">
        <v>4377</v>
      </c>
      <c r="X290" s="2926" t="s">
        <v>4378</v>
      </c>
      <c r="Y290" s="2926" t="s">
        <v>4379</v>
      </c>
      <c r="Z290" s="2926" t="s">
        <v>4380</v>
      </c>
      <c r="AA290" s="371"/>
    </row>
    <row r="291" spans="1:27" ht="12.75" customHeight="1" x14ac:dyDescent="0.2">
      <c r="A291" s="6418"/>
      <c r="B291" s="251" t="str">
        <f t="shared" si="4"/>
        <v>Tierra92</v>
      </c>
      <c r="D291" s="272" t="s">
        <v>9892</v>
      </c>
      <c r="E291" s="2931" t="s">
        <v>1703</v>
      </c>
      <c r="F291" s="2931">
        <v>92</v>
      </c>
      <c r="G291" s="2934" t="s">
        <v>2087</v>
      </c>
      <c r="H291" s="2934" t="s">
        <v>1234</v>
      </c>
      <c r="I291" s="376" t="s">
        <v>1304</v>
      </c>
      <c r="J291" s="2931">
        <v>12</v>
      </c>
      <c r="K291" s="2931">
        <v>14</v>
      </c>
      <c r="L291" s="2931">
        <v>16</v>
      </c>
      <c r="M291" s="373">
        <v>18</v>
      </c>
      <c r="N291" s="2931">
        <v>350</v>
      </c>
      <c r="O291" s="2931">
        <v>500</v>
      </c>
      <c r="P291" s="2931">
        <v>650</v>
      </c>
      <c r="Q291" s="373">
        <v>800</v>
      </c>
      <c r="R291" s="2931">
        <v>70</v>
      </c>
      <c r="S291" s="2931">
        <v>100</v>
      </c>
      <c r="T291" s="2931">
        <v>130</v>
      </c>
      <c r="U291" s="373">
        <v>160</v>
      </c>
      <c r="V291" s="2926" t="s">
        <v>4381</v>
      </c>
      <c r="W291" s="2926" t="s">
        <v>4382</v>
      </c>
      <c r="X291" s="2926" t="s">
        <v>4383</v>
      </c>
      <c r="Y291" s="2926" t="s">
        <v>4384</v>
      </c>
      <c r="Z291" s="2926" t="s">
        <v>4385</v>
      </c>
      <c r="AA291" s="371"/>
    </row>
    <row r="292" spans="1:27" ht="12.75" customHeight="1" x14ac:dyDescent="0.2">
      <c r="A292" s="6418"/>
      <c r="B292" s="251" t="str">
        <f t="shared" si="4"/>
        <v>Tierra96</v>
      </c>
      <c r="D292" s="272" t="s">
        <v>9893</v>
      </c>
      <c r="E292" s="2931" t="s">
        <v>1703</v>
      </c>
      <c r="F292" s="2931">
        <v>96</v>
      </c>
      <c r="G292" s="2934" t="s">
        <v>2087</v>
      </c>
      <c r="H292" s="2934" t="s">
        <v>3209</v>
      </c>
      <c r="I292" s="376" t="s">
        <v>1304</v>
      </c>
      <c r="J292" s="2931">
        <v>10</v>
      </c>
      <c r="K292" s="2931">
        <v>12</v>
      </c>
      <c r="L292" s="2931">
        <v>15</v>
      </c>
      <c r="M292" s="373">
        <v>18</v>
      </c>
      <c r="N292" s="2931">
        <v>300</v>
      </c>
      <c r="O292" s="2931">
        <v>450</v>
      </c>
      <c r="P292" s="2931">
        <v>600</v>
      </c>
      <c r="Q292" s="373">
        <v>1000</v>
      </c>
      <c r="R292" s="2931">
        <v>30</v>
      </c>
      <c r="S292" s="2931">
        <v>45</v>
      </c>
      <c r="T292" s="2931">
        <v>60</v>
      </c>
      <c r="U292" s="373">
        <v>100</v>
      </c>
      <c r="V292" s="2926" t="s">
        <v>4386</v>
      </c>
      <c r="W292" s="2926" t="s">
        <v>4387</v>
      </c>
      <c r="X292" s="2926" t="s">
        <v>4388</v>
      </c>
      <c r="Y292" s="2926" t="s">
        <v>4389</v>
      </c>
      <c r="Z292" s="2926" t="s">
        <v>4390</v>
      </c>
      <c r="AA292" s="371"/>
    </row>
    <row r="293" spans="1:27" ht="12.75" customHeight="1" x14ac:dyDescent="0.2">
      <c r="A293" s="6418"/>
      <c r="B293" s="251" t="str">
        <f t="shared" si="4"/>
        <v>Tierra100</v>
      </c>
      <c r="D293" s="272" t="s">
        <v>9894</v>
      </c>
      <c r="E293" s="2931" t="s">
        <v>1703</v>
      </c>
      <c r="F293" s="2931">
        <v>100</v>
      </c>
      <c r="G293" s="2934" t="s">
        <v>1381</v>
      </c>
      <c r="H293" s="2934" t="s">
        <v>3209</v>
      </c>
      <c r="I293" s="376" t="s">
        <v>1304</v>
      </c>
      <c r="J293" s="2931">
        <v>12</v>
      </c>
      <c r="K293" s="2931">
        <v>14</v>
      </c>
      <c r="L293" s="2931">
        <v>16</v>
      </c>
      <c r="M293" s="373">
        <v>18</v>
      </c>
      <c r="N293" s="2931">
        <v>450</v>
      </c>
      <c r="O293" s="2931">
        <v>800</v>
      </c>
      <c r="P293" s="2931">
        <v>1200</v>
      </c>
      <c r="Q293" s="373">
        <v>1600</v>
      </c>
      <c r="R293" s="2931">
        <v>45</v>
      </c>
      <c r="S293" s="2931">
        <v>80</v>
      </c>
      <c r="T293" s="2931">
        <v>120</v>
      </c>
      <c r="U293" s="373">
        <v>160</v>
      </c>
      <c r="V293" s="2926" t="s">
        <v>4391</v>
      </c>
      <c r="W293" s="2926" t="s">
        <v>4392</v>
      </c>
      <c r="X293" s="2926" t="s">
        <v>4393</v>
      </c>
      <c r="Y293" s="2926" t="s">
        <v>4394</v>
      </c>
      <c r="Z293" s="2926" t="s">
        <v>4395</v>
      </c>
      <c r="AA293" s="371"/>
    </row>
    <row r="294" spans="1:27" ht="12.75" customHeight="1" x14ac:dyDescent="0.2">
      <c r="A294" s="6418"/>
      <c r="B294" s="251" t="str">
        <f t="shared" si="4"/>
        <v/>
      </c>
      <c r="D294" s="272" t="s">
        <v>306</v>
      </c>
      <c r="E294" s="2931"/>
      <c r="F294" s="2931"/>
      <c r="G294" s="2934"/>
      <c r="H294" s="2934"/>
      <c r="I294" s="376"/>
      <c r="J294" s="2931"/>
      <c r="K294" s="2931"/>
      <c r="L294" s="2931"/>
      <c r="M294" s="373"/>
      <c r="N294" s="2931"/>
      <c r="O294" s="2931"/>
      <c r="P294" s="2931"/>
      <c r="Q294" s="373"/>
      <c r="R294" s="2931"/>
      <c r="S294" s="2931"/>
      <c r="T294" s="2931"/>
      <c r="U294" s="373"/>
      <c r="V294" s="2926"/>
      <c r="W294" s="2926"/>
      <c r="X294" s="2926"/>
      <c r="Y294" s="2926"/>
      <c r="Z294" s="2926"/>
      <c r="AA294" s="371"/>
    </row>
    <row r="295" spans="1:27" ht="12.75" customHeight="1" x14ac:dyDescent="0.2">
      <c r="A295" s="6418"/>
      <c r="B295" s="251" t="str">
        <f t="shared" si="4"/>
        <v>Esencia2</v>
      </c>
      <c r="D295" s="272" t="s">
        <v>9895</v>
      </c>
      <c r="E295" s="2931" t="s">
        <v>1708</v>
      </c>
      <c r="F295" s="2931">
        <v>2</v>
      </c>
      <c r="G295" s="2934" t="s">
        <v>2087</v>
      </c>
      <c r="H295" s="2934" t="s">
        <v>1234</v>
      </c>
      <c r="I295" s="376" t="s">
        <v>1304</v>
      </c>
      <c r="J295" s="2931">
        <v>5</v>
      </c>
      <c r="K295" s="2931">
        <v>8</v>
      </c>
      <c r="L295" s="2931">
        <v>10</v>
      </c>
      <c r="M295" s="373">
        <v>12</v>
      </c>
      <c r="N295" s="2931">
        <v>30</v>
      </c>
      <c r="O295" s="2931">
        <v>80</v>
      </c>
      <c r="P295" s="2931">
        <v>100</v>
      </c>
      <c r="Q295" s="373">
        <v>120</v>
      </c>
      <c r="R295" s="2931">
        <v>5</v>
      </c>
      <c r="S295" s="2931">
        <v>10</v>
      </c>
      <c r="T295" s="2931">
        <v>10</v>
      </c>
      <c r="U295" s="373">
        <v>15</v>
      </c>
      <c r="V295" s="2926" t="s">
        <v>4396</v>
      </c>
      <c r="W295" s="2926" t="s">
        <v>4397</v>
      </c>
      <c r="X295" s="2926" t="s">
        <v>4398</v>
      </c>
      <c r="Y295" s="2926" t="s">
        <v>4399</v>
      </c>
      <c r="Z295" s="2926" t="s">
        <v>4400</v>
      </c>
      <c r="AA295" s="371"/>
    </row>
    <row r="296" spans="1:27" ht="12.75" customHeight="1" x14ac:dyDescent="0.2">
      <c r="A296" s="6418"/>
      <c r="B296" s="251" t="str">
        <f t="shared" si="4"/>
        <v>Esencia6</v>
      </c>
      <c r="D296" s="272" t="s">
        <v>307</v>
      </c>
      <c r="E296" s="2931" t="s">
        <v>1708</v>
      </c>
      <c r="F296" s="2931">
        <v>6</v>
      </c>
      <c r="G296" s="2934" t="s">
        <v>1381</v>
      </c>
      <c r="H296" s="2934" t="s">
        <v>4066</v>
      </c>
      <c r="I296" s="376" t="s">
        <v>1304</v>
      </c>
      <c r="J296" s="2931">
        <v>5</v>
      </c>
      <c r="K296" s="2931">
        <v>8</v>
      </c>
      <c r="L296" s="2931">
        <v>10</v>
      </c>
      <c r="M296" s="373">
        <v>12</v>
      </c>
      <c r="N296" s="2931">
        <v>30</v>
      </c>
      <c r="O296" s="2931">
        <v>60</v>
      </c>
      <c r="P296" s="2931">
        <v>100</v>
      </c>
      <c r="Q296" s="373">
        <v>140</v>
      </c>
      <c r="R296" s="2931">
        <v>5</v>
      </c>
      <c r="S296" s="2931">
        <v>10</v>
      </c>
      <c r="T296" s="2931">
        <v>10</v>
      </c>
      <c r="U296" s="373">
        <v>15</v>
      </c>
      <c r="V296" s="2926" t="s">
        <v>4401</v>
      </c>
      <c r="W296" s="2926" t="s">
        <v>3782</v>
      </c>
      <c r="X296" s="2926" t="s">
        <v>4402</v>
      </c>
      <c r="Y296" s="2926" t="s">
        <v>4403</v>
      </c>
      <c r="Z296" s="2926" t="s">
        <v>4404</v>
      </c>
      <c r="AA296" s="371"/>
    </row>
    <row r="297" spans="1:27" ht="12.75" customHeight="1" x14ac:dyDescent="0.2">
      <c r="A297" s="6418"/>
      <c r="B297" s="251" t="str">
        <f t="shared" si="4"/>
        <v>Esencia10</v>
      </c>
      <c r="D297" s="272" t="s">
        <v>9896</v>
      </c>
      <c r="E297" s="2931" t="s">
        <v>1708</v>
      </c>
      <c r="F297" s="2931">
        <v>10</v>
      </c>
      <c r="G297" s="2934" t="s">
        <v>2087</v>
      </c>
      <c r="H297" s="2934" t="s">
        <v>4066</v>
      </c>
      <c r="I297" s="376" t="s">
        <v>1304</v>
      </c>
      <c r="J297" s="2931">
        <v>6</v>
      </c>
      <c r="K297" s="2931">
        <v>9</v>
      </c>
      <c r="L297" s="2931">
        <v>10</v>
      </c>
      <c r="M297" s="373">
        <v>13</v>
      </c>
      <c r="N297" s="2931">
        <v>30</v>
      </c>
      <c r="O297" s="2931">
        <v>70</v>
      </c>
      <c r="P297" s="2931">
        <v>100</v>
      </c>
      <c r="Q297" s="373">
        <v>150</v>
      </c>
      <c r="R297" s="2931">
        <v>10</v>
      </c>
      <c r="S297" s="2931">
        <v>20</v>
      </c>
      <c r="T297" s="2931">
        <v>20</v>
      </c>
      <c r="U297" s="373">
        <v>25</v>
      </c>
      <c r="V297" s="2926" t="s">
        <v>4405</v>
      </c>
      <c r="W297" s="2926" t="s">
        <v>4406</v>
      </c>
      <c r="X297" s="2926" t="s">
        <v>4407</v>
      </c>
      <c r="Y297" s="2926" t="s">
        <v>4408</v>
      </c>
      <c r="Z297" s="2926" t="s">
        <v>10458</v>
      </c>
      <c r="AA297" s="371"/>
    </row>
    <row r="298" spans="1:27" ht="12.75" customHeight="1" x14ac:dyDescent="0.2">
      <c r="A298" s="6418"/>
      <c r="B298" s="251" t="str">
        <f t="shared" si="4"/>
        <v>Esencia12</v>
      </c>
      <c r="D298" s="272" t="s">
        <v>9897</v>
      </c>
      <c r="E298" s="2931" t="s">
        <v>1708</v>
      </c>
      <c r="F298" s="2931">
        <v>12</v>
      </c>
      <c r="G298" s="2934" t="s">
        <v>1381</v>
      </c>
      <c r="H298" s="2934" t="s">
        <v>1234</v>
      </c>
      <c r="I298" s="376" t="s">
        <v>1304</v>
      </c>
      <c r="J298" s="2931">
        <v>6</v>
      </c>
      <c r="K298" s="2931">
        <v>9</v>
      </c>
      <c r="L298" s="2931">
        <v>10</v>
      </c>
      <c r="M298" s="373">
        <v>13</v>
      </c>
      <c r="N298" s="2931">
        <v>40</v>
      </c>
      <c r="O298" s="2931">
        <v>60</v>
      </c>
      <c r="P298" s="2931">
        <v>90</v>
      </c>
      <c r="Q298" s="373">
        <v>120</v>
      </c>
      <c r="R298" s="2931" t="s">
        <v>1381</v>
      </c>
      <c r="S298" s="2931" t="s">
        <v>1381</v>
      </c>
      <c r="T298" s="2931" t="s">
        <v>1381</v>
      </c>
      <c r="U298" s="373" t="s">
        <v>1381</v>
      </c>
      <c r="V298" s="2926" t="s">
        <v>4409</v>
      </c>
      <c r="W298" s="2926" t="s">
        <v>4410</v>
      </c>
      <c r="X298" s="2926" t="s">
        <v>4411</v>
      </c>
      <c r="Y298" s="2926" t="s">
        <v>4412</v>
      </c>
      <c r="Z298" s="2926" t="s">
        <v>4413</v>
      </c>
      <c r="AA298" s="371"/>
    </row>
    <row r="299" spans="1:27" ht="12.75" customHeight="1" x14ac:dyDescent="0.2">
      <c r="A299" s="6418"/>
      <c r="B299" s="251" t="str">
        <f t="shared" si="4"/>
        <v>Esencia16</v>
      </c>
      <c r="D299" s="272" t="s">
        <v>9898</v>
      </c>
      <c r="E299" s="2931" t="s">
        <v>1708</v>
      </c>
      <c r="F299" s="2931">
        <v>16</v>
      </c>
      <c r="G299" s="2934" t="s">
        <v>1381</v>
      </c>
      <c r="H299" s="2934" t="s">
        <v>1234</v>
      </c>
      <c r="I299" s="376" t="s">
        <v>1304</v>
      </c>
      <c r="J299" s="2931">
        <v>8</v>
      </c>
      <c r="K299" s="2931">
        <v>10</v>
      </c>
      <c r="L299" s="2931">
        <v>13</v>
      </c>
      <c r="M299" s="373">
        <v>15</v>
      </c>
      <c r="N299" s="2931">
        <v>80</v>
      </c>
      <c r="O299" s="2931">
        <v>100</v>
      </c>
      <c r="P299" s="2931">
        <v>120</v>
      </c>
      <c r="Q299" s="373">
        <v>150</v>
      </c>
      <c r="R299" s="2931" t="s">
        <v>1381</v>
      </c>
      <c r="S299" s="2931" t="s">
        <v>1381</v>
      </c>
      <c r="T299" s="2931" t="s">
        <v>1381</v>
      </c>
      <c r="U299" s="373" t="s">
        <v>1381</v>
      </c>
      <c r="V299" s="2926" t="s">
        <v>4414</v>
      </c>
      <c r="W299" s="2926" t="s">
        <v>4415</v>
      </c>
      <c r="X299" s="2926" t="s">
        <v>4416</v>
      </c>
      <c r="Y299" s="2926" t="s">
        <v>4417</v>
      </c>
      <c r="Z299" s="2926" t="s">
        <v>4418</v>
      </c>
      <c r="AA299" s="371"/>
    </row>
    <row r="300" spans="1:27" ht="12.75" customHeight="1" x14ac:dyDescent="0.2">
      <c r="A300" s="6418"/>
      <c r="B300" s="251" t="str">
        <f t="shared" si="4"/>
        <v>Esencia20</v>
      </c>
      <c r="D300" s="272" t="s">
        <v>9899</v>
      </c>
      <c r="E300" s="2931" t="s">
        <v>1708</v>
      </c>
      <c r="F300" s="2931">
        <v>20</v>
      </c>
      <c r="G300" s="2934" t="s">
        <v>2087</v>
      </c>
      <c r="H300" s="2934" t="s">
        <v>1564</v>
      </c>
      <c r="I300" s="376" t="s">
        <v>1304</v>
      </c>
      <c r="J300" s="2931">
        <v>6</v>
      </c>
      <c r="K300" s="2931">
        <v>9</v>
      </c>
      <c r="L300" s="2931">
        <v>12</v>
      </c>
      <c r="M300" s="373">
        <v>15</v>
      </c>
      <c r="N300" s="2931">
        <v>40</v>
      </c>
      <c r="O300" s="2931">
        <v>60</v>
      </c>
      <c r="P300" s="2931">
        <v>90</v>
      </c>
      <c r="Q300" s="373">
        <v>120</v>
      </c>
      <c r="R300" s="2931">
        <v>5</v>
      </c>
      <c r="S300" s="2931">
        <v>10</v>
      </c>
      <c r="T300" s="2931">
        <v>10</v>
      </c>
      <c r="U300" s="373">
        <v>15</v>
      </c>
      <c r="V300" s="2926" t="s">
        <v>4419</v>
      </c>
      <c r="W300" s="2926" t="s">
        <v>4420</v>
      </c>
      <c r="X300" s="2926" t="s">
        <v>4421</v>
      </c>
      <c r="Y300" s="2926" t="s">
        <v>4422</v>
      </c>
      <c r="Z300" s="2926" t="s">
        <v>4423</v>
      </c>
      <c r="AA300" s="371"/>
    </row>
    <row r="301" spans="1:27" ht="12.75" customHeight="1" x14ac:dyDescent="0.2">
      <c r="A301" s="6418"/>
      <c r="B301" s="251" t="str">
        <f t="shared" si="4"/>
        <v>Esencia22</v>
      </c>
      <c r="D301" s="272" t="s">
        <v>9900</v>
      </c>
      <c r="E301" s="2931" t="s">
        <v>1708</v>
      </c>
      <c r="F301" s="2931">
        <v>22</v>
      </c>
      <c r="G301" s="2934" t="s">
        <v>2087</v>
      </c>
      <c r="H301" s="2934" t="s">
        <v>1234</v>
      </c>
      <c r="I301" s="376" t="s">
        <v>1304</v>
      </c>
      <c r="J301" s="2931">
        <v>6</v>
      </c>
      <c r="K301" s="2931">
        <v>9</v>
      </c>
      <c r="L301" s="2931">
        <v>12</v>
      </c>
      <c r="M301" s="373">
        <v>15</v>
      </c>
      <c r="N301" s="2931">
        <v>60</v>
      </c>
      <c r="O301" s="2931">
        <v>180</v>
      </c>
      <c r="P301" s="2931">
        <v>240</v>
      </c>
      <c r="Q301" s="373">
        <v>300</v>
      </c>
      <c r="R301" s="2931">
        <v>10</v>
      </c>
      <c r="S301" s="2931">
        <v>20</v>
      </c>
      <c r="T301" s="2931">
        <v>25</v>
      </c>
      <c r="U301" s="373">
        <v>30</v>
      </c>
      <c r="V301" s="2926" t="s">
        <v>4424</v>
      </c>
      <c r="W301" s="2926" t="s">
        <v>4425</v>
      </c>
      <c r="X301" s="2926" t="s">
        <v>4426</v>
      </c>
      <c r="Y301" s="2926" t="s">
        <v>4427</v>
      </c>
      <c r="Z301" s="2926" t="s">
        <v>4428</v>
      </c>
      <c r="AA301" s="371"/>
    </row>
    <row r="302" spans="1:27" ht="12.75" customHeight="1" x14ac:dyDescent="0.2">
      <c r="A302" s="6418"/>
      <c r="B302" s="251" t="str">
        <f t="shared" si="4"/>
        <v>Esencia26</v>
      </c>
      <c r="D302" s="272" t="s">
        <v>9901</v>
      </c>
      <c r="E302" s="2931" t="s">
        <v>1708</v>
      </c>
      <c r="F302" s="2931">
        <v>26</v>
      </c>
      <c r="G302" s="2934" t="s">
        <v>1381</v>
      </c>
      <c r="H302" s="2934" t="s">
        <v>4429</v>
      </c>
      <c r="I302" s="376" t="s">
        <v>1304</v>
      </c>
      <c r="J302" s="2931">
        <v>6</v>
      </c>
      <c r="K302" s="2931">
        <v>8</v>
      </c>
      <c r="L302" s="2931">
        <v>10</v>
      </c>
      <c r="M302" s="373">
        <v>12</v>
      </c>
      <c r="N302" s="2931">
        <v>50</v>
      </c>
      <c r="O302" s="2931">
        <v>80</v>
      </c>
      <c r="P302" s="2931">
        <v>100</v>
      </c>
      <c r="Q302" s="373">
        <v>140</v>
      </c>
      <c r="R302" s="2931">
        <v>5</v>
      </c>
      <c r="S302" s="2931">
        <v>10</v>
      </c>
      <c r="T302" s="2931">
        <v>10</v>
      </c>
      <c r="U302" s="373">
        <v>15</v>
      </c>
      <c r="V302" s="2926" t="s">
        <v>3590</v>
      </c>
      <c r="W302" s="2926" t="s">
        <v>3486</v>
      </c>
      <c r="X302" s="2926" t="s">
        <v>3321</v>
      </c>
      <c r="Y302" s="2926" t="s">
        <v>3487</v>
      </c>
      <c r="Z302" s="2926" t="s">
        <v>4430</v>
      </c>
      <c r="AA302" s="371"/>
    </row>
    <row r="303" spans="1:27" ht="12.75" customHeight="1" x14ac:dyDescent="0.2">
      <c r="A303" s="6418"/>
      <c r="B303" s="251" t="str">
        <f t="shared" si="4"/>
        <v>Esencia30</v>
      </c>
      <c r="D303" s="272" t="s">
        <v>9902</v>
      </c>
      <c r="E303" s="2931" t="s">
        <v>1708</v>
      </c>
      <c r="F303" s="2931">
        <v>30</v>
      </c>
      <c r="G303" s="2934" t="s">
        <v>1381</v>
      </c>
      <c r="H303" s="2934" t="s">
        <v>4429</v>
      </c>
      <c r="I303" s="376" t="s">
        <v>1304</v>
      </c>
      <c r="J303" s="2931">
        <v>6</v>
      </c>
      <c r="K303" s="2931">
        <v>9</v>
      </c>
      <c r="L303" s="2931">
        <v>12</v>
      </c>
      <c r="M303" s="373">
        <v>15</v>
      </c>
      <c r="N303" s="2931">
        <v>60</v>
      </c>
      <c r="O303" s="2931">
        <v>90</v>
      </c>
      <c r="P303" s="2931">
        <v>120</v>
      </c>
      <c r="Q303" s="373">
        <v>150</v>
      </c>
      <c r="R303" s="2931" t="s">
        <v>1381</v>
      </c>
      <c r="S303" s="2931" t="s">
        <v>1381</v>
      </c>
      <c r="T303" s="2931" t="s">
        <v>1381</v>
      </c>
      <c r="U303" s="373" t="s">
        <v>1381</v>
      </c>
      <c r="V303" s="2926" t="s">
        <v>4431</v>
      </c>
      <c r="W303" s="2926" t="s">
        <v>4432</v>
      </c>
      <c r="X303" s="2926" t="s">
        <v>4433</v>
      </c>
      <c r="Y303" s="2926" t="s">
        <v>4434</v>
      </c>
      <c r="Z303" s="2926" t="s">
        <v>4435</v>
      </c>
      <c r="AA303" s="371"/>
    </row>
    <row r="304" spans="1:27" ht="12.75" customHeight="1" x14ac:dyDescent="0.2">
      <c r="A304" s="6418"/>
      <c r="B304" s="251" t="str">
        <f t="shared" si="4"/>
        <v>Esencia32</v>
      </c>
      <c r="D304" s="272" t="s">
        <v>9903</v>
      </c>
      <c r="E304" s="2931" t="s">
        <v>1708</v>
      </c>
      <c r="F304" s="2931">
        <v>32</v>
      </c>
      <c r="G304" s="2934" t="s">
        <v>1381</v>
      </c>
      <c r="H304" s="2934" t="s">
        <v>4066</v>
      </c>
      <c r="I304" s="376" t="s">
        <v>1304</v>
      </c>
      <c r="J304" s="2931">
        <v>7</v>
      </c>
      <c r="K304" s="2931">
        <v>10</v>
      </c>
      <c r="L304" s="2931">
        <v>13</v>
      </c>
      <c r="M304" s="373">
        <v>15</v>
      </c>
      <c r="N304" s="2931">
        <v>60</v>
      </c>
      <c r="O304" s="2931">
        <v>90</v>
      </c>
      <c r="P304" s="2931">
        <v>120</v>
      </c>
      <c r="Q304" s="373">
        <v>150</v>
      </c>
      <c r="R304" s="2931" t="s">
        <v>1381</v>
      </c>
      <c r="S304" s="2931" t="s">
        <v>1381</v>
      </c>
      <c r="T304" s="2931" t="s">
        <v>1381</v>
      </c>
      <c r="U304" s="373" t="s">
        <v>1381</v>
      </c>
      <c r="V304" s="2926" t="s">
        <v>3589</v>
      </c>
      <c r="W304" s="2926" t="s">
        <v>3590</v>
      </c>
      <c r="X304" s="2926" t="s">
        <v>3321</v>
      </c>
      <c r="Y304" s="2926" t="s">
        <v>3487</v>
      </c>
      <c r="Z304" s="2926" t="s">
        <v>4436</v>
      </c>
      <c r="AA304" s="371"/>
    </row>
    <row r="305" spans="1:27" ht="12.75" customHeight="1" x14ac:dyDescent="0.2">
      <c r="A305" s="6418"/>
      <c r="B305" s="251" t="str">
        <f t="shared" si="4"/>
        <v>Esencia36</v>
      </c>
      <c r="D305" s="272" t="s">
        <v>9904</v>
      </c>
      <c r="E305" s="2931" t="s">
        <v>1708</v>
      </c>
      <c r="F305" s="2931">
        <v>36</v>
      </c>
      <c r="G305" s="2934" t="s">
        <v>2087</v>
      </c>
      <c r="H305" s="2934" t="s">
        <v>1234</v>
      </c>
      <c r="I305" s="376" t="s">
        <v>1304</v>
      </c>
      <c r="J305" s="2931">
        <v>7</v>
      </c>
      <c r="K305" s="2931">
        <v>10</v>
      </c>
      <c r="L305" s="2931">
        <v>13</v>
      </c>
      <c r="M305" s="373">
        <v>15</v>
      </c>
      <c r="N305" s="2931">
        <v>120</v>
      </c>
      <c r="O305" s="2931">
        <v>200</v>
      </c>
      <c r="P305" s="2931">
        <v>280</v>
      </c>
      <c r="Q305" s="373">
        <v>360</v>
      </c>
      <c r="R305" s="2931">
        <v>25</v>
      </c>
      <c r="S305" s="2931">
        <v>40</v>
      </c>
      <c r="T305" s="2931">
        <v>60</v>
      </c>
      <c r="U305" s="373">
        <v>80</v>
      </c>
      <c r="V305" s="2926" t="s">
        <v>4437</v>
      </c>
      <c r="W305" s="2926" t="s">
        <v>3612</v>
      </c>
      <c r="X305" s="2926" t="s">
        <v>4438</v>
      </c>
      <c r="Y305" s="2926" t="s">
        <v>3613</v>
      </c>
      <c r="Z305" s="2926" t="s">
        <v>4439</v>
      </c>
      <c r="AA305" s="371"/>
    </row>
    <row r="306" spans="1:27" ht="12.75" customHeight="1" x14ac:dyDescent="0.2">
      <c r="A306" s="6418"/>
      <c r="B306" s="251" t="str">
        <f t="shared" si="4"/>
        <v>Esencia40</v>
      </c>
      <c r="D306" s="272" t="s">
        <v>9905</v>
      </c>
      <c r="E306" s="2931" t="s">
        <v>1708</v>
      </c>
      <c r="F306" s="2931">
        <v>40</v>
      </c>
      <c r="G306" s="2934" t="s">
        <v>1381</v>
      </c>
      <c r="H306" s="2934" t="s">
        <v>4066</v>
      </c>
      <c r="I306" s="376" t="s">
        <v>1304</v>
      </c>
      <c r="J306" s="2931">
        <v>7</v>
      </c>
      <c r="K306" s="2931">
        <v>9</v>
      </c>
      <c r="L306" s="2931">
        <v>12</v>
      </c>
      <c r="M306" s="373">
        <v>15</v>
      </c>
      <c r="N306" s="2931">
        <v>100</v>
      </c>
      <c r="O306" s="2931">
        <v>180</v>
      </c>
      <c r="P306" s="2931">
        <v>240</v>
      </c>
      <c r="Q306" s="373">
        <v>300</v>
      </c>
      <c r="R306" s="2931">
        <v>10</v>
      </c>
      <c r="S306" s="2931">
        <v>20</v>
      </c>
      <c r="T306" s="2931">
        <v>25</v>
      </c>
      <c r="U306" s="373">
        <v>30</v>
      </c>
      <c r="V306" s="2926" t="s">
        <v>3506</v>
      </c>
      <c r="W306" s="2926" t="s">
        <v>4440</v>
      </c>
      <c r="X306" s="2926" t="s">
        <v>3396</v>
      </c>
      <c r="Y306" s="2926" t="s">
        <v>3507</v>
      </c>
      <c r="Z306" s="2926" t="s">
        <v>4441</v>
      </c>
      <c r="AA306" s="371"/>
    </row>
    <row r="307" spans="1:27" ht="12.75" customHeight="1" x14ac:dyDescent="0.2">
      <c r="A307" s="6418"/>
      <c r="B307" s="251" t="str">
        <f t="shared" si="4"/>
        <v>Esencia42</v>
      </c>
      <c r="D307" s="272" t="s">
        <v>9906</v>
      </c>
      <c r="E307" s="2931" t="s">
        <v>1708</v>
      </c>
      <c r="F307" s="2931">
        <v>42</v>
      </c>
      <c r="G307" s="2934" t="s">
        <v>1381</v>
      </c>
      <c r="H307" s="2934" t="s">
        <v>4066</v>
      </c>
      <c r="I307" s="376" t="s">
        <v>1304</v>
      </c>
      <c r="J307" s="2931">
        <v>7</v>
      </c>
      <c r="K307" s="2931">
        <v>10</v>
      </c>
      <c r="L307" s="2931">
        <v>13</v>
      </c>
      <c r="M307" s="373">
        <v>15</v>
      </c>
      <c r="N307" s="2931">
        <v>120</v>
      </c>
      <c r="O307" s="2931">
        <v>180</v>
      </c>
      <c r="P307" s="2931">
        <v>240</v>
      </c>
      <c r="Q307" s="373">
        <v>300</v>
      </c>
      <c r="R307" s="2931">
        <v>10</v>
      </c>
      <c r="S307" s="2931">
        <v>10</v>
      </c>
      <c r="T307" s="2931">
        <v>15</v>
      </c>
      <c r="U307" s="373">
        <v>15</v>
      </c>
      <c r="V307" s="2926" t="s">
        <v>4442</v>
      </c>
      <c r="W307" s="2926" t="s">
        <v>4443</v>
      </c>
      <c r="X307" s="2926" t="s">
        <v>4444</v>
      </c>
      <c r="Y307" s="2926" t="s">
        <v>4445</v>
      </c>
      <c r="Z307" s="2926" t="s">
        <v>4446</v>
      </c>
      <c r="AA307" s="371"/>
    </row>
    <row r="308" spans="1:27" ht="12.75" customHeight="1" x14ac:dyDescent="0.2">
      <c r="A308" s="6418"/>
      <c r="B308" s="251" t="str">
        <f t="shared" si="4"/>
        <v>Esencia46</v>
      </c>
      <c r="D308" s="272" t="s">
        <v>9907</v>
      </c>
      <c r="E308" s="2931" t="s">
        <v>1708</v>
      </c>
      <c r="F308" s="2931">
        <v>46</v>
      </c>
      <c r="G308" s="2934" t="s">
        <v>2087</v>
      </c>
      <c r="H308" s="2934" t="s">
        <v>4429</v>
      </c>
      <c r="I308" s="376" t="s">
        <v>1304</v>
      </c>
      <c r="J308" s="2931">
        <v>9</v>
      </c>
      <c r="K308" s="2931">
        <v>11</v>
      </c>
      <c r="L308" s="2931">
        <v>13</v>
      </c>
      <c r="M308" s="373">
        <v>16</v>
      </c>
      <c r="N308" s="2931">
        <v>80</v>
      </c>
      <c r="O308" s="2931">
        <v>140</v>
      </c>
      <c r="P308" s="2931">
        <v>180</v>
      </c>
      <c r="Q308" s="373">
        <v>240</v>
      </c>
      <c r="R308" s="2931">
        <v>10</v>
      </c>
      <c r="S308" s="2931">
        <v>15</v>
      </c>
      <c r="T308" s="2931">
        <v>15</v>
      </c>
      <c r="U308" s="373">
        <v>20</v>
      </c>
      <c r="V308" s="2926" t="s">
        <v>4447</v>
      </c>
      <c r="W308" s="2926" t="s">
        <v>4448</v>
      </c>
      <c r="X308" s="2926" t="s">
        <v>4449</v>
      </c>
      <c r="Y308" s="2926" t="s">
        <v>4450</v>
      </c>
      <c r="Z308" s="2926" t="s">
        <v>4451</v>
      </c>
      <c r="AA308" s="371"/>
    </row>
    <row r="309" spans="1:27" ht="12.75" customHeight="1" x14ac:dyDescent="0.2">
      <c r="A309" s="6418"/>
      <c r="B309" s="251" t="str">
        <f t="shared" si="4"/>
        <v>Esencia50</v>
      </c>
      <c r="D309" s="272" t="s">
        <v>9908</v>
      </c>
      <c r="E309" s="2931" t="s">
        <v>1708</v>
      </c>
      <c r="F309" s="2931">
        <v>50</v>
      </c>
      <c r="G309" s="2934" t="s">
        <v>1381</v>
      </c>
      <c r="H309" s="2934" t="s">
        <v>1234</v>
      </c>
      <c r="I309" s="376" t="s">
        <v>1304</v>
      </c>
      <c r="J309" s="2931">
        <v>8</v>
      </c>
      <c r="K309" s="2931">
        <v>10</v>
      </c>
      <c r="L309" s="2931">
        <v>13</v>
      </c>
      <c r="M309" s="373">
        <v>15</v>
      </c>
      <c r="N309" s="2931">
        <v>60</v>
      </c>
      <c r="O309" s="2931">
        <v>180</v>
      </c>
      <c r="P309" s="2931">
        <v>240</v>
      </c>
      <c r="Q309" s="373">
        <v>300</v>
      </c>
      <c r="R309" s="2931">
        <v>10</v>
      </c>
      <c r="S309" s="2931">
        <v>10</v>
      </c>
      <c r="T309" s="2931">
        <v>15</v>
      </c>
      <c r="U309" s="373">
        <v>15</v>
      </c>
      <c r="V309" s="2926" t="s">
        <v>4452</v>
      </c>
      <c r="W309" s="2926" t="s">
        <v>4453</v>
      </c>
      <c r="X309" s="2926" t="s">
        <v>4454</v>
      </c>
      <c r="Y309" s="2926" t="s">
        <v>4455</v>
      </c>
      <c r="Z309" s="2926" t="s">
        <v>7042</v>
      </c>
      <c r="AA309" s="371"/>
    </row>
    <row r="310" spans="1:27" ht="12.75" customHeight="1" x14ac:dyDescent="0.2">
      <c r="A310" s="6418"/>
      <c r="B310" s="251" t="str">
        <f t="shared" si="4"/>
        <v>Esencia52</v>
      </c>
      <c r="D310" s="272" t="s">
        <v>9909</v>
      </c>
      <c r="E310" s="2931" t="s">
        <v>1708</v>
      </c>
      <c r="F310" s="2931">
        <v>52</v>
      </c>
      <c r="G310" s="2934" t="s">
        <v>1381</v>
      </c>
      <c r="H310" s="2934" t="s">
        <v>1234</v>
      </c>
      <c r="I310" s="376" t="s">
        <v>1304</v>
      </c>
      <c r="J310" s="2931">
        <v>8</v>
      </c>
      <c r="K310" s="2931">
        <v>11</v>
      </c>
      <c r="L310" s="2931">
        <v>13</v>
      </c>
      <c r="M310" s="373">
        <v>16</v>
      </c>
      <c r="N310" s="2931">
        <v>100</v>
      </c>
      <c r="O310" s="2931">
        <v>120</v>
      </c>
      <c r="P310" s="2931">
        <v>140</v>
      </c>
      <c r="Q310" s="373">
        <v>160</v>
      </c>
      <c r="R310" s="2931">
        <v>10</v>
      </c>
      <c r="S310" s="2931">
        <v>15</v>
      </c>
      <c r="T310" s="2931">
        <v>15</v>
      </c>
      <c r="U310" s="373">
        <v>20</v>
      </c>
      <c r="V310" s="2926" t="s">
        <v>4456</v>
      </c>
      <c r="W310" s="2926" t="s">
        <v>4457</v>
      </c>
      <c r="X310" s="2926" t="s">
        <v>4458</v>
      </c>
      <c r="Y310" s="2926" t="s">
        <v>4459</v>
      </c>
      <c r="Z310" s="2926" t="s">
        <v>4460</v>
      </c>
      <c r="AA310" s="371"/>
    </row>
    <row r="311" spans="1:27" ht="12.75" customHeight="1" x14ac:dyDescent="0.2">
      <c r="A311" s="6418"/>
      <c r="B311" s="251" t="str">
        <f t="shared" si="4"/>
        <v>Esencia56</v>
      </c>
      <c r="D311" s="272" t="s">
        <v>9910</v>
      </c>
      <c r="E311" s="2931" t="s">
        <v>1708</v>
      </c>
      <c r="F311" s="2931">
        <v>56</v>
      </c>
      <c r="G311" s="2934" t="s">
        <v>2087</v>
      </c>
      <c r="H311" s="2934" t="s">
        <v>4429</v>
      </c>
      <c r="I311" s="376" t="s">
        <v>1304</v>
      </c>
      <c r="J311" s="2931">
        <v>8</v>
      </c>
      <c r="K311" s="2931">
        <v>10</v>
      </c>
      <c r="L311" s="2931">
        <v>12</v>
      </c>
      <c r="M311" s="373">
        <v>15</v>
      </c>
      <c r="N311" s="2931">
        <v>100</v>
      </c>
      <c r="O311" s="2931">
        <v>180</v>
      </c>
      <c r="P311" s="2931">
        <v>240</v>
      </c>
      <c r="Q311" s="373">
        <v>300</v>
      </c>
      <c r="R311" s="2931">
        <v>20</v>
      </c>
      <c r="S311" s="2931">
        <v>40</v>
      </c>
      <c r="T311" s="2931">
        <v>50</v>
      </c>
      <c r="U311" s="373">
        <v>60</v>
      </c>
      <c r="V311" s="2926" t="s">
        <v>3588</v>
      </c>
      <c r="W311" s="2926" t="s">
        <v>3589</v>
      </c>
      <c r="X311" s="2926" t="s">
        <v>4343</v>
      </c>
      <c r="Y311" s="2926" t="s">
        <v>3321</v>
      </c>
      <c r="Z311" s="2926" t="s">
        <v>4461</v>
      </c>
      <c r="AA311" s="371"/>
    </row>
    <row r="312" spans="1:27" ht="12.75" customHeight="1" x14ac:dyDescent="0.2">
      <c r="A312" s="6418"/>
      <c r="B312" s="251" t="str">
        <f t="shared" si="4"/>
        <v>Esencia60</v>
      </c>
      <c r="D312" s="272" t="s">
        <v>9911</v>
      </c>
      <c r="E312" s="2931" t="s">
        <v>1708</v>
      </c>
      <c r="F312" s="2931">
        <v>60</v>
      </c>
      <c r="G312" s="2934" t="s">
        <v>1381</v>
      </c>
      <c r="H312" s="2934" t="s">
        <v>4429</v>
      </c>
      <c r="I312" s="376" t="s">
        <v>1304</v>
      </c>
      <c r="J312" s="2931">
        <v>8</v>
      </c>
      <c r="K312" s="2931">
        <v>10</v>
      </c>
      <c r="L312" s="2931">
        <v>12</v>
      </c>
      <c r="M312" s="373">
        <v>15</v>
      </c>
      <c r="N312" s="2931">
        <v>100</v>
      </c>
      <c r="O312" s="2931">
        <v>180</v>
      </c>
      <c r="P312" s="2931">
        <v>240</v>
      </c>
      <c r="Q312" s="373">
        <v>300</v>
      </c>
      <c r="R312" s="2931" t="s">
        <v>1381</v>
      </c>
      <c r="S312" s="2931" t="s">
        <v>1381</v>
      </c>
      <c r="T312" s="2931" t="s">
        <v>1381</v>
      </c>
      <c r="U312" s="373" t="s">
        <v>1381</v>
      </c>
      <c r="V312" s="2926" t="s">
        <v>3627</v>
      </c>
      <c r="W312" s="2926" t="s">
        <v>3590</v>
      </c>
      <c r="X312" s="2926" t="s">
        <v>3321</v>
      </c>
      <c r="Y312" s="2926" t="s">
        <v>3487</v>
      </c>
      <c r="Z312" s="2926" t="s">
        <v>4462</v>
      </c>
      <c r="AA312" s="371"/>
    </row>
    <row r="313" spans="1:27" ht="12.75" customHeight="1" x14ac:dyDescent="0.2">
      <c r="A313" s="6418"/>
      <c r="B313" s="251" t="str">
        <f t="shared" si="4"/>
        <v>Esencia62</v>
      </c>
      <c r="D313" s="272" t="s">
        <v>9912</v>
      </c>
      <c r="E313" s="2931" t="s">
        <v>1708</v>
      </c>
      <c r="F313" s="2931">
        <v>62</v>
      </c>
      <c r="G313" s="2934" t="s">
        <v>1381</v>
      </c>
      <c r="H313" s="2934" t="s">
        <v>4429</v>
      </c>
      <c r="I313" s="376" t="s">
        <v>1304</v>
      </c>
      <c r="J313" s="2931">
        <v>8</v>
      </c>
      <c r="K313" s="2931">
        <v>10</v>
      </c>
      <c r="L313" s="2931">
        <v>12</v>
      </c>
      <c r="M313" s="373">
        <v>15</v>
      </c>
      <c r="N313" s="2931">
        <v>100</v>
      </c>
      <c r="O313" s="2931">
        <v>180</v>
      </c>
      <c r="P313" s="2931">
        <v>240</v>
      </c>
      <c r="Q313" s="373">
        <v>300</v>
      </c>
      <c r="R313" s="2931" t="s">
        <v>1381</v>
      </c>
      <c r="S313" s="2931" t="s">
        <v>1381</v>
      </c>
      <c r="T313" s="2931" t="s">
        <v>1381</v>
      </c>
      <c r="U313" s="373" t="s">
        <v>1381</v>
      </c>
      <c r="V313" s="2926" t="s">
        <v>3589</v>
      </c>
      <c r="W313" s="2926" t="s">
        <v>3321</v>
      </c>
      <c r="X313" s="2926" t="s">
        <v>3488</v>
      </c>
      <c r="Y313" s="2926" t="s">
        <v>4463</v>
      </c>
      <c r="Z313" s="2926" t="s">
        <v>4464</v>
      </c>
      <c r="AA313" s="371"/>
    </row>
    <row r="314" spans="1:27" ht="12.75" customHeight="1" x14ac:dyDescent="0.2">
      <c r="A314" s="6418"/>
      <c r="B314" s="251" t="str">
        <f t="shared" si="4"/>
        <v>Esencia66</v>
      </c>
      <c r="D314" s="272" t="s">
        <v>9913</v>
      </c>
      <c r="E314" s="2931" t="s">
        <v>1708</v>
      </c>
      <c r="F314" s="2931">
        <v>66</v>
      </c>
      <c r="G314" s="2934" t="s">
        <v>2087</v>
      </c>
      <c r="H314" s="2934" t="s">
        <v>1235</v>
      </c>
      <c r="I314" s="376" t="s">
        <v>1304</v>
      </c>
      <c r="J314" s="2931">
        <v>8</v>
      </c>
      <c r="K314" s="2931">
        <v>10</v>
      </c>
      <c r="L314" s="2931">
        <v>13</v>
      </c>
      <c r="M314" s="373">
        <v>15</v>
      </c>
      <c r="N314" s="2931">
        <v>120</v>
      </c>
      <c r="O314" s="2931">
        <v>180</v>
      </c>
      <c r="P314" s="2931">
        <v>240</v>
      </c>
      <c r="Q314" s="373">
        <v>300</v>
      </c>
      <c r="R314" s="2931">
        <v>15</v>
      </c>
      <c r="S314" s="2931">
        <v>20</v>
      </c>
      <c r="T314" s="2931">
        <v>25</v>
      </c>
      <c r="U314" s="373">
        <v>30</v>
      </c>
      <c r="V314" s="2926" t="s">
        <v>4465</v>
      </c>
      <c r="W314" s="2926" t="s">
        <v>4466</v>
      </c>
      <c r="X314" s="2926" t="s">
        <v>4467</v>
      </c>
      <c r="Y314" s="2926" t="s">
        <v>4468</v>
      </c>
      <c r="Z314" s="2926" t="s">
        <v>4469</v>
      </c>
      <c r="AA314" s="371"/>
    </row>
    <row r="315" spans="1:27" ht="12.75" customHeight="1" x14ac:dyDescent="0.2">
      <c r="A315" s="6418"/>
      <c r="B315" s="251" t="str">
        <f t="shared" si="4"/>
        <v>Esencia70</v>
      </c>
      <c r="D315" s="272" t="s">
        <v>9914</v>
      </c>
      <c r="E315" s="2931" t="s">
        <v>1708</v>
      </c>
      <c r="F315" s="2931">
        <v>70</v>
      </c>
      <c r="G315" s="2934" t="s">
        <v>2087</v>
      </c>
      <c r="H315" s="2934" t="s">
        <v>1233</v>
      </c>
      <c r="I315" s="376" t="s">
        <v>1304</v>
      </c>
      <c r="J315" s="2931">
        <v>8</v>
      </c>
      <c r="K315" s="2931">
        <v>10</v>
      </c>
      <c r="L315" s="2931">
        <v>13</v>
      </c>
      <c r="M315" s="373">
        <v>15</v>
      </c>
      <c r="N315" s="2931">
        <v>120</v>
      </c>
      <c r="O315" s="2931">
        <v>180</v>
      </c>
      <c r="P315" s="2931">
        <v>240</v>
      </c>
      <c r="Q315" s="373">
        <v>300</v>
      </c>
      <c r="R315" s="2931">
        <v>25</v>
      </c>
      <c r="S315" s="2931">
        <v>40</v>
      </c>
      <c r="T315" s="2931">
        <v>50</v>
      </c>
      <c r="U315" s="373">
        <v>60</v>
      </c>
      <c r="V315" s="2926" t="s">
        <v>3627</v>
      </c>
      <c r="W315" s="2926" t="s">
        <v>3589</v>
      </c>
      <c r="X315" s="2926" t="s">
        <v>3590</v>
      </c>
      <c r="Y315" s="2926" t="s">
        <v>3321</v>
      </c>
      <c r="Z315" s="2926" t="s">
        <v>4470</v>
      </c>
      <c r="AA315" s="371"/>
    </row>
    <row r="316" spans="1:27" ht="12.75" customHeight="1" x14ac:dyDescent="0.2">
      <c r="A316" s="6418"/>
      <c r="B316" s="251" t="str">
        <f t="shared" si="4"/>
        <v>Esencia72</v>
      </c>
      <c r="D316" s="272" t="s">
        <v>9915</v>
      </c>
      <c r="E316" s="2931" t="s">
        <v>1708</v>
      </c>
      <c r="F316" s="2931">
        <v>72</v>
      </c>
      <c r="G316" s="2934" t="s">
        <v>2583</v>
      </c>
      <c r="H316" s="2934" t="s">
        <v>1233</v>
      </c>
      <c r="I316" s="376" t="s">
        <v>1304</v>
      </c>
      <c r="J316" s="2931">
        <v>8</v>
      </c>
      <c r="K316" s="2931">
        <v>10</v>
      </c>
      <c r="L316" s="2931">
        <v>13</v>
      </c>
      <c r="M316" s="373">
        <v>15</v>
      </c>
      <c r="N316" s="2931">
        <v>140</v>
      </c>
      <c r="O316" s="2931">
        <v>180</v>
      </c>
      <c r="P316" s="2931">
        <v>240</v>
      </c>
      <c r="Q316" s="373">
        <v>300</v>
      </c>
      <c r="R316" s="2931">
        <v>15</v>
      </c>
      <c r="S316" s="2931">
        <v>20</v>
      </c>
      <c r="T316" s="2931">
        <v>25</v>
      </c>
      <c r="U316" s="373">
        <v>30</v>
      </c>
      <c r="V316" s="2926" t="s">
        <v>3598</v>
      </c>
      <c r="W316" s="2926" t="s">
        <v>4471</v>
      </c>
      <c r="X316" s="2926" t="s">
        <v>4472</v>
      </c>
      <c r="Y316" s="2926" t="s">
        <v>4473</v>
      </c>
      <c r="Z316" s="2926" t="s">
        <v>4474</v>
      </c>
      <c r="AA316" s="371"/>
    </row>
    <row r="317" spans="1:27" ht="12.75" customHeight="1" x14ac:dyDescent="0.2">
      <c r="A317" s="6418"/>
      <c r="B317" s="251" t="str">
        <f t="shared" si="4"/>
        <v>Esencia76</v>
      </c>
      <c r="D317" s="272" t="s">
        <v>9916</v>
      </c>
      <c r="E317" s="2931" t="s">
        <v>1708</v>
      </c>
      <c r="F317" s="2931">
        <v>76</v>
      </c>
      <c r="G317" s="2934" t="s">
        <v>1381</v>
      </c>
      <c r="H317" s="2934" t="s">
        <v>1233</v>
      </c>
      <c r="I317" s="376" t="s">
        <v>1304</v>
      </c>
      <c r="J317" s="2931">
        <v>9</v>
      </c>
      <c r="K317" s="2931">
        <v>12</v>
      </c>
      <c r="L317" s="2931">
        <v>15</v>
      </c>
      <c r="M317" s="373">
        <v>18</v>
      </c>
      <c r="N317" s="2931">
        <v>180</v>
      </c>
      <c r="O317" s="2931">
        <v>240</v>
      </c>
      <c r="P317" s="2931">
        <v>300</v>
      </c>
      <c r="Q317" s="373">
        <v>540</v>
      </c>
      <c r="R317" s="2931" t="s">
        <v>1381</v>
      </c>
      <c r="S317" s="2931" t="s">
        <v>1381</v>
      </c>
      <c r="T317" s="2931" t="s">
        <v>1381</v>
      </c>
      <c r="U317" s="373" t="s">
        <v>1381</v>
      </c>
      <c r="V317" s="2926" t="s">
        <v>4475</v>
      </c>
      <c r="W317" s="2926" t="s">
        <v>4476</v>
      </c>
      <c r="X317" s="2926" t="s">
        <v>4477</v>
      </c>
      <c r="Y317" s="2926" t="s">
        <v>4478</v>
      </c>
      <c r="Z317" s="2926" t="s">
        <v>4479</v>
      </c>
      <c r="AA317" s="371"/>
    </row>
    <row r="318" spans="1:27" ht="12.75" customHeight="1" x14ac:dyDescent="0.2">
      <c r="A318" s="6418"/>
      <c r="B318" s="251" t="str">
        <f t="shared" si="4"/>
        <v>Esencia80</v>
      </c>
      <c r="D318" s="272" t="s">
        <v>9917</v>
      </c>
      <c r="E318" s="2931" t="s">
        <v>1708</v>
      </c>
      <c r="F318" s="2931">
        <v>80</v>
      </c>
      <c r="G318" s="2934" t="s">
        <v>1381</v>
      </c>
      <c r="H318" s="2934" t="s">
        <v>1234</v>
      </c>
      <c r="I318" s="376" t="s">
        <v>1304</v>
      </c>
      <c r="J318" s="2931">
        <v>10</v>
      </c>
      <c r="K318" s="2931">
        <v>13</v>
      </c>
      <c r="L318" s="2931">
        <v>15</v>
      </c>
      <c r="M318" s="373">
        <v>17</v>
      </c>
      <c r="N318" s="2931">
        <v>250</v>
      </c>
      <c r="O318" s="2931">
        <v>500</v>
      </c>
      <c r="P318" s="2931">
        <v>1000</v>
      </c>
      <c r="Q318" s="373">
        <v>2500</v>
      </c>
      <c r="R318" s="2931" t="s">
        <v>1381</v>
      </c>
      <c r="S318" s="2931" t="s">
        <v>1381</v>
      </c>
      <c r="T318" s="2931" t="s">
        <v>1381</v>
      </c>
      <c r="U318" s="373" t="s">
        <v>1381</v>
      </c>
      <c r="V318" s="2926" t="s">
        <v>4480</v>
      </c>
      <c r="W318" s="2926" t="s">
        <v>4481</v>
      </c>
      <c r="X318" s="2926" t="s">
        <v>4482</v>
      </c>
      <c r="Y318" s="2926" t="s">
        <v>4483</v>
      </c>
      <c r="Z318" s="2926" t="s">
        <v>4484</v>
      </c>
      <c r="AA318" s="371"/>
    </row>
    <row r="319" spans="1:27" ht="12.75" customHeight="1" x14ac:dyDescent="0.2">
      <c r="A319" s="6418"/>
      <c r="B319" s="251" t="str">
        <f t="shared" si="4"/>
        <v>Esencia82</v>
      </c>
      <c r="D319" s="272" t="s">
        <v>9918</v>
      </c>
      <c r="E319" s="2931" t="s">
        <v>1708</v>
      </c>
      <c r="F319" s="2931">
        <v>82</v>
      </c>
      <c r="G319" s="2934" t="s">
        <v>2087</v>
      </c>
      <c r="H319" s="2934" t="s">
        <v>1234</v>
      </c>
      <c r="I319" s="376" t="s">
        <v>1304</v>
      </c>
      <c r="J319" s="2931">
        <v>10</v>
      </c>
      <c r="K319" s="2931">
        <v>12</v>
      </c>
      <c r="L319" s="2931">
        <v>14</v>
      </c>
      <c r="M319" s="373">
        <v>16</v>
      </c>
      <c r="N319" s="2931">
        <v>250</v>
      </c>
      <c r="O319" s="2931">
        <v>350</v>
      </c>
      <c r="P319" s="2931">
        <v>500</v>
      </c>
      <c r="Q319" s="373">
        <v>700</v>
      </c>
      <c r="R319" s="2931">
        <v>50</v>
      </c>
      <c r="S319" s="2931">
        <v>70</v>
      </c>
      <c r="T319" s="2931">
        <v>100</v>
      </c>
      <c r="U319" s="373">
        <v>140</v>
      </c>
      <c r="V319" s="2926" t="s">
        <v>3656</v>
      </c>
      <c r="W319" s="2926" t="s">
        <v>3355</v>
      </c>
      <c r="X319" s="2926" t="s">
        <v>4368</v>
      </c>
      <c r="Y319" s="2926" t="s">
        <v>4369</v>
      </c>
      <c r="Z319" s="2926" t="s">
        <v>4485</v>
      </c>
      <c r="AA319" s="371"/>
    </row>
    <row r="320" spans="1:27" ht="12.75" customHeight="1" x14ac:dyDescent="0.2">
      <c r="A320" s="6418"/>
      <c r="B320" s="251" t="str">
        <f t="shared" si="4"/>
        <v>Esencia86</v>
      </c>
      <c r="D320" s="272" t="s">
        <v>9919</v>
      </c>
      <c r="E320" s="2931" t="s">
        <v>1708</v>
      </c>
      <c r="F320" s="2931">
        <v>86</v>
      </c>
      <c r="G320" s="2934" t="s">
        <v>1381</v>
      </c>
      <c r="H320" s="2934" t="s">
        <v>1304</v>
      </c>
      <c r="I320" s="376" t="s">
        <v>1304</v>
      </c>
      <c r="J320" s="2931">
        <v>10</v>
      </c>
      <c r="K320" s="2931">
        <v>12</v>
      </c>
      <c r="L320" s="2931">
        <v>14</v>
      </c>
      <c r="M320" s="373">
        <v>16</v>
      </c>
      <c r="N320" s="2931">
        <v>200</v>
      </c>
      <c r="O320" s="2931">
        <v>300</v>
      </c>
      <c r="P320" s="2931">
        <v>400</v>
      </c>
      <c r="Q320" s="373">
        <v>500</v>
      </c>
      <c r="R320" s="2931" t="s">
        <v>1381</v>
      </c>
      <c r="S320" s="2931" t="s">
        <v>1381</v>
      </c>
      <c r="T320" s="2931" t="s">
        <v>1381</v>
      </c>
      <c r="U320" s="373" t="s">
        <v>1381</v>
      </c>
      <c r="V320" s="2926" t="s">
        <v>4486</v>
      </c>
      <c r="W320" s="2926" t="s">
        <v>4487</v>
      </c>
      <c r="X320" s="2926" t="s">
        <v>4488</v>
      </c>
      <c r="Y320" s="2926" t="s">
        <v>4489</v>
      </c>
      <c r="Z320" s="2926" t="s">
        <v>4490</v>
      </c>
      <c r="AA320" s="371"/>
    </row>
    <row r="321" spans="1:27" ht="12.75" customHeight="1" x14ac:dyDescent="0.2">
      <c r="A321" s="6418"/>
      <c r="B321" s="251" t="str">
        <f t="shared" si="4"/>
        <v>Esencia90</v>
      </c>
      <c r="D321" s="272" t="s">
        <v>9920</v>
      </c>
      <c r="E321" s="2931" t="s">
        <v>1708</v>
      </c>
      <c r="F321" s="2931">
        <v>90</v>
      </c>
      <c r="G321" s="2934" t="s">
        <v>1381</v>
      </c>
      <c r="H321" s="2934" t="s">
        <v>1234</v>
      </c>
      <c r="I321" s="376" t="s">
        <v>1304</v>
      </c>
      <c r="J321" s="2931">
        <v>10</v>
      </c>
      <c r="K321" s="2931">
        <v>12</v>
      </c>
      <c r="L321" s="2931">
        <v>13</v>
      </c>
      <c r="M321" s="373">
        <v>16</v>
      </c>
      <c r="N321" s="2931">
        <v>250</v>
      </c>
      <c r="O321" s="2931">
        <v>450</v>
      </c>
      <c r="P321" s="2931">
        <v>600</v>
      </c>
      <c r="Q321" s="373">
        <v>750</v>
      </c>
      <c r="R321" s="2931" t="s">
        <v>1381</v>
      </c>
      <c r="S321" s="2931" t="s">
        <v>1381</v>
      </c>
      <c r="T321" s="2931" t="s">
        <v>1381</v>
      </c>
      <c r="U321" s="373" t="s">
        <v>1381</v>
      </c>
      <c r="V321" s="2926" t="s">
        <v>4361</v>
      </c>
      <c r="W321" s="2926" t="s">
        <v>4491</v>
      </c>
      <c r="X321" s="2926" t="s">
        <v>4492</v>
      </c>
      <c r="Y321" s="2926" t="s">
        <v>4493</v>
      </c>
      <c r="Z321" s="2926" t="s">
        <v>4494</v>
      </c>
      <c r="AA321" s="371"/>
    </row>
    <row r="322" spans="1:27" ht="12.75" customHeight="1" x14ac:dyDescent="0.2">
      <c r="A322" s="6418"/>
      <c r="B322" s="251" t="str">
        <f t="shared" si="4"/>
        <v>Esencia92</v>
      </c>
      <c r="D322" s="272" t="s">
        <v>9921</v>
      </c>
      <c r="E322" s="2931" t="s">
        <v>1708</v>
      </c>
      <c r="F322" s="2931">
        <v>92</v>
      </c>
      <c r="G322" s="2934" t="s">
        <v>2087</v>
      </c>
      <c r="H322" s="2934" t="s">
        <v>1235</v>
      </c>
      <c r="I322" s="376" t="s">
        <v>1304</v>
      </c>
      <c r="J322" s="2931">
        <v>10</v>
      </c>
      <c r="K322" s="2931">
        <v>13</v>
      </c>
      <c r="L322" s="2931">
        <v>15</v>
      </c>
      <c r="M322" s="373">
        <v>18</v>
      </c>
      <c r="N322" s="2931">
        <v>300</v>
      </c>
      <c r="O322" s="2931">
        <v>500</v>
      </c>
      <c r="P322" s="2931">
        <v>750</v>
      </c>
      <c r="Q322" s="373">
        <v>1000</v>
      </c>
      <c r="R322" s="2931">
        <v>60</v>
      </c>
      <c r="S322" s="2931">
        <v>75</v>
      </c>
      <c r="T322" s="2931">
        <v>85</v>
      </c>
      <c r="U322" s="373">
        <v>100</v>
      </c>
      <c r="V322" s="2926" t="s">
        <v>4495</v>
      </c>
      <c r="W322" s="2926" t="s">
        <v>4496</v>
      </c>
      <c r="X322" s="2926" t="s">
        <v>4497</v>
      </c>
      <c r="Y322" s="2926" t="s">
        <v>4498</v>
      </c>
      <c r="Z322" s="2926" t="s">
        <v>4499</v>
      </c>
      <c r="AA322" s="371"/>
    </row>
    <row r="323" spans="1:27" ht="12.75" customHeight="1" x14ac:dyDescent="0.2">
      <c r="A323" s="6418"/>
      <c r="B323" s="251" t="str">
        <f t="shared" si="4"/>
        <v>Esencia96</v>
      </c>
      <c r="D323" s="272" t="s">
        <v>9922</v>
      </c>
      <c r="E323" s="2931" t="s">
        <v>1708</v>
      </c>
      <c r="F323" s="2931">
        <v>96</v>
      </c>
      <c r="G323" s="2934" t="s">
        <v>1381</v>
      </c>
      <c r="H323" s="2934" t="s">
        <v>1234</v>
      </c>
      <c r="I323" s="376" t="s">
        <v>1304</v>
      </c>
      <c r="J323" s="2931">
        <v>10</v>
      </c>
      <c r="K323" s="2931">
        <v>13</v>
      </c>
      <c r="L323" s="2931">
        <v>15</v>
      </c>
      <c r="M323" s="373">
        <v>18</v>
      </c>
      <c r="N323" s="2931">
        <v>400</v>
      </c>
      <c r="O323" s="2931">
        <v>500</v>
      </c>
      <c r="P323" s="2931">
        <v>600</v>
      </c>
      <c r="Q323" s="373">
        <v>700</v>
      </c>
      <c r="R323" s="2931" t="s">
        <v>1381</v>
      </c>
      <c r="S323" s="2931" t="s">
        <v>1381</v>
      </c>
      <c r="T323" s="2931" t="s">
        <v>1381</v>
      </c>
      <c r="U323" s="373" t="s">
        <v>1381</v>
      </c>
      <c r="V323" s="2926" t="s">
        <v>4500</v>
      </c>
      <c r="W323" s="2926" t="s">
        <v>4501</v>
      </c>
      <c r="X323" s="2926" t="s">
        <v>4502</v>
      </c>
      <c r="Y323" s="2926" t="s">
        <v>4503</v>
      </c>
      <c r="Z323" s="2926" t="s">
        <v>4504</v>
      </c>
      <c r="AA323" s="371"/>
    </row>
    <row r="324" spans="1:27" ht="12.75" customHeight="1" x14ac:dyDescent="0.2">
      <c r="A324" s="6418"/>
      <c r="B324" s="251" t="str">
        <f t="shared" si="4"/>
        <v>Esencia100</v>
      </c>
      <c r="D324" s="272" t="s">
        <v>9923</v>
      </c>
      <c r="E324" s="2931" t="s">
        <v>1708</v>
      </c>
      <c r="F324" s="2931">
        <v>100</v>
      </c>
      <c r="G324" s="2934" t="s">
        <v>2087</v>
      </c>
      <c r="H324" s="2934" t="s">
        <v>1235</v>
      </c>
      <c r="I324" s="376" t="s">
        <v>1304</v>
      </c>
      <c r="J324" s="2931">
        <v>12</v>
      </c>
      <c r="K324" s="2931">
        <v>14</v>
      </c>
      <c r="L324" s="2931">
        <v>16</v>
      </c>
      <c r="M324" s="373">
        <v>18</v>
      </c>
      <c r="N324" s="2931">
        <v>600</v>
      </c>
      <c r="O324" s="2931">
        <v>800</v>
      </c>
      <c r="P324" s="2931">
        <v>1200</v>
      </c>
      <c r="Q324" s="373">
        <v>1500</v>
      </c>
      <c r="R324" s="2931">
        <v>120</v>
      </c>
      <c r="S324" s="2931">
        <v>160</v>
      </c>
      <c r="T324" s="2931">
        <v>240</v>
      </c>
      <c r="U324" s="373">
        <v>300</v>
      </c>
      <c r="V324" s="2926" t="s">
        <v>4505</v>
      </c>
      <c r="W324" s="2926" t="s">
        <v>4506</v>
      </c>
      <c r="X324" s="2926" t="s">
        <v>4507</v>
      </c>
      <c r="Y324" s="2926" t="s">
        <v>4508</v>
      </c>
      <c r="Z324" s="2926" t="s">
        <v>4509</v>
      </c>
      <c r="AA324" s="371"/>
    </row>
    <row r="325" spans="1:27" ht="12.75" customHeight="1" x14ac:dyDescent="0.2">
      <c r="A325" s="6418"/>
      <c r="B325" s="251" t="str">
        <f t="shared" si="4"/>
        <v/>
      </c>
      <c r="D325" s="272" t="s">
        <v>308</v>
      </c>
      <c r="E325" s="2931"/>
      <c r="F325" s="2931"/>
      <c r="G325" s="2934"/>
      <c r="H325" s="2934"/>
      <c r="I325" s="376"/>
      <c r="J325" s="2931"/>
      <c r="K325" s="2931"/>
      <c r="L325" s="2931"/>
      <c r="M325" s="373"/>
      <c r="N325" s="2931"/>
      <c r="O325" s="2931"/>
      <c r="P325" s="2931"/>
      <c r="Q325" s="373"/>
      <c r="R325" s="2931"/>
      <c r="S325" s="2931"/>
      <c r="T325" s="2931"/>
      <c r="U325" s="373"/>
      <c r="V325" s="2926"/>
      <c r="W325" s="2926"/>
      <c r="X325" s="2926"/>
      <c r="Y325" s="2926"/>
      <c r="Z325" s="2926"/>
      <c r="AA325" s="371"/>
    </row>
    <row r="326" spans="1:27" ht="12.75" customHeight="1" x14ac:dyDescent="0.2">
      <c r="A326" s="6418"/>
      <c r="B326" s="251" t="str">
        <f t="shared" si="4"/>
        <v>Ilusión2</v>
      </c>
      <c r="D326" s="272" t="s">
        <v>309</v>
      </c>
      <c r="E326" s="2931" t="s">
        <v>1710</v>
      </c>
      <c r="F326" s="2931">
        <v>2</v>
      </c>
      <c r="G326" s="2934" t="s">
        <v>1381</v>
      </c>
      <c r="H326" s="2934" t="s">
        <v>3209</v>
      </c>
      <c r="I326" s="376" t="s">
        <v>1304</v>
      </c>
      <c r="J326" s="2931">
        <v>5</v>
      </c>
      <c r="K326" s="2931">
        <v>8</v>
      </c>
      <c r="L326" s="2931">
        <v>10</v>
      </c>
      <c r="M326" s="373">
        <v>12</v>
      </c>
      <c r="N326" s="2931">
        <v>30</v>
      </c>
      <c r="O326" s="2931">
        <v>50</v>
      </c>
      <c r="P326" s="2931">
        <v>90</v>
      </c>
      <c r="Q326" s="373">
        <v>120</v>
      </c>
      <c r="R326" s="2931">
        <v>5</v>
      </c>
      <c r="S326" s="2931">
        <v>5</v>
      </c>
      <c r="T326" s="2931">
        <v>10</v>
      </c>
      <c r="U326" s="373">
        <v>10</v>
      </c>
      <c r="V326" s="2926" t="s">
        <v>4510</v>
      </c>
      <c r="W326" s="2926" t="s">
        <v>4511</v>
      </c>
      <c r="X326" s="2926" t="s">
        <v>3316</v>
      </c>
      <c r="Y326" s="2926" t="s">
        <v>3317</v>
      </c>
      <c r="Z326" s="2926" t="s">
        <v>4512</v>
      </c>
      <c r="AA326" s="371"/>
    </row>
    <row r="327" spans="1:27" ht="12.75" customHeight="1" x14ac:dyDescent="0.2">
      <c r="A327" s="6418"/>
      <c r="B327" s="251" t="str">
        <f t="shared" si="4"/>
        <v>Ilusión6</v>
      </c>
      <c r="D327" s="272" t="s">
        <v>310</v>
      </c>
      <c r="E327" s="2931" t="s">
        <v>1710</v>
      </c>
      <c r="F327" s="2931">
        <v>6</v>
      </c>
      <c r="G327" s="2934" t="s">
        <v>1381</v>
      </c>
      <c r="H327" s="2934" t="s">
        <v>3209</v>
      </c>
      <c r="I327" s="376" t="s">
        <v>1304</v>
      </c>
      <c r="J327" s="2931">
        <v>5</v>
      </c>
      <c r="K327" s="2931">
        <v>8</v>
      </c>
      <c r="L327" s="2931">
        <v>10</v>
      </c>
      <c r="M327" s="373">
        <v>12</v>
      </c>
      <c r="N327" s="2931">
        <v>30</v>
      </c>
      <c r="O327" s="2931">
        <v>50</v>
      </c>
      <c r="P327" s="2931">
        <v>90</v>
      </c>
      <c r="Q327" s="373">
        <v>120</v>
      </c>
      <c r="R327" s="2931">
        <v>5</v>
      </c>
      <c r="S327" s="2931">
        <v>5</v>
      </c>
      <c r="T327" s="2931">
        <v>10</v>
      </c>
      <c r="U327" s="373">
        <v>10</v>
      </c>
      <c r="V327" s="2926" t="s">
        <v>4510</v>
      </c>
      <c r="W327" s="2926" t="s">
        <v>4511</v>
      </c>
      <c r="X327" s="2926" t="s">
        <v>3316</v>
      </c>
      <c r="Y327" s="2926" t="s">
        <v>3317</v>
      </c>
      <c r="Z327" s="2926" t="s">
        <v>4513</v>
      </c>
      <c r="AA327" s="371"/>
    </row>
    <row r="328" spans="1:27" ht="12.75" customHeight="1" x14ac:dyDescent="0.2">
      <c r="A328" s="6418"/>
      <c r="B328" s="251" t="str">
        <f t="shared" ref="B328:B391" si="5">E328&amp;F328</f>
        <v>Ilusión10</v>
      </c>
      <c r="D328" s="272" t="s">
        <v>311</v>
      </c>
      <c r="E328" s="2931" t="s">
        <v>1710</v>
      </c>
      <c r="F328" s="2931">
        <v>10</v>
      </c>
      <c r="G328" s="2934" t="s">
        <v>1381</v>
      </c>
      <c r="H328" s="2934" t="s">
        <v>3209</v>
      </c>
      <c r="I328" s="376" t="s">
        <v>1304</v>
      </c>
      <c r="J328" s="2931">
        <v>5</v>
      </c>
      <c r="K328" s="2931">
        <v>8</v>
      </c>
      <c r="L328" s="2931">
        <v>10</v>
      </c>
      <c r="M328" s="373">
        <v>12</v>
      </c>
      <c r="N328" s="2931">
        <v>30</v>
      </c>
      <c r="O328" s="2931">
        <v>50</v>
      </c>
      <c r="P328" s="2931">
        <v>90</v>
      </c>
      <c r="Q328" s="373">
        <v>120</v>
      </c>
      <c r="R328" s="2931">
        <v>5</v>
      </c>
      <c r="S328" s="2931">
        <v>5</v>
      </c>
      <c r="T328" s="2931">
        <v>10</v>
      </c>
      <c r="U328" s="373">
        <v>10</v>
      </c>
      <c r="V328" s="2926" t="s">
        <v>4510</v>
      </c>
      <c r="W328" s="2926" t="s">
        <v>4511</v>
      </c>
      <c r="X328" s="2926" t="s">
        <v>3316</v>
      </c>
      <c r="Y328" s="2926" t="s">
        <v>3317</v>
      </c>
      <c r="Z328" s="2926" t="s">
        <v>10234</v>
      </c>
      <c r="AA328" s="371"/>
    </row>
    <row r="329" spans="1:27" ht="12.75" customHeight="1" x14ac:dyDescent="0.2">
      <c r="A329" s="6418"/>
      <c r="B329" s="251" t="str">
        <f t="shared" si="5"/>
        <v>Ilusión12</v>
      </c>
      <c r="D329" s="272" t="s">
        <v>312</v>
      </c>
      <c r="E329" s="2931" t="s">
        <v>1710</v>
      </c>
      <c r="F329" s="2931">
        <v>12</v>
      </c>
      <c r="G329" s="2934" t="s">
        <v>1381</v>
      </c>
      <c r="H329" s="2934" t="s">
        <v>3209</v>
      </c>
      <c r="I329" s="376" t="s">
        <v>1304</v>
      </c>
      <c r="J329" s="2931">
        <v>6</v>
      </c>
      <c r="K329" s="2931">
        <v>8</v>
      </c>
      <c r="L329" s="2931">
        <v>10</v>
      </c>
      <c r="M329" s="373">
        <v>12</v>
      </c>
      <c r="N329" s="2931">
        <v>40</v>
      </c>
      <c r="O329" s="2931">
        <v>70</v>
      </c>
      <c r="P329" s="2931">
        <v>100</v>
      </c>
      <c r="Q329" s="373">
        <v>120</v>
      </c>
      <c r="R329" s="2931">
        <v>5</v>
      </c>
      <c r="S329" s="2931">
        <v>5</v>
      </c>
      <c r="T329" s="2931">
        <v>10</v>
      </c>
      <c r="U329" s="373">
        <v>10</v>
      </c>
      <c r="V329" s="2926" t="s">
        <v>4514</v>
      </c>
      <c r="W329" s="2926" t="s">
        <v>4515</v>
      </c>
      <c r="X329" s="2926" t="s">
        <v>4516</v>
      </c>
      <c r="Y329" s="2926" t="s">
        <v>4517</v>
      </c>
      <c r="Z329" s="2926" t="s">
        <v>10214</v>
      </c>
      <c r="AA329" s="371"/>
    </row>
    <row r="330" spans="1:27" ht="12.75" customHeight="1" x14ac:dyDescent="0.2">
      <c r="A330" s="6418"/>
      <c r="B330" s="251" t="str">
        <f t="shared" si="5"/>
        <v>Ilusión16</v>
      </c>
      <c r="D330" s="272" t="s">
        <v>313</v>
      </c>
      <c r="E330" s="2931" t="s">
        <v>1710</v>
      </c>
      <c r="F330" s="2931">
        <v>16</v>
      </c>
      <c r="G330" s="2934" t="s">
        <v>1381</v>
      </c>
      <c r="H330" s="2934" t="s">
        <v>1236</v>
      </c>
      <c r="I330" s="376" t="s">
        <v>1304</v>
      </c>
      <c r="J330" s="2931">
        <v>6</v>
      </c>
      <c r="K330" s="2931">
        <v>8</v>
      </c>
      <c r="L330" s="2931">
        <v>10</v>
      </c>
      <c r="M330" s="373">
        <v>12</v>
      </c>
      <c r="N330" s="2931">
        <v>60</v>
      </c>
      <c r="O330" s="2931">
        <v>160</v>
      </c>
      <c r="P330" s="2931">
        <v>200</v>
      </c>
      <c r="Q330" s="373">
        <v>240</v>
      </c>
      <c r="R330" s="2931">
        <v>10</v>
      </c>
      <c r="S330" s="2931">
        <v>20</v>
      </c>
      <c r="T330" s="2931">
        <v>20</v>
      </c>
      <c r="U330" s="373">
        <v>25</v>
      </c>
      <c r="V330" s="2926" t="s">
        <v>4518</v>
      </c>
      <c r="W330" s="2926" t="s">
        <v>4519</v>
      </c>
      <c r="X330" s="2926" t="s">
        <v>4520</v>
      </c>
      <c r="Y330" s="2926" t="s">
        <v>4521</v>
      </c>
      <c r="Z330" s="2926" t="s">
        <v>7047</v>
      </c>
      <c r="AA330" s="371"/>
    </row>
    <row r="331" spans="1:27" ht="12.75" customHeight="1" x14ac:dyDescent="0.2">
      <c r="A331" s="6418"/>
      <c r="B331" s="251" t="str">
        <f t="shared" si="5"/>
        <v>Ilusión20</v>
      </c>
      <c r="D331" s="272" t="s">
        <v>314</v>
      </c>
      <c r="E331" s="2931" t="s">
        <v>1710</v>
      </c>
      <c r="F331" s="2931">
        <v>20</v>
      </c>
      <c r="G331" s="2934" t="s">
        <v>1381</v>
      </c>
      <c r="H331" s="2934" t="s">
        <v>1234</v>
      </c>
      <c r="I331" s="376" t="s">
        <v>1304</v>
      </c>
      <c r="J331" s="2931">
        <v>6</v>
      </c>
      <c r="K331" s="2931">
        <v>8</v>
      </c>
      <c r="L331" s="2931">
        <v>10</v>
      </c>
      <c r="M331" s="373">
        <v>13</v>
      </c>
      <c r="N331" s="2931">
        <v>50</v>
      </c>
      <c r="O331" s="2931">
        <v>80</v>
      </c>
      <c r="P331" s="2931">
        <v>100</v>
      </c>
      <c r="Q331" s="373">
        <v>120</v>
      </c>
      <c r="R331" s="2931">
        <v>5</v>
      </c>
      <c r="S331" s="2931">
        <v>10</v>
      </c>
      <c r="T331" s="2931">
        <v>10</v>
      </c>
      <c r="U331" s="373">
        <v>15</v>
      </c>
      <c r="V331" s="2926" t="s">
        <v>4522</v>
      </c>
      <c r="W331" s="2926" t="s">
        <v>4523</v>
      </c>
      <c r="X331" s="2926" t="s">
        <v>4524</v>
      </c>
      <c r="Y331" s="2926" t="s">
        <v>4525</v>
      </c>
      <c r="Z331" s="2926" t="s">
        <v>4526</v>
      </c>
      <c r="AA331" s="371"/>
    </row>
    <row r="332" spans="1:27" ht="12.75" customHeight="1" x14ac:dyDescent="0.2">
      <c r="A332" s="6418"/>
      <c r="B332" s="251" t="str">
        <f t="shared" si="5"/>
        <v>Ilusión22</v>
      </c>
      <c r="D332" s="272" t="s">
        <v>315</v>
      </c>
      <c r="E332" s="2931" t="s">
        <v>1710</v>
      </c>
      <c r="F332" s="2931">
        <v>22</v>
      </c>
      <c r="G332" s="2934" t="s">
        <v>2087</v>
      </c>
      <c r="H332" s="2934" t="s">
        <v>3209</v>
      </c>
      <c r="I332" s="376" t="s">
        <v>1304</v>
      </c>
      <c r="J332" s="2931">
        <v>6</v>
      </c>
      <c r="K332" s="2931">
        <v>9</v>
      </c>
      <c r="L332" s="2931">
        <v>12</v>
      </c>
      <c r="M332" s="373">
        <v>15</v>
      </c>
      <c r="N332" s="2931">
        <v>60</v>
      </c>
      <c r="O332" s="2931">
        <v>90</v>
      </c>
      <c r="P332" s="2931">
        <v>120</v>
      </c>
      <c r="Q332" s="373">
        <v>150</v>
      </c>
      <c r="R332" s="2931">
        <v>10</v>
      </c>
      <c r="S332" s="2931">
        <v>10</v>
      </c>
      <c r="T332" s="2931">
        <v>15</v>
      </c>
      <c r="U332" s="373">
        <v>15</v>
      </c>
      <c r="V332" s="2926" t="s">
        <v>3589</v>
      </c>
      <c r="W332" s="2926" t="s">
        <v>3486</v>
      </c>
      <c r="X332" s="2926" t="s">
        <v>3487</v>
      </c>
      <c r="Y332" s="2926" t="s">
        <v>3488</v>
      </c>
      <c r="Z332" s="2926" t="s">
        <v>4527</v>
      </c>
      <c r="AA332" s="371"/>
    </row>
    <row r="333" spans="1:27" ht="12.75" customHeight="1" x14ac:dyDescent="0.2">
      <c r="A333" s="6418"/>
      <c r="B333" s="251" t="str">
        <f t="shared" si="5"/>
        <v>Ilusión26</v>
      </c>
      <c r="D333" s="272" t="s">
        <v>316</v>
      </c>
      <c r="E333" s="2931" t="s">
        <v>1710</v>
      </c>
      <c r="F333" s="2931">
        <v>26</v>
      </c>
      <c r="G333" s="2934" t="s">
        <v>1381</v>
      </c>
      <c r="H333" s="2934" t="s">
        <v>3209</v>
      </c>
      <c r="I333" s="376" t="s">
        <v>1304</v>
      </c>
      <c r="J333" s="2931">
        <v>6</v>
      </c>
      <c r="K333" s="2931">
        <v>9</v>
      </c>
      <c r="L333" s="2931">
        <v>12</v>
      </c>
      <c r="M333" s="373">
        <v>15</v>
      </c>
      <c r="N333" s="2931">
        <v>60</v>
      </c>
      <c r="O333" s="2931">
        <v>90</v>
      </c>
      <c r="P333" s="2931">
        <v>120</v>
      </c>
      <c r="Q333" s="373">
        <v>150</v>
      </c>
      <c r="R333" s="2931">
        <v>5</v>
      </c>
      <c r="S333" s="2931">
        <v>5</v>
      </c>
      <c r="T333" s="2931">
        <v>10</v>
      </c>
      <c r="U333" s="373">
        <v>10</v>
      </c>
      <c r="V333" s="2926" t="s">
        <v>4528</v>
      </c>
      <c r="W333" s="2926" t="s">
        <v>4529</v>
      </c>
      <c r="X333" s="2926" t="s">
        <v>4530</v>
      </c>
      <c r="Y333" s="2926" t="s">
        <v>4531</v>
      </c>
      <c r="Z333" s="2926" t="s">
        <v>7048</v>
      </c>
      <c r="AA333" s="371"/>
    </row>
    <row r="334" spans="1:27" ht="12.75" customHeight="1" x14ac:dyDescent="0.2">
      <c r="A334" s="6418"/>
      <c r="B334" s="251" t="str">
        <f t="shared" si="5"/>
        <v>Ilusión30</v>
      </c>
      <c r="D334" s="272" t="s">
        <v>317</v>
      </c>
      <c r="E334" s="2931" t="s">
        <v>1710</v>
      </c>
      <c r="F334" s="2931">
        <v>30</v>
      </c>
      <c r="G334" s="2934" t="s">
        <v>1381</v>
      </c>
      <c r="H334" s="2934" t="s">
        <v>3209</v>
      </c>
      <c r="I334" s="376" t="s">
        <v>1304</v>
      </c>
      <c r="J334" s="2931">
        <v>8</v>
      </c>
      <c r="K334" s="2931">
        <v>10</v>
      </c>
      <c r="L334" s="2931">
        <v>12</v>
      </c>
      <c r="M334" s="373">
        <v>14</v>
      </c>
      <c r="N334" s="2931">
        <v>60</v>
      </c>
      <c r="O334" s="2931">
        <v>90</v>
      </c>
      <c r="P334" s="2931">
        <v>120</v>
      </c>
      <c r="Q334" s="373">
        <v>150</v>
      </c>
      <c r="R334" s="2931">
        <v>10</v>
      </c>
      <c r="S334" s="2931">
        <v>10</v>
      </c>
      <c r="T334" s="2931">
        <v>15</v>
      </c>
      <c r="U334" s="373">
        <v>15</v>
      </c>
      <c r="V334" s="2926" t="s">
        <v>4532</v>
      </c>
      <c r="W334" s="2926" t="s">
        <v>4533</v>
      </c>
      <c r="X334" s="2926" t="s">
        <v>4534</v>
      </c>
      <c r="Y334" s="2926" t="s">
        <v>4535</v>
      </c>
      <c r="Z334" s="2926" t="s">
        <v>4536</v>
      </c>
      <c r="AA334" s="371"/>
    </row>
    <row r="335" spans="1:27" ht="12.75" customHeight="1" x14ac:dyDescent="0.2">
      <c r="A335" s="6418"/>
      <c r="B335" s="251" t="str">
        <f t="shared" si="5"/>
        <v>Ilusión32</v>
      </c>
      <c r="D335" s="272" t="s">
        <v>318</v>
      </c>
      <c r="E335" s="2931" t="s">
        <v>1710</v>
      </c>
      <c r="F335" s="2931">
        <v>32</v>
      </c>
      <c r="G335" s="2934" t="s">
        <v>1381</v>
      </c>
      <c r="H335" s="2934" t="s">
        <v>3209</v>
      </c>
      <c r="I335" s="376" t="s">
        <v>1304</v>
      </c>
      <c r="J335" s="2931">
        <v>6</v>
      </c>
      <c r="K335" s="2931">
        <v>9</v>
      </c>
      <c r="L335" s="2931">
        <v>12</v>
      </c>
      <c r="M335" s="373">
        <v>15</v>
      </c>
      <c r="N335" s="2931">
        <v>80</v>
      </c>
      <c r="O335" s="2931">
        <v>180</v>
      </c>
      <c r="P335" s="2931">
        <v>240</v>
      </c>
      <c r="Q335" s="373">
        <v>300</v>
      </c>
      <c r="R335" s="2931">
        <v>5</v>
      </c>
      <c r="S335" s="2931">
        <v>5</v>
      </c>
      <c r="T335" s="2931">
        <v>10</v>
      </c>
      <c r="U335" s="373">
        <v>10</v>
      </c>
      <c r="V335" s="2926" t="s">
        <v>4537</v>
      </c>
      <c r="W335" s="2926" t="s">
        <v>4538</v>
      </c>
      <c r="X335" s="2926" t="s">
        <v>4539</v>
      </c>
      <c r="Y335" s="2926" t="s">
        <v>4540</v>
      </c>
      <c r="Z335" s="2926" t="s">
        <v>4541</v>
      </c>
      <c r="AA335" s="371"/>
    </row>
    <row r="336" spans="1:27" ht="12.75" customHeight="1" x14ac:dyDescent="0.2">
      <c r="A336" s="6418"/>
      <c r="B336" s="251" t="str">
        <f t="shared" si="5"/>
        <v>Ilusión36</v>
      </c>
      <c r="D336" s="272" t="s">
        <v>319</v>
      </c>
      <c r="E336" s="2931" t="s">
        <v>1710</v>
      </c>
      <c r="F336" s="2931">
        <v>36</v>
      </c>
      <c r="G336" s="2934" t="s">
        <v>1381</v>
      </c>
      <c r="H336" s="2934" t="s">
        <v>4019</v>
      </c>
      <c r="I336" s="376" t="s">
        <v>1304</v>
      </c>
      <c r="J336" s="2931">
        <v>6</v>
      </c>
      <c r="K336" s="2931">
        <v>9</v>
      </c>
      <c r="L336" s="2931">
        <v>11</v>
      </c>
      <c r="M336" s="373">
        <v>13</v>
      </c>
      <c r="N336" s="2931">
        <v>50</v>
      </c>
      <c r="O336" s="2931">
        <v>70</v>
      </c>
      <c r="P336" s="2931">
        <v>90</v>
      </c>
      <c r="Q336" s="373">
        <v>120</v>
      </c>
      <c r="R336" s="2931">
        <v>5</v>
      </c>
      <c r="S336" s="2931">
        <v>5</v>
      </c>
      <c r="T336" s="2931">
        <v>5</v>
      </c>
      <c r="U336" s="373">
        <v>10</v>
      </c>
      <c r="V336" s="2926" t="s">
        <v>4542</v>
      </c>
      <c r="W336" s="2926" t="s">
        <v>4538</v>
      </c>
      <c r="X336" s="2926" t="s">
        <v>4543</v>
      </c>
      <c r="Y336" s="2926" t="s">
        <v>4539</v>
      </c>
      <c r="Z336" s="2926" t="s">
        <v>4544</v>
      </c>
      <c r="AA336" s="371"/>
    </row>
    <row r="337" spans="1:27" ht="12.75" customHeight="1" x14ac:dyDescent="0.2">
      <c r="A337" s="6418"/>
      <c r="B337" s="251" t="str">
        <f t="shared" si="5"/>
        <v>Ilusión40</v>
      </c>
      <c r="D337" s="272" t="s">
        <v>320</v>
      </c>
      <c r="E337" s="2931" t="s">
        <v>1710</v>
      </c>
      <c r="F337" s="2931">
        <v>40</v>
      </c>
      <c r="G337" s="2934" t="s">
        <v>2087</v>
      </c>
      <c r="H337" s="2934" t="s">
        <v>3209</v>
      </c>
      <c r="I337" s="376" t="s">
        <v>1304</v>
      </c>
      <c r="J337" s="2931">
        <v>7</v>
      </c>
      <c r="K337" s="2931">
        <v>10</v>
      </c>
      <c r="L337" s="2931">
        <v>13</v>
      </c>
      <c r="M337" s="373">
        <v>15</v>
      </c>
      <c r="N337" s="2931">
        <v>60</v>
      </c>
      <c r="O337" s="2931">
        <v>90</v>
      </c>
      <c r="P337" s="2931">
        <v>120</v>
      </c>
      <c r="Q337" s="373">
        <v>150</v>
      </c>
      <c r="R337" s="2931">
        <v>5</v>
      </c>
      <c r="S337" s="2931">
        <v>5</v>
      </c>
      <c r="T337" s="2931">
        <v>10</v>
      </c>
      <c r="U337" s="373">
        <v>10</v>
      </c>
      <c r="V337" s="2926" t="s">
        <v>4545</v>
      </c>
      <c r="W337" s="2926" t="s">
        <v>4546</v>
      </c>
      <c r="X337" s="2926" t="s">
        <v>4547</v>
      </c>
      <c r="Y337" s="2926" t="s">
        <v>4548</v>
      </c>
      <c r="Z337" s="2926" t="s">
        <v>4549</v>
      </c>
      <c r="AA337" s="371"/>
    </row>
    <row r="338" spans="1:27" ht="12.75" customHeight="1" x14ac:dyDescent="0.2">
      <c r="A338" s="6418"/>
      <c r="B338" s="251" t="str">
        <f t="shared" si="5"/>
        <v>Ilusión42</v>
      </c>
      <c r="D338" s="272" t="s">
        <v>321</v>
      </c>
      <c r="E338" s="2931" t="s">
        <v>1710</v>
      </c>
      <c r="F338" s="2931">
        <v>42</v>
      </c>
      <c r="G338" s="2934" t="s">
        <v>2087</v>
      </c>
      <c r="H338" s="2934" t="s">
        <v>1234</v>
      </c>
      <c r="I338" s="376" t="s">
        <v>1304</v>
      </c>
      <c r="J338" s="2931">
        <v>7</v>
      </c>
      <c r="K338" s="2931">
        <v>10</v>
      </c>
      <c r="L338" s="2931">
        <v>12</v>
      </c>
      <c r="M338" s="373">
        <v>14</v>
      </c>
      <c r="N338" s="2931">
        <v>80</v>
      </c>
      <c r="O338" s="2931">
        <v>100</v>
      </c>
      <c r="P338" s="2931">
        <v>120</v>
      </c>
      <c r="Q338" s="373">
        <v>140</v>
      </c>
      <c r="R338" s="2931">
        <v>10</v>
      </c>
      <c r="S338" s="2931">
        <v>10</v>
      </c>
      <c r="T338" s="2931">
        <v>15</v>
      </c>
      <c r="U338" s="373">
        <v>15</v>
      </c>
      <c r="V338" s="2926" t="s">
        <v>4550</v>
      </c>
      <c r="W338" s="2926" t="s">
        <v>4551</v>
      </c>
      <c r="X338" s="2926" t="s">
        <v>4552</v>
      </c>
      <c r="Y338" s="2926" t="s">
        <v>4553</v>
      </c>
      <c r="Z338" s="2926" t="s">
        <v>4554</v>
      </c>
      <c r="AA338" s="371"/>
    </row>
    <row r="339" spans="1:27" ht="12.75" customHeight="1" x14ac:dyDescent="0.2">
      <c r="A339" s="6418"/>
      <c r="B339" s="251" t="str">
        <f t="shared" si="5"/>
        <v>Ilusión46</v>
      </c>
      <c r="D339" s="272" t="s">
        <v>322</v>
      </c>
      <c r="E339" s="2931" t="s">
        <v>1710</v>
      </c>
      <c r="F339" s="2931">
        <v>46</v>
      </c>
      <c r="G339" s="2934" t="s">
        <v>2087</v>
      </c>
      <c r="H339" s="2934" t="s">
        <v>3209</v>
      </c>
      <c r="I339" s="376" t="s">
        <v>1304</v>
      </c>
      <c r="J339" s="2931">
        <v>7</v>
      </c>
      <c r="K339" s="2931">
        <v>10</v>
      </c>
      <c r="L339" s="2931">
        <v>13</v>
      </c>
      <c r="M339" s="373">
        <v>15</v>
      </c>
      <c r="N339" s="2931">
        <v>80</v>
      </c>
      <c r="O339" s="2931">
        <v>120</v>
      </c>
      <c r="P339" s="2931">
        <v>160</v>
      </c>
      <c r="Q339" s="373">
        <v>200</v>
      </c>
      <c r="R339" s="2931">
        <v>10</v>
      </c>
      <c r="S339" s="2931">
        <v>15</v>
      </c>
      <c r="T339" s="2931">
        <v>20</v>
      </c>
      <c r="U339" s="373">
        <v>20</v>
      </c>
      <c r="V339" s="2926" t="s">
        <v>4555</v>
      </c>
      <c r="W339" s="2926" t="s">
        <v>4556</v>
      </c>
      <c r="X339" s="2926" t="s">
        <v>4557</v>
      </c>
      <c r="Y339" s="2926" t="s">
        <v>4558</v>
      </c>
      <c r="Z339" s="2926" t="s">
        <v>4559</v>
      </c>
      <c r="AA339" s="371"/>
    </row>
    <row r="340" spans="1:27" ht="12.75" customHeight="1" x14ac:dyDescent="0.2">
      <c r="A340" s="6418"/>
      <c r="B340" s="251" t="str">
        <f t="shared" si="5"/>
        <v>Ilusión50</v>
      </c>
      <c r="D340" s="272" t="s">
        <v>323</v>
      </c>
      <c r="E340" s="2931" t="s">
        <v>1710</v>
      </c>
      <c r="F340" s="2931">
        <v>50</v>
      </c>
      <c r="G340" s="2934" t="s">
        <v>1381</v>
      </c>
      <c r="H340" s="2934" t="s">
        <v>3209</v>
      </c>
      <c r="I340" s="376" t="s">
        <v>1304</v>
      </c>
      <c r="J340" s="2931">
        <v>6</v>
      </c>
      <c r="K340" s="2931">
        <v>9</v>
      </c>
      <c r="L340" s="2931">
        <v>12</v>
      </c>
      <c r="M340" s="373">
        <v>15</v>
      </c>
      <c r="N340" s="2931">
        <v>120</v>
      </c>
      <c r="O340" s="2931">
        <v>180</v>
      </c>
      <c r="P340" s="2931">
        <v>240</v>
      </c>
      <c r="Q340" s="373">
        <v>300</v>
      </c>
      <c r="R340" s="2931">
        <v>10</v>
      </c>
      <c r="S340" s="2931">
        <v>10</v>
      </c>
      <c r="T340" s="2931">
        <v>15</v>
      </c>
      <c r="U340" s="373">
        <v>15</v>
      </c>
      <c r="V340" s="2926" t="s">
        <v>4560</v>
      </c>
      <c r="W340" s="2926" t="s">
        <v>4561</v>
      </c>
      <c r="X340" s="2926" t="s">
        <v>4562</v>
      </c>
      <c r="Y340" s="2926" t="s">
        <v>4563</v>
      </c>
      <c r="Z340" s="2926" t="s">
        <v>4564</v>
      </c>
      <c r="AA340" s="371"/>
    </row>
    <row r="341" spans="1:27" ht="12.75" customHeight="1" x14ac:dyDescent="0.2">
      <c r="A341" s="6418"/>
      <c r="B341" s="251" t="str">
        <f t="shared" si="5"/>
        <v>Ilusión52</v>
      </c>
      <c r="D341" s="272" t="s">
        <v>324</v>
      </c>
      <c r="E341" s="2931" t="s">
        <v>1710</v>
      </c>
      <c r="F341" s="2931">
        <v>52</v>
      </c>
      <c r="G341" s="2934" t="s">
        <v>2087</v>
      </c>
      <c r="H341" s="2934" t="s">
        <v>3209</v>
      </c>
      <c r="I341" s="376" t="s">
        <v>1304</v>
      </c>
      <c r="J341" s="2931">
        <v>7</v>
      </c>
      <c r="K341" s="2931">
        <v>10</v>
      </c>
      <c r="L341" s="2931">
        <v>13</v>
      </c>
      <c r="M341" s="373">
        <v>15</v>
      </c>
      <c r="N341" s="2931">
        <v>120</v>
      </c>
      <c r="O341" s="2931">
        <v>180</v>
      </c>
      <c r="P341" s="2931">
        <v>240</v>
      </c>
      <c r="Q341" s="373">
        <v>300</v>
      </c>
      <c r="R341" s="2931">
        <v>15</v>
      </c>
      <c r="S341" s="2931">
        <v>20</v>
      </c>
      <c r="T341" s="2931">
        <v>25</v>
      </c>
      <c r="U341" s="373">
        <v>30</v>
      </c>
      <c r="V341" s="2926" t="s">
        <v>4565</v>
      </c>
      <c r="W341" s="2926" t="s">
        <v>4566</v>
      </c>
      <c r="X341" s="2926" t="s">
        <v>4567</v>
      </c>
      <c r="Y341" s="2926" t="s">
        <v>4568</v>
      </c>
      <c r="Z341" s="2926" t="s">
        <v>4569</v>
      </c>
      <c r="AA341" s="371"/>
    </row>
    <row r="342" spans="1:27" ht="12.75" customHeight="1" x14ac:dyDescent="0.2">
      <c r="A342" s="6418"/>
      <c r="B342" s="251" t="str">
        <f t="shared" si="5"/>
        <v>Ilusión56</v>
      </c>
      <c r="D342" s="272" t="s">
        <v>325</v>
      </c>
      <c r="E342" s="2931" t="s">
        <v>1710</v>
      </c>
      <c r="F342" s="2931">
        <v>56</v>
      </c>
      <c r="G342" s="2934" t="s">
        <v>2087</v>
      </c>
      <c r="H342" s="2934" t="s">
        <v>4019</v>
      </c>
      <c r="I342" s="376" t="s">
        <v>1304</v>
      </c>
      <c r="J342" s="2931">
        <v>8</v>
      </c>
      <c r="K342" s="2931">
        <v>11</v>
      </c>
      <c r="L342" s="2931">
        <v>14</v>
      </c>
      <c r="M342" s="373">
        <v>16</v>
      </c>
      <c r="N342" s="2931">
        <v>100</v>
      </c>
      <c r="O342" s="2931">
        <v>120</v>
      </c>
      <c r="P342" s="2931">
        <v>140</v>
      </c>
      <c r="Q342" s="373">
        <v>160</v>
      </c>
      <c r="R342" s="2931">
        <v>10</v>
      </c>
      <c r="S342" s="2931">
        <v>15</v>
      </c>
      <c r="T342" s="2931">
        <v>15</v>
      </c>
      <c r="U342" s="373">
        <v>20</v>
      </c>
      <c r="V342" s="2926" t="s">
        <v>3627</v>
      </c>
      <c r="W342" s="2926" t="s">
        <v>3589</v>
      </c>
      <c r="X342" s="2926" t="s">
        <v>3590</v>
      </c>
      <c r="Y342" s="2926" t="s">
        <v>3486</v>
      </c>
      <c r="Z342" s="2926" t="s">
        <v>7049</v>
      </c>
      <c r="AA342" s="371"/>
    </row>
    <row r="343" spans="1:27" ht="12.75" customHeight="1" x14ac:dyDescent="0.2">
      <c r="A343" s="6418"/>
      <c r="B343" s="251" t="str">
        <f t="shared" si="5"/>
        <v>Ilusión60</v>
      </c>
      <c r="D343" s="272" t="s">
        <v>326</v>
      </c>
      <c r="E343" s="2931" t="s">
        <v>1710</v>
      </c>
      <c r="F343" s="2931">
        <v>60</v>
      </c>
      <c r="G343" s="2934" t="s">
        <v>1381</v>
      </c>
      <c r="H343" s="2934" t="s">
        <v>1234</v>
      </c>
      <c r="I343" s="376" t="s">
        <v>1304</v>
      </c>
      <c r="J343" s="2931">
        <v>7</v>
      </c>
      <c r="K343" s="2931">
        <v>10</v>
      </c>
      <c r="L343" s="2931">
        <v>12</v>
      </c>
      <c r="M343" s="373">
        <v>15</v>
      </c>
      <c r="N343" s="2931">
        <v>80</v>
      </c>
      <c r="O343" s="2931">
        <v>180</v>
      </c>
      <c r="P343" s="2931">
        <v>300</v>
      </c>
      <c r="Q343" s="373">
        <v>500</v>
      </c>
      <c r="R343" s="2931" t="s">
        <v>1381</v>
      </c>
      <c r="S343" s="2931" t="s">
        <v>1381</v>
      </c>
      <c r="T343" s="2931" t="s">
        <v>1381</v>
      </c>
      <c r="U343" s="373" t="s">
        <v>1381</v>
      </c>
      <c r="V343" s="2926" t="s">
        <v>4570</v>
      </c>
      <c r="W343" s="2926" t="s">
        <v>4571</v>
      </c>
      <c r="X343" s="2926" t="s">
        <v>4572</v>
      </c>
      <c r="Y343" s="2926" t="s">
        <v>4573</v>
      </c>
      <c r="Z343" s="2926" t="s">
        <v>4574</v>
      </c>
      <c r="AA343" s="371"/>
    </row>
    <row r="344" spans="1:27" ht="12.75" customHeight="1" x14ac:dyDescent="0.2">
      <c r="A344" s="6418"/>
      <c r="B344" s="251" t="str">
        <f t="shared" si="5"/>
        <v>Ilusión62</v>
      </c>
      <c r="D344" s="272" t="s">
        <v>327</v>
      </c>
      <c r="E344" s="2931" t="s">
        <v>1710</v>
      </c>
      <c r="F344" s="2931">
        <v>62</v>
      </c>
      <c r="G344" s="2934" t="s">
        <v>1381</v>
      </c>
      <c r="H344" s="2934" t="s">
        <v>3209</v>
      </c>
      <c r="I344" s="376" t="s">
        <v>1304</v>
      </c>
      <c r="J344" s="2931">
        <v>8</v>
      </c>
      <c r="K344" s="2931">
        <v>11</v>
      </c>
      <c r="L344" s="2931">
        <v>13</v>
      </c>
      <c r="M344" s="373">
        <v>16</v>
      </c>
      <c r="N344" s="2931">
        <v>100</v>
      </c>
      <c r="O344" s="2931">
        <v>120</v>
      </c>
      <c r="P344" s="2931">
        <v>150</v>
      </c>
      <c r="Q344" s="373">
        <v>200</v>
      </c>
      <c r="R344" s="2931">
        <v>10</v>
      </c>
      <c r="S344" s="2931">
        <v>15</v>
      </c>
      <c r="T344" s="2931">
        <v>15</v>
      </c>
      <c r="U344" s="373">
        <v>20</v>
      </c>
      <c r="V344" s="2926" t="s">
        <v>4545</v>
      </c>
      <c r="W344" s="2926" t="s">
        <v>4546</v>
      </c>
      <c r="X344" s="2926" t="s">
        <v>4547</v>
      </c>
      <c r="Y344" s="2926" t="s">
        <v>4548</v>
      </c>
      <c r="Z344" s="2926" t="s">
        <v>7050</v>
      </c>
      <c r="AA344" s="371"/>
    </row>
    <row r="345" spans="1:27" ht="12.75" customHeight="1" x14ac:dyDescent="0.2">
      <c r="A345" s="6418"/>
      <c r="B345" s="251" t="str">
        <f t="shared" si="5"/>
        <v>Ilusión66</v>
      </c>
      <c r="D345" s="272" t="s">
        <v>328</v>
      </c>
      <c r="E345" s="2931" t="s">
        <v>1710</v>
      </c>
      <c r="F345" s="2931">
        <v>66</v>
      </c>
      <c r="G345" s="2934" t="s">
        <v>1381</v>
      </c>
      <c r="H345" s="2934" t="s">
        <v>4019</v>
      </c>
      <c r="I345" s="376" t="s">
        <v>1304</v>
      </c>
      <c r="J345" s="2931">
        <v>7</v>
      </c>
      <c r="K345" s="2931">
        <v>10</v>
      </c>
      <c r="L345" s="2931">
        <v>12</v>
      </c>
      <c r="M345" s="373">
        <v>14</v>
      </c>
      <c r="N345" s="2931">
        <v>60</v>
      </c>
      <c r="O345" s="2931">
        <v>100</v>
      </c>
      <c r="P345" s="2931">
        <v>140</v>
      </c>
      <c r="Q345" s="373">
        <v>200</v>
      </c>
      <c r="R345" s="2931">
        <v>10</v>
      </c>
      <c r="S345" s="2931">
        <v>10</v>
      </c>
      <c r="T345" s="2931">
        <v>15</v>
      </c>
      <c r="U345" s="373">
        <v>15</v>
      </c>
      <c r="V345" s="2926" t="s">
        <v>3590</v>
      </c>
      <c r="W345" s="2926" t="s">
        <v>3486</v>
      </c>
      <c r="X345" s="2926" t="s">
        <v>3321</v>
      </c>
      <c r="Y345" s="2926" t="s">
        <v>3487</v>
      </c>
      <c r="Z345" s="2926" t="s">
        <v>4575</v>
      </c>
      <c r="AA345" s="371"/>
    </row>
    <row r="346" spans="1:27" ht="12.75" customHeight="1" x14ac:dyDescent="0.2">
      <c r="A346" s="6418"/>
      <c r="B346" s="251" t="str">
        <f t="shared" si="5"/>
        <v>Ilusión70</v>
      </c>
      <c r="D346" s="272" t="s">
        <v>329</v>
      </c>
      <c r="E346" s="2931" t="s">
        <v>1710</v>
      </c>
      <c r="F346" s="2931">
        <v>70</v>
      </c>
      <c r="G346" s="2934" t="s">
        <v>1381</v>
      </c>
      <c r="H346" s="2934" t="s">
        <v>1232</v>
      </c>
      <c r="I346" s="376" t="s">
        <v>1304</v>
      </c>
      <c r="J346" s="2931">
        <v>6</v>
      </c>
      <c r="K346" s="2931">
        <v>9</v>
      </c>
      <c r="L346" s="2931">
        <v>12</v>
      </c>
      <c r="M346" s="373">
        <v>15</v>
      </c>
      <c r="N346" s="2931">
        <v>80</v>
      </c>
      <c r="O346" s="2931">
        <v>140</v>
      </c>
      <c r="P346" s="2931">
        <v>220</v>
      </c>
      <c r="Q346" s="373">
        <v>300</v>
      </c>
      <c r="R346" s="2931" t="s">
        <v>1381</v>
      </c>
      <c r="S346" s="2931" t="s">
        <v>1381</v>
      </c>
      <c r="T346" s="2931" t="s">
        <v>1381</v>
      </c>
      <c r="U346" s="373" t="s">
        <v>1381</v>
      </c>
      <c r="V346" s="2926" t="s">
        <v>4576</v>
      </c>
      <c r="W346" s="2926" t="s">
        <v>4577</v>
      </c>
      <c r="X346" s="2926" t="s">
        <v>4578</v>
      </c>
      <c r="Y346" s="2926" t="s">
        <v>4579</v>
      </c>
      <c r="Z346" s="2926" t="s">
        <v>4580</v>
      </c>
      <c r="AA346" s="371"/>
    </row>
    <row r="347" spans="1:27" ht="12.75" customHeight="1" x14ac:dyDescent="0.2">
      <c r="A347" s="6418"/>
      <c r="B347" s="251" t="str">
        <f t="shared" si="5"/>
        <v>Ilusión72</v>
      </c>
      <c r="D347" s="272" t="s">
        <v>330</v>
      </c>
      <c r="E347" s="2931" t="s">
        <v>1710</v>
      </c>
      <c r="F347" s="2931">
        <v>72</v>
      </c>
      <c r="G347" s="2934" t="s">
        <v>2087</v>
      </c>
      <c r="H347" s="2934" t="s">
        <v>4019</v>
      </c>
      <c r="I347" s="376" t="s">
        <v>1304</v>
      </c>
      <c r="J347" s="2931">
        <v>8</v>
      </c>
      <c r="K347" s="2931">
        <v>10</v>
      </c>
      <c r="L347" s="2931">
        <v>13</v>
      </c>
      <c r="M347" s="373">
        <v>16</v>
      </c>
      <c r="N347" s="2931">
        <v>120</v>
      </c>
      <c r="O347" s="2931">
        <v>180</v>
      </c>
      <c r="P347" s="2931">
        <v>240</v>
      </c>
      <c r="Q347" s="373">
        <v>320</v>
      </c>
      <c r="R347" s="2931">
        <v>15</v>
      </c>
      <c r="S347" s="2931">
        <v>20</v>
      </c>
      <c r="T347" s="2931">
        <v>25</v>
      </c>
      <c r="U347" s="373">
        <v>35</v>
      </c>
      <c r="V347" s="2926" t="s">
        <v>4581</v>
      </c>
      <c r="W347" s="2926" t="s">
        <v>3604</v>
      </c>
      <c r="X347" s="2926" t="s">
        <v>4582</v>
      </c>
      <c r="Y347" s="2926" t="s">
        <v>3605</v>
      </c>
      <c r="Z347" s="2926" t="s">
        <v>7051</v>
      </c>
      <c r="AA347" s="371"/>
    </row>
    <row r="348" spans="1:27" ht="12.75" customHeight="1" x14ac:dyDescent="0.2">
      <c r="A348" s="6418"/>
      <c r="B348" s="251" t="str">
        <f t="shared" si="5"/>
        <v>Ilusión76</v>
      </c>
      <c r="D348" s="272" t="s">
        <v>331</v>
      </c>
      <c r="E348" s="2931" t="s">
        <v>1710</v>
      </c>
      <c r="F348" s="2931">
        <v>76</v>
      </c>
      <c r="G348" s="2934" t="s">
        <v>2087</v>
      </c>
      <c r="H348" s="2934" t="s">
        <v>4019</v>
      </c>
      <c r="I348" s="376" t="s">
        <v>1304</v>
      </c>
      <c r="J348" s="2931">
        <v>8</v>
      </c>
      <c r="K348" s="2931">
        <v>10</v>
      </c>
      <c r="L348" s="2931">
        <v>13</v>
      </c>
      <c r="M348" s="373">
        <v>16</v>
      </c>
      <c r="N348" s="2931">
        <v>140</v>
      </c>
      <c r="O348" s="2931">
        <v>200</v>
      </c>
      <c r="P348" s="2931">
        <v>260</v>
      </c>
      <c r="Q348" s="373">
        <v>320</v>
      </c>
      <c r="R348" s="2931">
        <v>15</v>
      </c>
      <c r="S348" s="2931">
        <v>20</v>
      </c>
      <c r="T348" s="2931">
        <v>30</v>
      </c>
      <c r="U348" s="373">
        <v>35</v>
      </c>
      <c r="V348" s="2926" t="s">
        <v>4581</v>
      </c>
      <c r="W348" s="2926" t="s">
        <v>3604</v>
      </c>
      <c r="X348" s="2926" t="s">
        <v>4582</v>
      </c>
      <c r="Y348" s="2926" t="s">
        <v>3605</v>
      </c>
      <c r="Z348" s="2926" t="s">
        <v>7052</v>
      </c>
      <c r="AA348" s="371"/>
    </row>
    <row r="349" spans="1:27" ht="12.75" customHeight="1" x14ac:dyDescent="0.2">
      <c r="A349" s="6418"/>
      <c r="B349" s="251" t="str">
        <f t="shared" si="5"/>
        <v>Ilusión80</v>
      </c>
      <c r="D349" s="272" t="s">
        <v>332</v>
      </c>
      <c r="E349" s="2931" t="s">
        <v>1710</v>
      </c>
      <c r="F349" s="2931">
        <v>80</v>
      </c>
      <c r="G349" s="2934" t="s">
        <v>2087</v>
      </c>
      <c r="H349" s="2934" t="s">
        <v>3209</v>
      </c>
      <c r="I349" s="376" t="s">
        <v>1304</v>
      </c>
      <c r="J349" s="2931">
        <v>9</v>
      </c>
      <c r="K349" s="2931">
        <v>12</v>
      </c>
      <c r="L349" s="2931">
        <v>15</v>
      </c>
      <c r="M349" s="373">
        <v>18</v>
      </c>
      <c r="N349" s="2931">
        <v>250</v>
      </c>
      <c r="O349" s="2931">
        <v>350</v>
      </c>
      <c r="P349" s="2931">
        <v>500</v>
      </c>
      <c r="Q349" s="373">
        <v>700</v>
      </c>
      <c r="R349" s="2931">
        <v>25</v>
      </c>
      <c r="S349" s="2931">
        <v>35</v>
      </c>
      <c r="T349" s="2931">
        <v>50</v>
      </c>
      <c r="U349" s="373">
        <v>70</v>
      </c>
      <c r="V349" s="2926" t="s">
        <v>4583</v>
      </c>
      <c r="W349" s="2926" t="s">
        <v>4584</v>
      </c>
      <c r="X349" s="2926" t="s">
        <v>4585</v>
      </c>
      <c r="Y349" s="2926" t="s">
        <v>4586</v>
      </c>
      <c r="Z349" s="2926" t="s">
        <v>4587</v>
      </c>
      <c r="AA349" s="371"/>
    </row>
    <row r="350" spans="1:27" ht="12.75" customHeight="1" x14ac:dyDescent="0.2">
      <c r="A350" s="6418"/>
      <c r="B350" s="251" t="str">
        <f t="shared" si="5"/>
        <v>Ilusión82</v>
      </c>
      <c r="D350" s="272" t="s">
        <v>333</v>
      </c>
      <c r="E350" s="2931" t="s">
        <v>1710</v>
      </c>
      <c r="F350" s="2931">
        <v>82</v>
      </c>
      <c r="G350" s="2934" t="s">
        <v>1381</v>
      </c>
      <c r="H350" s="2934" t="s">
        <v>1234</v>
      </c>
      <c r="I350" s="376" t="s">
        <v>1304</v>
      </c>
      <c r="J350" s="2931">
        <v>9</v>
      </c>
      <c r="K350" s="2931">
        <v>12</v>
      </c>
      <c r="L350" s="2931">
        <v>15</v>
      </c>
      <c r="M350" s="373">
        <v>18</v>
      </c>
      <c r="N350" s="2931">
        <v>250</v>
      </c>
      <c r="O350" s="2931">
        <v>360</v>
      </c>
      <c r="P350" s="2931">
        <v>450</v>
      </c>
      <c r="Q350" s="373">
        <v>600</v>
      </c>
      <c r="R350" s="2931" t="s">
        <v>1381</v>
      </c>
      <c r="S350" s="2931" t="s">
        <v>1381</v>
      </c>
      <c r="T350" s="2931" t="s">
        <v>1381</v>
      </c>
      <c r="U350" s="373" t="s">
        <v>1381</v>
      </c>
      <c r="V350" s="2926" t="s">
        <v>4588</v>
      </c>
      <c r="W350" s="2926" t="s">
        <v>4589</v>
      </c>
      <c r="X350" s="2926" t="s">
        <v>4590</v>
      </c>
      <c r="Y350" s="2926" t="s">
        <v>4591</v>
      </c>
      <c r="Z350" s="2926" t="s">
        <v>4592</v>
      </c>
      <c r="AA350" s="371"/>
    </row>
    <row r="351" spans="1:27" ht="12.75" customHeight="1" x14ac:dyDescent="0.2">
      <c r="A351" s="6418"/>
      <c r="B351" s="251" t="str">
        <f t="shared" si="5"/>
        <v>Ilusión86</v>
      </c>
      <c r="D351" s="272" t="s">
        <v>334</v>
      </c>
      <c r="E351" s="2931" t="s">
        <v>1710</v>
      </c>
      <c r="F351" s="2931">
        <v>86</v>
      </c>
      <c r="G351" s="2934" t="s">
        <v>1381</v>
      </c>
      <c r="H351" s="2934" t="s">
        <v>4019</v>
      </c>
      <c r="I351" s="376" t="s">
        <v>1304</v>
      </c>
      <c r="J351" s="2931">
        <v>10</v>
      </c>
      <c r="K351" s="2931">
        <v>12</v>
      </c>
      <c r="L351" s="2931">
        <v>14</v>
      </c>
      <c r="M351" s="373">
        <v>16</v>
      </c>
      <c r="N351" s="2931">
        <v>200</v>
      </c>
      <c r="O351" s="2931">
        <v>250</v>
      </c>
      <c r="P351" s="2931">
        <v>300</v>
      </c>
      <c r="Q351" s="373">
        <v>350</v>
      </c>
      <c r="R351" s="2931">
        <v>20</v>
      </c>
      <c r="S351" s="2931">
        <v>25</v>
      </c>
      <c r="T351" s="2931">
        <v>30</v>
      </c>
      <c r="U351" s="373">
        <v>35</v>
      </c>
      <c r="V351" s="2926" t="s">
        <v>4555</v>
      </c>
      <c r="W351" s="2926" t="s">
        <v>4593</v>
      </c>
      <c r="X351" s="2926" t="s">
        <v>4594</v>
      </c>
      <c r="Y351" s="2926" t="s">
        <v>4595</v>
      </c>
      <c r="Z351" s="2926" t="s">
        <v>4596</v>
      </c>
      <c r="AA351" s="371"/>
    </row>
    <row r="352" spans="1:27" ht="12.75" customHeight="1" x14ac:dyDescent="0.2">
      <c r="A352" s="6418"/>
      <c r="B352" s="251" t="str">
        <f t="shared" si="5"/>
        <v>Ilusión90</v>
      </c>
      <c r="D352" s="272" t="s">
        <v>335</v>
      </c>
      <c r="E352" s="2931" t="s">
        <v>1710</v>
      </c>
      <c r="F352" s="2931">
        <v>90</v>
      </c>
      <c r="G352" s="2934" t="s">
        <v>2087</v>
      </c>
      <c r="H352" s="2934" t="s">
        <v>3209</v>
      </c>
      <c r="I352" s="376" t="s">
        <v>1304</v>
      </c>
      <c r="J352" s="2931">
        <v>11</v>
      </c>
      <c r="K352" s="2931">
        <v>13</v>
      </c>
      <c r="L352" s="2931">
        <v>15</v>
      </c>
      <c r="M352" s="373">
        <v>17</v>
      </c>
      <c r="N352" s="2931">
        <v>250</v>
      </c>
      <c r="O352" s="2931">
        <v>300</v>
      </c>
      <c r="P352" s="2931">
        <v>400</v>
      </c>
      <c r="Q352" s="373">
        <v>500</v>
      </c>
      <c r="R352" s="2931">
        <v>25</v>
      </c>
      <c r="S352" s="2931">
        <v>30</v>
      </c>
      <c r="T352" s="2931">
        <v>40</v>
      </c>
      <c r="U352" s="373">
        <v>50</v>
      </c>
      <c r="V352" s="2926" t="s">
        <v>3589</v>
      </c>
      <c r="W352" s="2926" t="s">
        <v>3590</v>
      </c>
      <c r="X352" s="2926" t="s">
        <v>3486</v>
      </c>
      <c r="Y352" s="2926" t="s">
        <v>3321</v>
      </c>
      <c r="Z352" s="2926" t="s">
        <v>4597</v>
      </c>
      <c r="AA352" s="371"/>
    </row>
    <row r="353" spans="1:27" ht="12.75" customHeight="1" x14ac:dyDescent="0.2">
      <c r="A353" s="6418"/>
      <c r="B353" s="251" t="str">
        <f t="shared" si="5"/>
        <v>Ilusión92</v>
      </c>
      <c r="D353" s="272" t="s">
        <v>336</v>
      </c>
      <c r="E353" s="2931" t="s">
        <v>1710</v>
      </c>
      <c r="F353" s="2931">
        <v>92</v>
      </c>
      <c r="G353" s="2934" t="s">
        <v>2087</v>
      </c>
      <c r="H353" s="2934" t="s">
        <v>1234</v>
      </c>
      <c r="I353" s="376" t="s">
        <v>1304</v>
      </c>
      <c r="J353" s="2931">
        <v>13</v>
      </c>
      <c r="K353" s="2931">
        <v>15</v>
      </c>
      <c r="L353" s="2931">
        <v>17</v>
      </c>
      <c r="M353" s="373">
        <v>19</v>
      </c>
      <c r="N353" s="2931">
        <v>500</v>
      </c>
      <c r="O353" s="2931">
        <v>800</v>
      </c>
      <c r="P353" s="2931">
        <v>1200</v>
      </c>
      <c r="Q353" s="373">
        <v>1500</v>
      </c>
      <c r="R353" s="2931">
        <v>100</v>
      </c>
      <c r="S353" s="2931">
        <v>160</v>
      </c>
      <c r="T353" s="2931">
        <v>240</v>
      </c>
      <c r="U353" s="373">
        <v>300</v>
      </c>
      <c r="V353" s="2926" t="s">
        <v>4598</v>
      </c>
      <c r="W353" s="2926" t="s">
        <v>3357</v>
      </c>
      <c r="X353" s="2926" t="s">
        <v>4599</v>
      </c>
      <c r="Y353" s="2926" t="s">
        <v>4600</v>
      </c>
      <c r="Z353" s="2926" t="s">
        <v>4601</v>
      </c>
      <c r="AA353" s="371"/>
    </row>
    <row r="354" spans="1:27" ht="12.75" customHeight="1" x14ac:dyDescent="0.2">
      <c r="A354" s="6418"/>
      <c r="B354" s="251" t="str">
        <f t="shared" si="5"/>
        <v>Ilusión96</v>
      </c>
      <c r="D354" s="272" t="s">
        <v>337</v>
      </c>
      <c r="E354" s="2931" t="s">
        <v>1710</v>
      </c>
      <c r="F354" s="2931">
        <v>96</v>
      </c>
      <c r="G354" s="2934" t="s">
        <v>1381</v>
      </c>
      <c r="H354" s="2934" t="s">
        <v>3209</v>
      </c>
      <c r="I354" s="376" t="s">
        <v>1304</v>
      </c>
      <c r="J354" s="2931">
        <v>13</v>
      </c>
      <c r="K354" s="2931">
        <v>15</v>
      </c>
      <c r="L354" s="2931">
        <v>17</v>
      </c>
      <c r="M354" s="373">
        <v>19</v>
      </c>
      <c r="N354" s="2931">
        <v>500</v>
      </c>
      <c r="O354" s="2931">
        <v>900</v>
      </c>
      <c r="P354" s="2931">
        <v>1400</v>
      </c>
      <c r="Q354" s="373">
        <v>2000</v>
      </c>
      <c r="R354" s="2931">
        <v>50</v>
      </c>
      <c r="S354" s="2931">
        <v>90</v>
      </c>
      <c r="T354" s="2931">
        <v>140</v>
      </c>
      <c r="U354" s="373">
        <v>200</v>
      </c>
      <c r="V354" s="2926" t="s">
        <v>4602</v>
      </c>
      <c r="W354" s="2926" t="s">
        <v>4603</v>
      </c>
      <c r="X354" s="2926" t="s">
        <v>4604</v>
      </c>
      <c r="Y354" s="2926" t="s">
        <v>4605</v>
      </c>
      <c r="Z354" s="2926" t="s">
        <v>7053</v>
      </c>
      <c r="AA354" s="371"/>
    </row>
    <row r="355" spans="1:27" ht="12.75" customHeight="1" x14ac:dyDescent="0.2">
      <c r="A355" s="6418"/>
      <c r="B355" s="251" t="str">
        <f t="shared" si="5"/>
        <v>Ilusión100</v>
      </c>
      <c r="D355" s="272" t="s">
        <v>338</v>
      </c>
      <c r="E355" s="2931" t="s">
        <v>1710</v>
      </c>
      <c r="F355" s="2931">
        <v>100</v>
      </c>
      <c r="G355" s="2934" t="s">
        <v>1381</v>
      </c>
      <c r="H355" s="2934" t="s">
        <v>3209</v>
      </c>
      <c r="I355" s="376" t="s">
        <v>1304</v>
      </c>
      <c r="J355" s="2931">
        <v>14</v>
      </c>
      <c r="K355" s="2931">
        <v>16</v>
      </c>
      <c r="L355" s="2931">
        <v>18</v>
      </c>
      <c r="M355" s="373">
        <v>19</v>
      </c>
      <c r="N355" s="2931">
        <v>600</v>
      </c>
      <c r="O355" s="2931">
        <v>1000</v>
      </c>
      <c r="P355" s="2931">
        <v>2000</v>
      </c>
      <c r="Q355" s="373">
        <v>3000</v>
      </c>
      <c r="R355" s="2931" t="s">
        <v>1381</v>
      </c>
      <c r="S355" s="2931" t="s">
        <v>1381</v>
      </c>
      <c r="T355" s="2931" t="s">
        <v>1381</v>
      </c>
      <c r="U355" s="373" t="s">
        <v>1381</v>
      </c>
      <c r="V355" s="2926" t="s">
        <v>3590</v>
      </c>
      <c r="W355" s="2926" t="s">
        <v>4606</v>
      </c>
      <c r="X355" s="2926" t="s">
        <v>3775</v>
      </c>
      <c r="Y355" s="2926" t="s">
        <v>3488</v>
      </c>
      <c r="Z355" s="2926" t="s">
        <v>4607</v>
      </c>
      <c r="AA355" s="371"/>
    </row>
    <row r="356" spans="1:27" ht="12.75" customHeight="1" x14ac:dyDescent="0.2">
      <c r="A356" s="6418"/>
      <c r="B356" s="251" t="str">
        <f t="shared" si="5"/>
        <v/>
      </c>
      <c r="D356" s="272" t="s">
        <v>339</v>
      </c>
      <c r="E356" s="2931"/>
      <c r="F356" s="2931"/>
      <c r="G356" s="2934"/>
      <c r="H356" s="2934"/>
      <c r="I356" s="376"/>
      <c r="J356" s="2931"/>
      <c r="K356" s="2931"/>
      <c r="L356" s="2931"/>
      <c r="M356" s="373"/>
      <c r="N356" s="2931"/>
      <c r="O356" s="2931"/>
      <c r="P356" s="2931"/>
      <c r="Q356" s="373"/>
      <c r="R356" s="2931"/>
      <c r="S356" s="2931"/>
      <c r="T356" s="2931"/>
      <c r="U356" s="373"/>
      <c r="V356" s="2926"/>
      <c r="W356" s="2926"/>
      <c r="X356" s="2926"/>
      <c r="Y356" s="2926"/>
      <c r="Z356" s="2926"/>
      <c r="AA356" s="371"/>
    </row>
    <row r="357" spans="1:27" ht="12.75" customHeight="1" x14ac:dyDescent="0.2">
      <c r="A357" s="6418"/>
      <c r="B357" s="251" t="str">
        <f t="shared" si="5"/>
        <v>Nigromancia2</v>
      </c>
      <c r="D357" s="272" t="s">
        <v>340</v>
      </c>
      <c r="E357" s="2931" t="s">
        <v>1712</v>
      </c>
      <c r="F357" s="2931">
        <v>2</v>
      </c>
      <c r="G357" s="2934" t="s">
        <v>1381</v>
      </c>
      <c r="H357" s="2934" t="s">
        <v>1236</v>
      </c>
      <c r="I357" s="376" t="s">
        <v>1304</v>
      </c>
      <c r="J357" s="2931">
        <v>6</v>
      </c>
      <c r="K357" s="2931">
        <v>8</v>
      </c>
      <c r="L357" s="2931">
        <v>10</v>
      </c>
      <c r="M357" s="373">
        <v>12</v>
      </c>
      <c r="N357" s="2931">
        <v>30</v>
      </c>
      <c r="O357" s="2931">
        <v>60</v>
      </c>
      <c r="P357" s="2931">
        <v>90</v>
      </c>
      <c r="Q357" s="373">
        <v>120</v>
      </c>
      <c r="R357" s="2931">
        <v>5</v>
      </c>
      <c r="S357" s="2931">
        <v>10</v>
      </c>
      <c r="T357" s="2931">
        <v>10</v>
      </c>
      <c r="U357" s="373">
        <v>15</v>
      </c>
      <c r="V357" s="2926" t="s">
        <v>4608</v>
      </c>
      <c r="W357" s="2926" t="s">
        <v>4609</v>
      </c>
      <c r="X357" s="2926" t="s">
        <v>4610</v>
      </c>
      <c r="Y357" s="2926" t="s">
        <v>4611</v>
      </c>
      <c r="Z357" s="2926" t="s">
        <v>4612</v>
      </c>
      <c r="AA357" s="371"/>
    </row>
    <row r="358" spans="1:27" ht="12.75" customHeight="1" x14ac:dyDescent="0.2">
      <c r="A358" s="6418"/>
      <c r="B358" s="251" t="str">
        <f t="shared" si="5"/>
        <v>Nigromancia6</v>
      </c>
      <c r="D358" s="272" t="s">
        <v>341</v>
      </c>
      <c r="E358" s="2931" t="s">
        <v>1712</v>
      </c>
      <c r="F358" s="2931">
        <v>6</v>
      </c>
      <c r="G358" s="2934" t="s">
        <v>1381</v>
      </c>
      <c r="H358" s="2934" t="s">
        <v>1234</v>
      </c>
      <c r="I358" s="376" t="s">
        <v>1304</v>
      </c>
      <c r="J358" s="2931">
        <v>6</v>
      </c>
      <c r="K358" s="2931">
        <v>8</v>
      </c>
      <c r="L358" s="2931">
        <v>10</v>
      </c>
      <c r="M358" s="373">
        <v>12</v>
      </c>
      <c r="N358" s="2931">
        <v>30</v>
      </c>
      <c r="O358" s="2931">
        <v>60</v>
      </c>
      <c r="P358" s="2931">
        <v>90</v>
      </c>
      <c r="Q358" s="373">
        <v>120</v>
      </c>
      <c r="R358" s="2931">
        <v>5</v>
      </c>
      <c r="S358" s="2931">
        <v>10</v>
      </c>
      <c r="T358" s="2931">
        <v>10</v>
      </c>
      <c r="U358" s="373">
        <v>15</v>
      </c>
      <c r="V358" s="2926" t="s">
        <v>4613</v>
      </c>
      <c r="W358" s="2926" t="s">
        <v>4614</v>
      </c>
      <c r="X358" s="2926" t="s">
        <v>4615</v>
      </c>
      <c r="Y358" s="2926" t="s">
        <v>4616</v>
      </c>
      <c r="Z358" s="2926" t="s">
        <v>4617</v>
      </c>
      <c r="AA358" s="371"/>
    </row>
    <row r="359" spans="1:27" ht="12.75" customHeight="1" x14ac:dyDescent="0.2">
      <c r="A359" s="6418"/>
      <c r="B359" s="251" t="str">
        <f t="shared" si="5"/>
        <v>Nigromancia8</v>
      </c>
      <c r="D359" s="272" t="s">
        <v>342</v>
      </c>
      <c r="E359" s="2931" t="s">
        <v>1712</v>
      </c>
      <c r="F359" s="2931">
        <v>8</v>
      </c>
      <c r="G359" s="2934" t="s">
        <v>1381</v>
      </c>
      <c r="H359" s="2934" t="s">
        <v>1234</v>
      </c>
      <c r="I359" s="376" t="s">
        <v>1304</v>
      </c>
      <c r="J359" s="2931">
        <v>6</v>
      </c>
      <c r="K359" s="2931">
        <v>8</v>
      </c>
      <c r="L359" s="2931">
        <v>11</v>
      </c>
      <c r="M359" s="373">
        <v>13</v>
      </c>
      <c r="N359" s="2931">
        <v>40</v>
      </c>
      <c r="O359" s="2931">
        <v>120</v>
      </c>
      <c r="P359" s="2931">
        <v>200</v>
      </c>
      <c r="Q359" s="373">
        <v>300</v>
      </c>
      <c r="R359" s="2931">
        <v>5</v>
      </c>
      <c r="S359" s="2931">
        <v>10</v>
      </c>
      <c r="T359" s="2931">
        <v>10</v>
      </c>
      <c r="U359" s="373">
        <v>15</v>
      </c>
      <c r="V359" s="2926" t="s">
        <v>4265</v>
      </c>
      <c r="W359" s="2926" t="s">
        <v>4266</v>
      </c>
      <c r="X359" s="2926" t="s">
        <v>3396</v>
      </c>
      <c r="Y359" s="2926" t="s">
        <v>3952</v>
      </c>
      <c r="Z359" s="2926" t="s">
        <v>4618</v>
      </c>
      <c r="AA359" s="371"/>
    </row>
    <row r="360" spans="1:27" ht="12.75" customHeight="1" x14ac:dyDescent="0.2">
      <c r="A360" s="6418"/>
      <c r="B360" s="251" t="str">
        <f t="shared" si="5"/>
        <v>Nigromancia10</v>
      </c>
      <c r="D360" s="272" t="s">
        <v>343</v>
      </c>
      <c r="E360" s="2931" t="s">
        <v>1712</v>
      </c>
      <c r="F360" s="2931">
        <v>10</v>
      </c>
      <c r="G360" s="2934" t="s">
        <v>1381</v>
      </c>
      <c r="H360" s="2934" t="s">
        <v>1564</v>
      </c>
      <c r="I360" s="376" t="s">
        <v>1305</v>
      </c>
      <c r="J360" s="2931">
        <v>6</v>
      </c>
      <c r="K360" s="2931">
        <v>9</v>
      </c>
      <c r="L360" s="2931">
        <v>11</v>
      </c>
      <c r="M360" s="373">
        <v>13</v>
      </c>
      <c r="N360" s="2931">
        <v>40</v>
      </c>
      <c r="O360" s="2931">
        <v>60</v>
      </c>
      <c r="P360" s="2931">
        <v>80</v>
      </c>
      <c r="Q360" s="373">
        <v>100</v>
      </c>
      <c r="R360" s="2931">
        <v>5</v>
      </c>
      <c r="S360" s="2931">
        <v>5</v>
      </c>
      <c r="T360" s="2931">
        <v>10</v>
      </c>
      <c r="U360" s="373">
        <v>15</v>
      </c>
      <c r="V360" s="2926" t="s">
        <v>4619</v>
      </c>
      <c r="W360" s="2926" t="s">
        <v>4620</v>
      </c>
      <c r="X360" s="2926" t="s">
        <v>4621</v>
      </c>
      <c r="Y360" s="2926" t="s">
        <v>4622</v>
      </c>
      <c r="Z360" s="2926" t="s">
        <v>4623</v>
      </c>
      <c r="AA360" s="371"/>
    </row>
    <row r="361" spans="1:27" ht="12.75" customHeight="1" x14ac:dyDescent="0.2">
      <c r="A361" s="6418"/>
      <c r="B361" s="251" t="str">
        <f t="shared" si="5"/>
        <v>Nigromancia12</v>
      </c>
      <c r="D361" s="272" t="s">
        <v>344</v>
      </c>
      <c r="E361" s="2931" t="s">
        <v>1712</v>
      </c>
      <c r="F361" s="2931">
        <v>12</v>
      </c>
      <c r="G361" s="2934" t="s">
        <v>1381</v>
      </c>
      <c r="H361" s="2934" t="s">
        <v>1233</v>
      </c>
      <c r="I361" s="2749" t="s">
        <v>1304</v>
      </c>
      <c r="J361" s="2931">
        <v>6</v>
      </c>
      <c r="K361" s="2931">
        <v>9</v>
      </c>
      <c r="L361" s="2931">
        <v>12</v>
      </c>
      <c r="M361" s="373">
        <v>14</v>
      </c>
      <c r="N361" s="2931">
        <v>50</v>
      </c>
      <c r="O361" s="2931">
        <v>140</v>
      </c>
      <c r="P361" s="2931">
        <v>230</v>
      </c>
      <c r="Q361" s="373">
        <v>320</v>
      </c>
      <c r="R361" s="2931"/>
      <c r="S361" s="2931"/>
      <c r="T361" s="2931"/>
      <c r="U361" s="373"/>
      <c r="V361" s="2926" t="s">
        <v>3627</v>
      </c>
      <c r="W361" s="2926" t="s">
        <v>3590</v>
      </c>
      <c r="X361" s="2926" t="s">
        <v>3321</v>
      </c>
      <c r="Y361" s="2926" t="s">
        <v>3488</v>
      </c>
      <c r="Z361" s="2926" t="s">
        <v>4624</v>
      </c>
      <c r="AA361" s="371"/>
    </row>
    <row r="362" spans="1:27" ht="12.75" customHeight="1" x14ac:dyDescent="0.2">
      <c r="A362" s="6418"/>
      <c r="B362" s="251" t="str">
        <f t="shared" si="5"/>
        <v>Nigromancia16</v>
      </c>
      <c r="D362" s="272" t="s">
        <v>9924</v>
      </c>
      <c r="E362" s="2931" t="s">
        <v>1712</v>
      </c>
      <c r="F362" s="2931">
        <v>16</v>
      </c>
      <c r="G362" s="2934" t="s">
        <v>1381</v>
      </c>
      <c r="H362" s="2934" t="s">
        <v>1236</v>
      </c>
      <c r="I362" s="376" t="s">
        <v>1304</v>
      </c>
      <c r="J362" s="2931">
        <v>6</v>
      </c>
      <c r="K362" s="2931">
        <v>9</v>
      </c>
      <c r="L362" s="2931">
        <v>11</v>
      </c>
      <c r="M362" s="373">
        <v>13</v>
      </c>
      <c r="N362" s="2931">
        <v>50</v>
      </c>
      <c r="O362" s="2931">
        <v>80</v>
      </c>
      <c r="P362" s="2931">
        <v>100</v>
      </c>
      <c r="Q362" s="373">
        <v>120</v>
      </c>
      <c r="R362" s="2931">
        <v>5</v>
      </c>
      <c r="S362" s="2931">
        <v>10</v>
      </c>
      <c r="T362" s="2931">
        <v>10</v>
      </c>
      <c r="U362" s="373">
        <v>15</v>
      </c>
      <c r="V362" s="2926" t="s">
        <v>4465</v>
      </c>
      <c r="W362" s="2926" t="s">
        <v>3783</v>
      </c>
      <c r="X362" s="2926" t="s">
        <v>4403</v>
      </c>
      <c r="Y362" s="2926" t="s">
        <v>4625</v>
      </c>
      <c r="Z362" s="2926" t="s">
        <v>4626</v>
      </c>
      <c r="AA362" s="371"/>
    </row>
    <row r="363" spans="1:27" ht="12.75" customHeight="1" x14ac:dyDescent="0.2">
      <c r="A363" s="6418"/>
      <c r="B363" s="251" t="str">
        <f t="shared" si="5"/>
        <v>Nigromancia18</v>
      </c>
      <c r="D363" s="272" t="s">
        <v>345</v>
      </c>
      <c r="E363" s="2931" t="s">
        <v>1712</v>
      </c>
      <c r="F363" s="2931">
        <v>18</v>
      </c>
      <c r="G363" s="2934" t="s">
        <v>1381</v>
      </c>
      <c r="H363" s="2934" t="s">
        <v>4066</v>
      </c>
      <c r="I363" s="376" t="s">
        <v>1304</v>
      </c>
      <c r="J363" s="2931">
        <v>6</v>
      </c>
      <c r="K363" s="2931">
        <v>9</v>
      </c>
      <c r="L363" s="2931">
        <v>12</v>
      </c>
      <c r="M363" s="373">
        <v>15</v>
      </c>
      <c r="N363" s="2931">
        <v>60</v>
      </c>
      <c r="O363" s="2931">
        <v>90</v>
      </c>
      <c r="P363" s="2931">
        <v>120</v>
      </c>
      <c r="Q363" s="373">
        <v>150</v>
      </c>
      <c r="R363" s="2931">
        <v>5</v>
      </c>
      <c r="S363" s="2931">
        <v>5</v>
      </c>
      <c r="T363" s="2931">
        <v>5</v>
      </c>
      <c r="U363" s="373">
        <v>5</v>
      </c>
      <c r="V363" s="2926" t="s">
        <v>3618</v>
      </c>
      <c r="W363" s="2926" t="s">
        <v>3619</v>
      </c>
      <c r="X363" s="2926" t="s">
        <v>3620</v>
      </c>
      <c r="Y363" s="2926" t="s">
        <v>4627</v>
      </c>
      <c r="Z363" s="2926" t="s">
        <v>4628</v>
      </c>
      <c r="AA363" s="371"/>
    </row>
    <row r="364" spans="1:27" ht="12.75" customHeight="1" x14ac:dyDescent="0.2">
      <c r="A364" s="6418"/>
      <c r="B364" s="251" t="str">
        <f t="shared" si="5"/>
        <v>Nigromancia20</v>
      </c>
      <c r="D364" s="272" t="s">
        <v>346</v>
      </c>
      <c r="E364" s="2931" t="s">
        <v>1712</v>
      </c>
      <c r="F364" s="2931">
        <v>20</v>
      </c>
      <c r="G364" s="2934" t="s">
        <v>1381</v>
      </c>
      <c r="H364" s="2934" t="s">
        <v>1233</v>
      </c>
      <c r="I364" s="376" t="s">
        <v>1304</v>
      </c>
      <c r="J364" s="2931">
        <v>7</v>
      </c>
      <c r="K364" s="2931">
        <v>10</v>
      </c>
      <c r="L364" s="2931">
        <v>13</v>
      </c>
      <c r="M364" s="373">
        <v>15</v>
      </c>
      <c r="N364" s="2931">
        <v>60</v>
      </c>
      <c r="O364" s="2931">
        <v>90</v>
      </c>
      <c r="P364" s="2931">
        <v>120</v>
      </c>
      <c r="Q364" s="373">
        <v>150</v>
      </c>
      <c r="R364" s="2931">
        <v>10</v>
      </c>
      <c r="S364" s="2931">
        <v>10</v>
      </c>
      <c r="T364" s="2931">
        <v>15</v>
      </c>
      <c r="U364" s="373">
        <v>15</v>
      </c>
      <c r="V364" s="2926" t="s">
        <v>4629</v>
      </c>
      <c r="W364" s="2926" t="s">
        <v>3786</v>
      </c>
      <c r="X364" s="2926" t="s">
        <v>4630</v>
      </c>
      <c r="Y364" s="2926" t="s">
        <v>4631</v>
      </c>
      <c r="Z364" s="2926" t="s">
        <v>4632</v>
      </c>
      <c r="AA364" s="371"/>
    </row>
    <row r="365" spans="1:27" ht="12.75" customHeight="1" x14ac:dyDescent="0.2">
      <c r="A365" s="6418"/>
      <c r="B365" s="251" t="str">
        <f t="shared" si="5"/>
        <v>Nigromancia22</v>
      </c>
      <c r="D365" s="272" t="s">
        <v>347</v>
      </c>
      <c r="E365" s="2931" t="s">
        <v>1712</v>
      </c>
      <c r="F365" s="2931">
        <v>22</v>
      </c>
      <c r="G365" s="2934" t="s">
        <v>1381</v>
      </c>
      <c r="H365" s="2934" t="s">
        <v>1234</v>
      </c>
      <c r="I365" s="376" t="s">
        <v>1304</v>
      </c>
      <c r="J365" s="2931">
        <v>8</v>
      </c>
      <c r="K365" s="2931">
        <v>10</v>
      </c>
      <c r="L365" s="2931">
        <v>12</v>
      </c>
      <c r="M365" s="373">
        <v>14</v>
      </c>
      <c r="N365" s="2931">
        <v>80</v>
      </c>
      <c r="O365" s="2931">
        <v>100</v>
      </c>
      <c r="P365" s="2931">
        <v>120</v>
      </c>
      <c r="Q365" s="373">
        <v>140</v>
      </c>
      <c r="R365" s="2931"/>
      <c r="S365" s="2931"/>
      <c r="T365" s="2931"/>
      <c r="U365" s="373"/>
      <c r="V365" s="2926" t="s">
        <v>4633</v>
      </c>
      <c r="W365" s="2926" t="s">
        <v>4634</v>
      </c>
      <c r="X365" s="2926" t="s">
        <v>4635</v>
      </c>
      <c r="Y365" s="2926" t="s">
        <v>4636</v>
      </c>
      <c r="Z365" s="2926" t="s">
        <v>4637</v>
      </c>
      <c r="AA365" s="371"/>
    </row>
    <row r="366" spans="1:27" ht="12.75" customHeight="1" x14ac:dyDescent="0.2">
      <c r="A366" s="6418"/>
      <c r="B366" s="251" t="str">
        <f t="shared" si="5"/>
        <v>Nigromancia26</v>
      </c>
      <c r="D366" s="272" t="s">
        <v>348</v>
      </c>
      <c r="E366" s="2931" t="s">
        <v>1712</v>
      </c>
      <c r="F366" s="2931">
        <v>26</v>
      </c>
      <c r="G366" s="2934" t="s">
        <v>1381</v>
      </c>
      <c r="H366" s="2934" t="s">
        <v>1232</v>
      </c>
      <c r="I366" s="376" t="s">
        <v>1304</v>
      </c>
      <c r="J366" s="2931">
        <v>6</v>
      </c>
      <c r="K366" s="2931">
        <v>9</v>
      </c>
      <c r="L366" s="2931">
        <v>12</v>
      </c>
      <c r="M366" s="373">
        <v>15</v>
      </c>
      <c r="N366" s="2931">
        <v>60</v>
      </c>
      <c r="O366" s="2931">
        <v>90</v>
      </c>
      <c r="P366" s="2931">
        <v>120</v>
      </c>
      <c r="Q366" s="373">
        <v>150</v>
      </c>
      <c r="R366" s="2931"/>
      <c r="S366" s="2931"/>
      <c r="T366" s="2931"/>
      <c r="U366" s="373"/>
      <c r="V366" s="2926" t="s">
        <v>4638</v>
      </c>
      <c r="W366" s="2926" t="s">
        <v>3745</v>
      </c>
      <c r="X366" s="2926" t="s">
        <v>4639</v>
      </c>
      <c r="Y366" s="2926" t="s">
        <v>4640</v>
      </c>
      <c r="Z366" s="2926" t="s">
        <v>4641</v>
      </c>
      <c r="AA366" s="371"/>
    </row>
    <row r="367" spans="1:27" ht="12.75" customHeight="1" x14ac:dyDescent="0.2">
      <c r="A367" s="6418"/>
      <c r="B367" s="251" t="str">
        <f t="shared" si="5"/>
        <v>Nigromancia28</v>
      </c>
      <c r="D367" s="272" t="s">
        <v>349</v>
      </c>
      <c r="E367" s="2931" t="s">
        <v>1712</v>
      </c>
      <c r="F367" s="2931">
        <v>28</v>
      </c>
      <c r="G367" s="2934" t="s">
        <v>2087</v>
      </c>
      <c r="H367" s="2934" t="s">
        <v>1234</v>
      </c>
      <c r="I367" s="376" t="s">
        <v>1304</v>
      </c>
      <c r="J367" s="2931">
        <v>7</v>
      </c>
      <c r="K367" s="2931">
        <v>10</v>
      </c>
      <c r="L367" s="2931">
        <v>13</v>
      </c>
      <c r="M367" s="373">
        <v>15</v>
      </c>
      <c r="N367" s="2931">
        <v>80</v>
      </c>
      <c r="O367" s="2931">
        <v>180</v>
      </c>
      <c r="P367" s="2931">
        <v>300</v>
      </c>
      <c r="Q367" s="373">
        <v>450</v>
      </c>
      <c r="R367" s="2931">
        <v>10</v>
      </c>
      <c r="S367" s="2931">
        <v>20</v>
      </c>
      <c r="T367" s="2931">
        <v>25</v>
      </c>
      <c r="U367" s="373">
        <v>30</v>
      </c>
      <c r="V367" s="2926" t="s">
        <v>4642</v>
      </c>
      <c r="W367" s="2926" t="s">
        <v>4643</v>
      </c>
      <c r="X367" s="2926" t="s">
        <v>4644</v>
      </c>
      <c r="Y367" s="2926" t="s">
        <v>4645</v>
      </c>
      <c r="Z367" s="2926" t="s">
        <v>4646</v>
      </c>
      <c r="AA367" s="371"/>
    </row>
    <row r="368" spans="1:27" ht="12.75" customHeight="1" x14ac:dyDescent="0.2">
      <c r="A368" s="6418"/>
      <c r="B368" s="251" t="str">
        <f t="shared" si="5"/>
        <v>Nigromancia30</v>
      </c>
      <c r="D368" s="272" t="s">
        <v>350</v>
      </c>
      <c r="E368" s="2931" t="s">
        <v>1712</v>
      </c>
      <c r="F368" s="2931">
        <v>30</v>
      </c>
      <c r="G368" s="2934" t="s">
        <v>2087</v>
      </c>
      <c r="H368" s="2934" t="s">
        <v>1234</v>
      </c>
      <c r="I368" s="376" t="s">
        <v>1304</v>
      </c>
      <c r="J368" s="2931">
        <v>8</v>
      </c>
      <c r="K368" s="2931">
        <v>10</v>
      </c>
      <c r="L368" s="2931">
        <v>12</v>
      </c>
      <c r="M368" s="373">
        <v>14</v>
      </c>
      <c r="N368" s="2931">
        <v>80</v>
      </c>
      <c r="O368" s="2931">
        <v>100</v>
      </c>
      <c r="P368" s="2931">
        <v>120</v>
      </c>
      <c r="Q368" s="373">
        <v>140</v>
      </c>
      <c r="R368" s="2931">
        <v>10</v>
      </c>
      <c r="S368" s="2931">
        <v>10</v>
      </c>
      <c r="T368" s="2931">
        <v>15</v>
      </c>
      <c r="U368" s="373">
        <v>15</v>
      </c>
      <c r="V368" s="2926" t="s">
        <v>4647</v>
      </c>
      <c r="W368" s="2926" t="s">
        <v>4648</v>
      </c>
      <c r="X368" s="2926" t="s">
        <v>4649</v>
      </c>
      <c r="Y368" s="2926" t="s">
        <v>4650</v>
      </c>
      <c r="Z368" s="2926" t="s">
        <v>4651</v>
      </c>
      <c r="AA368" s="371"/>
    </row>
    <row r="369" spans="1:27" ht="12.75" customHeight="1" x14ac:dyDescent="0.2">
      <c r="A369" s="6418"/>
      <c r="B369" s="251" t="str">
        <f t="shared" si="5"/>
        <v>Nigromancia32</v>
      </c>
      <c r="D369" s="272" t="s">
        <v>351</v>
      </c>
      <c r="E369" s="2931" t="s">
        <v>1712</v>
      </c>
      <c r="F369" s="2931">
        <v>32</v>
      </c>
      <c r="G369" s="2934" t="s">
        <v>1381</v>
      </c>
      <c r="H369" s="2934" t="s">
        <v>1233</v>
      </c>
      <c r="I369" s="376" t="s">
        <v>1304</v>
      </c>
      <c r="J369" s="2931">
        <v>8</v>
      </c>
      <c r="K369" s="2931">
        <v>10</v>
      </c>
      <c r="L369" s="2931">
        <v>13</v>
      </c>
      <c r="M369" s="373">
        <v>15</v>
      </c>
      <c r="N369" s="2931">
        <v>60</v>
      </c>
      <c r="O369" s="2931">
        <v>140</v>
      </c>
      <c r="P369" s="2931">
        <v>220</v>
      </c>
      <c r="Q369" s="373">
        <v>300</v>
      </c>
      <c r="R369" s="2931"/>
      <c r="S369" s="2931"/>
      <c r="T369" s="2931"/>
      <c r="U369" s="373"/>
      <c r="V369" s="2926" t="s">
        <v>3590</v>
      </c>
      <c r="W369" s="2926" t="s">
        <v>3321</v>
      </c>
      <c r="X369" s="2926" t="s">
        <v>3775</v>
      </c>
      <c r="Y369" s="2926" t="s">
        <v>4652</v>
      </c>
      <c r="Z369" s="2926" t="s">
        <v>4653</v>
      </c>
      <c r="AA369" s="371"/>
    </row>
    <row r="370" spans="1:27" ht="12.75" customHeight="1" x14ac:dyDescent="0.2">
      <c r="A370" s="6418"/>
      <c r="B370" s="251" t="str">
        <f t="shared" si="5"/>
        <v>Nigromancia36</v>
      </c>
      <c r="D370" s="272" t="s">
        <v>352</v>
      </c>
      <c r="E370" s="2931" t="s">
        <v>1712</v>
      </c>
      <c r="F370" s="2931">
        <v>36</v>
      </c>
      <c r="G370" s="2934" t="s">
        <v>1381</v>
      </c>
      <c r="H370" s="2934" t="s">
        <v>1233</v>
      </c>
      <c r="I370" s="376" t="s">
        <v>1304</v>
      </c>
      <c r="J370" s="2931">
        <v>8</v>
      </c>
      <c r="K370" s="2931">
        <v>10</v>
      </c>
      <c r="L370" s="2931">
        <v>13</v>
      </c>
      <c r="M370" s="373">
        <v>15</v>
      </c>
      <c r="N370" s="2931">
        <v>80</v>
      </c>
      <c r="O370" s="2931">
        <v>160</v>
      </c>
      <c r="P370" s="2931">
        <v>240</v>
      </c>
      <c r="Q370" s="373">
        <v>320</v>
      </c>
      <c r="R370" s="2931"/>
      <c r="S370" s="2931"/>
      <c r="T370" s="2931"/>
      <c r="U370" s="373"/>
      <c r="V370" s="2926" t="s">
        <v>3590</v>
      </c>
      <c r="W370" s="2926" t="s">
        <v>3321</v>
      </c>
      <c r="X370" s="2926" t="s">
        <v>3775</v>
      </c>
      <c r="Y370" s="2926" t="s">
        <v>4652</v>
      </c>
      <c r="Z370" s="2926" t="s">
        <v>4654</v>
      </c>
      <c r="AA370" s="371"/>
    </row>
    <row r="371" spans="1:27" ht="12.75" customHeight="1" x14ac:dyDescent="0.2">
      <c r="A371" s="6418"/>
      <c r="B371" s="251" t="str">
        <f t="shared" si="5"/>
        <v>Nigromancia38</v>
      </c>
      <c r="D371" s="272" t="s">
        <v>353</v>
      </c>
      <c r="E371" s="2931" t="s">
        <v>1712</v>
      </c>
      <c r="F371" s="2931">
        <v>38</v>
      </c>
      <c r="G371" s="2934" t="s">
        <v>1381</v>
      </c>
      <c r="H371" s="2934" t="s">
        <v>1233</v>
      </c>
      <c r="I371" s="376" t="s">
        <v>1304</v>
      </c>
      <c r="J371" s="2931">
        <v>8</v>
      </c>
      <c r="K371" s="2931">
        <v>10</v>
      </c>
      <c r="L371" s="2931">
        <v>13</v>
      </c>
      <c r="M371" s="373">
        <v>15</v>
      </c>
      <c r="N371" s="2931">
        <v>60</v>
      </c>
      <c r="O371" s="2931">
        <v>150</v>
      </c>
      <c r="P371" s="2931">
        <v>240</v>
      </c>
      <c r="Q371" s="373">
        <v>320</v>
      </c>
      <c r="R371" s="2931">
        <v>5</v>
      </c>
      <c r="S371" s="2931">
        <v>10</v>
      </c>
      <c r="T371" s="2931">
        <v>15</v>
      </c>
      <c r="U371" s="373">
        <v>15</v>
      </c>
      <c r="V371" s="2926" t="s">
        <v>3590</v>
      </c>
      <c r="W371" s="2926" t="s">
        <v>3321</v>
      </c>
      <c r="X371" s="2926" t="s">
        <v>3775</v>
      </c>
      <c r="Y371" s="2926" t="s">
        <v>4652</v>
      </c>
      <c r="Z371" s="2926" t="s">
        <v>4655</v>
      </c>
      <c r="AA371" s="371"/>
    </row>
    <row r="372" spans="1:27" ht="12.75" customHeight="1" x14ac:dyDescent="0.2">
      <c r="A372" s="6418"/>
      <c r="B372" s="251" t="str">
        <f t="shared" si="5"/>
        <v>Nigromancia40</v>
      </c>
      <c r="D372" s="272" t="s">
        <v>354</v>
      </c>
      <c r="E372" s="2931" t="s">
        <v>1712</v>
      </c>
      <c r="F372" s="2931">
        <v>40</v>
      </c>
      <c r="G372" s="2934" t="s">
        <v>2087</v>
      </c>
      <c r="H372" s="2934" t="s">
        <v>1233</v>
      </c>
      <c r="I372" s="376" t="s">
        <v>1304</v>
      </c>
      <c r="J372" s="2931">
        <v>9</v>
      </c>
      <c r="K372" s="2931">
        <v>11</v>
      </c>
      <c r="L372" s="2931">
        <v>14</v>
      </c>
      <c r="M372" s="373">
        <v>16</v>
      </c>
      <c r="N372" s="2931">
        <v>100</v>
      </c>
      <c r="O372" s="2931">
        <v>140</v>
      </c>
      <c r="P372" s="2931">
        <v>180</v>
      </c>
      <c r="Q372" s="373">
        <v>250</v>
      </c>
      <c r="R372" s="2931">
        <v>10</v>
      </c>
      <c r="S372" s="2931">
        <v>15</v>
      </c>
      <c r="T372" s="2931">
        <v>20</v>
      </c>
      <c r="U372" s="373">
        <v>25</v>
      </c>
      <c r="V372" s="2926" t="s">
        <v>4656</v>
      </c>
      <c r="W372" s="2926" t="s">
        <v>4657</v>
      </c>
      <c r="X372" s="2926" t="s">
        <v>3787</v>
      </c>
      <c r="Y372" s="2926" t="s">
        <v>4658</v>
      </c>
      <c r="Z372" s="2926" t="s">
        <v>4659</v>
      </c>
      <c r="AA372" s="371"/>
    </row>
    <row r="373" spans="1:27" ht="12.75" customHeight="1" x14ac:dyDescent="0.2">
      <c r="A373" s="6418"/>
      <c r="B373" s="251" t="str">
        <f t="shared" si="5"/>
        <v>Nigromancia42</v>
      </c>
      <c r="D373" s="272" t="s">
        <v>355</v>
      </c>
      <c r="E373" s="2931" t="s">
        <v>1712</v>
      </c>
      <c r="F373" s="2931">
        <v>42</v>
      </c>
      <c r="G373" s="2934" t="s">
        <v>2087</v>
      </c>
      <c r="H373" s="2934" t="s">
        <v>4066</v>
      </c>
      <c r="I373" s="376" t="s">
        <v>1304</v>
      </c>
      <c r="J373" s="2931">
        <v>9</v>
      </c>
      <c r="K373" s="2931">
        <v>12</v>
      </c>
      <c r="L373" s="2931">
        <v>14</v>
      </c>
      <c r="M373" s="373">
        <v>16</v>
      </c>
      <c r="N373" s="2931">
        <v>100</v>
      </c>
      <c r="O373" s="2931">
        <v>140</v>
      </c>
      <c r="P373" s="2931">
        <v>180</v>
      </c>
      <c r="Q373" s="373">
        <v>220</v>
      </c>
      <c r="R373" s="2931">
        <v>10</v>
      </c>
      <c r="S373" s="2931">
        <v>15</v>
      </c>
      <c r="T373" s="2931">
        <v>20</v>
      </c>
      <c r="U373" s="373">
        <v>25</v>
      </c>
      <c r="V373" s="2926" t="s">
        <v>4265</v>
      </c>
      <c r="W373" s="2926" t="s">
        <v>4366</v>
      </c>
      <c r="X373" s="2926" t="s">
        <v>4660</v>
      </c>
      <c r="Y373" s="2926" t="s">
        <v>3506</v>
      </c>
      <c r="Z373" s="2926" t="s">
        <v>4661</v>
      </c>
      <c r="AA373" s="371"/>
    </row>
    <row r="374" spans="1:27" ht="12.75" customHeight="1" x14ac:dyDescent="0.2">
      <c r="A374" s="6418"/>
      <c r="B374" s="251" t="str">
        <f t="shared" si="5"/>
        <v>Nigromancia46</v>
      </c>
      <c r="D374" s="272" t="s">
        <v>356</v>
      </c>
      <c r="E374" s="2931" t="s">
        <v>1712</v>
      </c>
      <c r="F374" s="2931">
        <v>46</v>
      </c>
      <c r="G374" s="2934" t="s">
        <v>1381</v>
      </c>
      <c r="H374" s="2934" t="s">
        <v>1564</v>
      </c>
      <c r="I374" s="376" t="s">
        <v>1305</v>
      </c>
      <c r="J374" s="2931">
        <v>9</v>
      </c>
      <c r="K374" s="2931">
        <v>11</v>
      </c>
      <c r="L374" s="2931">
        <v>13</v>
      </c>
      <c r="M374" s="373">
        <v>15</v>
      </c>
      <c r="N374" s="2931">
        <v>80</v>
      </c>
      <c r="O374" s="2931">
        <v>160</v>
      </c>
      <c r="P374" s="2931">
        <v>240</v>
      </c>
      <c r="Q374" s="373">
        <v>300</v>
      </c>
      <c r="R374" s="2931">
        <v>5</v>
      </c>
      <c r="S374" s="2931">
        <v>10</v>
      </c>
      <c r="T374" s="2931">
        <v>15</v>
      </c>
      <c r="U374" s="373">
        <v>15</v>
      </c>
      <c r="V374" s="2926" t="s">
        <v>4662</v>
      </c>
      <c r="W374" s="2926" t="s">
        <v>4663</v>
      </c>
      <c r="X374" s="2926" t="s">
        <v>4664</v>
      </c>
      <c r="Y374" s="2926" t="s">
        <v>4665</v>
      </c>
      <c r="Z374" s="2926" t="s">
        <v>4666</v>
      </c>
      <c r="AA374" s="371"/>
    </row>
    <row r="375" spans="1:27" ht="12.75" customHeight="1" x14ac:dyDescent="0.2">
      <c r="A375" s="6418"/>
      <c r="B375" s="251" t="str">
        <f t="shared" si="5"/>
        <v>Nigromancia48</v>
      </c>
      <c r="D375" s="272" t="s">
        <v>357</v>
      </c>
      <c r="E375" s="2931" t="s">
        <v>1712</v>
      </c>
      <c r="F375" s="2931">
        <v>48</v>
      </c>
      <c r="G375" s="2934" t="s">
        <v>2087</v>
      </c>
      <c r="H375" s="2934" t="s">
        <v>1233</v>
      </c>
      <c r="I375" s="376" t="s">
        <v>1305</v>
      </c>
      <c r="J375" s="2931">
        <v>9</v>
      </c>
      <c r="K375" s="2931">
        <v>11</v>
      </c>
      <c r="L375" s="2931">
        <v>13</v>
      </c>
      <c r="M375" s="373">
        <v>15</v>
      </c>
      <c r="N375" s="2931">
        <v>140</v>
      </c>
      <c r="O375" s="2931">
        <v>180</v>
      </c>
      <c r="P375" s="2931">
        <v>240</v>
      </c>
      <c r="Q375" s="373">
        <v>300</v>
      </c>
      <c r="R375" s="2931">
        <v>30</v>
      </c>
      <c r="S375" s="2931">
        <v>40</v>
      </c>
      <c r="T375" s="2931">
        <v>50</v>
      </c>
      <c r="U375" s="373">
        <v>60</v>
      </c>
      <c r="V375" s="2926" t="s">
        <v>3627</v>
      </c>
      <c r="W375" s="2926" t="s">
        <v>3589</v>
      </c>
      <c r="X375" s="2926" t="s">
        <v>3590</v>
      </c>
      <c r="Y375" s="2926" t="s">
        <v>3486</v>
      </c>
      <c r="Z375" s="2926" t="s">
        <v>4667</v>
      </c>
      <c r="AA375" s="371"/>
    </row>
    <row r="376" spans="1:27" ht="12.75" customHeight="1" x14ac:dyDescent="0.2">
      <c r="A376" s="6418"/>
      <c r="B376" s="251" t="str">
        <f t="shared" si="5"/>
        <v>Nigromancia50</v>
      </c>
      <c r="D376" s="272" t="s">
        <v>358</v>
      </c>
      <c r="E376" s="2931" t="s">
        <v>1712</v>
      </c>
      <c r="F376" s="2931">
        <v>50</v>
      </c>
      <c r="G376" s="2934" t="s">
        <v>1381</v>
      </c>
      <c r="H376" s="2934" t="s">
        <v>1234</v>
      </c>
      <c r="I376" s="376" t="s">
        <v>1304</v>
      </c>
      <c r="J376" s="2931">
        <v>9</v>
      </c>
      <c r="K376" s="2931">
        <v>11</v>
      </c>
      <c r="L376" s="2931">
        <v>13</v>
      </c>
      <c r="M376" s="373">
        <v>15</v>
      </c>
      <c r="N376" s="2931">
        <v>140</v>
      </c>
      <c r="O376" s="2931">
        <v>180</v>
      </c>
      <c r="P376" s="2931">
        <v>240</v>
      </c>
      <c r="Q376" s="373">
        <v>300</v>
      </c>
      <c r="R376" s="2931">
        <v>15</v>
      </c>
      <c r="S376" s="2931">
        <v>20</v>
      </c>
      <c r="T376" s="2931">
        <v>25</v>
      </c>
      <c r="U376" s="373">
        <v>30</v>
      </c>
      <c r="V376" s="2926" t="s">
        <v>4668</v>
      </c>
      <c r="W376" s="2926" t="s">
        <v>4669</v>
      </c>
      <c r="X376" s="2926" t="s">
        <v>4670</v>
      </c>
      <c r="Y376" s="2926" t="s">
        <v>4671</v>
      </c>
      <c r="Z376" s="2926" t="s">
        <v>4672</v>
      </c>
      <c r="AA376" s="371"/>
    </row>
    <row r="377" spans="1:27" ht="12.75" customHeight="1" x14ac:dyDescent="0.2">
      <c r="A377" s="6418"/>
      <c r="B377" s="251" t="str">
        <f t="shared" si="5"/>
        <v>Nigromancia52</v>
      </c>
      <c r="D377" s="272" t="s">
        <v>359</v>
      </c>
      <c r="E377" s="2931" t="s">
        <v>1712</v>
      </c>
      <c r="F377" s="2931">
        <v>52</v>
      </c>
      <c r="G377" s="2934" t="s">
        <v>1381</v>
      </c>
      <c r="H377" s="2934" t="s">
        <v>1234</v>
      </c>
      <c r="I377" s="376" t="s">
        <v>1304</v>
      </c>
      <c r="J377" s="2931">
        <v>10</v>
      </c>
      <c r="K377" s="2931">
        <v>12</v>
      </c>
      <c r="L377" s="2931">
        <v>14</v>
      </c>
      <c r="M377" s="373">
        <v>16</v>
      </c>
      <c r="N377" s="2931">
        <v>100</v>
      </c>
      <c r="O377" s="2931">
        <v>180</v>
      </c>
      <c r="P377" s="2931">
        <v>240</v>
      </c>
      <c r="Q377" s="373">
        <v>300</v>
      </c>
      <c r="R377" s="2931">
        <v>10</v>
      </c>
      <c r="S377" s="2931">
        <v>20</v>
      </c>
      <c r="T377" s="2931">
        <v>25</v>
      </c>
      <c r="U377" s="373">
        <v>30</v>
      </c>
      <c r="V377" s="2926" t="s">
        <v>4673</v>
      </c>
      <c r="W377" s="2926" t="s">
        <v>4674</v>
      </c>
      <c r="X377" s="2926" t="s">
        <v>4675</v>
      </c>
      <c r="Y377" s="2926" t="s">
        <v>4676</v>
      </c>
      <c r="Z377" s="2926" t="s">
        <v>4677</v>
      </c>
      <c r="AA377" s="371"/>
    </row>
    <row r="378" spans="1:27" ht="12.75" customHeight="1" x14ac:dyDescent="0.2">
      <c r="A378" s="6418"/>
      <c r="B378" s="251" t="str">
        <f t="shared" si="5"/>
        <v>Nigromancia56</v>
      </c>
      <c r="D378" s="272" t="s">
        <v>360</v>
      </c>
      <c r="E378" s="2931" t="s">
        <v>1712</v>
      </c>
      <c r="F378" s="2931">
        <v>56</v>
      </c>
      <c r="G378" s="2934" t="s">
        <v>1381</v>
      </c>
      <c r="H378" s="2934" t="s">
        <v>1234</v>
      </c>
      <c r="I378" s="376" t="s">
        <v>1304</v>
      </c>
      <c r="J378" s="2931">
        <v>9</v>
      </c>
      <c r="K378" s="2931">
        <v>11</v>
      </c>
      <c r="L378" s="2931">
        <v>13</v>
      </c>
      <c r="M378" s="373">
        <v>16</v>
      </c>
      <c r="N378" s="2931">
        <v>100</v>
      </c>
      <c r="O378" s="2931">
        <v>200</v>
      </c>
      <c r="P378" s="2931">
        <v>300</v>
      </c>
      <c r="Q378" s="373">
        <v>400</v>
      </c>
      <c r="R378" s="2931">
        <v>10</v>
      </c>
      <c r="S378" s="2931">
        <v>20</v>
      </c>
      <c r="T378" s="2931">
        <v>30</v>
      </c>
      <c r="U378" s="373">
        <v>40</v>
      </c>
      <c r="V378" s="2926" t="s">
        <v>3612</v>
      </c>
      <c r="W378" s="2926" t="s">
        <v>3613</v>
      </c>
      <c r="X378" s="2926" t="s">
        <v>3614</v>
      </c>
      <c r="Y378" s="2926" t="s">
        <v>4678</v>
      </c>
      <c r="Z378" s="2926" t="s">
        <v>4679</v>
      </c>
      <c r="AA378" s="371"/>
    </row>
    <row r="379" spans="1:27" ht="12.75" customHeight="1" x14ac:dyDescent="0.2">
      <c r="A379" s="6418"/>
      <c r="B379" s="251" t="str">
        <f t="shared" si="5"/>
        <v>Nigromancia58</v>
      </c>
      <c r="D379" s="272" t="s">
        <v>361</v>
      </c>
      <c r="E379" s="2931" t="s">
        <v>1712</v>
      </c>
      <c r="F379" s="2931">
        <v>58</v>
      </c>
      <c r="G379" s="2934" t="s">
        <v>1381</v>
      </c>
      <c r="H379" s="2934" t="s">
        <v>1234</v>
      </c>
      <c r="I379" s="376" t="s">
        <v>1304</v>
      </c>
      <c r="J379" s="2931">
        <v>9</v>
      </c>
      <c r="K379" s="2931">
        <v>12</v>
      </c>
      <c r="L379" s="2931">
        <v>14</v>
      </c>
      <c r="M379" s="373">
        <v>16</v>
      </c>
      <c r="N379" s="2931">
        <v>100</v>
      </c>
      <c r="O379" s="2931">
        <v>140</v>
      </c>
      <c r="P379" s="2931">
        <v>160</v>
      </c>
      <c r="Q379" s="373">
        <v>180</v>
      </c>
      <c r="R379" s="2931"/>
      <c r="S379" s="2931"/>
      <c r="T379" s="2931"/>
      <c r="U379" s="373"/>
      <c r="V379" s="2926" t="s">
        <v>4680</v>
      </c>
      <c r="W379" s="2926" t="s">
        <v>4681</v>
      </c>
      <c r="X379" s="2926" t="s">
        <v>4682</v>
      </c>
      <c r="Y379" s="2926" t="s">
        <v>4683</v>
      </c>
      <c r="Z379" s="2926" t="s">
        <v>4684</v>
      </c>
      <c r="AA379" s="371"/>
    </row>
    <row r="380" spans="1:27" ht="12.75" customHeight="1" x14ac:dyDescent="0.2">
      <c r="A380" s="6418"/>
      <c r="B380" s="251" t="str">
        <f t="shared" si="5"/>
        <v>Nigromancia60</v>
      </c>
      <c r="D380" s="272" t="s">
        <v>362</v>
      </c>
      <c r="E380" s="2931" t="s">
        <v>1712</v>
      </c>
      <c r="F380" s="2931">
        <v>60</v>
      </c>
      <c r="G380" s="2934" t="s">
        <v>2087</v>
      </c>
      <c r="H380" s="2934" t="s">
        <v>1234</v>
      </c>
      <c r="I380" s="376" t="s">
        <v>1304</v>
      </c>
      <c r="J380" s="2931">
        <v>10</v>
      </c>
      <c r="K380" s="2931">
        <v>12</v>
      </c>
      <c r="L380" s="2931">
        <v>14</v>
      </c>
      <c r="M380" s="373">
        <v>16</v>
      </c>
      <c r="N380" s="2931">
        <v>200</v>
      </c>
      <c r="O380" s="2931">
        <v>240</v>
      </c>
      <c r="P380" s="2931">
        <v>280</v>
      </c>
      <c r="Q380" s="373">
        <v>320</v>
      </c>
      <c r="R380" s="2931">
        <v>20</v>
      </c>
      <c r="S380" s="2931">
        <v>25</v>
      </c>
      <c r="T380" s="2931">
        <v>30</v>
      </c>
      <c r="U380" s="373">
        <v>35</v>
      </c>
      <c r="V380" s="2926" t="s">
        <v>4685</v>
      </c>
      <c r="W380" s="2926" t="s">
        <v>4686</v>
      </c>
      <c r="X380" s="2926" t="s">
        <v>4687</v>
      </c>
      <c r="Y380" s="2926" t="s">
        <v>4688</v>
      </c>
      <c r="Z380" s="2926" t="s">
        <v>4689</v>
      </c>
      <c r="AA380" s="371"/>
    </row>
    <row r="381" spans="1:27" ht="12.75" customHeight="1" x14ac:dyDescent="0.2">
      <c r="A381" s="6418"/>
      <c r="B381" s="251" t="str">
        <f t="shared" si="5"/>
        <v>Nigromancia62</v>
      </c>
      <c r="D381" s="272" t="s">
        <v>363</v>
      </c>
      <c r="E381" s="2931" t="s">
        <v>1712</v>
      </c>
      <c r="F381" s="2931">
        <v>62</v>
      </c>
      <c r="G381" s="2934" t="s">
        <v>1381</v>
      </c>
      <c r="H381" s="2934" t="s">
        <v>1233</v>
      </c>
      <c r="I381" s="376" t="s">
        <v>1304</v>
      </c>
      <c r="J381" s="2931">
        <v>9</v>
      </c>
      <c r="K381" s="2931">
        <v>12</v>
      </c>
      <c r="L381" s="2931">
        <v>15</v>
      </c>
      <c r="M381" s="373">
        <v>18</v>
      </c>
      <c r="N381" s="2931">
        <v>180</v>
      </c>
      <c r="O381" s="2931">
        <v>240</v>
      </c>
      <c r="P381" s="2931">
        <v>300</v>
      </c>
      <c r="Q381" s="373">
        <v>360</v>
      </c>
      <c r="R381" s="2931"/>
      <c r="S381" s="2931"/>
      <c r="T381" s="2931"/>
      <c r="U381" s="373"/>
      <c r="V381" s="2926" t="s">
        <v>3627</v>
      </c>
      <c r="W381" s="2926" t="s">
        <v>4690</v>
      </c>
      <c r="X381" s="2926" t="s">
        <v>3486</v>
      </c>
      <c r="Y381" s="2926" t="s">
        <v>4691</v>
      </c>
      <c r="Z381" s="2926" t="s">
        <v>4692</v>
      </c>
      <c r="AA381" s="371"/>
    </row>
    <row r="382" spans="1:27" ht="12.75" customHeight="1" x14ac:dyDescent="0.2">
      <c r="A382" s="6418"/>
      <c r="B382" s="251" t="str">
        <f t="shared" si="5"/>
        <v>Nigromancia66</v>
      </c>
      <c r="D382" s="272" t="s">
        <v>364</v>
      </c>
      <c r="E382" s="2931" t="s">
        <v>1712</v>
      </c>
      <c r="F382" s="2931">
        <v>66</v>
      </c>
      <c r="G382" s="2934" t="s">
        <v>1381</v>
      </c>
      <c r="H382" s="2934" t="s">
        <v>1233</v>
      </c>
      <c r="I382" s="376" t="s">
        <v>1304</v>
      </c>
      <c r="J382" s="2931">
        <v>10</v>
      </c>
      <c r="K382" s="2931">
        <v>12</v>
      </c>
      <c r="L382" s="2931">
        <v>14</v>
      </c>
      <c r="M382" s="373">
        <v>16</v>
      </c>
      <c r="N382" s="2931">
        <v>100</v>
      </c>
      <c r="O382" s="2931">
        <v>140</v>
      </c>
      <c r="P382" s="2931">
        <v>180</v>
      </c>
      <c r="Q382" s="373">
        <v>220</v>
      </c>
      <c r="R382" s="2931"/>
      <c r="S382" s="2931"/>
      <c r="T382" s="2931"/>
      <c r="U382" s="373"/>
      <c r="V382" s="2926" t="s">
        <v>4693</v>
      </c>
      <c r="W382" s="2926" t="s">
        <v>4694</v>
      </c>
      <c r="X382" s="2926" t="s">
        <v>3796</v>
      </c>
      <c r="Y382" s="2926" t="s">
        <v>3797</v>
      </c>
      <c r="Z382" s="2926" t="s">
        <v>4695</v>
      </c>
      <c r="AA382" s="371"/>
    </row>
    <row r="383" spans="1:27" ht="12.75" customHeight="1" x14ac:dyDescent="0.2">
      <c r="A383" s="6418"/>
      <c r="B383" s="251" t="str">
        <f t="shared" si="5"/>
        <v>Nigromancia68</v>
      </c>
      <c r="D383" s="272" t="s">
        <v>365</v>
      </c>
      <c r="E383" s="2931" t="s">
        <v>1712</v>
      </c>
      <c r="F383" s="2931">
        <v>68</v>
      </c>
      <c r="G383" s="2934" t="s">
        <v>1381</v>
      </c>
      <c r="H383" s="2934" t="s">
        <v>1232</v>
      </c>
      <c r="I383" s="376" t="s">
        <v>1304</v>
      </c>
      <c r="J383" s="2931">
        <v>9</v>
      </c>
      <c r="K383" s="2931">
        <v>11</v>
      </c>
      <c r="L383" s="2931">
        <v>13</v>
      </c>
      <c r="M383" s="373">
        <v>16</v>
      </c>
      <c r="N383" s="2931">
        <v>140</v>
      </c>
      <c r="O383" s="2931">
        <v>260</v>
      </c>
      <c r="P383" s="2931">
        <v>380</v>
      </c>
      <c r="Q383" s="373">
        <v>500</v>
      </c>
      <c r="R383" s="2931"/>
      <c r="S383" s="2931"/>
      <c r="T383" s="2931"/>
      <c r="U383" s="373"/>
      <c r="V383" s="2926" t="s">
        <v>3745</v>
      </c>
      <c r="W383" s="2926" t="s">
        <v>3746</v>
      </c>
      <c r="X383" s="2926" t="s">
        <v>3777</v>
      </c>
      <c r="Y383" s="2926" t="s">
        <v>4696</v>
      </c>
      <c r="Z383" s="2926" t="s">
        <v>4697</v>
      </c>
      <c r="AA383" s="371"/>
    </row>
    <row r="384" spans="1:27" ht="12.75" customHeight="1" x14ac:dyDescent="0.2">
      <c r="A384" s="6418"/>
      <c r="B384" s="251" t="str">
        <f t="shared" si="5"/>
        <v>Nigromancia70</v>
      </c>
      <c r="D384" s="272" t="s">
        <v>366</v>
      </c>
      <c r="E384" s="2931" t="s">
        <v>1712</v>
      </c>
      <c r="F384" s="2931">
        <v>70</v>
      </c>
      <c r="G384" s="2934" t="s">
        <v>2087</v>
      </c>
      <c r="H384" s="2934" t="s">
        <v>1234</v>
      </c>
      <c r="I384" s="376" t="s">
        <v>1304</v>
      </c>
      <c r="J384" s="2931">
        <v>9</v>
      </c>
      <c r="K384" s="2931">
        <v>12</v>
      </c>
      <c r="L384" s="2931">
        <v>15</v>
      </c>
      <c r="M384" s="373">
        <v>17</v>
      </c>
      <c r="N384" s="2931">
        <v>250</v>
      </c>
      <c r="O384" s="2931">
        <v>360</v>
      </c>
      <c r="P384" s="2931">
        <v>500</v>
      </c>
      <c r="Q384" s="373">
        <v>800</v>
      </c>
      <c r="R384" s="2931">
        <v>50</v>
      </c>
      <c r="S384" s="2931">
        <v>80</v>
      </c>
      <c r="T384" s="2931">
        <v>100</v>
      </c>
      <c r="U384" s="373">
        <v>160</v>
      </c>
      <c r="V384" s="2926" t="s">
        <v>3617</v>
      </c>
      <c r="W384" s="2926" t="s">
        <v>4368</v>
      </c>
      <c r="X384" s="2926" t="s">
        <v>4369</v>
      </c>
      <c r="Y384" s="2926" t="s">
        <v>4698</v>
      </c>
      <c r="Z384" s="2926" t="s">
        <v>4699</v>
      </c>
      <c r="AA384" s="371"/>
    </row>
    <row r="385" spans="1:27" ht="12.75" customHeight="1" x14ac:dyDescent="0.2">
      <c r="A385" s="6418"/>
      <c r="B385" s="251" t="str">
        <f t="shared" si="5"/>
        <v>Nigromancia72</v>
      </c>
      <c r="D385" s="272" t="s">
        <v>367</v>
      </c>
      <c r="E385" s="2931" t="s">
        <v>1712</v>
      </c>
      <c r="F385" s="2931">
        <v>72</v>
      </c>
      <c r="G385" s="2934" t="s">
        <v>1381</v>
      </c>
      <c r="H385" s="2934" t="s">
        <v>1233</v>
      </c>
      <c r="I385" s="376" t="s">
        <v>1304</v>
      </c>
      <c r="J385" s="2931">
        <v>10</v>
      </c>
      <c r="K385" s="2931">
        <v>13</v>
      </c>
      <c r="L385" s="2931">
        <v>15</v>
      </c>
      <c r="M385" s="373">
        <v>18</v>
      </c>
      <c r="N385" s="2931">
        <v>180</v>
      </c>
      <c r="O385" s="2931">
        <v>240</v>
      </c>
      <c r="P385" s="2931">
        <v>300</v>
      </c>
      <c r="Q385" s="373">
        <v>360</v>
      </c>
      <c r="R385" s="2931"/>
      <c r="S385" s="2931"/>
      <c r="T385" s="2931"/>
      <c r="U385" s="373"/>
      <c r="V385" s="2926" t="s">
        <v>4694</v>
      </c>
      <c r="W385" s="2926" t="s">
        <v>3797</v>
      </c>
      <c r="X385" s="2926" t="s">
        <v>3799</v>
      </c>
      <c r="Y385" s="2926" t="s">
        <v>4700</v>
      </c>
      <c r="Z385" s="2926" t="s">
        <v>4701</v>
      </c>
      <c r="AA385" s="371"/>
    </row>
    <row r="386" spans="1:27" ht="12.75" customHeight="1" x14ac:dyDescent="0.2">
      <c r="A386" s="6418"/>
      <c r="B386" s="251" t="str">
        <f t="shared" si="5"/>
        <v>Nigromancia76</v>
      </c>
      <c r="D386" s="272" t="s">
        <v>368</v>
      </c>
      <c r="E386" s="2931" t="s">
        <v>1712</v>
      </c>
      <c r="F386" s="2931">
        <v>76</v>
      </c>
      <c r="G386" s="2934" t="s">
        <v>1381</v>
      </c>
      <c r="H386" s="2934" t="s">
        <v>1233</v>
      </c>
      <c r="I386" s="376" t="s">
        <v>1304</v>
      </c>
      <c r="J386" s="2931">
        <v>10</v>
      </c>
      <c r="K386" s="2931">
        <v>13</v>
      </c>
      <c r="L386" s="2931">
        <v>15</v>
      </c>
      <c r="M386" s="373">
        <v>18</v>
      </c>
      <c r="N386" s="2931">
        <v>250</v>
      </c>
      <c r="O386" s="2931">
        <v>360</v>
      </c>
      <c r="P386" s="2931">
        <v>450</v>
      </c>
      <c r="Q386" s="373">
        <v>540</v>
      </c>
      <c r="R386" s="2931"/>
      <c r="S386" s="2931"/>
      <c r="T386" s="2931"/>
      <c r="U386" s="373"/>
      <c r="V386" s="2926" t="s">
        <v>4694</v>
      </c>
      <c r="W386" s="2926" t="s">
        <v>3797</v>
      </c>
      <c r="X386" s="2926" t="s">
        <v>3799</v>
      </c>
      <c r="Y386" s="2926" t="s">
        <v>4700</v>
      </c>
      <c r="Z386" s="2926" t="s">
        <v>4702</v>
      </c>
      <c r="AA386" s="371"/>
    </row>
    <row r="387" spans="1:27" ht="12.75" customHeight="1" x14ac:dyDescent="0.2">
      <c r="A387" s="6418"/>
      <c r="B387" s="251" t="str">
        <f t="shared" si="5"/>
        <v>Nigromancia78</v>
      </c>
      <c r="D387" s="272" t="s">
        <v>369</v>
      </c>
      <c r="E387" s="2931" t="s">
        <v>1712</v>
      </c>
      <c r="F387" s="2931">
        <v>78</v>
      </c>
      <c r="G387" s="2934" t="s">
        <v>1381</v>
      </c>
      <c r="H387" s="2934" t="s">
        <v>1233</v>
      </c>
      <c r="I387" s="376" t="s">
        <v>1304</v>
      </c>
      <c r="J387" s="2931">
        <v>10</v>
      </c>
      <c r="K387" s="2931">
        <v>12</v>
      </c>
      <c r="L387" s="2931">
        <v>14</v>
      </c>
      <c r="M387" s="373">
        <v>16</v>
      </c>
      <c r="N387" s="2931">
        <v>200</v>
      </c>
      <c r="O387" s="2931">
        <v>240</v>
      </c>
      <c r="P387" s="2931">
        <v>280</v>
      </c>
      <c r="Q387" s="373">
        <v>320</v>
      </c>
      <c r="R387" s="2931"/>
      <c r="S387" s="2931"/>
      <c r="T387" s="2931"/>
      <c r="U387" s="373"/>
      <c r="V387" s="2926" t="s">
        <v>3589</v>
      </c>
      <c r="W387" s="2926" t="s">
        <v>3590</v>
      </c>
      <c r="X387" s="2926" t="s">
        <v>3486</v>
      </c>
      <c r="Y387" s="2926" t="s">
        <v>3321</v>
      </c>
      <c r="Z387" s="2926" t="s">
        <v>4703</v>
      </c>
      <c r="AA387" s="371"/>
    </row>
    <row r="388" spans="1:27" ht="12.75" customHeight="1" x14ac:dyDescent="0.2">
      <c r="A388" s="6418"/>
      <c r="B388" s="251" t="str">
        <f t="shared" si="5"/>
        <v>Nigromancia80</v>
      </c>
      <c r="D388" s="272" t="s">
        <v>370</v>
      </c>
      <c r="E388" s="2931" t="s">
        <v>1712</v>
      </c>
      <c r="F388" s="2931">
        <v>80</v>
      </c>
      <c r="G388" s="2934" t="s">
        <v>1381</v>
      </c>
      <c r="H388" s="2934" t="s">
        <v>1234</v>
      </c>
      <c r="I388" s="376" t="s">
        <v>1304</v>
      </c>
      <c r="J388" s="2931">
        <v>10</v>
      </c>
      <c r="K388" s="2931">
        <v>13</v>
      </c>
      <c r="L388" s="2931">
        <v>15</v>
      </c>
      <c r="M388" s="373">
        <v>17</v>
      </c>
      <c r="N388" s="2931">
        <v>250</v>
      </c>
      <c r="O388" s="2931">
        <v>500</v>
      </c>
      <c r="P388" s="2931">
        <v>1000</v>
      </c>
      <c r="Q388" s="373">
        <v>2500</v>
      </c>
      <c r="R388" s="2931"/>
      <c r="S388" s="2931"/>
      <c r="T388" s="2931"/>
      <c r="U388" s="373" t="s">
        <v>3582</v>
      </c>
      <c r="V388" s="2926" t="s">
        <v>4704</v>
      </c>
      <c r="W388" s="2926" t="s">
        <v>4705</v>
      </c>
      <c r="X388" s="2926" t="s">
        <v>4706</v>
      </c>
      <c r="Y388" s="2926" t="s">
        <v>4707</v>
      </c>
      <c r="Z388" s="2926" t="s">
        <v>4708</v>
      </c>
      <c r="AA388" s="371"/>
    </row>
    <row r="389" spans="1:27" ht="12.75" customHeight="1" x14ac:dyDescent="0.2">
      <c r="A389" s="6418"/>
      <c r="B389" s="251" t="str">
        <f t="shared" si="5"/>
        <v>Nigromancia82</v>
      </c>
      <c r="D389" s="272" t="s">
        <v>371</v>
      </c>
      <c r="E389" s="2931" t="s">
        <v>1712</v>
      </c>
      <c r="F389" s="2931">
        <v>82</v>
      </c>
      <c r="G389" s="2934" t="s">
        <v>1381</v>
      </c>
      <c r="H389" s="2934" t="s">
        <v>1234</v>
      </c>
      <c r="I389" s="376" t="s">
        <v>1304</v>
      </c>
      <c r="J389" s="2931">
        <v>9</v>
      </c>
      <c r="K389" s="2931">
        <v>12</v>
      </c>
      <c r="L389" s="2931">
        <v>14</v>
      </c>
      <c r="M389" s="373">
        <v>16</v>
      </c>
      <c r="N389" s="2931">
        <v>350</v>
      </c>
      <c r="O389" s="2931">
        <v>500</v>
      </c>
      <c r="P389" s="2931">
        <v>800</v>
      </c>
      <c r="Q389" s="373">
        <v>1200</v>
      </c>
      <c r="R389" s="2931"/>
      <c r="S389" s="2931"/>
      <c r="T389" s="2931"/>
      <c r="U389" s="373"/>
      <c r="V389" s="2926" t="s">
        <v>4680</v>
      </c>
      <c r="W389" s="2926" t="s">
        <v>4681</v>
      </c>
      <c r="X389" s="2926" t="s">
        <v>4682</v>
      </c>
      <c r="Y389" s="2926" t="s">
        <v>4683</v>
      </c>
      <c r="Z389" s="2926" t="s">
        <v>4709</v>
      </c>
      <c r="AA389" s="371"/>
    </row>
    <row r="390" spans="1:27" ht="12.75" customHeight="1" x14ac:dyDescent="0.2">
      <c r="A390" s="6418"/>
      <c r="B390" s="251" t="str">
        <f t="shared" si="5"/>
        <v>Nigromancia86</v>
      </c>
      <c r="D390" s="272" t="s">
        <v>372</v>
      </c>
      <c r="E390" s="2931" t="s">
        <v>1712</v>
      </c>
      <c r="F390" s="2931">
        <v>86</v>
      </c>
      <c r="G390" s="2934" t="s">
        <v>1381</v>
      </c>
      <c r="H390" s="2934" t="s">
        <v>1234</v>
      </c>
      <c r="I390" s="376" t="s">
        <v>1304</v>
      </c>
      <c r="J390" s="2931">
        <v>9</v>
      </c>
      <c r="K390" s="2931">
        <v>12</v>
      </c>
      <c r="L390" s="2931">
        <v>14</v>
      </c>
      <c r="M390" s="373">
        <v>16</v>
      </c>
      <c r="N390" s="2931">
        <v>300</v>
      </c>
      <c r="O390" s="2931">
        <v>400</v>
      </c>
      <c r="P390" s="2931">
        <v>500</v>
      </c>
      <c r="Q390" s="373">
        <v>600</v>
      </c>
      <c r="R390" s="2931">
        <v>15</v>
      </c>
      <c r="S390" s="2931">
        <v>20</v>
      </c>
      <c r="T390" s="2931">
        <v>25</v>
      </c>
      <c r="U390" s="373">
        <v>30</v>
      </c>
      <c r="V390" s="2926" t="s">
        <v>3506</v>
      </c>
      <c r="W390" s="2926" t="s">
        <v>3475</v>
      </c>
      <c r="X390" s="2926" t="s">
        <v>3396</v>
      </c>
      <c r="Y390" s="2926" t="s">
        <v>4710</v>
      </c>
      <c r="Z390" s="2926" t="s">
        <v>4711</v>
      </c>
      <c r="AA390" s="371"/>
    </row>
    <row r="391" spans="1:27" ht="12.75" customHeight="1" x14ac:dyDescent="0.2">
      <c r="A391" s="6418"/>
      <c r="B391" s="251" t="str">
        <f t="shared" si="5"/>
        <v>Nigromancia88</v>
      </c>
      <c r="D391" s="272" t="s">
        <v>373</v>
      </c>
      <c r="E391" s="2931" t="s">
        <v>1712</v>
      </c>
      <c r="F391" s="2931">
        <v>88</v>
      </c>
      <c r="G391" s="2934" t="s">
        <v>2087</v>
      </c>
      <c r="H391" s="2934" t="s">
        <v>1234</v>
      </c>
      <c r="I391" s="376" t="s">
        <v>1304</v>
      </c>
      <c r="J391" s="2931">
        <v>9</v>
      </c>
      <c r="K391" s="2931">
        <v>12</v>
      </c>
      <c r="L391" s="2931">
        <v>14</v>
      </c>
      <c r="M391" s="373">
        <v>16</v>
      </c>
      <c r="N391" s="2931">
        <v>350</v>
      </c>
      <c r="O391" s="2931">
        <v>600</v>
      </c>
      <c r="P391" s="2931">
        <v>900</v>
      </c>
      <c r="Q391" s="373">
        <v>1500</v>
      </c>
      <c r="R391" s="2931">
        <v>35</v>
      </c>
      <c r="S391" s="2931">
        <v>60</v>
      </c>
      <c r="T391" s="2931">
        <v>90</v>
      </c>
      <c r="U391" s="373">
        <v>150</v>
      </c>
      <c r="V391" s="2926" t="s">
        <v>3507</v>
      </c>
      <c r="W391" s="2926" t="s">
        <v>4361</v>
      </c>
      <c r="X391" s="2926" t="s">
        <v>4381</v>
      </c>
      <c r="Y391" s="2926" t="s">
        <v>4712</v>
      </c>
      <c r="Z391" s="2926" t="s">
        <v>4713</v>
      </c>
      <c r="AA391" s="371"/>
    </row>
    <row r="392" spans="1:27" ht="12.75" customHeight="1" x14ac:dyDescent="0.2">
      <c r="A392" s="6418"/>
      <c r="B392" s="251" t="str">
        <f t="shared" ref="B392:B455" si="6">E392&amp;F392</f>
        <v>Nigromancia90</v>
      </c>
      <c r="D392" s="272" t="s">
        <v>374</v>
      </c>
      <c r="E392" s="2931" t="s">
        <v>1712</v>
      </c>
      <c r="F392" s="2931">
        <v>90</v>
      </c>
      <c r="G392" s="2934" t="s">
        <v>1381</v>
      </c>
      <c r="H392" s="2934" t="s">
        <v>1234</v>
      </c>
      <c r="I392" s="376" t="s">
        <v>1304</v>
      </c>
      <c r="J392" s="2931">
        <v>10</v>
      </c>
      <c r="K392" s="2931">
        <v>13</v>
      </c>
      <c r="L392" s="2931">
        <v>16</v>
      </c>
      <c r="M392" s="373">
        <v>18</v>
      </c>
      <c r="N392" s="2931">
        <v>200</v>
      </c>
      <c r="O392" s="2931">
        <v>300</v>
      </c>
      <c r="P392" s="2931">
        <v>400</v>
      </c>
      <c r="Q392" s="373">
        <v>500</v>
      </c>
      <c r="R392" s="2931"/>
      <c r="S392" s="2931"/>
      <c r="T392" s="2931"/>
      <c r="U392" s="373"/>
      <c r="V392" s="2926" t="s">
        <v>4714</v>
      </c>
      <c r="W392" s="2926" t="s">
        <v>4715</v>
      </c>
      <c r="X392" s="2926" t="s">
        <v>4716</v>
      </c>
      <c r="Y392" s="2926" t="s">
        <v>4717</v>
      </c>
      <c r="Z392" s="2926" t="s">
        <v>4718</v>
      </c>
      <c r="AA392" s="371"/>
    </row>
    <row r="393" spans="1:27" ht="12.75" customHeight="1" x14ac:dyDescent="0.2">
      <c r="A393" s="6418"/>
      <c r="B393" s="251" t="str">
        <f t="shared" si="6"/>
        <v>Nigromancia92</v>
      </c>
      <c r="D393" s="272" t="s">
        <v>375</v>
      </c>
      <c r="E393" s="2931" t="s">
        <v>1712</v>
      </c>
      <c r="F393" s="2931">
        <v>92</v>
      </c>
      <c r="G393" s="2934" t="s">
        <v>1381</v>
      </c>
      <c r="H393" s="2934" t="s">
        <v>1234</v>
      </c>
      <c r="I393" s="376" t="s">
        <v>1304</v>
      </c>
      <c r="J393" s="2931">
        <v>12</v>
      </c>
      <c r="K393" s="2931">
        <v>14</v>
      </c>
      <c r="L393" s="2931">
        <v>16</v>
      </c>
      <c r="M393" s="373">
        <v>18</v>
      </c>
      <c r="N393" s="2931">
        <v>350</v>
      </c>
      <c r="O393" s="2931">
        <v>500</v>
      </c>
      <c r="P393" s="2931">
        <v>900</v>
      </c>
      <c r="Q393" s="373">
        <v>1500</v>
      </c>
      <c r="R393" s="2931"/>
      <c r="S393" s="2931"/>
      <c r="T393" s="2931"/>
      <c r="U393" s="373"/>
      <c r="V393" s="2926" t="s">
        <v>4719</v>
      </c>
      <c r="W393" s="2926" t="s">
        <v>4720</v>
      </c>
      <c r="X393" s="2926" t="s">
        <v>4721</v>
      </c>
      <c r="Y393" s="2926" t="s">
        <v>4722</v>
      </c>
      <c r="Z393" s="2926" t="s">
        <v>4723</v>
      </c>
      <c r="AA393" s="371"/>
    </row>
    <row r="394" spans="1:27" ht="12.75" customHeight="1" x14ac:dyDescent="0.2">
      <c r="A394" s="6418"/>
      <c r="B394" s="251" t="str">
        <f t="shared" si="6"/>
        <v>Nigromancia96</v>
      </c>
      <c r="D394" s="272" t="s">
        <v>376</v>
      </c>
      <c r="E394" s="2931" t="s">
        <v>1712</v>
      </c>
      <c r="F394" s="2931">
        <v>96</v>
      </c>
      <c r="G394" s="2934" t="s">
        <v>2087</v>
      </c>
      <c r="H394" s="2934" t="s">
        <v>3209</v>
      </c>
      <c r="I394" s="376" t="s">
        <v>1304</v>
      </c>
      <c r="J394" s="2931">
        <v>12</v>
      </c>
      <c r="K394" s="2931">
        <v>14</v>
      </c>
      <c r="L394" s="2931">
        <v>16</v>
      </c>
      <c r="M394" s="373">
        <v>18</v>
      </c>
      <c r="N394" s="2931">
        <v>300</v>
      </c>
      <c r="O394" s="2931">
        <v>600</v>
      </c>
      <c r="P394" s="2931">
        <v>1000</v>
      </c>
      <c r="Q394" s="373">
        <v>2000</v>
      </c>
      <c r="R394" s="2931">
        <v>30</v>
      </c>
      <c r="S394" s="2931">
        <v>60</v>
      </c>
      <c r="T394" s="2931">
        <v>100</v>
      </c>
      <c r="U394" s="373">
        <v>200</v>
      </c>
      <c r="V394" s="2926" t="s">
        <v>4386</v>
      </c>
      <c r="W394" s="2926" t="s">
        <v>4724</v>
      </c>
      <c r="X394" s="2926" t="s">
        <v>4725</v>
      </c>
      <c r="Y394" s="2926" t="s">
        <v>4726</v>
      </c>
      <c r="Z394" s="2926" t="s">
        <v>4727</v>
      </c>
      <c r="AA394" s="371"/>
    </row>
    <row r="395" spans="1:27" ht="12.75" customHeight="1" x14ac:dyDescent="0.2">
      <c r="A395" s="6418"/>
      <c r="B395" s="251" t="str">
        <f t="shared" si="6"/>
        <v>Nigromancia98</v>
      </c>
      <c r="D395" s="272" t="s">
        <v>377</v>
      </c>
      <c r="E395" s="2931" t="s">
        <v>1712</v>
      </c>
      <c r="F395" s="2931">
        <v>98</v>
      </c>
      <c r="G395" s="2934" t="s">
        <v>1381</v>
      </c>
      <c r="H395" s="2934" t="s">
        <v>3209</v>
      </c>
      <c r="I395" s="376" t="s">
        <v>1304</v>
      </c>
      <c r="J395" s="2931">
        <v>16</v>
      </c>
      <c r="K395" s="2931">
        <v>17</v>
      </c>
      <c r="L395" s="2931">
        <v>18</v>
      </c>
      <c r="M395" s="373">
        <v>19</v>
      </c>
      <c r="N395" s="2931">
        <v>400</v>
      </c>
      <c r="O395" s="2931">
        <v>800</v>
      </c>
      <c r="P395" s="2931">
        <v>1600</v>
      </c>
      <c r="Q395" s="373">
        <v>3200</v>
      </c>
      <c r="R395" s="2931"/>
      <c r="S395" s="2931"/>
      <c r="T395" s="2931"/>
      <c r="U395" s="373" t="s">
        <v>3582</v>
      </c>
      <c r="V395" s="2926" t="s">
        <v>4728</v>
      </c>
      <c r="W395" s="2926" t="s">
        <v>4729</v>
      </c>
      <c r="X395" s="2926" t="s">
        <v>4730</v>
      </c>
      <c r="Y395" s="2926" t="s">
        <v>4731</v>
      </c>
      <c r="Z395" s="2926" t="s">
        <v>4732</v>
      </c>
      <c r="AA395" s="371"/>
    </row>
    <row r="396" spans="1:27" ht="12.75" customHeight="1" x14ac:dyDescent="0.2">
      <c r="A396" s="6418"/>
      <c r="B396" s="251" t="str">
        <f t="shared" si="6"/>
        <v>Nigromancia100</v>
      </c>
      <c r="D396" s="272" t="s">
        <v>378</v>
      </c>
      <c r="E396" s="2931" t="s">
        <v>1712</v>
      </c>
      <c r="F396" s="2931">
        <v>100</v>
      </c>
      <c r="G396" s="2934" t="s">
        <v>1381</v>
      </c>
      <c r="H396" s="2934" t="s">
        <v>3209</v>
      </c>
      <c r="I396" s="376" t="s">
        <v>1304</v>
      </c>
      <c r="J396" s="2931">
        <v>17</v>
      </c>
      <c r="K396" s="2931">
        <v>18</v>
      </c>
      <c r="L396" s="2931">
        <v>19</v>
      </c>
      <c r="M396" s="373">
        <v>20</v>
      </c>
      <c r="N396" s="2931">
        <v>900</v>
      </c>
      <c r="O396" s="2931">
        <v>2000</v>
      </c>
      <c r="P396" s="2931">
        <v>3500</v>
      </c>
      <c r="Q396" s="373">
        <v>5000</v>
      </c>
      <c r="R396" s="2931">
        <v>45</v>
      </c>
      <c r="S396" s="2931">
        <v>100</v>
      </c>
      <c r="T396" s="2931">
        <v>175</v>
      </c>
      <c r="U396" s="373">
        <v>250</v>
      </c>
      <c r="V396" s="2926" t="s">
        <v>3618</v>
      </c>
      <c r="W396" s="2926" t="s">
        <v>3619</v>
      </c>
      <c r="X396" s="2926" t="s">
        <v>3620</v>
      </c>
      <c r="Y396" s="2926" t="s">
        <v>4733</v>
      </c>
      <c r="Z396" s="2926" t="s">
        <v>4734</v>
      </c>
      <c r="AA396" s="371"/>
    </row>
    <row r="397" spans="1:27" ht="12.75" customHeight="1" x14ac:dyDescent="0.2">
      <c r="A397" s="6418"/>
      <c r="B397" s="251" t="str">
        <f t="shared" si="6"/>
        <v/>
      </c>
      <c r="D397" s="272" t="s">
        <v>379</v>
      </c>
      <c r="E397" s="2931"/>
      <c r="F397" s="2931"/>
      <c r="G397" s="2934"/>
      <c r="H397" s="2934"/>
      <c r="I397" s="376"/>
      <c r="J397" s="2931"/>
      <c r="K397" s="2931"/>
      <c r="L397" s="2931"/>
      <c r="M397" s="373"/>
      <c r="N397" s="2931"/>
      <c r="O397" s="2931"/>
      <c r="P397" s="2931"/>
      <c r="Q397" s="373"/>
      <c r="R397" s="2931"/>
      <c r="S397" s="2931"/>
      <c r="T397" s="2931"/>
      <c r="U397" s="373"/>
      <c r="V397" s="2926"/>
      <c r="W397" s="2926"/>
      <c r="X397" s="2926"/>
      <c r="Y397" s="2926"/>
      <c r="Z397" s="2926"/>
      <c r="AA397" s="371"/>
    </row>
    <row r="398" spans="1:27" ht="12.75" customHeight="1" x14ac:dyDescent="0.2">
      <c r="A398" s="6418"/>
      <c r="B398" s="222" t="str">
        <f t="shared" si="6"/>
        <v>Libre acceso2</v>
      </c>
      <c r="C398" s="222"/>
      <c r="D398" s="272" t="s">
        <v>380</v>
      </c>
      <c r="E398" s="2931" t="s">
        <v>381</v>
      </c>
      <c r="F398" s="2931">
        <v>2</v>
      </c>
      <c r="G398" s="2934" t="s">
        <v>1381</v>
      </c>
      <c r="H398" s="2934" t="s">
        <v>1234</v>
      </c>
      <c r="I398" s="376" t="s">
        <v>1304</v>
      </c>
      <c r="J398" s="2931">
        <v>5</v>
      </c>
      <c r="K398" s="2931">
        <v>8</v>
      </c>
      <c r="L398" s="2931">
        <v>10</v>
      </c>
      <c r="M398" s="373">
        <v>12</v>
      </c>
      <c r="N398" s="2931">
        <v>30</v>
      </c>
      <c r="O398" s="2931">
        <v>70</v>
      </c>
      <c r="P398" s="2931">
        <v>100</v>
      </c>
      <c r="Q398" s="373">
        <v>140</v>
      </c>
      <c r="R398" s="2931"/>
      <c r="S398" s="2931"/>
      <c r="T398" s="2931"/>
      <c r="U398" s="373"/>
      <c r="V398" s="2926" t="s">
        <v>4735</v>
      </c>
      <c r="W398" s="2926" t="s">
        <v>4736</v>
      </c>
      <c r="X398" s="2926" t="s">
        <v>4737</v>
      </c>
      <c r="Y398" s="2926" t="s">
        <v>4738</v>
      </c>
      <c r="Z398" s="2926" t="s">
        <v>4739</v>
      </c>
      <c r="AA398" s="371" t="s">
        <v>10413</v>
      </c>
    </row>
    <row r="399" spans="1:27" ht="12.75" customHeight="1" x14ac:dyDescent="0.2">
      <c r="A399" s="6418"/>
      <c r="B399" s="251" t="str">
        <f t="shared" si="6"/>
        <v>Libre acceso2</v>
      </c>
      <c r="D399" s="272" t="s">
        <v>382</v>
      </c>
      <c r="E399" s="2931" t="s">
        <v>381</v>
      </c>
      <c r="F399" s="2931">
        <v>2</v>
      </c>
      <c r="G399" s="2934" t="s">
        <v>1381</v>
      </c>
      <c r="H399" s="2934" t="s">
        <v>1234</v>
      </c>
      <c r="I399" s="376" t="s">
        <v>1304</v>
      </c>
      <c r="J399" s="2931">
        <v>5</v>
      </c>
      <c r="K399" s="2931">
        <v>8</v>
      </c>
      <c r="L399" s="2931">
        <v>10</v>
      </c>
      <c r="M399" s="373">
        <v>12</v>
      </c>
      <c r="N399" s="2931">
        <v>30</v>
      </c>
      <c r="O399" s="2931">
        <v>70</v>
      </c>
      <c r="P399" s="2931">
        <v>90</v>
      </c>
      <c r="Q399" s="373">
        <v>120</v>
      </c>
      <c r="R399" s="2931">
        <v>5</v>
      </c>
      <c r="S399" s="2931">
        <v>10</v>
      </c>
      <c r="T399" s="2931">
        <v>10</v>
      </c>
      <c r="U399" s="373">
        <v>15</v>
      </c>
      <c r="V399" s="2926" t="s">
        <v>4740</v>
      </c>
      <c r="W399" s="2926" t="s">
        <v>4741</v>
      </c>
      <c r="X399" s="2926" t="s">
        <v>4742</v>
      </c>
      <c r="Y399" s="2926" t="s">
        <v>4743</v>
      </c>
      <c r="Z399" s="2926" t="s">
        <v>4744</v>
      </c>
      <c r="AA399" s="371" t="s">
        <v>10412</v>
      </c>
    </row>
    <row r="400" spans="1:27" ht="12.75" customHeight="1" x14ac:dyDescent="0.2">
      <c r="A400" s="6418"/>
      <c r="B400" s="251" t="str">
        <f t="shared" si="6"/>
        <v>Libre acceso2</v>
      </c>
      <c r="D400" s="272" t="s">
        <v>383</v>
      </c>
      <c r="E400" s="2931" t="s">
        <v>381</v>
      </c>
      <c r="F400" s="2931">
        <v>2</v>
      </c>
      <c r="G400" s="2934" t="s">
        <v>1381</v>
      </c>
      <c r="H400" s="2934" t="s">
        <v>1234</v>
      </c>
      <c r="I400" s="376" t="s">
        <v>1304</v>
      </c>
      <c r="J400" s="2931">
        <v>5</v>
      </c>
      <c r="K400" s="2931">
        <v>8</v>
      </c>
      <c r="L400" s="2931">
        <v>10</v>
      </c>
      <c r="M400" s="373">
        <v>12</v>
      </c>
      <c r="N400" s="2931">
        <v>30</v>
      </c>
      <c r="O400" s="2931">
        <v>60</v>
      </c>
      <c r="P400" s="2931">
        <v>100</v>
      </c>
      <c r="Q400" s="373">
        <v>140</v>
      </c>
      <c r="R400" s="2931"/>
      <c r="S400" s="2931"/>
      <c r="T400" s="2931"/>
      <c r="U400" s="373"/>
      <c r="V400" s="2926" t="s">
        <v>3541</v>
      </c>
      <c r="W400" s="2926" t="s">
        <v>3403</v>
      </c>
      <c r="X400" s="2926" t="s">
        <v>3574</v>
      </c>
      <c r="Y400" s="2926" t="s">
        <v>4306</v>
      </c>
      <c r="Z400" s="2926" t="s">
        <v>4745</v>
      </c>
      <c r="AA400" s="371"/>
    </row>
    <row r="401" spans="1:27" ht="12.75" customHeight="1" x14ac:dyDescent="0.2">
      <c r="A401" s="6418"/>
      <c r="B401" s="251" t="str">
        <f t="shared" si="6"/>
        <v>Libre acceso2</v>
      </c>
      <c r="D401" s="272" t="s">
        <v>384</v>
      </c>
      <c r="E401" s="2931" t="s">
        <v>381</v>
      </c>
      <c r="F401" s="2931">
        <v>2</v>
      </c>
      <c r="G401" s="2934" t="s">
        <v>1381</v>
      </c>
      <c r="H401" s="2934" t="s">
        <v>1234</v>
      </c>
      <c r="I401" s="376" t="s">
        <v>1304</v>
      </c>
      <c r="J401" s="2931">
        <v>5</v>
      </c>
      <c r="K401" s="2931">
        <v>8</v>
      </c>
      <c r="L401" s="2931">
        <v>10</v>
      </c>
      <c r="M401" s="373">
        <v>12</v>
      </c>
      <c r="N401" s="2931">
        <v>40</v>
      </c>
      <c r="O401" s="2931">
        <v>80</v>
      </c>
      <c r="P401" s="2931">
        <v>120</v>
      </c>
      <c r="Q401" s="373">
        <v>150</v>
      </c>
      <c r="R401" s="2931">
        <v>5</v>
      </c>
      <c r="S401" s="2931">
        <v>5</v>
      </c>
      <c r="T401" s="2931">
        <v>10</v>
      </c>
      <c r="U401" s="373">
        <v>10</v>
      </c>
      <c r="V401" s="2926" t="s">
        <v>4771</v>
      </c>
      <c r="W401" s="2926" t="s">
        <v>4772</v>
      </c>
      <c r="X401" s="2926" t="s">
        <v>4773</v>
      </c>
      <c r="Y401" s="2926" t="s">
        <v>4774</v>
      </c>
      <c r="Z401" s="2926" t="s">
        <v>4775</v>
      </c>
      <c r="AA401" s="371" t="s">
        <v>1699</v>
      </c>
    </row>
    <row r="402" spans="1:27" ht="12.75" customHeight="1" x14ac:dyDescent="0.2">
      <c r="A402" s="6418"/>
      <c r="B402" s="251" t="str">
        <f t="shared" si="6"/>
        <v>Libre acceso2</v>
      </c>
      <c r="D402" s="272" t="s">
        <v>385</v>
      </c>
      <c r="E402" s="2931" t="s">
        <v>381</v>
      </c>
      <c r="F402" s="2931">
        <v>2</v>
      </c>
      <c r="G402" s="2934" t="s">
        <v>1381</v>
      </c>
      <c r="H402" s="2934" t="s">
        <v>1234</v>
      </c>
      <c r="I402" s="376" t="s">
        <v>1304</v>
      </c>
      <c r="J402" s="2931">
        <v>5</v>
      </c>
      <c r="K402" s="2931">
        <v>8</v>
      </c>
      <c r="L402" s="2931">
        <v>10</v>
      </c>
      <c r="M402" s="373">
        <v>12</v>
      </c>
      <c r="N402" s="2931">
        <v>50</v>
      </c>
      <c r="O402" s="2931">
        <v>80</v>
      </c>
      <c r="P402" s="2931">
        <v>100</v>
      </c>
      <c r="Q402" s="373">
        <v>120</v>
      </c>
      <c r="R402" s="2931">
        <v>5</v>
      </c>
      <c r="S402" s="2931">
        <v>5</v>
      </c>
      <c r="T402" s="2931">
        <v>5</v>
      </c>
      <c r="U402" s="373">
        <v>10</v>
      </c>
      <c r="V402" s="2926" t="s">
        <v>4747</v>
      </c>
      <c r="W402" s="2926" t="s">
        <v>10456</v>
      </c>
      <c r="X402" s="2926" t="s">
        <v>4748</v>
      </c>
      <c r="Y402" s="2926" t="s">
        <v>4749</v>
      </c>
      <c r="Z402" s="2926" t="s">
        <v>4750</v>
      </c>
      <c r="AA402" s="371" t="s">
        <v>1706</v>
      </c>
    </row>
    <row r="403" spans="1:27" ht="12.75" customHeight="1" x14ac:dyDescent="0.2">
      <c r="A403" s="6418"/>
      <c r="B403" s="251" t="str">
        <f t="shared" si="6"/>
        <v>Libre acceso2</v>
      </c>
      <c r="D403" s="272" t="s">
        <v>386</v>
      </c>
      <c r="E403" s="2931" t="s">
        <v>381</v>
      </c>
      <c r="F403" s="2931">
        <v>2</v>
      </c>
      <c r="G403" s="2934" t="s">
        <v>1381</v>
      </c>
      <c r="H403" s="2934" t="s">
        <v>1234</v>
      </c>
      <c r="I403" s="376" t="s">
        <v>1304</v>
      </c>
      <c r="J403" s="2931">
        <v>5</v>
      </c>
      <c r="K403" s="2931">
        <v>8</v>
      </c>
      <c r="L403" s="2931">
        <v>10</v>
      </c>
      <c r="M403" s="373">
        <v>12</v>
      </c>
      <c r="N403" s="2931">
        <v>40</v>
      </c>
      <c r="O403" s="2931">
        <v>80</v>
      </c>
      <c r="P403" s="2931">
        <v>120</v>
      </c>
      <c r="Q403" s="373">
        <v>160</v>
      </c>
      <c r="R403" s="2931"/>
      <c r="S403" s="2931"/>
      <c r="T403" s="2931"/>
      <c r="U403" s="373"/>
      <c r="V403" s="2926" t="s">
        <v>4751</v>
      </c>
      <c r="W403" s="2926" t="s">
        <v>4752</v>
      </c>
      <c r="X403" s="2926" t="s">
        <v>4753</v>
      </c>
      <c r="Y403" s="2926" t="s">
        <v>4754</v>
      </c>
      <c r="Z403" s="2926" t="s">
        <v>4755</v>
      </c>
      <c r="AA403" s="371" t="s">
        <v>10414</v>
      </c>
    </row>
    <row r="404" spans="1:27" ht="12.75" customHeight="1" x14ac:dyDescent="0.2">
      <c r="A404" s="6418"/>
      <c r="B404" s="251" t="str">
        <f t="shared" si="6"/>
        <v>Libre acceso2</v>
      </c>
      <c r="D404" s="272" t="s">
        <v>9992</v>
      </c>
      <c r="E404" s="2931" t="s">
        <v>381</v>
      </c>
      <c r="F404" s="2931">
        <v>2</v>
      </c>
      <c r="G404" s="2934" t="s">
        <v>1381</v>
      </c>
      <c r="H404" s="2934" t="s">
        <v>1234</v>
      </c>
      <c r="I404" s="376" t="s">
        <v>1304</v>
      </c>
      <c r="J404" s="2931">
        <v>5</v>
      </c>
      <c r="K404" s="2931">
        <v>8</v>
      </c>
      <c r="L404" s="2931">
        <v>10</v>
      </c>
      <c r="M404" s="373">
        <v>12</v>
      </c>
      <c r="N404" s="2931">
        <v>40</v>
      </c>
      <c r="O404" s="2931">
        <v>80</v>
      </c>
      <c r="P404" s="2931">
        <v>110</v>
      </c>
      <c r="Q404" s="373">
        <v>130</v>
      </c>
      <c r="R404" s="2931">
        <v>5</v>
      </c>
      <c r="S404" s="2931">
        <v>10</v>
      </c>
      <c r="T404" s="2931">
        <v>10</v>
      </c>
      <c r="U404" s="373">
        <v>15</v>
      </c>
      <c r="V404" s="2926" t="s">
        <v>3529</v>
      </c>
      <c r="W404" s="2926" t="s">
        <v>4756</v>
      </c>
      <c r="X404" s="2926" t="s">
        <v>4757</v>
      </c>
      <c r="Y404" s="2926" t="s">
        <v>4758</v>
      </c>
      <c r="Z404" s="2926" t="s">
        <v>4759</v>
      </c>
      <c r="AA404" s="371" t="s">
        <v>1605</v>
      </c>
    </row>
    <row r="405" spans="1:27" ht="12.75" customHeight="1" x14ac:dyDescent="0.2">
      <c r="A405" s="6418"/>
      <c r="B405" s="251" t="str">
        <f t="shared" si="6"/>
        <v>Libre acceso2</v>
      </c>
      <c r="D405" s="272" t="s">
        <v>387</v>
      </c>
      <c r="E405" s="2931" t="s">
        <v>381</v>
      </c>
      <c r="F405" s="2931">
        <v>2</v>
      </c>
      <c r="G405" s="2934" t="s">
        <v>1381</v>
      </c>
      <c r="H405" s="2934" t="s">
        <v>1234</v>
      </c>
      <c r="I405" s="376" t="s">
        <v>1304</v>
      </c>
      <c r="J405" s="2931">
        <v>5</v>
      </c>
      <c r="K405" s="2931">
        <v>8</v>
      </c>
      <c r="L405" s="2931">
        <v>10</v>
      </c>
      <c r="M405" s="373">
        <v>12</v>
      </c>
      <c r="N405" s="2931">
        <v>40</v>
      </c>
      <c r="O405" s="2931">
        <v>80</v>
      </c>
      <c r="P405" s="2931">
        <v>120</v>
      </c>
      <c r="Q405" s="373">
        <v>160</v>
      </c>
      <c r="R405" s="2931"/>
      <c r="S405" s="2931"/>
      <c r="T405" s="2931"/>
      <c r="U405" s="373" t="s">
        <v>3582</v>
      </c>
      <c r="V405" s="2926" t="s">
        <v>4760</v>
      </c>
      <c r="W405" s="2926" t="s">
        <v>4761</v>
      </c>
      <c r="X405" s="2926" t="s">
        <v>4762</v>
      </c>
      <c r="Y405" s="2926" t="s">
        <v>4763</v>
      </c>
      <c r="Z405" s="2926" t="s">
        <v>4764</v>
      </c>
      <c r="AA405" s="371" t="s">
        <v>1705</v>
      </c>
    </row>
    <row r="406" spans="1:27" ht="12.75" customHeight="1" x14ac:dyDescent="0.2">
      <c r="A406" s="6418"/>
      <c r="B406" s="251" t="str">
        <f t="shared" si="6"/>
        <v>Libre acceso2</v>
      </c>
      <c r="D406" s="272" t="s">
        <v>388</v>
      </c>
      <c r="E406" s="2931" t="s">
        <v>381</v>
      </c>
      <c r="F406" s="2931">
        <v>2</v>
      </c>
      <c r="G406" s="2934" t="s">
        <v>1381</v>
      </c>
      <c r="H406" s="2934" t="s">
        <v>1234</v>
      </c>
      <c r="I406" s="376" t="s">
        <v>1305</v>
      </c>
      <c r="J406" s="2931">
        <v>5</v>
      </c>
      <c r="K406" s="2931">
        <v>8</v>
      </c>
      <c r="L406" s="2931">
        <v>10</v>
      </c>
      <c r="M406" s="373">
        <v>12</v>
      </c>
      <c r="N406" s="2931">
        <v>40</v>
      </c>
      <c r="O406" s="2931">
        <v>80</v>
      </c>
      <c r="P406" s="2931">
        <v>160</v>
      </c>
      <c r="Q406" s="373">
        <v>240</v>
      </c>
      <c r="R406" s="2931">
        <v>5</v>
      </c>
      <c r="S406" s="2931">
        <v>15</v>
      </c>
      <c r="T406" s="2931">
        <v>20</v>
      </c>
      <c r="U406" s="373">
        <v>25</v>
      </c>
      <c r="V406" s="2926" t="s">
        <v>9631</v>
      </c>
      <c r="W406" s="2926" t="s">
        <v>9632</v>
      </c>
      <c r="X406" s="2926" t="s">
        <v>9633</v>
      </c>
      <c r="Y406" s="2926" t="s">
        <v>9634</v>
      </c>
      <c r="Z406" s="2926" t="s">
        <v>4765</v>
      </c>
      <c r="AA406" s="371" t="s">
        <v>1703</v>
      </c>
    </row>
    <row r="407" spans="1:27" ht="12.75" customHeight="1" x14ac:dyDescent="0.2">
      <c r="A407" s="6418"/>
      <c r="B407" s="251" t="str">
        <f t="shared" si="6"/>
        <v>Libre acceso2</v>
      </c>
      <c r="D407" s="272" t="s">
        <v>389</v>
      </c>
      <c r="E407" s="2931" t="s">
        <v>381</v>
      </c>
      <c r="F407" s="2931">
        <v>2</v>
      </c>
      <c r="G407" s="2934" t="s">
        <v>2087</v>
      </c>
      <c r="H407" s="2934" t="s">
        <v>1234</v>
      </c>
      <c r="I407" s="376" t="s">
        <v>1304</v>
      </c>
      <c r="J407" s="2931">
        <v>5</v>
      </c>
      <c r="K407" s="2931">
        <v>8</v>
      </c>
      <c r="L407" s="2931">
        <v>10</v>
      </c>
      <c r="M407" s="373">
        <v>12</v>
      </c>
      <c r="N407" s="2931">
        <v>30</v>
      </c>
      <c r="O407" s="2931">
        <v>70</v>
      </c>
      <c r="P407" s="2931">
        <v>120</v>
      </c>
      <c r="Q407" s="373">
        <v>180</v>
      </c>
      <c r="R407" s="2931">
        <v>5</v>
      </c>
      <c r="S407" s="2931">
        <v>10</v>
      </c>
      <c r="T407" s="2931">
        <v>15</v>
      </c>
      <c r="U407" s="373">
        <v>20</v>
      </c>
      <c r="V407" s="2926" t="s">
        <v>4766</v>
      </c>
      <c r="W407" s="2926" t="s">
        <v>4767</v>
      </c>
      <c r="X407" s="2926" t="s">
        <v>4768</v>
      </c>
      <c r="Y407" s="2926" t="s">
        <v>4769</v>
      </c>
      <c r="Z407" s="2926" t="s">
        <v>4770</v>
      </c>
      <c r="AA407" s="371" t="s">
        <v>1706</v>
      </c>
    </row>
    <row r="408" spans="1:27" ht="12.75" customHeight="1" x14ac:dyDescent="0.2">
      <c r="A408" s="6418"/>
      <c r="B408" s="251" t="str">
        <f t="shared" si="6"/>
        <v>Libre acceso2</v>
      </c>
      <c r="D408" s="272" t="s">
        <v>1418</v>
      </c>
      <c r="E408" s="2931" t="s">
        <v>381</v>
      </c>
      <c r="F408" s="2931">
        <v>2</v>
      </c>
      <c r="G408" s="2934" t="s">
        <v>1381</v>
      </c>
      <c r="H408" s="2934" t="s">
        <v>1234</v>
      </c>
      <c r="I408" s="376" t="s">
        <v>1304</v>
      </c>
      <c r="J408" s="2931">
        <v>5</v>
      </c>
      <c r="K408" s="2931">
        <v>8</v>
      </c>
      <c r="L408" s="2931">
        <v>10</v>
      </c>
      <c r="M408" s="373">
        <v>12</v>
      </c>
      <c r="N408" s="2931">
        <v>50</v>
      </c>
      <c r="O408" s="2931">
        <v>80</v>
      </c>
      <c r="P408" s="2931">
        <v>100</v>
      </c>
      <c r="Q408" s="373">
        <v>140</v>
      </c>
      <c r="R408" s="2931">
        <v>5</v>
      </c>
      <c r="S408" s="2931">
        <v>10</v>
      </c>
      <c r="T408" s="2931">
        <v>10</v>
      </c>
      <c r="U408" s="373">
        <v>15</v>
      </c>
      <c r="V408" s="2932" t="s">
        <v>8644</v>
      </c>
      <c r="W408" s="2932" t="s">
        <v>8643</v>
      </c>
      <c r="X408" s="2932" t="s">
        <v>8645</v>
      </c>
      <c r="Y408" s="2932" t="s">
        <v>8646</v>
      </c>
      <c r="Z408" s="2926" t="s">
        <v>4746</v>
      </c>
      <c r="AA408" s="371" t="s">
        <v>1703</v>
      </c>
    </row>
    <row r="409" spans="1:27" ht="12.75" customHeight="1" x14ac:dyDescent="0.2">
      <c r="A409" s="6418"/>
      <c r="B409" s="251" t="str">
        <f t="shared" si="6"/>
        <v>Libre acceso2</v>
      </c>
      <c r="D409" s="272" t="s">
        <v>390</v>
      </c>
      <c r="E409" s="2931" t="s">
        <v>381</v>
      </c>
      <c r="F409" s="2931">
        <v>2</v>
      </c>
      <c r="G409" s="2934" t="s">
        <v>2087</v>
      </c>
      <c r="H409" s="2934" t="s">
        <v>1233</v>
      </c>
      <c r="I409" s="376" t="s">
        <v>1304</v>
      </c>
      <c r="J409" s="2931">
        <v>5</v>
      </c>
      <c r="K409" s="2931">
        <v>8</v>
      </c>
      <c r="L409" s="2931">
        <v>10</v>
      </c>
      <c r="M409" s="373">
        <v>12</v>
      </c>
      <c r="N409" s="2931">
        <v>30</v>
      </c>
      <c r="O409" s="2931">
        <v>80</v>
      </c>
      <c r="P409" s="2931">
        <v>100</v>
      </c>
      <c r="Q409" s="373">
        <v>120</v>
      </c>
      <c r="R409" s="2931">
        <v>5</v>
      </c>
      <c r="S409" s="2931">
        <v>5</v>
      </c>
      <c r="T409" s="2931">
        <v>5</v>
      </c>
      <c r="U409" s="373">
        <v>10</v>
      </c>
      <c r="V409" s="2926" t="s">
        <v>4776</v>
      </c>
      <c r="W409" s="2926" t="s">
        <v>4269</v>
      </c>
      <c r="X409" s="2926" t="s">
        <v>4777</v>
      </c>
      <c r="Y409" s="2926" t="s">
        <v>4778</v>
      </c>
      <c r="Z409" s="2926" t="s">
        <v>4779</v>
      </c>
      <c r="AA409" s="371" t="s">
        <v>1706</v>
      </c>
    </row>
    <row r="410" spans="1:27" ht="12.75" customHeight="1" x14ac:dyDescent="0.2">
      <c r="A410" s="6418"/>
      <c r="B410" s="251" t="str">
        <f t="shared" si="6"/>
        <v>Libre acceso</v>
      </c>
      <c r="D410" s="272" t="s">
        <v>391</v>
      </c>
      <c r="E410" s="2931" t="s">
        <v>381</v>
      </c>
      <c r="F410" s="2931"/>
      <c r="G410" s="2934"/>
      <c r="H410" s="2934" t="s">
        <v>1234</v>
      </c>
      <c r="I410" s="376"/>
      <c r="J410" s="2931"/>
      <c r="K410" s="2931"/>
      <c r="L410" s="2931"/>
      <c r="M410" s="373"/>
      <c r="N410" s="2931"/>
      <c r="O410" s="2931"/>
      <c r="P410" s="2931"/>
      <c r="Q410" s="373"/>
      <c r="R410" s="2931"/>
      <c r="S410" s="2931"/>
      <c r="T410" s="2931"/>
      <c r="U410" s="373"/>
      <c r="V410" s="2926"/>
      <c r="W410" s="2926"/>
      <c r="X410" s="2926"/>
      <c r="Y410" s="2926"/>
      <c r="Z410" s="2926"/>
      <c r="AA410" s="371"/>
    </row>
    <row r="411" spans="1:27" ht="12.75" customHeight="1" x14ac:dyDescent="0.2">
      <c r="A411" s="6418"/>
      <c r="B411" s="251" t="str">
        <f t="shared" si="6"/>
        <v>Libre acceso12</v>
      </c>
      <c r="D411" s="272" t="s">
        <v>392</v>
      </c>
      <c r="E411" s="2931" t="s">
        <v>381</v>
      </c>
      <c r="F411" s="2931">
        <f>F398+10</f>
        <v>12</v>
      </c>
      <c r="G411" s="2936" t="s">
        <v>1381</v>
      </c>
      <c r="H411" s="2934" t="s">
        <v>1234</v>
      </c>
      <c r="I411" s="376" t="s">
        <v>1304</v>
      </c>
      <c r="J411" s="2931">
        <v>6</v>
      </c>
      <c r="K411" s="2931">
        <v>9</v>
      </c>
      <c r="L411" s="2931">
        <v>11</v>
      </c>
      <c r="M411" s="373">
        <v>13</v>
      </c>
      <c r="N411" s="2931">
        <v>40</v>
      </c>
      <c r="O411" s="2931">
        <v>80</v>
      </c>
      <c r="P411" s="2931">
        <v>120</v>
      </c>
      <c r="Q411" s="373">
        <v>160</v>
      </c>
      <c r="R411" s="2931">
        <v>5</v>
      </c>
      <c r="S411" s="2931">
        <v>10</v>
      </c>
      <c r="T411" s="2931">
        <v>15</v>
      </c>
      <c r="U411" s="373">
        <v>20</v>
      </c>
      <c r="V411" s="2926" t="s">
        <v>4780</v>
      </c>
      <c r="W411" s="2926" t="s">
        <v>4781</v>
      </c>
      <c r="X411" s="2926" t="s">
        <v>4782</v>
      </c>
      <c r="Y411" s="2926" t="s">
        <v>4783</v>
      </c>
      <c r="Z411" s="2926" t="s">
        <v>4784</v>
      </c>
      <c r="AA411" s="371" t="s">
        <v>1706</v>
      </c>
    </row>
    <row r="412" spans="1:27" ht="12.75" customHeight="1" x14ac:dyDescent="0.2">
      <c r="A412" s="6418"/>
      <c r="B412" s="251" t="str">
        <f t="shared" si="6"/>
        <v>Libre acceso12</v>
      </c>
      <c r="D412" s="272" t="s">
        <v>393</v>
      </c>
      <c r="E412" s="2931" t="s">
        <v>381</v>
      </c>
      <c r="F412" s="2931">
        <f t="shared" ref="F412:F422" si="7">F399+10</f>
        <v>12</v>
      </c>
      <c r="G412" s="2936" t="s">
        <v>1381</v>
      </c>
      <c r="H412" s="2934" t="s">
        <v>1234</v>
      </c>
      <c r="I412" s="376" t="s">
        <v>1304</v>
      </c>
      <c r="J412" s="2931">
        <v>6</v>
      </c>
      <c r="K412" s="2931">
        <v>9</v>
      </c>
      <c r="L412" s="2931">
        <v>11</v>
      </c>
      <c r="M412" s="373">
        <v>13</v>
      </c>
      <c r="N412" s="2931">
        <v>40</v>
      </c>
      <c r="O412" s="2931">
        <v>70</v>
      </c>
      <c r="P412" s="2931">
        <v>100</v>
      </c>
      <c r="Q412" s="373">
        <v>130</v>
      </c>
      <c r="R412" s="2931">
        <v>5</v>
      </c>
      <c r="S412" s="2931">
        <v>10</v>
      </c>
      <c r="T412" s="2931">
        <v>10</v>
      </c>
      <c r="U412" s="373">
        <v>15</v>
      </c>
      <c r="V412" s="2926" t="s">
        <v>4785</v>
      </c>
      <c r="W412" s="2926" t="s">
        <v>4786</v>
      </c>
      <c r="X412" s="2926" t="s">
        <v>4787</v>
      </c>
      <c r="Y412" s="2926" t="s">
        <v>4788</v>
      </c>
      <c r="Z412" s="2926" t="s">
        <v>4789</v>
      </c>
      <c r="AA412" s="371" t="s">
        <v>1706</v>
      </c>
    </row>
    <row r="413" spans="1:27" ht="12.75" customHeight="1" x14ac:dyDescent="0.2">
      <c r="A413" s="6418"/>
      <c r="B413" s="251" t="str">
        <f t="shared" si="6"/>
        <v>Libre acceso12</v>
      </c>
      <c r="D413" s="272" t="s">
        <v>394</v>
      </c>
      <c r="E413" s="2931" t="s">
        <v>381</v>
      </c>
      <c r="F413" s="2931">
        <f t="shared" si="7"/>
        <v>12</v>
      </c>
      <c r="G413" s="2934" t="s">
        <v>2087</v>
      </c>
      <c r="H413" s="2934" t="s">
        <v>1234</v>
      </c>
      <c r="I413" s="376" t="s">
        <v>1304</v>
      </c>
      <c r="J413" s="2931">
        <v>6</v>
      </c>
      <c r="K413" s="2931">
        <v>9</v>
      </c>
      <c r="L413" s="2931">
        <v>11</v>
      </c>
      <c r="M413" s="373">
        <v>13</v>
      </c>
      <c r="N413" s="2931">
        <v>50</v>
      </c>
      <c r="O413" s="2931">
        <v>80</v>
      </c>
      <c r="P413" s="2931">
        <v>110</v>
      </c>
      <c r="Q413" s="373">
        <v>130</v>
      </c>
      <c r="R413" s="2931">
        <v>5</v>
      </c>
      <c r="S413" s="2931">
        <v>5</v>
      </c>
      <c r="T413" s="2931">
        <v>10</v>
      </c>
      <c r="U413" s="373">
        <v>10</v>
      </c>
      <c r="V413" s="2926" t="s">
        <v>3541</v>
      </c>
      <c r="W413" s="2926" t="s">
        <v>3652</v>
      </c>
      <c r="X413" s="2926" t="s">
        <v>4790</v>
      </c>
      <c r="Y413" s="2926" t="s">
        <v>3574</v>
      </c>
      <c r="Z413" s="2926" t="s">
        <v>4791</v>
      </c>
      <c r="AA413" s="371"/>
    </row>
    <row r="414" spans="1:27" ht="12.75" customHeight="1" x14ac:dyDescent="0.2">
      <c r="A414" s="6418"/>
      <c r="B414" s="251" t="str">
        <f t="shared" si="6"/>
        <v>Libre acceso12</v>
      </c>
      <c r="D414" s="272" t="s">
        <v>395</v>
      </c>
      <c r="E414" s="2931" t="s">
        <v>381</v>
      </c>
      <c r="F414" s="2931">
        <f t="shared" si="7"/>
        <v>12</v>
      </c>
      <c r="G414" s="2936" t="s">
        <v>1381</v>
      </c>
      <c r="H414" s="2934" t="s">
        <v>1234</v>
      </c>
      <c r="I414" s="376" t="s">
        <v>1304</v>
      </c>
      <c r="J414" s="2931">
        <v>6</v>
      </c>
      <c r="K414" s="2931">
        <v>9</v>
      </c>
      <c r="L414" s="2931">
        <v>11</v>
      </c>
      <c r="M414" s="373">
        <v>13</v>
      </c>
      <c r="N414" s="2931">
        <v>50</v>
      </c>
      <c r="O414" s="2931">
        <v>100</v>
      </c>
      <c r="P414" s="2931">
        <v>160</v>
      </c>
      <c r="Q414" s="373">
        <v>240</v>
      </c>
      <c r="R414" s="2931">
        <v>5</v>
      </c>
      <c r="S414" s="2931">
        <v>10</v>
      </c>
      <c r="T414" s="2931">
        <v>10</v>
      </c>
      <c r="U414" s="373">
        <v>15</v>
      </c>
      <c r="V414" s="2926" t="s">
        <v>3393</v>
      </c>
      <c r="W414" s="2926" t="s">
        <v>3394</v>
      </c>
      <c r="X414" s="2926" t="s">
        <v>3506</v>
      </c>
      <c r="Y414" s="2926" t="s">
        <v>4792</v>
      </c>
      <c r="Z414" s="2926" t="s">
        <v>4793</v>
      </c>
      <c r="AA414" s="371" t="s">
        <v>1609</v>
      </c>
    </row>
    <row r="415" spans="1:27" ht="12.75" customHeight="1" x14ac:dyDescent="0.2">
      <c r="A415" s="6418"/>
      <c r="B415" s="251" t="str">
        <f t="shared" si="6"/>
        <v>Libre acceso12</v>
      </c>
      <c r="D415" s="272" t="s">
        <v>396</v>
      </c>
      <c r="E415" s="2931" t="s">
        <v>381</v>
      </c>
      <c r="F415" s="2931">
        <f t="shared" si="7"/>
        <v>12</v>
      </c>
      <c r="G415" s="2936" t="s">
        <v>1381</v>
      </c>
      <c r="H415" s="2934" t="s">
        <v>1234</v>
      </c>
      <c r="I415" s="376" t="s">
        <v>1304</v>
      </c>
      <c r="J415" s="2931">
        <v>6</v>
      </c>
      <c r="K415" s="2931">
        <v>9</v>
      </c>
      <c r="L415" s="2931">
        <v>11</v>
      </c>
      <c r="M415" s="373">
        <v>13</v>
      </c>
      <c r="N415" s="2931">
        <v>60</v>
      </c>
      <c r="O415" s="2931">
        <v>90</v>
      </c>
      <c r="P415" s="2931">
        <v>120</v>
      </c>
      <c r="Q415" s="373">
        <v>150</v>
      </c>
      <c r="R415" s="2931"/>
      <c r="S415" s="2931"/>
      <c r="T415" s="2931"/>
      <c r="U415" s="373"/>
      <c r="V415" s="2926" t="s">
        <v>3540</v>
      </c>
      <c r="W415" s="2926" t="s">
        <v>3542</v>
      </c>
      <c r="X415" s="2926" t="s">
        <v>4794</v>
      </c>
      <c r="Y415" s="2926" t="s">
        <v>4790</v>
      </c>
      <c r="Z415" s="2926" t="s">
        <v>4795</v>
      </c>
      <c r="AA415" s="371" t="s">
        <v>10414</v>
      </c>
    </row>
    <row r="416" spans="1:27" ht="12.75" customHeight="1" x14ac:dyDescent="0.2">
      <c r="A416" s="6418"/>
      <c r="B416" s="251" t="str">
        <f t="shared" si="6"/>
        <v>Libre acceso12</v>
      </c>
      <c r="D416" s="272" t="s">
        <v>1415</v>
      </c>
      <c r="E416" s="2931" t="s">
        <v>381</v>
      </c>
      <c r="F416" s="2931">
        <f t="shared" si="7"/>
        <v>12</v>
      </c>
      <c r="G416" s="2936" t="s">
        <v>1381</v>
      </c>
      <c r="H416" s="2934" t="s">
        <v>1234</v>
      </c>
      <c r="I416" s="376" t="s">
        <v>1304</v>
      </c>
      <c r="J416" s="2931">
        <v>6</v>
      </c>
      <c r="K416" s="2931">
        <v>9</v>
      </c>
      <c r="L416" s="2931">
        <v>11</v>
      </c>
      <c r="M416" s="373">
        <v>13</v>
      </c>
      <c r="N416" s="2931">
        <v>50</v>
      </c>
      <c r="O416" s="2931">
        <v>80</v>
      </c>
      <c r="P416" s="2931">
        <v>120</v>
      </c>
      <c r="Q416" s="373">
        <v>160</v>
      </c>
      <c r="R416" s="2931">
        <v>5</v>
      </c>
      <c r="S416" s="2931">
        <v>10</v>
      </c>
      <c r="T416" s="2931">
        <v>15</v>
      </c>
      <c r="U416" s="373">
        <v>20</v>
      </c>
      <c r="V416" s="2926" t="s">
        <v>4796</v>
      </c>
      <c r="W416" s="2926" t="s">
        <v>4797</v>
      </c>
      <c r="X416" s="2926" t="s">
        <v>4798</v>
      </c>
      <c r="Y416" s="2926" t="s">
        <v>4799</v>
      </c>
      <c r="Z416" s="2926" t="s">
        <v>4800</v>
      </c>
      <c r="AA416" s="371" t="s">
        <v>1602</v>
      </c>
    </row>
    <row r="417" spans="1:27" ht="12.75" customHeight="1" x14ac:dyDescent="0.2">
      <c r="A417" s="6418"/>
      <c r="B417" s="251" t="str">
        <f t="shared" si="6"/>
        <v>Libre acceso12</v>
      </c>
      <c r="D417" s="272" t="s">
        <v>397</v>
      </c>
      <c r="E417" s="2931" t="s">
        <v>381</v>
      </c>
      <c r="F417" s="2931">
        <f t="shared" si="7"/>
        <v>12</v>
      </c>
      <c r="G417" s="2934" t="s">
        <v>2087</v>
      </c>
      <c r="H417" s="2934" t="s">
        <v>1234</v>
      </c>
      <c r="I417" s="376" t="s">
        <v>1304</v>
      </c>
      <c r="J417" s="2931">
        <v>5</v>
      </c>
      <c r="K417" s="2931">
        <v>8</v>
      </c>
      <c r="L417" s="2931">
        <v>10</v>
      </c>
      <c r="M417" s="373">
        <v>12</v>
      </c>
      <c r="N417" s="2931">
        <v>40</v>
      </c>
      <c r="O417" s="2931">
        <v>80</v>
      </c>
      <c r="P417" s="2931">
        <v>100</v>
      </c>
      <c r="Q417" s="373">
        <v>120</v>
      </c>
      <c r="R417" s="2931">
        <v>5</v>
      </c>
      <c r="S417" s="2931">
        <v>10</v>
      </c>
      <c r="T417" s="2931">
        <v>10</v>
      </c>
      <c r="U417" s="373">
        <v>15</v>
      </c>
      <c r="V417" s="2926" t="s">
        <v>4801</v>
      </c>
      <c r="W417" s="2926" t="s">
        <v>4802</v>
      </c>
      <c r="X417" s="2926" t="s">
        <v>4803</v>
      </c>
      <c r="Y417" s="2926" t="s">
        <v>4804</v>
      </c>
      <c r="Z417" s="2926" t="s">
        <v>4805</v>
      </c>
      <c r="AA417" s="371"/>
    </row>
    <row r="418" spans="1:27" ht="12.75" customHeight="1" x14ac:dyDescent="0.2">
      <c r="A418" s="6418"/>
      <c r="B418" s="251" t="str">
        <f t="shared" si="6"/>
        <v>Libre acceso12</v>
      </c>
      <c r="D418" s="272" t="s">
        <v>398</v>
      </c>
      <c r="E418" s="2931" t="s">
        <v>381</v>
      </c>
      <c r="F418" s="2931">
        <f t="shared" si="7"/>
        <v>12</v>
      </c>
      <c r="G418" s="2936" t="s">
        <v>1381</v>
      </c>
      <c r="H418" s="2934" t="s">
        <v>1234</v>
      </c>
      <c r="I418" s="376" t="s">
        <v>1304</v>
      </c>
      <c r="J418" s="2931">
        <v>6</v>
      </c>
      <c r="K418" s="2931">
        <v>9</v>
      </c>
      <c r="L418" s="2931">
        <v>11</v>
      </c>
      <c r="M418" s="373">
        <v>13</v>
      </c>
      <c r="N418" s="2931">
        <v>30</v>
      </c>
      <c r="O418" s="2931">
        <v>80</v>
      </c>
      <c r="P418" s="2931">
        <v>140</v>
      </c>
      <c r="Q418" s="373">
        <v>180</v>
      </c>
      <c r="R418" s="2931">
        <v>5</v>
      </c>
      <c r="S418" s="2931">
        <v>5</v>
      </c>
      <c r="T418" s="2931">
        <v>10</v>
      </c>
      <c r="U418" s="373">
        <v>15</v>
      </c>
      <c r="V418" s="2926" t="s">
        <v>4806</v>
      </c>
      <c r="W418" s="2926" t="s">
        <v>4807</v>
      </c>
      <c r="X418" s="2926" t="s">
        <v>4808</v>
      </c>
      <c r="Y418" s="2926" t="s">
        <v>4809</v>
      </c>
      <c r="Z418" s="2926" t="s">
        <v>4810</v>
      </c>
      <c r="AA418" s="371"/>
    </row>
    <row r="419" spans="1:27" ht="12.75" customHeight="1" x14ac:dyDescent="0.2">
      <c r="A419" s="6418"/>
      <c r="B419" s="251" t="str">
        <f t="shared" si="6"/>
        <v>Libre acceso12</v>
      </c>
      <c r="D419" s="272" t="s">
        <v>399</v>
      </c>
      <c r="E419" s="2931" t="s">
        <v>381</v>
      </c>
      <c r="F419" s="2931">
        <f t="shared" si="7"/>
        <v>12</v>
      </c>
      <c r="G419" s="2934" t="s">
        <v>2087</v>
      </c>
      <c r="H419" s="2934" t="s">
        <v>1234</v>
      </c>
      <c r="I419" s="376" t="s">
        <v>1304</v>
      </c>
      <c r="J419" s="2931">
        <v>6</v>
      </c>
      <c r="K419" s="2931">
        <v>9</v>
      </c>
      <c r="L419" s="2931">
        <v>11</v>
      </c>
      <c r="M419" s="373">
        <v>13</v>
      </c>
      <c r="N419" s="2931">
        <v>40</v>
      </c>
      <c r="O419" s="2931">
        <v>80</v>
      </c>
      <c r="P419" s="2931">
        <v>120</v>
      </c>
      <c r="Q419" s="373">
        <v>160</v>
      </c>
      <c r="R419" s="2931">
        <v>5</v>
      </c>
      <c r="S419" s="2931">
        <v>10</v>
      </c>
      <c r="T419" s="2931">
        <v>10</v>
      </c>
      <c r="U419" s="373">
        <v>15</v>
      </c>
      <c r="V419" s="2926" t="s">
        <v>3652</v>
      </c>
      <c r="W419" s="2926" t="s">
        <v>3404</v>
      </c>
      <c r="X419" s="2926" t="s">
        <v>3836</v>
      </c>
      <c r="Y419" s="2926" t="s">
        <v>4811</v>
      </c>
      <c r="Z419" s="2926" t="s">
        <v>4812</v>
      </c>
      <c r="AA419" s="371" t="s">
        <v>10415</v>
      </c>
    </row>
    <row r="420" spans="1:27" ht="12.75" customHeight="1" x14ac:dyDescent="0.2">
      <c r="A420" s="6418"/>
      <c r="B420" s="251" t="str">
        <f t="shared" si="6"/>
        <v>Libre acceso12</v>
      </c>
      <c r="D420" s="272" t="s">
        <v>1681</v>
      </c>
      <c r="E420" s="2931" t="s">
        <v>381</v>
      </c>
      <c r="F420" s="2931">
        <f t="shared" si="7"/>
        <v>12</v>
      </c>
      <c r="G420" s="2934" t="s">
        <v>2087</v>
      </c>
      <c r="H420" s="2934" t="s">
        <v>1234</v>
      </c>
      <c r="I420" s="376" t="s">
        <v>1304</v>
      </c>
      <c r="J420" s="2931">
        <v>6</v>
      </c>
      <c r="K420" s="2931">
        <v>9</v>
      </c>
      <c r="L420" s="2931">
        <v>11</v>
      </c>
      <c r="M420" s="373">
        <v>13</v>
      </c>
      <c r="N420" s="2931">
        <v>50</v>
      </c>
      <c r="O420" s="2931">
        <v>80</v>
      </c>
      <c r="P420" s="2931">
        <v>110</v>
      </c>
      <c r="Q420" s="373">
        <v>150</v>
      </c>
      <c r="R420" s="2931">
        <v>5</v>
      </c>
      <c r="S420" s="2931">
        <v>5</v>
      </c>
      <c r="T420" s="2931">
        <v>10</v>
      </c>
      <c r="U420" s="373">
        <v>15</v>
      </c>
      <c r="V420" s="2926" t="s">
        <v>4813</v>
      </c>
      <c r="W420" s="2926" t="s">
        <v>4814</v>
      </c>
      <c r="X420" s="2926" t="s">
        <v>4815</v>
      </c>
      <c r="Y420" s="2926" t="s">
        <v>4816</v>
      </c>
      <c r="Z420" s="2926" t="s">
        <v>4817</v>
      </c>
      <c r="AA420" s="371"/>
    </row>
    <row r="421" spans="1:27" ht="12.75" customHeight="1" x14ac:dyDescent="0.2">
      <c r="A421" s="6418"/>
      <c r="B421" s="251" t="str">
        <f t="shared" si="6"/>
        <v>Libre acceso12</v>
      </c>
      <c r="D421" s="272" t="s">
        <v>400</v>
      </c>
      <c r="E421" s="2931" t="s">
        <v>381</v>
      </c>
      <c r="F421" s="2931">
        <f t="shared" si="7"/>
        <v>12</v>
      </c>
      <c r="G421" s="2934" t="s">
        <v>2087</v>
      </c>
      <c r="H421" s="2934" t="s">
        <v>1234</v>
      </c>
      <c r="I421" s="376" t="s">
        <v>1304</v>
      </c>
      <c r="J421" s="2931">
        <v>6</v>
      </c>
      <c r="K421" s="2931">
        <v>9</v>
      </c>
      <c r="L421" s="2931">
        <v>11</v>
      </c>
      <c r="M421" s="373">
        <v>13</v>
      </c>
      <c r="N421" s="2931">
        <v>60</v>
      </c>
      <c r="O421" s="2931">
        <v>140</v>
      </c>
      <c r="P421" s="2931">
        <v>220</v>
      </c>
      <c r="Q421" s="373">
        <v>340</v>
      </c>
      <c r="R421" s="2931">
        <v>10</v>
      </c>
      <c r="S421" s="2931">
        <v>15</v>
      </c>
      <c r="T421" s="2931">
        <v>25</v>
      </c>
      <c r="U421" s="373">
        <v>35</v>
      </c>
      <c r="V421" s="2926" t="s">
        <v>3574</v>
      </c>
      <c r="W421" s="2926" t="s">
        <v>3653</v>
      </c>
      <c r="X421" s="2926" t="s">
        <v>4818</v>
      </c>
      <c r="Y421" s="2926" t="s">
        <v>4819</v>
      </c>
      <c r="Z421" s="2926" t="s">
        <v>4820</v>
      </c>
      <c r="AA421" s="371" t="s">
        <v>1698</v>
      </c>
    </row>
    <row r="422" spans="1:27" ht="12.75" customHeight="1" x14ac:dyDescent="0.2">
      <c r="A422" s="6418"/>
      <c r="B422" s="251" t="str">
        <f t="shared" si="6"/>
        <v>Libre acceso12</v>
      </c>
      <c r="D422" s="272" t="s">
        <v>401</v>
      </c>
      <c r="E422" s="2931" t="s">
        <v>381</v>
      </c>
      <c r="F422" s="2931">
        <f t="shared" si="7"/>
        <v>12</v>
      </c>
      <c r="G422" s="2934" t="s">
        <v>2087</v>
      </c>
      <c r="H422" s="2934" t="s">
        <v>1233</v>
      </c>
      <c r="I422" s="376" t="s">
        <v>1304</v>
      </c>
      <c r="J422" s="2931">
        <v>6</v>
      </c>
      <c r="K422" s="2931">
        <v>9</v>
      </c>
      <c r="L422" s="2931">
        <v>11</v>
      </c>
      <c r="M422" s="373">
        <v>13</v>
      </c>
      <c r="N422" s="2931">
        <v>60</v>
      </c>
      <c r="O422" s="2931">
        <v>120</v>
      </c>
      <c r="P422" s="2931">
        <v>180</v>
      </c>
      <c r="Q422" s="373">
        <v>240</v>
      </c>
      <c r="R422" s="2931">
        <v>10</v>
      </c>
      <c r="S422" s="2931">
        <v>20</v>
      </c>
      <c r="T422" s="2931">
        <v>20</v>
      </c>
      <c r="U422" s="373">
        <v>25</v>
      </c>
      <c r="V422" s="2926" t="s">
        <v>3395</v>
      </c>
      <c r="W422" s="2926" t="s">
        <v>3475</v>
      </c>
      <c r="X422" s="2926" t="s">
        <v>3396</v>
      </c>
      <c r="Y422" s="2926" t="s">
        <v>3507</v>
      </c>
      <c r="Z422" s="2926" t="s">
        <v>4821</v>
      </c>
      <c r="AA422" s="371" t="s">
        <v>1609</v>
      </c>
    </row>
    <row r="423" spans="1:27" ht="12.75" customHeight="1" x14ac:dyDescent="0.2">
      <c r="A423" s="6418"/>
      <c r="B423" s="251" t="str">
        <f t="shared" si="6"/>
        <v/>
      </c>
      <c r="D423" s="272" t="s">
        <v>402</v>
      </c>
      <c r="E423" s="2931"/>
      <c r="F423" s="2931"/>
      <c r="G423" s="2934"/>
      <c r="H423" s="2934"/>
      <c r="I423" s="376"/>
      <c r="J423" s="2931"/>
      <c r="K423" s="2931"/>
      <c r="L423" s="2931"/>
      <c r="M423" s="373"/>
      <c r="N423" s="2931"/>
      <c r="O423" s="2931"/>
      <c r="P423" s="2931"/>
      <c r="Q423" s="373"/>
      <c r="R423" s="2931"/>
      <c r="S423" s="2931"/>
      <c r="T423" s="2931"/>
      <c r="U423" s="373"/>
      <c r="V423" s="2926"/>
      <c r="W423" s="2926"/>
      <c r="X423" s="2926"/>
      <c r="Y423" s="2926"/>
      <c r="Z423" s="2926"/>
      <c r="AA423" s="371"/>
    </row>
    <row r="424" spans="1:27" ht="12.75" customHeight="1" x14ac:dyDescent="0.2">
      <c r="A424" s="6418"/>
      <c r="B424" s="251" t="str">
        <f t="shared" si="6"/>
        <v>Libre acceso22</v>
      </c>
      <c r="D424" s="272" t="s">
        <v>403</v>
      </c>
      <c r="E424" s="2931" t="s">
        <v>381</v>
      </c>
      <c r="F424" s="2931">
        <f>F411+10</f>
        <v>22</v>
      </c>
      <c r="G424" s="2934" t="s">
        <v>1381</v>
      </c>
      <c r="H424" s="2934" t="s">
        <v>4019</v>
      </c>
      <c r="I424" s="376" t="s">
        <v>1304</v>
      </c>
      <c r="J424" s="2931">
        <v>10</v>
      </c>
      <c r="K424" s="2931">
        <v>12</v>
      </c>
      <c r="L424" s="2931">
        <v>14</v>
      </c>
      <c r="M424" s="373">
        <v>16</v>
      </c>
      <c r="N424" s="2931">
        <v>100</v>
      </c>
      <c r="O424" s="2931">
        <v>120</v>
      </c>
      <c r="P424" s="2931">
        <v>140</v>
      </c>
      <c r="Q424" s="373">
        <v>160</v>
      </c>
      <c r="R424" s="2931">
        <v>10</v>
      </c>
      <c r="S424" s="2931">
        <v>15</v>
      </c>
      <c r="T424" s="2931">
        <v>15</v>
      </c>
      <c r="U424" s="373">
        <v>20</v>
      </c>
      <c r="V424" s="2926" t="s">
        <v>4822</v>
      </c>
      <c r="W424" s="2926" t="s">
        <v>4823</v>
      </c>
      <c r="X424" s="2926" t="s">
        <v>3786</v>
      </c>
      <c r="Y424" s="2926" t="s">
        <v>4630</v>
      </c>
      <c r="Z424" s="2926" t="s">
        <v>4824</v>
      </c>
      <c r="AA424" s="371" t="s">
        <v>1698</v>
      </c>
    </row>
    <row r="425" spans="1:27" ht="12.75" customHeight="1" x14ac:dyDescent="0.2">
      <c r="A425" s="6418"/>
      <c r="B425" s="251" t="str">
        <f t="shared" si="6"/>
        <v>Libre acceso22</v>
      </c>
      <c r="D425" s="272" t="s">
        <v>404</v>
      </c>
      <c r="E425" s="2931" t="s">
        <v>381</v>
      </c>
      <c r="F425" s="2931">
        <f t="shared" ref="F425:F435" si="8">F412+10</f>
        <v>22</v>
      </c>
      <c r="G425" s="2934" t="s">
        <v>1381</v>
      </c>
      <c r="H425" s="2934" t="s">
        <v>4019</v>
      </c>
      <c r="I425" s="376" t="s">
        <v>1304</v>
      </c>
      <c r="J425" s="2931">
        <v>6</v>
      </c>
      <c r="K425" s="2931">
        <v>9</v>
      </c>
      <c r="L425" s="2931">
        <v>11</v>
      </c>
      <c r="M425" s="373">
        <v>13</v>
      </c>
      <c r="N425" s="2931">
        <v>50</v>
      </c>
      <c r="O425" s="2931">
        <v>70</v>
      </c>
      <c r="P425" s="2931">
        <v>100</v>
      </c>
      <c r="Q425" s="373">
        <v>130</v>
      </c>
      <c r="R425" s="2931">
        <v>5</v>
      </c>
      <c r="S425" s="2931">
        <v>10</v>
      </c>
      <c r="T425" s="2931">
        <v>10</v>
      </c>
      <c r="U425" s="373">
        <v>15</v>
      </c>
      <c r="V425" s="2926" t="s">
        <v>3589</v>
      </c>
      <c r="W425" s="2926" t="s">
        <v>3590</v>
      </c>
      <c r="X425" s="2926" t="s">
        <v>3486</v>
      </c>
      <c r="Y425" s="2926" t="s">
        <v>3321</v>
      </c>
      <c r="Z425" s="2926" t="s">
        <v>4825</v>
      </c>
      <c r="AA425" s="371" t="s">
        <v>10416</v>
      </c>
    </row>
    <row r="426" spans="1:27" ht="12.75" customHeight="1" x14ac:dyDescent="0.2">
      <c r="A426" s="6418"/>
      <c r="B426" s="251" t="str">
        <f t="shared" si="6"/>
        <v>Libre acceso22</v>
      </c>
      <c r="D426" s="272" t="s">
        <v>405</v>
      </c>
      <c r="E426" s="2931" t="s">
        <v>381</v>
      </c>
      <c r="F426" s="2931">
        <f t="shared" si="8"/>
        <v>22</v>
      </c>
      <c r="G426" s="2934" t="s">
        <v>1381</v>
      </c>
      <c r="H426" s="2934" t="s">
        <v>1234</v>
      </c>
      <c r="I426" s="376" t="s">
        <v>1304</v>
      </c>
      <c r="J426" s="2931">
        <v>6</v>
      </c>
      <c r="K426" s="2931">
        <v>9</v>
      </c>
      <c r="L426" s="2931">
        <v>11</v>
      </c>
      <c r="M426" s="373">
        <v>13</v>
      </c>
      <c r="N426" s="2931">
        <v>100</v>
      </c>
      <c r="O426" s="2931">
        <v>120</v>
      </c>
      <c r="P426" s="2931">
        <v>140</v>
      </c>
      <c r="Q426" s="373">
        <v>160</v>
      </c>
      <c r="R426" s="2931"/>
      <c r="S426" s="2931"/>
      <c r="T426" s="2931"/>
      <c r="U426" s="373"/>
      <c r="V426" s="2926" t="s">
        <v>4826</v>
      </c>
      <c r="W426" s="2926" t="s">
        <v>4827</v>
      </c>
      <c r="X426" s="2926" t="s">
        <v>4828</v>
      </c>
      <c r="Y426" s="2926" t="s">
        <v>4829</v>
      </c>
      <c r="Z426" s="2926" t="s">
        <v>4830</v>
      </c>
      <c r="AA426" s="371" t="s">
        <v>1706</v>
      </c>
    </row>
    <row r="427" spans="1:27" ht="12.75" customHeight="1" x14ac:dyDescent="0.2">
      <c r="A427" s="6418"/>
      <c r="B427" s="251" t="str">
        <f t="shared" si="6"/>
        <v>Libre acceso22</v>
      </c>
      <c r="D427" s="272" t="s">
        <v>406</v>
      </c>
      <c r="E427" s="2931" t="s">
        <v>381</v>
      </c>
      <c r="F427" s="2931">
        <f t="shared" si="8"/>
        <v>22</v>
      </c>
      <c r="G427" s="2934" t="s">
        <v>1381</v>
      </c>
      <c r="H427" s="2934" t="s">
        <v>1564</v>
      </c>
      <c r="I427" s="376" t="s">
        <v>1305</v>
      </c>
      <c r="J427" s="2931">
        <v>6</v>
      </c>
      <c r="K427" s="2931">
        <v>9</v>
      </c>
      <c r="L427" s="2931">
        <v>11</v>
      </c>
      <c r="M427" s="373">
        <v>13</v>
      </c>
      <c r="N427" s="2931">
        <v>60</v>
      </c>
      <c r="O427" s="2931">
        <v>120</v>
      </c>
      <c r="P427" s="2931">
        <v>180</v>
      </c>
      <c r="Q427" s="373">
        <v>240</v>
      </c>
      <c r="R427" s="2931">
        <v>10</v>
      </c>
      <c r="S427" s="2931">
        <v>20</v>
      </c>
      <c r="T427" s="2931">
        <v>20</v>
      </c>
      <c r="U427" s="373">
        <v>25</v>
      </c>
      <c r="V427" s="2926" t="s">
        <v>3878</v>
      </c>
      <c r="W427" s="2926" t="s">
        <v>4831</v>
      </c>
      <c r="X427" s="2926" t="s">
        <v>4832</v>
      </c>
      <c r="Y427" s="2926" t="s">
        <v>4833</v>
      </c>
      <c r="Z427" s="2926" t="s">
        <v>4834</v>
      </c>
      <c r="AA427" s="371" t="s">
        <v>1706</v>
      </c>
    </row>
    <row r="428" spans="1:27" ht="12.75" customHeight="1" x14ac:dyDescent="0.2">
      <c r="A428" s="6418"/>
      <c r="B428" s="251" t="str">
        <f t="shared" si="6"/>
        <v>Libre acceso22</v>
      </c>
      <c r="D428" s="272" t="s">
        <v>407</v>
      </c>
      <c r="E428" s="2931" t="s">
        <v>381</v>
      </c>
      <c r="F428" s="2931">
        <f t="shared" si="8"/>
        <v>22</v>
      </c>
      <c r="G428" s="2934" t="s">
        <v>1381</v>
      </c>
      <c r="H428" s="2934" t="s">
        <v>1234</v>
      </c>
      <c r="I428" s="376" t="s">
        <v>1304</v>
      </c>
      <c r="J428" s="2931">
        <v>6</v>
      </c>
      <c r="K428" s="2931">
        <v>9</v>
      </c>
      <c r="L428" s="2931">
        <v>12</v>
      </c>
      <c r="M428" s="373">
        <v>15</v>
      </c>
      <c r="N428" s="2931">
        <v>60</v>
      </c>
      <c r="O428" s="2931">
        <v>90</v>
      </c>
      <c r="P428" s="2931">
        <v>120</v>
      </c>
      <c r="Q428" s="373">
        <v>150</v>
      </c>
      <c r="R428" s="2931">
        <v>10</v>
      </c>
      <c r="S428" s="2931">
        <v>10</v>
      </c>
      <c r="T428" s="2931">
        <v>15</v>
      </c>
      <c r="U428" s="373">
        <v>15</v>
      </c>
      <c r="V428" s="2926" t="s">
        <v>4297</v>
      </c>
      <c r="W428" s="2926" t="s">
        <v>4298</v>
      </c>
      <c r="X428" s="2926" t="s">
        <v>4299</v>
      </c>
      <c r="Y428" s="2926" t="s">
        <v>4300</v>
      </c>
      <c r="Z428" s="2926" t="s">
        <v>4835</v>
      </c>
      <c r="AA428" s="371" t="s">
        <v>1706</v>
      </c>
    </row>
    <row r="429" spans="1:27" ht="12.75" customHeight="1" x14ac:dyDescent="0.2">
      <c r="A429" s="6418"/>
      <c r="B429" s="251" t="str">
        <f t="shared" si="6"/>
        <v>Libre acceso22</v>
      </c>
      <c r="D429" s="272" t="s">
        <v>408</v>
      </c>
      <c r="E429" s="2931" t="s">
        <v>381</v>
      </c>
      <c r="F429" s="2931">
        <f t="shared" si="8"/>
        <v>22</v>
      </c>
      <c r="G429" s="2934" t="s">
        <v>2087</v>
      </c>
      <c r="H429" s="2934" t="s">
        <v>1234</v>
      </c>
      <c r="I429" s="376" t="s">
        <v>1304</v>
      </c>
      <c r="J429" s="2931">
        <v>7</v>
      </c>
      <c r="K429" s="2931">
        <v>10</v>
      </c>
      <c r="L429" s="2931">
        <v>12</v>
      </c>
      <c r="M429" s="373">
        <v>15</v>
      </c>
      <c r="N429" s="2931">
        <v>100</v>
      </c>
      <c r="O429" s="2931">
        <v>160</v>
      </c>
      <c r="P429" s="2931">
        <v>200</v>
      </c>
      <c r="Q429" s="373">
        <v>240</v>
      </c>
      <c r="R429" s="2931">
        <v>20</v>
      </c>
      <c r="S429" s="2931">
        <v>35</v>
      </c>
      <c r="T429" s="2931">
        <v>40</v>
      </c>
      <c r="U429" s="373">
        <v>50</v>
      </c>
      <c r="V429" s="2926" t="s">
        <v>4836</v>
      </c>
      <c r="W429" s="2926" t="s">
        <v>4837</v>
      </c>
      <c r="X429" s="2926" t="s">
        <v>4838</v>
      </c>
      <c r="Y429" s="2926" t="s">
        <v>4839</v>
      </c>
      <c r="Z429" s="2926" t="s">
        <v>4840</v>
      </c>
      <c r="AA429" s="371"/>
    </row>
    <row r="430" spans="1:27" ht="12.75" customHeight="1" x14ac:dyDescent="0.2">
      <c r="A430" s="6418"/>
      <c r="B430" s="251" t="str">
        <f t="shared" si="6"/>
        <v>Libre acceso22</v>
      </c>
      <c r="D430" s="272" t="s">
        <v>409</v>
      </c>
      <c r="E430" s="2931" t="s">
        <v>381</v>
      </c>
      <c r="F430" s="2931">
        <f t="shared" si="8"/>
        <v>22</v>
      </c>
      <c r="G430" s="2934" t="s">
        <v>2087</v>
      </c>
      <c r="H430" s="2934" t="s">
        <v>1234</v>
      </c>
      <c r="I430" s="376" t="s">
        <v>1304</v>
      </c>
      <c r="J430" s="2931">
        <v>6</v>
      </c>
      <c r="K430" s="2931">
        <v>9</v>
      </c>
      <c r="L430" s="2931">
        <v>11</v>
      </c>
      <c r="M430" s="373">
        <v>13</v>
      </c>
      <c r="N430" s="2931">
        <v>80</v>
      </c>
      <c r="O430" s="2931">
        <v>140</v>
      </c>
      <c r="P430" s="2931">
        <v>200</v>
      </c>
      <c r="Q430" s="373">
        <v>260</v>
      </c>
      <c r="R430" s="2931">
        <v>10</v>
      </c>
      <c r="S430" s="2931">
        <v>15</v>
      </c>
      <c r="T430" s="2931">
        <v>20</v>
      </c>
      <c r="U430" s="373">
        <v>30</v>
      </c>
      <c r="V430" s="2926" t="s">
        <v>3395</v>
      </c>
      <c r="W430" s="2926" t="s">
        <v>3475</v>
      </c>
      <c r="X430" s="2926" t="s">
        <v>3396</v>
      </c>
      <c r="Y430" s="2926" t="s">
        <v>3507</v>
      </c>
      <c r="Z430" s="2926" t="s">
        <v>4841</v>
      </c>
      <c r="AA430" s="371" t="s">
        <v>10415</v>
      </c>
    </row>
    <row r="431" spans="1:27" ht="12.75" customHeight="1" x14ac:dyDescent="0.2">
      <c r="A431" s="6418"/>
      <c r="B431" s="251" t="str">
        <f t="shared" si="6"/>
        <v>Libre acceso22</v>
      </c>
      <c r="D431" s="272" t="s">
        <v>2161</v>
      </c>
      <c r="E431" s="2931" t="s">
        <v>381</v>
      </c>
      <c r="F431" s="2931">
        <f t="shared" si="8"/>
        <v>22</v>
      </c>
      <c r="G431" s="2934" t="s">
        <v>1381</v>
      </c>
      <c r="H431" s="2934" t="s">
        <v>4842</v>
      </c>
      <c r="I431" s="376" t="s">
        <v>1304</v>
      </c>
      <c r="J431" s="2931">
        <v>6</v>
      </c>
      <c r="K431" s="2931">
        <v>9</v>
      </c>
      <c r="L431" s="2931">
        <v>12</v>
      </c>
      <c r="M431" s="373">
        <v>15</v>
      </c>
      <c r="N431" s="2931">
        <v>60</v>
      </c>
      <c r="O431" s="2931">
        <v>90</v>
      </c>
      <c r="P431" s="2931">
        <v>120</v>
      </c>
      <c r="Q431" s="373">
        <v>150</v>
      </c>
      <c r="R431" s="2931">
        <v>5</v>
      </c>
      <c r="S431" s="2931">
        <v>5</v>
      </c>
      <c r="T431" s="2931">
        <v>10</v>
      </c>
      <c r="U431" s="373">
        <v>10</v>
      </c>
      <c r="V431" s="2926" t="s">
        <v>4843</v>
      </c>
      <c r="W431" s="2926" t="s">
        <v>4844</v>
      </c>
      <c r="X431" s="2926" t="s">
        <v>4845</v>
      </c>
      <c r="Y431" s="2926" t="s">
        <v>4846</v>
      </c>
      <c r="Z431" s="2926" t="s">
        <v>4847</v>
      </c>
      <c r="AA431" s="371"/>
    </row>
    <row r="432" spans="1:27" ht="12.75" customHeight="1" x14ac:dyDescent="0.2">
      <c r="A432" s="6418"/>
      <c r="B432" s="251" t="str">
        <f t="shared" si="6"/>
        <v>Libre acceso22</v>
      </c>
      <c r="D432" s="272" t="s">
        <v>410</v>
      </c>
      <c r="E432" s="2931" t="s">
        <v>381</v>
      </c>
      <c r="F432" s="2931">
        <f t="shared" si="8"/>
        <v>22</v>
      </c>
      <c r="G432" s="2934" t="s">
        <v>1381</v>
      </c>
      <c r="H432" s="2934" t="s">
        <v>1234</v>
      </c>
      <c r="I432" s="376" t="s">
        <v>1304</v>
      </c>
      <c r="J432" s="2931">
        <v>6</v>
      </c>
      <c r="K432" s="2931">
        <v>9</v>
      </c>
      <c r="L432" s="2931">
        <v>11</v>
      </c>
      <c r="M432" s="373">
        <v>13</v>
      </c>
      <c r="N432" s="2931">
        <v>80</v>
      </c>
      <c r="O432" s="2931">
        <v>100</v>
      </c>
      <c r="P432" s="2931">
        <v>120</v>
      </c>
      <c r="Q432" s="373">
        <v>140</v>
      </c>
      <c r="R432" s="2931"/>
      <c r="S432" s="2931"/>
      <c r="T432" s="2931"/>
      <c r="U432" s="373"/>
      <c r="V432" s="2926" t="s">
        <v>4848</v>
      </c>
      <c r="W432" s="2926" t="s">
        <v>4849</v>
      </c>
      <c r="X432" s="2926" t="s">
        <v>4850</v>
      </c>
      <c r="Y432" s="2926" t="s">
        <v>4851</v>
      </c>
      <c r="Z432" s="2926" t="s">
        <v>4852</v>
      </c>
      <c r="AA432" s="371"/>
    </row>
    <row r="433" spans="1:27" ht="12.75" customHeight="1" x14ac:dyDescent="0.2">
      <c r="A433" s="6418"/>
      <c r="B433" s="251" t="str">
        <f t="shared" si="6"/>
        <v>Libre acceso22</v>
      </c>
      <c r="D433" s="272" t="s">
        <v>411</v>
      </c>
      <c r="E433" s="2931" t="s">
        <v>381</v>
      </c>
      <c r="F433" s="2931">
        <f t="shared" si="8"/>
        <v>22</v>
      </c>
      <c r="G433" s="2934" t="s">
        <v>1381</v>
      </c>
      <c r="H433" s="2934" t="s">
        <v>1234</v>
      </c>
      <c r="I433" s="376" t="s">
        <v>1304</v>
      </c>
      <c r="J433" s="2931">
        <v>6</v>
      </c>
      <c r="K433" s="2931">
        <v>9</v>
      </c>
      <c r="L433" s="2931">
        <v>11</v>
      </c>
      <c r="M433" s="373">
        <v>13</v>
      </c>
      <c r="N433" s="2931">
        <v>80</v>
      </c>
      <c r="O433" s="2931">
        <v>120</v>
      </c>
      <c r="P433" s="2931">
        <v>160</v>
      </c>
      <c r="Q433" s="373">
        <v>200</v>
      </c>
      <c r="R433" s="2931">
        <v>10</v>
      </c>
      <c r="S433" s="2931">
        <v>10</v>
      </c>
      <c r="T433" s="2931">
        <v>15</v>
      </c>
      <c r="U433" s="373">
        <v>15</v>
      </c>
      <c r="V433" s="2926" t="s">
        <v>4853</v>
      </c>
      <c r="W433" s="2926" t="s">
        <v>4854</v>
      </c>
      <c r="X433" s="2926" t="s">
        <v>4855</v>
      </c>
      <c r="Y433" s="2926" t="s">
        <v>4856</v>
      </c>
      <c r="Z433" s="2926" t="s">
        <v>4857</v>
      </c>
      <c r="AA433" s="371" t="s">
        <v>1703</v>
      </c>
    </row>
    <row r="434" spans="1:27" ht="12.75" customHeight="1" x14ac:dyDescent="0.2">
      <c r="A434" s="6418"/>
      <c r="B434" s="251" t="str">
        <f t="shared" si="6"/>
        <v>Libre acceso22</v>
      </c>
      <c r="D434" s="272" t="s">
        <v>1623</v>
      </c>
      <c r="E434" s="2931" t="s">
        <v>381</v>
      </c>
      <c r="F434" s="2931">
        <f t="shared" si="8"/>
        <v>22</v>
      </c>
      <c r="G434" s="2934" t="s">
        <v>1381</v>
      </c>
      <c r="H434" s="2934" t="s">
        <v>1234</v>
      </c>
      <c r="I434" s="376" t="s">
        <v>1304</v>
      </c>
      <c r="J434" s="2931">
        <v>6</v>
      </c>
      <c r="K434" s="2931">
        <v>9</v>
      </c>
      <c r="L434" s="2931">
        <v>11</v>
      </c>
      <c r="M434" s="373">
        <v>13</v>
      </c>
      <c r="N434" s="2931">
        <v>50</v>
      </c>
      <c r="O434" s="2931">
        <v>80</v>
      </c>
      <c r="P434" s="2931">
        <v>100</v>
      </c>
      <c r="Q434" s="373">
        <v>120</v>
      </c>
      <c r="R434" s="2931">
        <v>5</v>
      </c>
      <c r="S434" s="2931">
        <v>10</v>
      </c>
      <c r="T434" s="2931">
        <v>10</v>
      </c>
      <c r="U434" s="373">
        <v>15</v>
      </c>
      <c r="V434" s="2926" t="s">
        <v>4858</v>
      </c>
      <c r="W434" s="2926" t="s">
        <v>4859</v>
      </c>
      <c r="X434" s="2926" t="s">
        <v>4860</v>
      </c>
      <c r="Y434" s="2926" t="s">
        <v>4861</v>
      </c>
      <c r="Z434" s="2926" t="s">
        <v>4862</v>
      </c>
      <c r="AA434" s="371" t="s">
        <v>1703</v>
      </c>
    </row>
    <row r="435" spans="1:27" ht="12.75" customHeight="1" x14ac:dyDescent="0.2">
      <c r="A435" s="6418"/>
      <c r="B435" s="251" t="str">
        <f t="shared" si="6"/>
        <v>Libre acceso22</v>
      </c>
      <c r="D435" s="272" t="s">
        <v>412</v>
      </c>
      <c r="E435" s="2931" t="s">
        <v>381</v>
      </c>
      <c r="F435" s="2931">
        <f t="shared" si="8"/>
        <v>22</v>
      </c>
      <c r="G435" s="2934" t="s">
        <v>2087</v>
      </c>
      <c r="H435" s="2934" t="s">
        <v>1235</v>
      </c>
      <c r="I435" s="376" t="s">
        <v>1304</v>
      </c>
      <c r="J435" s="2931">
        <v>6</v>
      </c>
      <c r="K435" s="2931">
        <v>9</v>
      </c>
      <c r="L435" s="2931">
        <v>12</v>
      </c>
      <c r="M435" s="373">
        <v>15</v>
      </c>
      <c r="N435" s="2931">
        <v>60</v>
      </c>
      <c r="O435" s="2931">
        <v>90</v>
      </c>
      <c r="P435" s="2931">
        <v>120</v>
      </c>
      <c r="Q435" s="373">
        <v>150</v>
      </c>
      <c r="R435" s="2931">
        <v>5</v>
      </c>
      <c r="S435" s="2931">
        <v>5</v>
      </c>
      <c r="T435" s="2931">
        <v>10</v>
      </c>
      <c r="U435" s="373">
        <v>10</v>
      </c>
      <c r="V435" s="2926" t="s">
        <v>3403</v>
      </c>
      <c r="W435" s="2926" t="s">
        <v>3653</v>
      </c>
      <c r="X435" s="2926" t="s">
        <v>4863</v>
      </c>
      <c r="Y435" s="2926" t="s">
        <v>4864</v>
      </c>
      <c r="Z435" s="2926" t="s">
        <v>4865</v>
      </c>
      <c r="AA435" s="371"/>
    </row>
    <row r="436" spans="1:27" ht="12.75" customHeight="1" x14ac:dyDescent="0.2">
      <c r="A436" s="6418"/>
      <c r="B436" s="251" t="str">
        <f t="shared" si="6"/>
        <v/>
      </c>
      <c r="D436" s="272" t="s">
        <v>413</v>
      </c>
      <c r="E436" s="2931"/>
      <c r="F436" s="2931"/>
      <c r="G436" s="2934"/>
      <c r="H436" s="2934"/>
      <c r="I436" s="376"/>
      <c r="J436" s="2931"/>
      <c r="K436" s="2931"/>
      <c r="L436" s="2931"/>
      <c r="M436" s="373"/>
      <c r="N436" s="2931"/>
      <c r="O436" s="2931"/>
      <c r="P436" s="2931"/>
      <c r="Q436" s="373"/>
      <c r="R436" s="2931"/>
      <c r="S436" s="2931"/>
      <c r="T436" s="2931"/>
      <c r="U436" s="373"/>
      <c r="V436" s="2926"/>
      <c r="W436" s="2926"/>
      <c r="X436" s="2926"/>
      <c r="Y436" s="2926"/>
      <c r="Z436" s="2926"/>
      <c r="AA436" s="371"/>
    </row>
    <row r="437" spans="1:27" ht="12.75" customHeight="1" x14ac:dyDescent="0.2">
      <c r="A437" s="6418"/>
      <c r="B437" s="251" t="str">
        <f t="shared" si="6"/>
        <v>Libre acceso32</v>
      </c>
      <c r="D437" s="272" t="s">
        <v>414</v>
      </c>
      <c r="E437" s="2931" t="s">
        <v>381</v>
      </c>
      <c r="F437" s="2931">
        <f>F424+10</f>
        <v>32</v>
      </c>
      <c r="G437" s="2934" t="s">
        <v>2087</v>
      </c>
      <c r="H437" s="2934" t="s">
        <v>1234</v>
      </c>
      <c r="I437" s="376" t="s">
        <v>1304</v>
      </c>
      <c r="J437" s="2931">
        <v>6</v>
      </c>
      <c r="K437" s="2931">
        <v>9</v>
      </c>
      <c r="L437" s="2931">
        <v>11</v>
      </c>
      <c r="M437" s="373">
        <v>14</v>
      </c>
      <c r="N437" s="2931">
        <v>60</v>
      </c>
      <c r="O437" s="2931">
        <v>90</v>
      </c>
      <c r="P437" s="2931">
        <v>120</v>
      </c>
      <c r="Q437" s="373">
        <v>150</v>
      </c>
      <c r="R437" s="2931">
        <v>10</v>
      </c>
      <c r="S437" s="2931">
        <v>10</v>
      </c>
      <c r="T437" s="2931">
        <v>15</v>
      </c>
      <c r="U437" s="373">
        <v>15</v>
      </c>
      <c r="V437" s="2926" t="s">
        <v>4866</v>
      </c>
      <c r="W437" s="2926" t="s">
        <v>4867</v>
      </c>
      <c r="X437" s="2926" t="s">
        <v>4868</v>
      </c>
      <c r="Y437" s="2926" t="s">
        <v>4869</v>
      </c>
      <c r="Z437" s="2926" t="s">
        <v>4870</v>
      </c>
      <c r="AA437" s="371" t="s">
        <v>1708</v>
      </c>
    </row>
    <row r="438" spans="1:27" ht="12.75" customHeight="1" x14ac:dyDescent="0.2">
      <c r="A438" s="6418"/>
      <c r="B438" s="251" t="str">
        <f t="shared" si="6"/>
        <v>Libre acceso32</v>
      </c>
      <c r="D438" s="272" t="s">
        <v>415</v>
      </c>
      <c r="E438" s="2931" t="s">
        <v>381</v>
      </c>
      <c r="F438" s="2931">
        <f t="shared" ref="F438:F448" si="9">F425+10</f>
        <v>32</v>
      </c>
      <c r="G438" s="2934" t="s">
        <v>1381</v>
      </c>
      <c r="H438" s="2934" t="s">
        <v>1234</v>
      </c>
      <c r="I438" s="376" t="s">
        <v>1304</v>
      </c>
      <c r="J438" s="2931">
        <v>7</v>
      </c>
      <c r="K438" s="2931">
        <v>10</v>
      </c>
      <c r="L438" s="2931">
        <v>12</v>
      </c>
      <c r="M438" s="373">
        <v>14</v>
      </c>
      <c r="N438" s="2931">
        <v>150</v>
      </c>
      <c r="O438" s="2931">
        <v>200</v>
      </c>
      <c r="P438" s="2931">
        <v>240</v>
      </c>
      <c r="Q438" s="373">
        <v>280</v>
      </c>
      <c r="R438" s="2931"/>
      <c r="S438" s="2931"/>
      <c r="T438" s="2931"/>
      <c r="U438" s="373" t="s">
        <v>3582</v>
      </c>
      <c r="V438" s="2926" t="s">
        <v>4871</v>
      </c>
      <c r="W438" s="2926" t="s">
        <v>4872</v>
      </c>
      <c r="X438" s="2926" t="s">
        <v>4873</v>
      </c>
      <c r="Y438" s="2926" t="s">
        <v>4874</v>
      </c>
      <c r="Z438" s="2926" t="s">
        <v>4875</v>
      </c>
      <c r="AA438" s="371" t="s">
        <v>1705</v>
      </c>
    </row>
    <row r="439" spans="1:27" ht="12.75" customHeight="1" x14ac:dyDescent="0.2">
      <c r="A439" s="6418"/>
      <c r="B439" s="251" t="str">
        <f t="shared" si="6"/>
        <v>Libre acceso32</v>
      </c>
      <c r="D439" s="272" t="s">
        <v>416</v>
      </c>
      <c r="E439" s="2931" t="s">
        <v>381</v>
      </c>
      <c r="F439" s="2931">
        <f t="shared" si="9"/>
        <v>32</v>
      </c>
      <c r="G439" s="2934" t="s">
        <v>2087</v>
      </c>
      <c r="H439" s="2934" t="s">
        <v>1234</v>
      </c>
      <c r="I439" s="376" t="s">
        <v>1304</v>
      </c>
      <c r="J439" s="2931">
        <v>7</v>
      </c>
      <c r="K439" s="2931">
        <v>10</v>
      </c>
      <c r="L439" s="2931">
        <v>12</v>
      </c>
      <c r="M439" s="373">
        <v>15</v>
      </c>
      <c r="N439" s="2931">
        <v>100</v>
      </c>
      <c r="O439" s="2931">
        <v>150</v>
      </c>
      <c r="P439" s="2931">
        <v>200</v>
      </c>
      <c r="Q439" s="373">
        <v>250</v>
      </c>
      <c r="R439" s="2931">
        <v>10</v>
      </c>
      <c r="S439" s="2931">
        <v>15</v>
      </c>
      <c r="T439" s="2931">
        <v>20</v>
      </c>
      <c r="U439" s="373">
        <v>25</v>
      </c>
      <c r="V439" s="2926" t="s">
        <v>4876</v>
      </c>
      <c r="W439" s="2926" t="s">
        <v>4877</v>
      </c>
      <c r="X439" s="2926" t="s">
        <v>4878</v>
      </c>
      <c r="Y439" s="2926" t="s">
        <v>4879</v>
      </c>
      <c r="Z439" s="2926" t="s">
        <v>4880</v>
      </c>
      <c r="AA439" s="371"/>
    </row>
    <row r="440" spans="1:27" ht="12.75" customHeight="1" x14ac:dyDescent="0.2">
      <c r="A440" s="6418"/>
      <c r="B440" s="251" t="str">
        <f t="shared" si="6"/>
        <v>Libre acceso32</v>
      </c>
      <c r="D440" s="272" t="s">
        <v>417</v>
      </c>
      <c r="E440" s="2931" t="s">
        <v>381</v>
      </c>
      <c r="F440" s="2931">
        <f t="shared" si="9"/>
        <v>32</v>
      </c>
      <c r="G440" s="2934" t="s">
        <v>1381</v>
      </c>
      <c r="H440" s="2934" t="s">
        <v>1235</v>
      </c>
      <c r="I440" s="376" t="s">
        <v>1304</v>
      </c>
      <c r="J440" s="2931">
        <v>7</v>
      </c>
      <c r="K440" s="2931">
        <v>10</v>
      </c>
      <c r="L440" s="2931">
        <v>12</v>
      </c>
      <c r="M440" s="373">
        <v>14</v>
      </c>
      <c r="N440" s="2931">
        <v>80</v>
      </c>
      <c r="O440" s="2931">
        <v>120</v>
      </c>
      <c r="P440" s="2931">
        <v>160</v>
      </c>
      <c r="Q440" s="373">
        <v>200</v>
      </c>
      <c r="R440" s="2931">
        <v>10</v>
      </c>
      <c r="S440" s="2931">
        <v>10</v>
      </c>
      <c r="T440" s="2931">
        <v>15</v>
      </c>
      <c r="U440" s="373">
        <v>15</v>
      </c>
      <c r="V440" s="2926" t="s">
        <v>4881</v>
      </c>
      <c r="W440" s="2926" t="s">
        <v>4882</v>
      </c>
      <c r="X440" s="2926" t="s">
        <v>4883</v>
      </c>
      <c r="Y440" s="2926" t="s">
        <v>4884</v>
      </c>
      <c r="Z440" s="2926" t="s">
        <v>4885</v>
      </c>
      <c r="AA440" s="371" t="s">
        <v>1698</v>
      </c>
    </row>
    <row r="441" spans="1:27" ht="12.75" customHeight="1" x14ac:dyDescent="0.2">
      <c r="A441" s="6418"/>
      <c r="B441" s="251" t="str">
        <f t="shared" si="6"/>
        <v>Libre acceso32</v>
      </c>
      <c r="D441" s="272" t="s">
        <v>418</v>
      </c>
      <c r="E441" s="2931" t="s">
        <v>381</v>
      </c>
      <c r="F441" s="2931">
        <f t="shared" si="9"/>
        <v>32</v>
      </c>
      <c r="G441" s="2934" t="s">
        <v>1381</v>
      </c>
      <c r="H441" s="2934" t="s">
        <v>1234</v>
      </c>
      <c r="I441" s="376" t="s">
        <v>1304</v>
      </c>
      <c r="J441" s="2931">
        <v>7</v>
      </c>
      <c r="K441" s="2931">
        <v>10</v>
      </c>
      <c r="L441" s="2931">
        <v>12</v>
      </c>
      <c r="M441" s="373">
        <v>14</v>
      </c>
      <c r="N441" s="2931">
        <v>80</v>
      </c>
      <c r="O441" s="2931">
        <v>100</v>
      </c>
      <c r="P441" s="2931">
        <v>120</v>
      </c>
      <c r="Q441" s="373">
        <v>140</v>
      </c>
      <c r="R441" s="2931"/>
      <c r="S441" s="2931"/>
      <c r="T441" s="2931"/>
      <c r="U441" s="373" t="s">
        <v>3582</v>
      </c>
      <c r="V441" s="2926" t="s">
        <v>4886</v>
      </c>
      <c r="W441" s="2926" t="s">
        <v>4887</v>
      </c>
      <c r="X441" s="2926" t="s">
        <v>4888</v>
      </c>
      <c r="Y441" s="2926" t="s">
        <v>4889</v>
      </c>
      <c r="Z441" s="2926" t="s">
        <v>4890</v>
      </c>
      <c r="AA441" s="371" t="s">
        <v>1705</v>
      </c>
    </row>
    <row r="442" spans="1:27" ht="12.75" customHeight="1" x14ac:dyDescent="0.2">
      <c r="A442" s="6418"/>
      <c r="B442" s="251" t="str">
        <f t="shared" si="6"/>
        <v>Libre acceso32</v>
      </c>
      <c r="D442" s="272" t="s">
        <v>419</v>
      </c>
      <c r="E442" s="2931" t="s">
        <v>381</v>
      </c>
      <c r="F442" s="2931">
        <f t="shared" si="9"/>
        <v>32</v>
      </c>
      <c r="G442" s="2934" t="s">
        <v>1381</v>
      </c>
      <c r="H442" s="2934" t="s">
        <v>1234</v>
      </c>
      <c r="I442" s="376" t="s">
        <v>1304</v>
      </c>
      <c r="J442" s="2931">
        <v>8</v>
      </c>
      <c r="K442" s="2931">
        <v>11</v>
      </c>
      <c r="L442" s="2931">
        <v>13</v>
      </c>
      <c r="M442" s="373">
        <v>16</v>
      </c>
      <c r="N442" s="2931">
        <v>80</v>
      </c>
      <c r="O442" s="2931">
        <v>140</v>
      </c>
      <c r="P442" s="2931">
        <v>200</v>
      </c>
      <c r="Q442" s="373">
        <v>300</v>
      </c>
      <c r="R442" s="2931"/>
      <c r="S442" s="2931"/>
      <c r="T442" s="2931"/>
      <c r="U442" s="373" t="s">
        <v>3582</v>
      </c>
      <c r="V442" s="2926" t="s">
        <v>4891</v>
      </c>
      <c r="W442" s="2926" t="s">
        <v>4892</v>
      </c>
      <c r="X442" s="2926" t="s">
        <v>4893</v>
      </c>
      <c r="Y442" s="2926" t="s">
        <v>4894</v>
      </c>
      <c r="Z442" s="2926" t="s">
        <v>4895</v>
      </c>
      <c r="AA442" s="371"/>
    </row>
    <row r="443" spans="1:27" ht="12.75" customHeight="1" x14ac:dyDescent="0.2">
      <c r="A443" s="6418"/>
      <c r="B443" s="251" t="str">
        <f t="shared" si="6"/>
        <v>Libre acceso32</v>
      </c>
      <c r="D443" s="272" t="s">
        <v>420</v>
      </c>
      <c r="E443" s="2931" t="s">
        <v>381</v>
      </c>
      <c r="F443" s="2931">
        <f t="shared" si="9"/>
        <v>32</v>
      </c>
      <c r="G443" s="2934" t="s">
        <v>1381</v>
      </c>
      <c r="H443" s="2934" t="s">
        <v>1232</v>
      </c>
      <c r="I443" s="376" t="s">
        <v>1304</v>
      </c>
      <c r="J443" s="2931">
        <v>6</v>
      </c>
      <c r="K443" s="2931">
        <v>9</v>
      </c>
      <c r="L443" s="2931">
        <v>11</v>
      </c>
      <c r="M443" s="373">
        <v>14</v>
      </c>
      <c r="N443" s="2931">
        <v>60</v>
      </c>
      <c r="O443" s="2931">
        <v>90</v>
      </c>
      <c r="P443" s="2931">
        <v>120</v>
      </c>
      <c r="Q443" s="373">
        <v>150</v>
      </c>
      <c r="R443" s="2931"/>
      <c r="S443" s="2931"/>
      <c r="T443" s="2931"/>
      <c r="U443" s="373"/>
      <c r="V443" s="2926" t="s">
        <v>4896</v>
      </c>
      <c r="W443" s="2926" t="s">
        <v>4897</v>
      </c>
      <c r="X443" s="2926" t="s">
        <v>4638</v>
      </c>
      <c r="Y443" s="2926" t="s">
        <v>3745</v>
      </c>
      <c r="Z443" s="2926" t="s">
        <v>4898</v>
      </c>
      <c r="AA443" s="371" t="s">
        <v>1705</v>
      </c>
    </row>
    <row r="444" spans="1:27" ht="12.75" customHeight="1" x14ac:dyDescent="0.2">
      <c r="A444" s="6418"/>
      <c r="B444" s="251" t="str">
        <f t="shared" si="6"/>
        <v>Libre acceso32</v>
      </c>
      <c r="D444" s="272" t="s">
        <v>421</v>
      </c>
      <c r="E444" s="2931" t="s">
        <v>381</v>
      </c>
      <c r="F444" s="2931">
        <f t="shared" si="9"/>
        <v>32</v>
      </c>
      <c r="G444" s="2935" t="s">
        <v>2087</v>
      </c>
      <c r="H444" s="2934" t="s">
        <v>1234</v>
      </c>
      <c r="I444" s="376" t="s">
        <v>1304</v>
      </c>
      <c r="J444" s="2931">
        <v>7</v>
      </c>
      <c r="K444" s="2931">
        <v>10</v>
      </c>
      <c r="L444" s="2931">
        <v>12</v>
      </c>
      <c r="M444" s="373">
        <v>14</v>
      </c>
      <c r="N444" s="2931">
        <v>80</v>
      </c>
      <c r="O444" s="2931">
        <v>160</v>
      </c>
      <c r="P444" s="2931">
        <v>200</v>
      </c>
      <c r="Q444" s="373">
        <v>240</v>
      </c>
      <c r="R444" s="2931">
        <v>5</v>
      </c>
      <c r="S444" s="2931">
        <v>10</v>
      </c>
      <c r="T444" s="2931">
        <v>10</v>
      </c>
      <c r="U444" s="373">
        <v>15</v>
      </c>
      <c r="V444" s="2926" t="s">
        <v>3539</v>
      </c>
      <c r="W444" s="2926" t="s">
        <v>3541</v>
      </c>
      <c r="X444" s="2926" t="s">
        <v>3652</v>
      </c>
      <c r="Y444" s="2926" t="s">
        <v>3403</v>
      </c>
      <c r="Z444" s="2926" t="s">
        <v>4899</v>
      </c>
      <c r="AA444" s="371"/>
    </row>
    <row r="445" spans="1:27" ht="12.75" customHeight="1" x14ac:dyDescent="0.2">
      <c r="A445" s="6418"/>
      <c r="B445" s="251" t="str">
        <f t="shared" si="6"/>
        <v>Libre acceso32</v>
      </c>
      <c r="D445" s="272" t="s">
        <v>422</v>
      </c>
      <c r="E445" s="2931" t="s">
        <v>381</v>
      </c>
      <c r="F445" s="2931">
        <f t="shared" si="9"/>
        <v>32</v>
      </c>
      <c r="G445" s="2934" t="s">
        <v>2087</v>
      </c>
      <c r="H445" s="2934" t="s">
        <v>4019</v>
      </c>
      <c r="I445" s="376" t="s">
        <v>1304</v>
      </c>
      <c r="J445" s="2931">
        <v>6</v>
      </c>
      <c r="K445" s="2931">
        <v>9</v>
      </c>
      <c r="L445" s="2931">
        <v>11</v>
      </c>
      <c r="M445" s="373">
        <v>14</v>
      </c>
      <c r="N445" s="2931">
        <v>50</v>
      </c>
      <c r="O445" s="2931">
        <v>100</v>
      </c>
      <c r="P445" s="2931">
        <v>150</v>
      </c>
      <c r="Q445" s="373">
        <v>200</v>
      </c>
      <c r="R445" s="2931">
        <v>5</v>
      </c>
      <c r="S445" s="2931">
        <v>10</v>
      </c>
      <c r="T445" s="2931">
        <v>15</v>
      </c>
      <c r="U445" s="373">
        <v>15</v>
      </c>
      <c r="V445" s="2926" t="s">
        <v>3589</v>
      </c>
      <c r="W445" s="2926" t="s">
        <v>3486</v>
      </c>
      <c r="X445" s="2926" t="s">
        <v>3487</v>
      </c>
      <c r="Y445" s="2926" t="s">
        <v>3488</v>
      </c>
      <c r="Z445" s="2926" t="s">
        <v>4900</v>
      </c>
      <c r="AA445" s="371" t="s">
        <v>10417</v>
      </c>
    </row>
    <row r="446" spans="1:27" ht="12.75" customHeight="1" x14ac:dyDescent="0.2">
      <c r="A446" s="6418"/>
      <c r="B446" s="251" t="str">
        <f t="shared" si="6"/>
        <v>Libre acceso32</v>
      </c>
      <c r="D446" s="272" t="s">
        <v>201</v>
      </c>
      <c r="E446" s="2931" t="s">
        <v>381</v>
      </c>
      <c r="F446" s="2931">
        <f t="shared" si="9"/>
        <v>32</v>
      </c>
      <c r="G446" s="2934" t="s">
        <v>1381</v>
      </c>
      <c r="H446" s="2934" t="s">
        <v>1236</v>
      </c>
      <c r="I446" s="376" t="s">
        <v>1304</v>
      </c>
      <c r="J446" s="2931">
        <v>7</v>
      </c>
      <c r="K446" s="2931">
        <v>10</v>
      </c>
      <c r="L446" s="2931">
        <v>13</v>
      </c>
      <c r="M446" s="373">
        <v>16</v>
      </c>
      <c r="N446" s="2931">
        <v>60</v>
      </c>
      <c r="O446" s="2931">
        <v>90</v>
      </c>
      <c r="P446" s="2931">
        <v>120</v>
      </c>
      <c r="Q446" s="373">
        <v>150</v>
      </c>
      <c r="R446" s="2931">
        <v>5</v>
      </c>
      <c r="S446" s="2931">
        <v>5</v>
      </c>
      <c r="T446" s="2931">
        <v>10</v>
      </c>
      <c r="U446" s="373">
        <v>10</v>
      </c>
      <c r="V446" s="2926" t="s">
        <v>4901</v>
      </c>
      <c r="W446" s="2926" t="s">
        <v>4902</v>
      </c>
      <c r="X446" s="2926" t="s">
        <v>4903</v>
      </c>
      <c r="Y446" s="2926" t="s">
        <v>4904</v>
      </c>
      <c r="Z446" s="2926" t="s">
        <v>4905</v>
      </c>
      <c r="AA446" s="371"/>
    </row>
    <row r="447" spans="1:27" ht="12.75" customHeight="1" x14ac:dyDescent="0.2">
      <c r="A447" s="6418"/>
      <c r="B447" s="251" t="str">
        <f t="shared" si="6"/>
        <v>Libre acceso32</v>
      </c>
      <c r="D447" s="272" t="s">
        <v>423</v>
      </c>
      <c r="E447" s="2931" t="s">
        <v>381</v>
      </c>
      <c r="F447" s="2931">
        <f t="shared" si="9"/>
        <v>32</v>
      </c>
      <c r="G447" s="2934" t="s">
        <v>1381</v>
      </c>
      <c r="H447" s="2934" t="s">
        <v>4019</v>
      </c>
      <c r="I447" s="376" t="s">
        <v>1304</v>
      </c>
      <c r="J447" s="2931">
        <v>7</v>
      </c>
      <c r="K447" s="2931">
        <v>10</v>
      </c>
      <c r="L447" s="2931">
        <v>12</v>
      </c>
      <c r="M447" s="373">
        <v>14</v>
      </c>
      <c r="N447" s="2931">
        <v>80</v>
      </c>
      <c r="O447" s="2931">
        <v>100</v>
      </c>
      <c r="P447" s="2931">
        <v>140</v>
      </c>
      <c r="Q447" s="373">
        <v>180</v>
      </c>
      <c r="R447" s="2931">
        <v>10</v>
      </c>
      <c r="S447" s="2931">
        <v>10</v>
      </c>
      <c r="T447" s="2931">
        <v>15</v>
      </c>
      <c r="U447" s="373">
        <v>20</v>
      </c>
      <c r="V447" s="2926" t="s">
        <v>4906</v>
      </c>
      <c r="W447" s="2926" t="s">
        <v>4907</v>
      </c>
      <c r="X447" s="2926" t="s">
        <v>4908</v>
      </c>
      <c r="Y447" s="2926" t="s">
        <v>4909</v>
      </c>
      <c r="Z447" s="2926" t="s">
        <v>4910</v>
      </c>
      <c r="AA447" s="371" t="s">
        <v>1706</v>
      </c>
    </row>
    <row r="448" spans="1:27" ht="12.75" customHeight="1" x14ac:dyDescent="0.2">
      <c r="A448" s="6418"/>
      <c r="B448" s="251" t="str">
        <f t="shared" si="6"/>
        <v>Libre acceso32</v>
      </c>
      <c r="D448" s="272" t="s">
        <v>424</v>
      </c>
      <c r="E448" s="2931" t="s">
        <v>381</v>
      </c>
      <c r="F448" s="2931">
        <f t="shared" si="9"/>
        <v>32</v>
      </c>
      <c r="G448" s="2934" t="s">
        <v>2087</v>
      </c>
      <c r="H448" s="2934" t="s">
        <v>4911</v>
      </c>
      <c r="I448" s="376" t="s">
        <v>1304</v>
      </c>
      <c r="J448" s="2931">
        <v>7</v>
      </c>
      <c r="K448" s="2931">
        <v>10</v>
      </c>
      <c r="L448" s="2931">
        <v>12</v>
      </c>
      <c r="M448" s="373">
        <v>14</v>
      </c>
      <c r="N448" s="2931">
        <v>80</v>
      </c>
      <c r="O448" s="2931">
        <v>100</v>
      </c>
      <c r="P448" s="2931">
        <v>120</v>
      </c>
      <c r="Q448" s="373">
        <v>140</v>
      </c>
      <c r="R448" s="2931">
        <v>10</v>
      </c>
      <c r="S448" s="2931">
        <v>10</v>
      </c>
      <c r="T448" s="2931">
        <v>15</v>
      </c>
      <c r="U448" s="373">
        <v>15</v>
      </c>
      <c r="V448" s="2926" t="s">
        <v>3627</v>
      </c>
      <c r="W448" s="2926" t="s">
        <v>4912</v>
      </c>
      <c r="X448" s="2926" t="s">
        <v>3589</v>
      </c>
      <c r="Y448" s="2926" t="s">
        <v>4690</v>
      </c>
      <c r="Z448" s="2926" t="s">
        <v>4913</v>
      </c>
      <c r="AA448" s="371" t="s">
        <v>1706</v>
      </c>
    </row>
    <row r="449" spans="1:27" ht="12.75" customHeight="1" x14ac:dyDescent="0.2">
      <c r="A449" s="6418"/>
      <c r="B449" s="251" t="str">
        <f t="shared" si="6"/>
        <v/>
      </c>
      <c r="D449" s="272" t="s">
        <v>425</v>
      </c>
      <c r="E449" s="2931"/>
      <c r="F449" s="2931"/>
      <c r="G449" s="2934"/>
      <c r="H449" s="2934"/>
      <c r="I449" s="376"/>
      <c r="J449" s="2931"/>
      <c r="K449" s="2931"/>
      <c r="L449" s="2931"/>
      <c r="M449" s="373"/>
      <c r="N449" s="2931"/>
      <c r="O449" s="2931"/>
      <c r="P449" s="2931"/>
      <c r="Q449" s="373"/>
      <c r="R449" s="2931"/>
      <c r="S449" s="2931"/>
      <c r="T449" s="2931"/>
      <c r="U449" s="373"/>
      <c r="V449" s="2926"/>
      <c r="W449" s="2926"/>
      <c r="X449" s="2926"/>
      <c r="Y449" s="2926"/>
      <c r="Z449" s="2926"/>
      <c r="AA449" s="371"/>
    </row>
    <row r="450" spans="1:27" ht="12.75" customHeight="1" x14ac:dyDescent="0.2">
      <c r="A450" s="6418"/>
      <c r="B450" s="251" t="str">
        <f t="shared" si="6"/>
        <v>Libre acceso42</v>
      </c>
      <c r="D450" s="272" t="s">
        <v>426</v>
      </c>
      <c r="E450" s="2931" t="s">
        <v>381</v>
      </c>
      <c r="F450" s="2931">
        <f>F437+10</f>
        <v>42</v>
      </c>
      <c r="G450" s="2934" t="s">
        <v>1381</v>
      </c>
      <c r="H450" s="2934" t="s">
        <v>1234</v>
      </c>
      <c r="I450" s="376" t="s">
        <v>1304</v>
      </c>
      <c r="J450" s="2931">
        <v>6</v>
      </c>
      <c r="K450" s="2931">
        <v>9</v>
      </c>
      <c r="L450" s="2931">
        <v>12</v>
      </c>
      <c r="M450" s="373">
        <v>15</v>
      </c>
      <c r="N450" s="2931">
        <v>60</v>
      </c>
      <c r="O450" s="2931">
        <v>90</v>
      </c>
      <c r="P450" s="2931">
        <v>120</v>
      </c>
      <c r="Q450" s="373">
        <v>150</v>
      </c>
      <c r="R450" s="2931"/>
      <c r="S450" s="2931"/>
      <c r="T450" s="2931"/>
      <c r="U450" s="373"/>
      <c r="V450" s="2926" t="s">
        <v>4877</v>
      </c>
      <c r="W450" s="2926" t="s">
        <v>4914</v>
      </c>
      <c r="X450" s="2926" t="s">
        <v>4915</v>
      </c>
      <c r="Y450" s="2926" t="s">
        <v>4916</v>
      </c>
      <c r="Z450" s="2926" t="s">
        <v>4917</v>
      </c>
      <c r="AA450" s="371" t="s">
        <v>1703</v>
      </c>
    </row>
    <row r="451" spans="1:27" ht="12.75" customHeight="1" x14ac:dyDescent="0.2">
      <c r="A451" s="6418"/>
      <c r="B451" s="251" t="str">
        <f t="shared" si="6"/>
        <v>Libre acceso42</v>
      </c>
      <c r="D451" s="272" t="s">
        <v>427</v>
      </c>
      <c r="E451" s="2931" t="s">
        <v>381</v>
      </c>
      <c r="F451" s="2931">
        <f t="shared" ref="F451:F461" si="10">F438+10</f>
        <v>42</v>
      </c>
      <c r="G451" s="2934" t="s">
        <v>1381</v>
      </c>
      <c r="H451" s="2934" t="s">
        <v>1235</v>
      </c>
      <c r="I451" s="376" t="s">
        <v>1304</v>
      </c>
      <c r="J451" s="2931">
        <v>8</v>
      </c>
      <c r="K451" s="2931">
        <v>10</v>
      </c>
      <c r="L451" s="2931">
        <v>12</v>
      </c>
      <c r="M451" s="373">
        <v>15</v>
      </c>
      <c r="N451" s="2931">
        <v>120</v>
      </c>
      <c r="O451" s="2931">
        <v>180</v>
      </c>
      <c r="P451" s="2931">
        <v>240</v>
      </c>
      <c r="Q451" s="373">
        <v>300</v>
      </c>
      <c r="R451" s="2931"/>
      <c r="S451" s="2931"/>
      <c r="T451" s="2931"/>
      <c r="U451" s="373"/>
      <c r="V451" s="2926" t="s">
        <v>9688</v>
      </c>
      <c r="W451" s="2926" t="s">
        <v>9678</v>
      </c>
      <c r="X451" s="2926" t="s">
        <v>9679</v>
      </c>
      <c r="Y451" s="2926" t="s">
        <v>9680</v>
      </c>
      <c r="Z451" s="2926" t="s">
        <v>4918</v>
      </c>
      <c r="AA451" s="371"/>
    </row>
    <row r="452" spans="1:27" ht="12.75" customHeight="1" x14ac:dyDescent="0.2">
      <c r="A452" s="6418"/>
      <c r="B452" s="251" t="str">
        <f t="shared" si="6"/>
        <v>Libre acceso42</v>
      </c>
      <c r="D452" s="272" t="s">
        <v>428</v>
      </c>
      <c r="E452" s="2931" t="s">
        <v>381</v>
      </c>
      <c r="F452" s="2931">
        <f t="shared" si="10"/>
        <v>42</v>
      </c>
      <c r="G452" s="2934" t="s">
        <v>2087</v>
      </c>
      <c r="H452" s="2934" t="s">
        <v>4019</v>
      </c>
      <c r="I452" s="376" t="s">
        <v>1304</v>
      </c>
      <c r="J452" s="2931">
        <v>8</v>
      </c>
      <c r="K452" s="2931">
        <v>10</v>
      </c>
      <c r="L452" s="2931">
        <v>13</v>
      </c>
      <c r="M452" s="373">
        <v>16</v>
      </c>
      <c r="N452" s="2931">
        <v>200</v>
      </c>
      <c r="O452" s="2931">
        <v>350</v>
      </c>
      <c r="P452" s="2931">
        <v>500</v>
      </c>
      <c r="Q452" s="373">
        <v>700</v>
      </c>
      <c r="R452" s="2931">
        <v>10</v>
      </c>
      <c r="S452" s="2931">
        <v>20</v>
      </c>
      <c r="T452" s="2931">
        <v>25</v>
      </c>
      <c r="U452" s="373">
        <v>35</v>
      </c>
      <c r="V452" s="2926" t="s">
        <v>4919</v>
      </c>
      <c r="W452" s="2926" t="s">
        <v>4920</v>
      </c>
      <c r="X452" s="2926" t="s">
        <v>4921</v>
      </c>
      <c r="Y452" s="2926" t="s">
        <v>4922</v>
      </c>
      <c r="Z452" s="2926" t="s">
        <v>4923</v>
      </c>
      <c r="AA452" s="371"/>
    </row>
    <row r="453" spans="1:27" ht="12.75" customHeight="1" x14ac:dyDescent="0.2">
      <c r="A453" s="6418"/>
      <c r="B453" s="251" t="str">
        <f t="shared" si="6"/>
        <v>Libre acceso42</v>
      </c>
      <c r="D453" s="272" t="s">
        <v>429</v>
      </c>
      <c r="E453" s="2931" t="s">
        <v>381</v>
      </c>
      <c r="F453" s="2931">
        <f t="shared" si="10"/>
        <v>42</v>
      </c>
      <c r="G453" s="2934" t="s">
        <v>1381</v>
      </c>
      <c r="H453" s="2934" t="s">
        <v>1235</v>
      </c>
      <c r="I453" s="376" t="s">
        <v>1304</v>
      </c>
      <c r="J453" s="2931">
        <v>6</v>
      </c>
      <c r="K453" s="2931">
        <v>9</v>
      </c>
      <c r="L453" s="2931">
        <v>12</v>
      </c>
      <c r="M453" s="373">
        <v>15</v>
      </c>
      <c r="N453" s="2931">
        <v>60</v>
      </c>
      <c r="O453" s="2931">
        <v>90</v>
      </c>
      <c r="P453" s="2931">
        <v>120</v>
      </c>
      <c r="Q453" s="373">
        <v>150</v>
      </c>
      <c r="R453" s="2931">
        <v>5</v>
      </c>
      <c r="S453" s="2931">
        <v>5</v>
      </c>
      <c r="T453" s="2931">
        <v>10</v>
      </c>
      <c r="U453" s="373">
        <v>10</v>
      </c>
      <c r="V453" s="2926" t="s">
        <v>4924</v>
      </c>
      <c r="W453" s="2926" t="s">
        <v>4925</v>
      </c>
      <c r="X453" s="2926" t="s">
        <v>4926</v>
      </c>
      <c r="Y453" s="2926" t="s">
        <v>4927</v>
      </c>
      <c r="Z453" s="2926" t="s">
        <v>4928</v>
      </c>
      <c r="AA453" s="371" t="s">
        <v>1699</v>
      </c>
    </row>
    <row r="454" spans="1:27" ht="12.75" customHeight="1" x14ac:dyDescent="0.2">
      <c r="A454" s="6418"/>
      <c r="B454" s="251" t="str">
        <f t="shared" si="6"/>
        <v>Libre acceso42</v>
      </c>
      <c r="D454" s="272" t="s">
        <v>430</v>
      </c>
      <c r="E454" s="2931" t="s">
        <v>381</v>
      </c>
      <c r="F454" s="2931">
        <f t="shared" si="10"/>
        <v>42</v>
      </c>
      <c r="G454" s="2934" t="s">
        <v>1381</v>
      </c>
      <c r="H454" s="2934" t="s">
        <v>1234</v>
      </c>
      <c r="I454" s="376" t="s">
        <v>1304</v>
      </c>
      <c r="J454" s="2931">
        <v>8</v>
      </c>
      <c r="K454" s="2931">
        <v>10</v>
      </c>
      <c r="L454" s="2931">
        <v>12</v>
      </c>
      <c r="M454" s="373">
        <v>15</v>
      </c>
      <c r="N454" s="2931">
        <v>100</v>
      </c>
      <c r="O454" s="2931">
        <v>140</v>
      </c>
      <c r="P454" s="2931">
        <v>180</v>
      </c>
      <c r="Q454" s="373">
        <v>240</v>
      </c>
      <c r="R454" s="2931"/>
      <c r="S454" s="2931"/>
      <c r="T454" s="2931"/>
      <c r="U454" s="373" t="s">
        <v>3582</v>
      </c>
      <c r="V454" s="2926" t="s">
        <v>4929</v>
      </c>
      <c r="W454" s="2926" t="s">
        <v>4930</v>
      </c>
      <c r="X454" s="2926" t="s">
        <v>4931</v>
      </c>
      <c r="Y454" s="2926" t="s">
        <v>4932</v>
      </c>
      <c r="Z454" s="2926" t="s">
        <v>4933</v>
      </c>
      <c r="AA454" s="371" t="s">
        <v>1705</v>
      </c>
    </row>
    <row r="455" spans="1:27" ht="12.75" customHeight="1" x14ac:dyDescent="0.2">
      <c r="A455" s="6418"/>
      <c r="B455" s="251" t="str">
        <f t="shared" si="6"/>
        <v>Libre acceso42</v>
      </c>
      <c r="D455" s="272" t="s">
        <v>431</v>
      </c>
      <c r="E455" s="2931" t="s">
        <v>381</v>
      </c>
      <c r="F455" s="2931">
        <f t="shared" si="10"/>
        <v>42</v>
      </c>
      <c r="G455" s="2934" t="s">
        <v>1381</v>
      </c>
      <c r="H455" s="2934" t="s">
        <v>1233</v>
      </c>
      <c r="I455" s="376" t="s">
        <v>1304</v>
      </c>
      <c r="J455" s="2931">
        <v>8</v>
      </c>
      <c r="K455" s="2931">
        <v>10</v>
      </c>
      <c r="L455" s="2931">
        <v>12</v>
      </c>
      <c r="M455" s="373">
        <v>15</v>
      </c>
      <c r="N455" s="2931">
        <v>60</v>
      </c>
      <c r="O455" s="2931">
        <v>100</v>
      </c>
      <c r="P455" s="2931">
        <v>140</v>
      </c>
      <c r="Q455" s="373">
        <v>200</v>
      </c>
      <c r="R455" s="2931"/>
      <c r="S455" s="2931"/>
      <c r="T455" s="2931"/>
      <c r="U455" s="373"/>
      <c r="V455" s="2926" t="s">
        <v>4934</v>
      </c>
      <c r="W455" s="2926" t="s">
        <v>4935</v>
      </c>
      <c r="X455" s="2926" t="s">
        <v>4936</v>
      </c>
      <c r="Y455" s="2926" t="s">
        <v>4937</v>
      </c>
      <c r="Z455" s="2926" t="s">
        <v>4938</v>
      </c>
      <c r="AA455" s="371" t="s">
        <v>10418</v>
      </c>
    </row>
    <row r="456" spans="1:27" ht="12.75" customHeight="1" x14ac:dyDescent="0.2">
      <c r="A456" s="6418"/>
      <c r="B456" s="251" t="str">
        <f t="shared" ref="B456:B519" si="11">E456&amp;F456</f>
        <v>Libre acceso42</v>
      </c>
      <c r="D456" s="272" t="s">
        <v>432</v>
      </c>
      <c r="E456" s="2931" t="s">
        <v>381</v>
      </c>
      <c r="F456" s="2931">
        <f t="shared" si="10"/>
        <v>42</v>
      </c>
      <c r="G456" s="2934" t="s">
        <v>1381</v>
      </c>
      <c r="H456" s="2934" t="s">
        <v>1235</v>
      </c>
      <c r="I456" s="376" t="s">
        <v>1304</v>
      </c>
      <c r="J456" s="2931">
        <v>8</v>
      </c>
      <c r="K456" s="2931">
        <v>10</v>
      </c>
      <c r="L456" s="2931">
        <v>12</v>
      </c>
      <c r="M456" s="373">
        <v>14</v>
      </c>
      <c r="N456" s="2931">
        <v>150</v>
      </c>
      <c r="O456" s="2931">
        <v>200</v>
      </c>
      <c r="P456" s="2931">
        <v>240</v>
      </c>
      <c r="Q456" s="373">
        <v>280</v>
      </c>
      <c r="R456" s="2931">
        <v>10</v>
      </c>
      <c r="S456" s="2931">
        <v>10</v>
      </c>
      <c r="T456" s="2931">
        <v>15</v>
      </c>
      <c r="U456" s="373">
        <v>15</v>
      </c>
      <c r="V456" s="2926" t="s">
        <v>4939</v>
      </c>
      <c r="W456" s="2926" t="s">
        <v>4940</v>
      </c>
      <c r="X456" s="2926" t="s">
        <v>4941</v>
      </c>
      <c r="Y456" s="2926" t="s">
        <v>4942</v>
      </c>
      <c r="Z456" s="2926" t="s">
        <v>4943</v>
      </c>
      <c r="AA456" s="371" t="s">
        <v>1705</v>
      </c>
    </row>
    <row r="457" spans="1:27" ht="12.75" customHeight="1" x14ac:dyDescent="0.2">
      <c r="A457" s="6418"/>
      <c r="B457" s="251" t="str">
        <f t="shared" si="11"/>
        <v>Libre acceso42</v>
      </c>
      <c r="D457" s="272" t="s">
        <v>433</v>
      </c>
      <c r="E457" s="2931" t="s">
        <v>381</v>
      </c>
      <c r="F457" s="2931">
        <f t="shared" si="10"/>
        <v>42</v>
      </c>
      <c r="G457" s="2934" t="s">
        <v>1381</v>
      </c>
      <c r="H457" s="2934" t="s">
        <v>1233</v>
      </c>
      <c r="I457" s="376" t="s">
        <v>1304</v>
      </c>
      <c r="J457" s="2931">
        <v>8</v>
      </c>
      <c r="K457" s="2931">
        <v>10</v>
      </c>
      <c r="L457" s="2931">
        <v>12</v>
      </c>
      <c r="M457" s="373">
        <v>15</v>
      </c>
      <c r="N457" s="2931">
        <v>100</v>
      </c>
      <c r="O457" s="2931">
        <v>160</v>
      </c>
      <c r="P457" s="2931">
        <v>200</v>
      </c>
      <c r="Q457" s="373">
        <v>240</v>
      </c>
      <c r="R457" s="2931">
        <v>10</v>
      </c>
      <c r="S457" s="2931">
        <v>20</v>
      </c>
      <c r="T457" s="2931">
        <v>20</v>
      </c>
      <c r="U457" s="373">
        <v>25</v>
      </c>
      <c r="V457" s="2926" t="s">
        <v>4944</v>
      </c>
      <c r="W457" s="2926" t="s">
        <v>3603</v>
      </c>
      <c r="X457" s="2926" t="s">
        <v>4581</v>
      </c>
      <c r="Y457" s="2926" t="s">
        <v>4582</v>
      </c>
      <c r="Z457" s="2926" t="s">
        <v>4945</v>
      </c>
      <c r="AA457" s="371" t="s">
        <v>1699</v>
      </c>
    </row>
    <row r="458" spans="1:27" ht="12.75" customHeight="1" x14ac:dyDescent="0.2">
      <c r="A458" s="6418"/>
      <c r="B458" s="251" t="str">
        <f t="shared" si="11"/>
        <v>Libre acceso42</v>
      </c>
      <c r="D458" s="272" t="s">
        <v>434</v>
      </c>
      <c r="E458" s="2931" t="s">
        <v>381</v>
      </c>
      <c r="F458" s="2931">
        <f t="shared" si="10"/>
        <v>42</v>
      </c>
      <c r="G458" s="2934" t="s">
        <v>1381</v>
      </c>
      <c r="H458" s="2934" t="s">
        <v>1233</v>
      </c>
      <c r="I458" s="376" t="s">
        <v>1304</v>
      </c>
      <c r="J458" s="2931">
        <v>8</v>
      </c>
      <c r="K458" s="2931">
        <v>10</v>
      </c>
      <c r="L458" s="2931">
        <v>12</v>
      </c>
      <c r="M458" s="373">
        <v>15</v>
      </c>
      <c r="N458" s="2931">
        <v>60</v>
      </c>
      <c r="O458" s="2931">
        <v>90</v>
      </c>
      <c r="P458" s="2931">
        <v>120</v>
      </c>
      <c r="Q458" s="373">
        <v>150</v>
      </c>
      <c r="R458" s="2931">
        <v>10</v>
      </c>
      <c r="S458" s="2931">
        <v>10</v>
      </c>
      <c r="T458" s="2931">
        <v>15</v>
      </c>
      <c r="U458" s="373">
        <v>15</v>
      </c>
      <c r="V458" s="2926" t="s">
        <v>4946</v>
      </c>
      <c r="W458" s="2926" t="s">
        <v>4947</v>
      </c>
      <c r="X458" s="2926" t="s">
        <v>4948</v>
      </c>
      <c r="Y458" s="2926" t="s">
        <v>4949</v>
      </c>
      <c r="Z458" s="2926" t="s">
        <v>4950</v>
      </c>
      <c r="AA458" s="371" t="s">
        <v>1602</v>
      </c>
    </row>
    <row r="459" spans="1:27" ht="12.75" customHeight="1" x14ac:dyDescent="0.2">
      <c r="A459" s="6418"/>
      <c r="B459" s="251" t="str">
        <f t="shared" si="11"/>
        <v>Libre acceso42</v>
      </c>
      <c r="D459" s="272" t="s">
        <v>435</v>
      </c>
      <c r="E459" s="2931" t="s">
        <v>381</v>
      </c>
      <c r="F459" s="2931">
        <f t="shared" si="10"/>
        <v>42</v>
      </c>
      <c r="G459" s="2934" t="s">
        <v>2087</v>
      </c>
      <c r="H459" s="2934" t="s">
        <v>1233</v>
      </c>
      <c r="I459" s="376" t="s">
        <v>1304</v>
      </c>
      <c r="J459" s="2931">
        <v>8</v>
      </c>
      <c r="K459" s="2931">
        <v>10</v>
      </c>
      <c r="L459" s="2931">
        <v>12</v>
      </c>
      <c r="M459" s="373">
        <v>14</v>
      </c>
      <c r="N459" s="2931">
        <v>80</v>
      </c>
      <c r="O459" s="2931">
        <v>120</v>
      </c>
      <c r="P459" s="2931">
        <v>180</v>
      </c>
      <c r="Q459" s="373">
        <v>220</v>
      </c>
      <c r="R459" s="2931">
        <v>10</v>
      </c>
      <c r="S459" s="2931">
        <v>15</v>
      </c>
      <c r="T459" s="2931">
        <v>20</v>
      </c>
      <c r="U459" s="373">
        <v>25</v>
      </c>
      <c r="V459" s="2926" t="s">
        <v>3603</v>
      </c>
      <c r="W459" s="2926" t="s">
        <v>4581</v>
      </c>
      <c r="X459" s="2926" t="s">
        <v>3604</v>
      </c>
      <c r="Y459" s="2926" t="s">
        <v>4582</v>
      </c>
      <c r="Z459" s="2926" t="s">
        <v>4951</v>
      </c>
      <c r="AA459" s="371" t="s">
        <v>1699</v>
      </c>
    </row>
    <row r="460" spans="1:27" ht="12.75" customHeight="1" x14ac:dyDescent="0.2">
      <c r="A460" s="6418"/>
      <c r="B460" s="251" t="str">
        <f t="shared" si="11"/>
        <v>Libre acceso42</v>
      </c>
      <c r="D460" s="272" t="s">
        <v>436</v>
      </c>
      <c r="E460" s="2931" t="s">
        <v>381</v>
      </c>
      <c r="F460" s="2931">
        <f t="shared" si="10"/>
        <v>42</v>
      </c>
      <c r="G460" s="2934" t="s">
        <v>1381</v>
      </c>
      <c r="H460" s="2934" t="s">
        <v>1234</v>
      </c>
      <c r="I460" s="376" t="s">
        <v>1304</v>
      </c>
      <c r="J460" s="2931">
        <v>8</v>
      </c>
      <c r="K460" s="2931">
        <v>10</v>
      </c>
      <c r="L460" s="2931">
        <v>12</v>
      </c>
      <c r="M460" s="373">
        <v>16</v>
      </c>
      <c r="N460" s="2931">
        <v>80</v>
      </c>
      <c r="O460" s="2931">
        <v>180</v>
      </c>
      <c r="P460" s="2931">
        <v>320</v>
      </c>
      <c r="Q460" s="373">
        <v>500</v>
      </c>
      <c r="R460" s="2931"/>
      <c r="S460" s="2931"/>
      <c r="T460" s="2931"/>
      <c r="U460" s="373" t="s">
        <v>3582</v>
      </c>
      <c r="V460" s="2926" t="s">
        <v>4952</v>
      </c>
      <c r="W460" s="2926" t="s">
        <v>4953</v>
      </c>
      <c r="X460" s="2926" t="s">
        <v>4954</v>
      </c>
      <c r="Y460" s="2926" t="s">
        <v>4955</v>
      </c>
      <c r="Z460" s="2926" t="s">
        <v>4956</v>
      </c>
      <c r="AA460" s="371"/>
    </row>
    <row r="461" spans="1:27" ht="12.75" customHeight="1" x14ac:dyDescent="0.2">
      <c r="A461" s="6418"/>
      <c r="B461" s="251" t="str">
        <f t="shared" si="11"/>
        <v>Libre acceso42</v>
      </c>
      <c r="D461" s="272" t="s">
        <v>437</v>
      </c>
      <c r="E461" s="2931" t="s">
        <v>381</v>
      </c>
      <c r="F461" s="2931">
        <f t="shared" si="10"/>
        <v>42</v>
      </c>
      <c r="G461" s="2934" t="s">
        <v>2087</v>
      </c>
      <c r="H461" s="2934" t="s">
        <v>1233</v>
      </c>
      <c r="I461" s="376" t="s">
        <v>1304</v>
      </c>
      <c r="J461" s="2931">
        <v>8</v>
      </c>
      <c r="K461" s="2931">
        <v>10</v>
      </c>
      <c r="L461" s="2931">
        <v>12</v>
      </c>
      <c r="M461" s="373">
        <v>14</v>
      </c>
      <c r="N461" s="2931">
        <v>100</v>
      </c>
      <c r="O461" s="2931">
        <v>160</v>
      </c>
      <c r="P461" s="2931">
        <v>200</v>
      </c>
      <c r="Q461" s="373">
        <v>240</v>
      </c>
      <c r="R461" s="2931">
        <v>10</v>
      </c>
      <c r="S461" s="2931">
        <v>20</v>
      </c>
      <c r="T461" s="2931">
        <v>20</v>
      </c>
      <c r="U461" s="373">
        <v>25</v>
      </c>
      <c r="V461" s="2926" t="s">
        <v>4957</v>
      </c>
      <c r="W461" s="2926" t="s">
        <v>4958</v>
      </c>
      <c r="X461" s="2926" t="s">
        <v>4959</v>
      </c>
      <c r="Y461" s="2926" t="s">
        <v>4960</v>
      </c>
      <c r="Z461" s="2926" t="s">
        <v>4961</v>
      </c>
      <c r="AA461" s="371" t="s">
        <v>1706</v>
      </c>
    </row>
    <row r="462" spans="1:27" ht="12.75" customHeight="1" x14ac:dyDescent="0.2">
      <c r="A462" s="6418"/>
      <c r="B462" s="251" t="str">
        <f t="shared" si="11"/>
        <v/>
      </c>
      <c r="D462" s="272" t="s">
        <v>438</v>
      </c>
      <c r="E462" s="2931"/>
      <c r="F462" s="2931"/>
      <c r="G462" s="2934"/>
      <c r="H462" s="2934"/>
      <c r="I462" s="376"/>
      <c r="J462" s="2931"/>
      <c r="K462" s="2931"/>
      <c r="L462" s="2931"/>
      <c r="M462" s="373"/>
      <c r="N462" s="2931"/>
      <c r="O462" s="2931"/>
      <c r="P462" s="2931"/>
      <c r="Q462" s="373"/>
      <c r="R462" s="2931"/>
      <c r="S462" s="2931"/>
      <c r="T462" s="2931"/>
      <c r="U462" s="373"/>
      <c r="V462" s="2926"/>
      <c r="W462" s="2926"/>
      <c r="X462" s="2926"/>
      <c r="Y462" s="2926"/>
      <c r="Z462" s="2926"/>
      <c r="AA462" s="371"/>
    </row>
    <row r="463" spans="1:27" ht="12.75" customHeight="1" x14ac:dyDescent="0.2">
      <c r="A463" s="6418"/>
      <c r="B463" s="251" t="str">
        <f t="shared" si="11"/>
        <v>Libre acceso52</v>
      </c>
      <c r="D463" s="272" t="s">
        <v>439</v>
      </c>
      <c r="E463" s="2931" t="s">
        <v>381</v>
      </c>
      <c r="F463" s="2931">
        <f>F450+10</f>
        <v>52</v>
      </c>
      <c r="G463" s="2934" t="s">
        <v>2087</v>
      </c>
      <c r="H463" s="2934" t="s">
        <v>4019</v>
      </c>
      <c r="I463" s="376" t="s">
        <v>1304</v>
      </c>
      <c r="J463" s="2931">
        <v>8</v>
      </c>
      <c r="K463" s="2931">
        <v>10</v>
      </c>
      <c r="L463" s="2931">
        <v>12</v>
      </c>
      <c r="M463" s="373">
        <v>14</v>
      </c>
      <c r="N463" s="2931">
        <v>80</v>
      </c>
      <c r="O463" s="2931">
        <v>120</v>
      </c>
      <c r="P463" s="2931">
        <v>160</v>
      </c>
      <c r="Q463" s="373">
        <v>200</v>
      </c>
      <c r="R463" s="2931">
        <v>10</v>
      </c>
      <c r="S463" s="2931">
        <v>10</v>
      </c>
      <c r="T463" s="2931">
        <v>15</v>
      </c>
      <c r="U463" s="373">
        <v>15</v>
      </c>
      <c r="V463" s="2926" t="s">
        <v>4962</v>
      </c>
      <c r="W463" s="2926" t="s">
        <v>4963</v>
      </c>
      <c r="X463" s="2926" t="s">
        <v>3448</v>
      </c>
      <c r="Y463" s="2926" t="s">
        <v>3449</v>
      </c>
      <c r="Z463" s="2926" t="s">
        <v>7057</v>
      </c>
      <c r="AA463" s="371"/>
    </row>
    <row r="464" spans="1:27" ht="12.75" customHeight="1" x14ac:dyDescent="0.2">
      <c r="A464" s="6418"/>
      <c r="B464" s="251" t="str">
        <f t="shared" si="11"/>
        <v>Libre acceso52</v>
      </c>
      <c r="D464" s="272" t="s">
        <v>440</v>
      </c>
      <c r="E464" s="2931" t="s">
        <v>381</v>
      </c>
      <c r="F464" s="2931">
        <f t="shared" ref="F464:F474" si="12">F451+10</f>
        <v>52</v>
      </c>
      <c r="G464" s="2934" t="s">
        <v>1381</v>
      </c>
      <c r="H464" s="2934" t="s">
        <v>4019</v>
      </c>
      <c r="I464" s="376" t="s">
        <v>1304</v>
      </c>
      <c r="J464" s="2931">
        <v>8</v>
      </c>
      <c r="K464" s="2931">
        <v>10</v>
      </c>
      <c r="L464" s="2931">
        <v>13</v>
      </c>
      <c r="M464" s="373">
        <v>15</v>
      </c>
      <c r="N464" s="2931">
        <v>80</v>
      </c>
      <c r="O464" s="2931">
        <v>120</v>
      </c>
      <c r="P464" s="2931">
        <v>160</v>
      </c>
      <c r="Q464" s="373">
        <v>200</v>
      </c>
      <c r="R464" s="2931">
        <v>10</v>
      </c>
      <c r="S464" s="2931">
        <v>15</v>
      </c>
      <c r="T464" s="2931">
        <v>20</v>
      </c>
      <c r="U464" s="373">
        <v>20</v>
      </c>
      <c r="V464" s="2926" t="s">
        <v>4964</v>
      </c>
      <c r="W464" s="2926" t="s">
        <v>4924</v>
      </c>
      <c r="X464" s="2926" t="s">
        <v>4965</v>
      </c>
      <c r="Y464" s="2926" t="s">
        <v>4966</v>
      </c>
      <c r="Z464" s="2926" t="s">
        <v>4967</v>
      </c>
      <c r="AA464" s="371" t="s">
        <v>10419</v>
      </c>
    </row>
    <row r="465" spans="1:27" ht="12.75" customHeight="1" x14ac:dyDescent="0.2">
      <c r="A465" s="6418"/>
      <c r="B465" s="251" t="str">
        <f t="shared" si="11"/>
        <v>Libre acceso52</v>
      </c>
      <c r="D465" s="272" t="s">
        <v>441</v>
      </c>
      <c r="E465" s="2931" t="s">
        <v>381</v>
      </c>
      <c r="F465" s="2931">
        <f t="shared" si="12"/>
        <v>52</v>
      </c>
      <c r="G465" s="2934" t="s">
        <v>1381</v>
      </c>
      <c r="H465" s="2934" t="s">
        <v>4019</v>
      </c>
      <c r="I465" s="376" t="s">
        <v>1304</v>
      </c>
      <c r="J465" s="2931">
        <v>8</v>
      </c>
      <c r="K465" s="2931">
        <v>10</v>
      </c>
      <c r="L465" s="2931">
        <v>13</v>
      </c>
      <c r="M465" s="373">
        <v>15</v>
      </c>
      <c r="N465" s="2931">
        <v>80</v>
      </c>
      <c r="O465" s="2931">
        <v>100</v>
      </c>
      <c r="P465" s="2931">
        <v>120</v>
      </c>
      <c r="Q465" s="373">
        <v>140</v>
      </c>
      <c r="R465" s="2931">
        <v>5</v>
      </c>
      <c r="S465" s="2931">
        <v>5</v>
      </c>
      <c r="T465" s="2931">
        <v>10</v>
      </c>
      <c r="U465" s="373">
        <v>10</v>
      </c>
      <c r="V465" s="2926" t="s">
        <v>4968</v>
      </c>
      <c r="W465" s="2926" t="s">
        <v>3260</v>
      </c>
      <c r="X465" s="2926" t="s">
        <v>4925</v>
      </c>
      <c r="Y465" s="2926" t="s">
        <v>4969</v>
      </c>
      <c r="Z465" s="2926" t="s">
        <v>4970</v>
      </c>
      <c r="AA465" s="371" t="s">
        <v>1705</v>
      </c>
    </row>
    <row r="466" spans="1:27" ht="12.75" customHeight="1" x14ac:dyDescent="0.2">
      <c r="A466" s="6418"/>
      <c r="B466" s="251" t="str">
        <f t="shared" si="11"/>
        <v>Libre acceso52</v>
      </c>
      <c r="D466" s="272" t="s">
        <v>442</v>
      </c>
      <c r="E466" s="2931" t="s">
        <v>381</v>
      </c>
      <c r="F466" s="2931">
        <f t="shared" si="12"/>
        <v>52</v>
      </c>
      <c r="G466" s="2934" t="s">
        <v>1381</v>
      </c>
      <c r="H466" s="2934" t="s">
        <v>4019</v>
      </c>
      <c r="I466" s="376" t="s">
        <v>1304</v>
      </c>
      <c r="J466" s="2931">
        <v>8</v>
      </c>
      <c r="K466" s="2931">
        <v>10</v>
      </c>
      <c r="L466" s="2931">
        <v>12</v>
      </c>
      <c r="M466" s="373">
        <v>14</v>
      </c>
      <c r="N466" s="2931">
        <v>80</v>
      </c>
      <c r="O466" s="2931">
        <v>100</v>
      </c>
      <c r="P466" s="2931">
        <v>120</v>
      </c>
      <c r="Q466" s="373">
        <v>140</v>
      </c>
      <c r="R466" s="2931">
        <v>5</v>
      </c>
      <c r="S466" s="2931">
        <v>5</v>
      </c>
      <c r="T466" s="2931">
        <v>10</v>
      </c>
      <c r="U466" s="373">
        <v>10</v>
      </c>
      <c r="V466" s="2926" t="s">
        <v>4968</v>
      </c>
      <c r="W466" s="2926" t="s">
        <v>4971</v>
      </c>
      <c r="X466" s="2926" t="s">
        <v>4972</v>
      </c>
      <c r="Y466" s="2926" t="s">
        <v>4973</v>
      </c>
      <c r="Z466" s="2926" t="s">
        <v>4974</v>
      </c>
      <c r="AA466" s="371" t="s">
        <v>1705</v>
      </c>
    </row>
    <row r="467" spans="1:27" ht="12.75" customHeight="1" x14ac:dyDescent="0.2">
      <c r="A467" s="6418"/>
      <c r="B467" s="251" t="str">
        <f t="shared" si="11"/>
        <v>Libre acceso52</v>
      </c>
      <c r="D467" s="272" t="s">
        <v>443</v>
      </c>
      <c r="E467" s="2931" t="s">
        <v>381</v>
      </c>
      <c r="F467" s="2931">
        <f t="shared" si="12"/>
        <v>52</v>
      </c>
      <c r="G467" s="2934" t="s">
        <v>1381</v>
      </c>
      <c r="H467" s="2934" t="s">
        <v>1234</v>
      </c>
      <c r="I467" s="376" t="s">
        <v>1304</v>
      </c>
      <c r="J467" s="2931">
        <v>8</v>
      </c>
      <c r="K467" s="2931">
        <v>10</v>
      </c>
      <c r="L467" s="2931">
        <v>13</v>
      </c>
      <c r="M467" s="373">
        <v>16</v>
      </c>
      <c r="N467" s="2931">
        <v>100</v>
      </c>
      <c r="O467" s="2931">
        <v>140</v>
      </c>
      <c r="P467" s="2931">
        <v>180</v>
      </c>
      <c r="Q467" s="373">
        <v>220</v>
      </c>
      <c r="R467" s="2931"/>
      <c r="S467" s="2931"/>
      <c r="T467" s="2931"/>
      <c r="U467" s="373"/>
      <c r="V467" s="2926" t="s">
        <v>4975</v>
      </c>
      <c r="W467" s="2926" t="s">
        <v>4976</v>
      </c>
      <c r="X467" s="2926" t="s">
        <v>4977</v>
      </c>
      <c r="Y467" s="2926" t="s">
        <v>4978</v>
      </c>
      <c r="Z467" s="2926" t="s">
        <v>4979</v>
      </c>
      <c r="AA467" s="371" t="s">
        <v>1706</v>
      </c>
    </row>
    <row r="468" spans="1:27" ht="12.75" customHeight="1" x14ac:dyDescent="0.2">
      <c r="A468" s="6418"/>
      <c r="B468" s="251" t="str">
        <f t="shared" si="11"/>
        <v>Libre acceso52</v>
      </c>
      <c r="D468" s="272" t="s">
        <v>444</v>
      </c>
      <c r="E468" s="2931" t="s">
        <v>381</v>
      </c>
      <c r="F468" s="2931">
        <f t="shared" si="12"/>
        <v>52</v>
      </c>
      <c r="G468" s="2934" t="s">
        <v>1381</v>
      </c>
      <c r="H468" s="2934" t="s">
        <v>1234</v>
      </c>
      <c r="I468" s="376" t="s">
        <v>1304</v>
      </c>
      <c r="J468" s="2931">
        <v>8</v>
      </c>
      <c r="K468" s="2931">
        <v>10</v>
      </c>
      <c r="L468" s="2931">
        <v>13</v>
      </c>
      <c r="M468" s="373">
        <v>15</v>
      </c>
      <c r="N468" s="2931">
        <v>60</v>
      </c>
      <c r="O468" s="2931">
        <v>90</v>
      </c>
      <c r="P468" s="2931">
        <v>120</v>
      </c>
      <c r="Q468" s="373">
        <v>150</v>
      </c>
      <c r="R468" s="2931"/>
      <c r="S468" s="2931"/>
      <c r="T468" s="2931"/>
      <c r="U468" s="373"/>
      <c r="V468" s="2926" t="s">
        <v>4980</v>
      </c>
      <c r="W468" s="2926" t="s">
        <v>4381</v>
      </c>
      <c r="X468" s="2926" t="s">
        <v>4981</v>
      </c>
      <c r="Y468" s="2926" t="s">
        <v>4712</v>
      </c>
      <c r="Z468" s="2926" t="s">
        <v>4982</v>
      </c>
      <c r="AA468" s="371" t="s">
        <v>1699</v>
      </c>
    </row>
    <row r="469" spans="1:27" ht="12.75" customHeight="1" x14ac:dyDescent="0.2">
      <c r="A469" s="6418"/>
      <c r="B469" s="251" t="str">
        <f t="shared" si="11"/>
        <v>Libre acceso52</v>
      </c>
      <c r="D469" s="272" t="s">
        <v>445</v>
      </c>
      <c r="E469" s="2931" t="s">
        <v>381</v>
      </c>
      <c r="F469" s="2931">
        <f t="shared" si="12"/>
        <v>52</v>
      </c>
      <c r="G469" s="2934" t="s">
        <v>2087</v>
      </c>
      <c r="H469" s="2934" t="s">
        <v>1234</v>
      </c>
      <c r="I469" s="376" t="s">
        <v>1304</v>
      </c>
      <c r="J469" s="2931">
        <v>6</v>
      </c>
      <c r="K469" s="2931">
        <v>9</v>
      </c>
      <c r="L469" s="2931">
        <v>12</v>
      </c>
      <c r="M469" s="373">
        <v>15</v>
      </c>
      <c r="N469" s="2931">
        <v>60</v>
      </c>
      <c r="O469" s="2931">
        <v>90</v>
      </c>
      <c r="P469" s="2931">
        <v>120</v>
      </c>
      <c r="Q469" s="373">
        <v>150</v>
      </c>
      <c r="R469" s="2931">
        <v>15</v>
      </c>
      <c r="S469" s="2931">
        <v>20</v>
      </c>
      <c r="T469" s="2931">
        <v>25</v>
      </c>
      <c r="U469" s="373">
        <v>30</v>
      </c>
      <c r="V469" s="2926" t="s">
        <v>3403</v>
      </c>
      <c r="W469" s="2926" t="s">
        <v>3653</v>
      </c>
      <c r="X469" s="2926" t="s">
        <v>4983</v>
      </c>
      <c r="Y469" s="2926" t="s">
        <v>4811</v>
      </c>
      <c r="Z469" s="2926" t="s">
        <v>4984</v>
      </c>
      <c r="AA469" s="371" t="s">
        <v>1706</v>
      </c>
    </row>
    <row r="470" spans="1:27" ht="12.75" customHeight="1" x14ac:dyDescent="0.2">
      <c r="A470" s="6418"/>
      <c r="B470" s="251" t="str">
        <f t="shared" si="11"/>
        <v>Libre acceso52</v>
      </c>
      <c r="D470" s="272" t="s">
        <v>446</v>
      </c>
      <c r="E470" s="2931" t="s">
        <v>381</v>
      </c>
      <c r="F470" s="2931">
        <f t="shared" si="12"/>
        <v>52</v>
      </c>
      <c r="G470" s="2934" t="s">
        <v>1381</v>
      </c>
      <c r="H470" s="2934" t="s">
        <v>1234</v>
      </c>
      <c r="I470" s="376" t="s">
        <v>1304</v>
      </c>
      <c r="J470" s="2931">
        <v>8</v>
      </c>
      <c r="K470" s="2931">
        <v>10</v>
      </c>
      <c r="L470" s="2931">
        <v>12</v>
      </c>
      <c r="M470" s="373">
        <v>15</v>
      </c>
      <c r="N470" s="2931">
        <v>60</v>
      </c>
      <c r="O470" s="2931">
        <v>80</v>
      </c>
      <c r="P470" s="2931">
        <v>100</v>
      </c>
      <c r="Q470" s="373">
        <v>120</v>
      </c>
      <c r="R470" s="2931">
        <v>5</v>
      </c>
      <c r="S470" s="2931">
        <v>5</v>
      </c>
      <c r="T470" s="2931">
        <v>10</v>
      </c>
      <c r="U470" s="373">
        <v>10</v>
      </c>
      <c r="V470" s="2926" t="s">
        <v>4985</v>
      </c>
      <c r="W470" s="2926" t="s">
        <v>4986</v>
      </c>
      <c r="X470" s="2926" t="s">
        <v>4987</v>
      </c>
      <c r="Y470" s="2926" t="s">
        <v>4988</v>
      </c>
      <c r="Z470" s="2926" t="s">
        <v>4989</v>
      </c>
      <c r="AA470" s="371" t="s">
        <v>1605</v>
      </c>
    </row>
    <row r="471" spans="1:27" ht="12.75" customHeight="1" x14ac:dyDescent="0.2">
      <c r="A471" s="6418"/>
      <c r="B471" s="251" t="str">
        <f t="shared" si="11"/>
        <v>Libre acceso52</v>
      </c>
      <c r="D471" s="272" t="s">
        <v>447</v>
      </c>
      <c r="E471" s="2931" t="s">
        <v>381</v>
      </c>
      <c r="F471" s="2931">
        <f t="shared" si="12"/>
        <v>52</v>
      </c>
      <c r="G471" s="2934" t="s">
        <v>1381</v>
      </c>
      <c r="H471" s="2934" t="s">
        <v>1234</v>
      </c>
      <c r="I471" s="376" t="s">
        <v>1304</v>
      </c>
      <c r="J471" s="2931">
        <v>8</v>
      </c>
      <c r="K471" s="2931">
        <v>10</v>
      </c>
      <c r="L471" s="2931">
        <v>12</v>
      </c>
      <c r="M471" s="373">
        <v>14</v>
      </c>
      <c r="N471" s="2931">
        <v>80</v>
      </c>
      <c r="O471" s="2931">
        <v>100</v>
      </c>
      <c r="P471" s="2931">
        <v>120</v>
      </c>
      <c r="Q471" s="373">
        <v>140</v>
      </c>
      <c r="R471" s="2931"/>
      <c r="S471" s="2931"/>
      <c r="T471" s="2931"/>
      <c r="U471" s="373"/>
      <c r="V471" s="2926" t="s">
        <v>4990</v>
      </c>
      <c r="W471" s="2926" t="s">
        <v>4991</v>
      </c>
      <c r="X471" s="2926" t="s">
        <v>4992</v>
      </c>
      <c r="Y471" s="2926" t="s">
        <v>4993</v>
      </c>
      <c r="Z471" s="2926" t="s">
        <v>4994</v>
      </c>
      <c r="AA471" s="371" t="s">
        <v>1699</v>
      </c>
    </row>
    <row r="472" spans="1:27" ht="12.75" customHeight="1" x14ac:dyDescent="0.2">
      <c r="A472" s="6418"/>
      <c r="B472" s="251" t="str">
        <f t="shared" si="11"/>
        <v>Libre acceso52</v>
      </c>
      <c r="D472" s="272" t="s">
        <v>448</v>
      </c>
      <c r="E472" s="2931" t="s">
        <v>381</v>
      </c>
      <c r="F472" s="2931">
        <f t="shared" si="12"/>
        <v>52</v>
      </c>
      <c r="G472" s="2934" t="s">
        <v>2087</v>
      </c>
      <c r="H472" s="2934" t="s">
        <v>1234</v>
      </c>
      <c r="I472" s="376" t="s">
        <v>1304</v>
      </c>
      <c r="J472" s="2931">
        <v>8</v>
      </c>
      <c r="K472" s="2931">
        <v>10</v>
      </c>
      <c r="L472" s="2931">
        <v>12</v>
      </c>
      <c r="M472" s="373">
        <v>15</v>
      </c>
      <c r="N472" s="2931">
        <v>100</v>
      </c>
      <c r="O472" s="2931">
        <v>140</v>
      </c>
      <c r="P472" s="2931">
        <v>180</v>
      </c>
      <c r="Q472" s="373">
        <v>220</v>
      </c>
      <c r="R472" s="2931">
        <v>10</v>
      </c>
      <c r="S472" s="2931">
        <v>15</v>
      </c>
      <c r="T472" s="2931">
        <v>15</v>
      </c>
      <c r="U472" s="373">
        <v>20</v>
      </c>
      <c r="V472" s="2926" t="s">
        <v>4995</v>
      </c>
      <c r="W472" s="2926" t="s">
        <v>4996</v>
      </c>
      <c r="X472" s="2926" t="s">
        <v>4997</v>
      </c>
      <c r="Y472" s="2926" t="s">
        <v>4998</v>
      </c>
      <c r="Z472" s="2926" t="s">
        <v>4999</v>
      </c>
      <c r="AA472" s="371" t="s">
        <v>1710</v>
      </c>
    </row>
    <row r="473" spans="1:27" ht="12.75" customHeight="1" x14ac:dyDescent="0.2">
      <c r="A473" s="6418"/>
      <c r="B473" s="251" t="str">
        <f t="shared" si="11"/>
        <v>Libre acceso52</v>
      </c>
      <c r="D473" s="272" t="s">
        <v>449</v>
      </c>
      <c r="E473" s="2931" t="s">
        <v>381</v>
      </c>
      <c r="F473" s="2931">
        <f t="shared" si="12"/>
        <v>52</v>
      </c>
      <c r="G473" s="2934" t="s">
        <v>1381</v>
      </c>
      <c r="H473" s="2934" t="s">
        <v>1235</v>
      </c>
      <c r="I473" s="376" t="s">
        <v>1304</v>
      </c>
      <c r="J473" s="2931">
        <v>8</v>
      </c>
      <c r="K473" s="2931">
        <v>10</v>
      </c>
      <c r="L473" s="2931">
        <v>13</v>
      </c>
      <c r="M473" s="373">
        <v>16</v>
      </c>
      <c r="N473" s="2931">
        <v>100</v>
      </c>
      <c r="O473" s="2931">
        <v>160</v>
      </c>
      <c r="P473" s="2931">
        <v>240</v>
      </c>
      <c r="Q473" s="373">
        <v>320</v>
      </c>
      <c r="R473" s="2931">
        <v>10</v>
      </c>
      <c r="S473" s="2931">
        <v>20</v>
      </c>
      <c r="T473" s="2931">
        <v>25</v>
      </c>
      <c r="U473" s="373">
        <v>35</v>
      </c>
      <c r="V473" s="2926" t="s">
        <v>5000</v>
      </c>
      <c r="W473" s="2926" t="s">
        <v>5001</v>
      </c>
      <c r="X473" s="2926" t="s">
        <v>5002</v>
      </c>
      <c r="Y473" s="2926" t="s">
        <v>5003</v>
      </c>
      <c r="Z473" s="2926" t="s">
        <v>5004</v>
      </c>
      <c r="AA473" s="371" t="s">
        <v>1703</v>
      </c>
    </row>
    <row r="474" spans="1:27" ht="12.75" customHeight="1" x14ac:dyDescent="0.2">
      <c r="A474" s="6418"/>
      <c r="B474" s="251" t="str">
        <f t="shared" si="11"/>
        <v>Libre acceso52</v>
      </c>
      <c r="D474" s="272" t="s">
        <v>450</v>
      </c>
      <c r="E474" s="2931" t="s">
        <v>381</v>
      </c>
      <c r="F474" s="2931">
        <f t="shared" si="12"/>
        <v>52</v>
      </c>
      <c r="G474" s="2934" t="s">
        <v>1381</v>
      </c>
      <c r="H474" s="2934" t="s">
        <v>1235</v>
      </c>
      <c r="I474" s="376" t="s">
        <v>1304</v>
      </c>
      <c r="J474" s="2931">
        <v>8</v>
      </c>
      <c r="K474" s="2931">
        <v>10</v>
      </c>
      <c r="L474" s="2931">
        <v>12</v>
      </c>
      <c r="M474" s="373">
        <v>14</v>
      </c>
      <c r="N474" s="2931">
        <v>80</v>
      </c>
      <c r="O474" s="2931">
        <v>100</v>
      </c>
      <c r="P474" s="2931">
        <v>120</v>
      </c>
      <c r="Q474" s="373">
        <v>140</v>
      </c>
      <c r="R474" s="2931">
        <v>10</v>
      </c>
      <c r="S474" s="2931">
        <v>10</v>
      </c>
      <c r="T474" s="2931">
        <v>15</v>
      </c>
      <c r="U474" s="373">
        <v>15</v>
      </c>
      <c r="V474" s="2926" t="s">
        <v>5005</v>
      </c>
      <c r="W474" s="2926" t="s">
        <v>5006</v>
      </c>
      <c r="X474" s="2926" t="s">
        <v>5007</v>
      </c>
      <c r="Y474" s="2926" t="s">
        <v>5008</v>
      </c>
      <c r="Z474" s="2926" t="s">
        <v>5009</v>
      </c>
      <c r="AA474" s="371" t="s">
        <v>1705</v>
      </c>
    </row>
    <row r="475" spans="1:27" ht="12.75" customHeight="1" x14ac:dyDescent="0.2">
      <c r="A475" s="6418"/>
      <c r="B475" s="251" t="str">
        <f t="shared" si="11"/>
        <v/>
      </c>
      <c r="D475" s="272" t="s">
        <v>451</v>
      </c>
      <c r="E475" s="2931"/>
      <c r="F475" s="2931"/>
      <c r="G475" s="2934"/>
      <c r="H475" s="2934"/>
      <c r="I475" s="376"/>
      <c r="J475" s="2931"/>
      <c r="K475" s="2931"/>
      <c r="L475" s="2931"/>
      <c r="M475" s="373"/>
      <c r="N475" s="2931"/>
      <c r="O475" s="2931"/>
      <c r="P475" s="2931"/>
      <c r="Q475" s="373"/>
      <c r="R475" s="2931"/>
      <c r="S475" s="2931"/>
      <c r="T475" s="2931"/>
      <c r="U475" s="373"/>
      <c r="V475" s="2926"/>
      <c r="W475" s="2926"/>
      <c r="X475" s="2926"/>
      <c r="Y475" s="2926"/>
      <c r="Z475" s="2926"/>
      <c r="AA475" s="371"/>
    </row>
    <row r="476" spans="1:27" ht="12.75" customHeight="1" x14ac:dyDescent="0.2">
      <c r="A476" s="6418"/>
      <c r="B476" s="251" t="str">
        <f t="shared" si="11"/>
        <v>Libre acceso62</v>
      </c>
      <c r="D476" s="272" t="s">
        <v>452</v>
      </c>
      <c r="E476" s="2931" t="s">
        <v>381</v>
      </c>
      <c r="F476" s="2931">
        <f>F463+10</f>
        <v>62</v>
      </c>
      <c r="G476" s="2934" t="s">
        <v>1381</v>
      </c>
      <c r="H476" s="2934" t="s">
        <v>4019</v>
      </c>
      <c r="I476" s="376" t="s">
        <v>1304</v>
      </c>
      <c r="J476" s="2931">
        <v>8</v>
      </c>
      <c r="K476" s="2931">
        <v>9</v>
      </c>
      <c r="L476" s="2931">
        <v>13</v>
      </c>
      <c r="M476" s="373">
        <v>16</v>
      </c>
      <c r="N476" s="2931">
        <v>140</v>
      </c>
      <c r="O476" s="2931">
        <v>200</v>
      </c>
      <c r="P476" s="2931">
        <v>240</v>
      </c>
      <c r="Q476" s="373">
        <v>280</v>
      </c>
      <c r="R476" s="2931">
        <v>15</v>
      </c>
      <c r="S476" s="2931">
        <v>20</v>
      </c>
      <c r="T476" s="2931">
        <v>25</v>
      </c>
      <c r="U476" s="373">
        <v>30</v>
      </c>
      <c r="V476" s="2926" t="s">
        <v>5010</v>
      </c>
      <c r="W476" s="2926" t="s">
        <v>5011</v>
      </c>
      <c r="X476" s="2926" t="s">
        <v>5012</v>
      </c>
      <c r="Y476" s="2926" t="s">
        <v>5013</v>
      </c>
      <c r="Z476" s="2926" t="s">
        <v>5014</v>
      </c>
      <c r="AA476" s="371" t="s">
        <v>1602</v>
      </c>
    </row>
    <row r="477" spans="1:27" ht="12.75" customHeight="1" x14ac:dyDescent="0.2">
      <c r="A477" s="6418"/>
      <c r="B477" s="251" t="str">
        <f t="shared" si="11"/>
        <v>Libre acceso62</v>
      </c>
      <c r="D477" s="272" t="s">
        <v>453</v>
      </c>
      <c r="E477" s="2931" t="s">
        <v>381</v>
      </c>
      <c r="F477" s="2931">
        <f t="shared" ref="F477:F487" si="13">F464+10</f>
        <v>62</v>
      </c>
      <c r="G477" s="2934" t="s">
        <v>1381</v>
      </c>
      <c r="H477" s="2934" t="s">
        <v>4019</v>
      </c>
      <c r="I477" s="376" t="s">
        <v>1304</v>
      </c>
      <c r="J477" s="2931">
        <v>9</v>
      </c>
      <c r="K477" s="2931">
        <v>11</v>
      </c>
      <c r="L477" s="2931">
        <v>14</v>
      </c>
      <c r="M477" s="373">
        <v>16</v>
      </c>
      <c r="N477" s="2931">
        <v>80</v>
      </c>
      <c r="O477" s="2931">
        <v>100</v>
      </c>
      <c r="P477" s="2931">
        <v>120</v>
      </c>
      <c r="Q477" s="373">
        <v>140</v>
      </c>
      <c r="R477" s="2931">
        <v>10</v>
      </c>
      <c r="S477" s="2931">
        <v>10</v>
      </c>
      <c r="T477" s="2931">
        <v>15</v>
      </c>
      <c r="U477" s="373">
        <v>15</v>
      </c>
      <c r="V477" s="2926" t="s">
        <v>3589</v>
      </c>
      <c r="W477" s="2926" t="s">
        <v>3590</v>
      </c>
      <c r="X477" s="2926" t="s">
        <v>3486</v>
      </c>
      <c r="Y477" s="2926" t="s">
        <v>3321</v>
      </c>
      <c r="Z477" s="2926" t="s">
        <v>5015</v>
      </c>
      <c r="AA477" s="371" t="s">
        <v>1705</v>
      </c>
    </row>
    <row r="478" spans="1:27" ht="12.75" customHeight="1" x14ac:dyDescent="0.2">
      <c r="A478" s="6418"/>
      <c r="B478" s="251" t="str">
        <f t="shared" si="11"/>
        <v>Libre acceso62</v>
      </c>
      <c r="D478" s="272" t="s">
        <v>454</v>
      </c>
      <c r="E478" s="2931" t="s">
        <v>381</v>
      </c>
      <c r="F478" s="2931">
        <f t="shared" si="13"/>
        <v>62</v>
      </c>
      <c r="G478" s="2934" t="s">
        <v>2087</v>
      </c>
      <c r="H478" s="2934" t="s">
        <v>1234</v>
      </c>
      <c r="I478" s="376" t="s">
        <v>1304</v>
      </c>
      <c r="J478" s="2931">
        <v>9</v>
      </c>
      <c r="K478" s="2931">
        <v>11</v>
      </c>
      <c r="L478" s="2931">
        <v>14</v>
      </c>
      <c r="M478" s="373">
        <v>16</v>
      </c>
      <c r="N478" s="2931">
        <v>140</v>
      </c>
      <c r="O478" s="2931">
        <v>200</v>
      </c>
      <c r="P478" s="2931">
        <v>240</v>
      </c>
      <c r="Q478" s="373">
        <v>280</v>
      </c>
      <c r="R478" s="2931">
        <v>15</v>
      </c>
      <c r="S478" s="2931">
        <v>20</v>
      </c>
      <c r="T478" s="2931">
        <v>25</v>
      </c>
      <c r="U478" s="373">
        <v>30</v>
      </c>
      <c r="V478" s="2926" t="s">
        <v>5016</v>
      </c>
      <c r="W478" s="2926" t="s">
        <v>5017</v>
      </c>
      <c r="X478" s="2926" t="s">
        <v>5018</v>
      </c>
      <c r="Y478" s="2926" t="s">
        <v>5019</v>
      </c>
      <c r="Z478" s="2926" t="s">
        <v>5020</v>
      </c>
      <c r="AA478" s="371" t="s">
        <v>1706</v>
      </c>
    </row>
    <row r="479" spans="1:27" ht="12.75" customHeight="1" x14ac:dyDescent="0.2">
      <c r="A479" s="6418"/>
      <c r="B479" s="251" t="str">
        <f t="shared" si="11"/>
        <v>Libre acceso62</v>
      </c>
      <c r="D479" s="272" t="s">
        <v>455</v>
      </c>
      <c r="E479" s="2931" t="s">
        <v>381</v>
      </c>
      <c r="F479" s="2931">
        <f t="shared" si="13"/>
        <v>62</v>
      </c>
      <c r="G479" s="2934" t="s">
        <v>1381</v>
      </c>
      <c r="H479" s="2934" t="s">
        <v>1234</v>
      </c>
      <c r="I479" s="376" t="s">
        <v>1305</v>
      </c>
      <c r="J479" s="2931">
        <v>8</v>
      </c>
      <c r="K479" s="2931">
        <v>11</v>
      </c>
      <c r="L479" s="2931">
        <v>13</v>
      </c>
      <c r="M479" s="373">
        <v>16</v>
      </c>
      <c r="N479" s="2931">
        <v>80</v>
      </c>
      <c r="O479" s="2931">
        <v>100</v>
      </c>
      <c r="P479" s="2931">
        <v>120</v>
      </c>
      <c r="Q479" s="373">
        <v>140</v>
      </c>
      <c r="R479" s="2931">
        <v>20</v>
      </c>
      <c r="S479" s="2931">
        <v>20</v>
      </c>
      <c r="T479" s="2931">
        <v>25</v>
      </c>
      <c r="U479" s="373">
        <v>30</v>
      </c>
      <c r="V479" s="2926" t="s">
        <v>5021</v>
      </c>
      <c r="W479" s="2926" t="s">
        <v>5022</v>
      </c>
      <c r="X479" s="2926" t="s">
        <v>5023</v>
      </c>
      <c r="Y479" s="2926" t="s">
        <v>5024</v>
      </c>
      <c r="Z479" s="2926" t="s">
        <v>5025</v>
      </c>
      <c r="AA479" s="371" t="s">
        <v>1706</v>
      </c>
    </row>
    <row r="480" spans="1:27" ht="12.75" customHeight="1" x14ac:dyDescent="0.2">
      <c r="A480" s="6418"/>
      <c r="B480" s="251" t="str">
        <f t="shared" si="11"/>
        <v>Libre acceso62</v>
      </c>
      <c r="D480" s="272" t="s">
        <v>456</v>
      </c>
      <c r="E480" s="2931" t="s">
        <v>381</v>
      </c>
      <c r="F480" s="2931">
        <f t="shared" si="13"/>
        <v>62</v>
      </c>
      <c r="G480" s="2934" t="s">
        <v>1381</v>
      </c>
      <c r="H480" s="2934" t="s">
        <v>1234</v>
      </c>
      <c r="I480" s="376" t="s">
        <v>1304</v>
      </c>
      <c r="J480" s="2931">
        <v>9</v>
      </c>
      <c r="K480" s="2931">
        <v>11</v>
      </c>
      <c r="L480" s="2931">
        <v>14</v>
      </c>
      <c r="M480" s="373">
        <v>16</v>
      </c>
      <c r="N480" s="2931">
        <v>80</v>
      </c>
      <c r="O480" s="2931">
        <v>160</v>
      </c>
      <c r="P480" s="2931">
        <v>240</v>
      </c>
      <c r="Q480" s="373">
        <v>320</v>
      </c>
      <c r="R480" s="2931">
        <v>5</v>
      </c>
      <c r="S480" s="2931">
        <v>10</v>
      </c>
      <c r="T480" s="2931">
        <v>15</v>
      </c>
      <c r="U480" s="373">
        <v>20</v>
      </c>
      <c r="V480" s="2926" t="s">
        <v>5026</v>
      </c>
      <c r="W480" s="2926" t="s">
        <v>3999</v>
      </c>
      <c r="X480" s="2926" t="s">
        <v>5027</v>
      </c>
      <c r="Y480" s="2926" t="s">
        <v>4000</v>
      </c>
      <c r="Z480" s="2926" t="s">
        <v>5028</v>
      </c>
      <c r="AA480" s="371" t="s">
        <v>1706</v>
      </c>
    </row>
    <row r="481" spans="1:27" ht="12.75" customHeight="1" x14ac:dyDescent="0.2">
      <c r="A481" s="6418"/>
      <c r="B481" s="251" t="str">
        <f t="shared" si="11"/>
        <v>Libre acceso62</v>
      </c>
      <c r="D481" s="272" t="s">
        <v>457</v>
      </c>
      <c r="E481" s="2931" t="s">
        <v>381</v>
      </c>
      <c r="F481" s="2931">
        <f t="shared" si="13"/>
        <v>62</v>
      </c>
      <c r="G481" s="2934" t="s">
        <v>2087</v>
      </c>
      <c r="H481" s="2934" t="s">
        <v>1234</v>
      </c>
      <c r="I481" s="376" t="s">
        <v>1304</v>
      </c>
      <c r="J481" s="2931">
        <v>8</v>
      </c>
      <c r="K481" s="2931">
        <v>11</v>
      </c>
      <c r="L481" s="2931">
        <v>13</v>
      </c>
      <c r="M481" s="373">
        <v>16</v>
      </c>
      <c r="N481" s="2931">
        <v>80</v>
      </c>
      <c r="O481" s="2931">
        <v>120</v>
      </c>
      <c r="P481" s="2931">
        <v>180</v>
      </c>
      <c r="Q481" s="373">
        <v>220</v>
      </c>
      <c r="R481" s="2931">
        <v>5</v>
      </c>
      <c r="S481" s="2931">
        <v>5</v>
      </c>
      <c r="T481" s="2931">
        <v>10</v>
      </c>
      <c r="U481" s="373">
        <v>15</v>
      </c>
      <c r="V481" s="2926" t="s">
        <v>5029</v>
      </c>
      <c r="W481" s="2926" t="s">
        <v>5030</v>
      </c>
      <c r="X481" s="2926" t="s">
        <v>5031</v>
      </c>
      <c r="Y481" s="2926" t="s">
        <v>5032</v>
      </c>
      <c r="Z481" s="2926" t="s">
        <v>5033</v>
      </c>
      <c r="AA481" s="371" t="s">
        <v>10421</v>
      </c>
    </row>
    <row r="482" spans="1:27" ht="12.75" customHeight="1" x14ac:dyDescent="0.2">
      <c r="A482" s="6418"/>
      <c r="B482" s="251" t="str">
        <f t="shared" si="11"/>
        <v>Libre acceso62</v>
      </c>
      <c r="D482" s="272" t="s">
        <v>458</v>
      </c>
      <c r="E482" s="2931" t="s">
        <v>381</v>
      </c>
      <c r="F482" s="2931">
        <f t="shared" si="13"/>
        <v>62</v>
      </c>
      <c r="G482" s="2934" t="s">
        <v>1381</v>
      </c>
      <c r="H482" s="2934" t="s">
        <v>1235</v>
      </c>
      <c r="I482" s="376" t="s">
        <v>1304</v>
      </c>
      <c r="J482" s="2931">
        <v>8</v>
      </c>
      <c r="K482" s="2931">
        <v>11</v>
      </c>
      <c r="L482" s="2931">
        <v>13</v>
      </c>
      <c r="M482" s="373">
        <v>16</v>
      </c>
      <c r="N482" s="2931">
        <v>140</v>
      </c>
      <c r="O482" s="2931">
        <v>200</v>
      </c>
      <c r="P482" s="2931">
        <v>240</v>
      </c>
      <c r="Q482" s="373">
        <v>280</v>
      </c>
      <c r="R482" s="2931"/>
      <c r="S482" s="2931"/>
      <c r="T482" s="2931"/>
      <c r="U482" s="373" t="s">
        <v>3582</v>
      </c>
      <c r="V482" s="2926" t="s">
        <v>5034</v>
      </c>
      <c r="W482" s="2926" t="s">
        <v>5035</v>
      </c>
      <c r="X482" s="2926" t="s">
        <v>5036</v>
      </c>
      <c r="Y482" s="2926" t="s">
        <v>5037</v>
      </c>
      <c r="Z482" s="2926" t="s">
        <v>5038</v>
      </c>
      <c r="AA482" s="371" t="s">
        <v>1710</v>
      </c>
    </row>
    <row r="483" spans="1:27" ht="12.75" customHeight="1" x14ac:dyDescent="0.2">
      <c r="A483" s="6418"/>
      <c r="B483" s="251" t="str">
        <f t="shared" si="11"/>
        <v>Libre acceso62</v>
      </c>
      <c r="D483" s="272" t="s">
        <v>459</v>
      </c>
      <c r="E483" s="2931" t="s">
        <v>381</v>
      </c>
      <c r="F483" s="2931">
        <f t="shared" si="13"/>
        <v>62</v>
      </c>
      <c r="G483" s="2934" t="s">
        <v>1381</v>
      </c>
      <c r="H483" s="2934" t="s">
        <v>1234</v>
      </c>
      <c r="I483" s="376" t="s">
        <v>1304</v>
      </c>
      <c r="J483" s="2931">
        <v>8</v>
      </c>
      <c r="K483" s="2931">
        <v>11</v>
      </c>
      <c r="L483" s="2931">
        <v>13</v>
      </c>
      <c r="M483" s="373">
        <v>16</v>
      </c>
      <c r="N483" s="2931">
        <v>100</v>
      </c>
      <c r="O483" s="2931">
        <v>120</v>
      </c>
      <c r="P483" s="2931">
        <v>140</v>
      </c>
      <c r="Q483" s="373">
        <v>160</v>
      </c>
      <c r="R483" s="2931">
        <v>10</v>
      </c>
      <c r="S483" s="2931">
        <v>15</v>
      </c>
      <c r="T483" s="2931">
        <v>15</v>
      </c>
      <c r="U483" s="373">
        <v>20</v>
      </c>
      <c r="V483" s="2926" t="s">
        <v>5039</v>
      </c>
      <c r="W483" s="2926" t="s">
        <v>5040</v>
      </c>
      <c r="X483" s="2926" t="s">
        <v>5041</v>
      </c>
      <c r="Y483" s="2926" t="s">
        <v>5042</v>
      </c>
      <c r="Z483" s="2926" t="s">
        <v>5043</v>
      </c>
      <c r="AA483" s="371" t="s">
        <v>1703</v>
      </c>
    </row>
    <row r="484" spans="1:27" ht="12.75" customHeight="1" x14ac:dyDescent="0.2">
      <c r="A484" s="6418"/>
      <c r="B484" s="251" t="str">
        <f t="shared" si="11"/>
        <v>Libre acceso62</v>
      </c>
      <c r="D484" s="272" t="s">
        <v>460</v>
      </c>
      <c r="E484" s="2931" t="s">
        <v>381</v>
      </c>
      <c r="F484" s="2931">
        <f t="shared" si="13"/>
        <v>62</v>
      </c>
      <c r="G484" s="2934" t="s">
        <v>1381</v>
      </c>
      <c r="H484" s="2934" t="s">
        <v>1234</v>
      </c>
      <c r="I484" s="376" t="s">
        <v>1304</v>
      </c>
      <c r="J484" s="2931">
        <v>9</v>
      </c>
      <c r="K484" s="2931">
        <v>11</v>
      </c>
      <c r="L484" s="2931">
        <v>14</v>
      </c>
      <c r="M484" s="373">
        <v>16</v>
      </c>
      <c r="N484" s="2931">
        <v>100</v>
      </c>
      <c r="O484" s="2931">
        <v>120</v>
      </c>
      <c r="P484" s="2931">
        <v>140</v>
      </c>
      <c r="Q484" s="373">
        <v>160</v>
      </c>
      <c r="R484" s="2931">
        <v>10</v>
      </c>
      <c r="S484" s="2931">
        <v>10</v>
      </c>
      <c r="T484" s="2931">
        <v>15</v>
      </c>
      <c r="U484" s="373">
        <v>20</v>
      </c>
      <c r="V484" s="2926" t="s">
        <v>5044</v>
      </c>
      <c r="W484" s="2926" t="s">
        <v>5045</v>
      </c>
      <c r="X484" s="2926" t="s">
        <v>5046</v>
      </c>
      <c r="Y484" s="2926" t="s">
        <v>5047</v>
      </c>
      <c r="Z484" s="2926" t="s">
        <v>5048</v>
      </c>
      <c r="AA484" s="371" t="s">
        <v>1706</v>
      </c>
    </row>
    <row r="485" spans="1:27" ht="12.75" customHeight="1" x14ac:dyDescent="0.2">
      <c r="A485" s="6418"/>
      <c r="B485" s="251" t="str">
        <f t="shared" si="11"/>
        <v>Libre acceso62</v>
      </c>
      <c r="D485" s="272" t="s">
        <v>1907</v>
      </c>
      <c r="E485" s="2931" t="s">
        <v>381</v>
      </c>
      <c r="F485" s="2931">
        <f t="shared" si="13"/>
        <v>62</v>
      </c>
      <c r="G485" s="2934" t="s">
        <v>1381</v>
      </c>
      <c r="H485" s="2934" t="s">
        <v>4019</v>
      </c>
      <c r="I485" s="376" t="s">
        <v>1304</v>
      </c>
      <c r="J485" s="2931">
        <v>8</v>
      </c>
      <c r="K485" s="2931">
        <v>11</v>
      </c>
      <c r="L485" s="2931">
        <v>13</v>
      </c>
      <c r="M485" s="373">
        <v>16</v>
      </c>
      <c r="N485" s="2931">
        <v>120</v>
      </c>
      <c r="O485" s="2931">
        <v>160</v>
      </c>
      <c r="P485" s="2931">
        <v>200</v>
      </c>
      <c r="Q485" s="373">
        <v>240</v>
      </c>
      <c r="R485" s="2931"/>
      <c r="S485" s="2931"/>
      <c r="T485" s="2931"/>
      <c r="U485" s="373"/>
      <c r="V485" s="2926" t="s">
        <v>3603</v>
      </c>
      <c r="W485" s="2926" t="s">
        <v>4581</v>
      </c>
      <c r="X485" s="2926" t="s">
        <v>3604</v>
      </c>
      <c r="Y485" s="2926" t="s">
        <v>4582</v>
      </c>
      <c r="Z485" s="2926" t="s">
        <v>5049</v>
      </c>
      <c r="AA485" s="371" t="s">
        <v>1708</v>
      </c>
    </row>
    <row r="486" spans="1:27" ht="12.75" customHeight="1" x14ac:dyDescent="0.2">
      <c r="A486" s="6418"/>
      <c r="B486" s="251" t="str">
        <f t="shared" si="11"/>
        <v>Libre acceso62</v>
      </c>
      <c r="D486" s="272" t="s">
        <v>461</v>
      </c>
      <c r="E486" s="2931" t="s">
        <v>381</v>
      </c>
      <c r="F486" s="2931">
        <f t="shared" si="13"/>
        <v>62</v>
      </c>
      <c r="G486" s="2934" t="s">
        <v>2087</v>
      </c>
      <c r="H486" s="2934" t="s">
        <v>4019</v>
      </c>
      <c r="I486" s="376" t="s">
        <v>1304</v>
      </c>
      <c r="J486" s="2931">
        <v>8</v>
      </c>
      <c r="K486" s="2931">
        <v>11</v>
      </c>
      <c r="L486" s="2931">
        <v>13</v>
      </c>
      <c r="M486" s="373">
        <v>16</v>
      </c>
      <c r="N486" s="2931">
        <v>120</v>
      </c>
      <c r="O486" s="2931">
        <v>180</v>
      </c>
      <c r="P486" s="2931">
        <v>220</v>
      </c>
      <c r="Q486" s="373">
        <v>280</v>
      </c>
      <c r="R486" s="2931">
        <v>15</v>
      </c>
      <c r="S486" s="2931">
        <v>20</v>
      </c>
      <c r="T486" s="2931">
        <v>25</v>
      </c>
      <c r="U486" s="373">
        <v>30</v>
      </c>
      <c r="V486" s="2926" t="s">
        <v>3603</v>
      </c>
      <c r="W486" s="2926" t="s">
        <v>4581</v>
      </c>
      <c r="X486" s="2926" t="s">
        <v>3604</v>
      </c>
      <c r="Y486" s="2926" t="s">
        <v>4582</v>
      </c>
      <c r="Z486" s="2926" t="s">
        <v>5050</v>
      </c>
      <c r="AA486" s="371" t="s">
        <v>1710</v>
      </c>
    </row>
    <row r="487" spans="1:27" ht="12.75" customHeight="1" x14ac:dyDescent="0.2">
      <c r="A487" s="6418"/>
      <c r="B487" s="251" t="str">
        <f t="shared" si="11"/>
        <v>Libre acceso62</v>
      </c>
      <c r="D487" s="272" t="s">
        <v>10420</v>
      </c>
      <c r="E487" s="2931" t="s">
        <v>381</v>
      </c>
      <c r="F487" s="2931">
        <f t="shared" si="13"/>
        <v>62</v>
      </c>
      <c r="G487" s="2934" t="s">
        <v>1381</v>
      </c>
      <c r="H487" s="2934" t="s">
        <v>1234</v>
      </c>
      <c r="I487" s="376" t="s">
        <v>1304</v>
      </c>
      <c r="J487" s="2931">
        <v>9</v>
      </c>
      <c r="K487" s="2931">
        <v>11</v>
      </c>
      <c r="L487" s="2931">
        <v>14</v>
      </c>
      <c r="M487" s="373">
        <v>16</v>
      </c>
      <c r="N487" s="2931">
        <v>100</v>
      </c>
      <c r="O487" s="2931">
        <v>120</v>
      </c>
      <c r="P487" s="2931">
        <v>140</v>
      </c>
      <c r="Q487" s="373">
        <v>160</v>
      </c>
      <c r="R487" s="2931">
        <v>10</v>
      </c>
      <c r="S487" s="2931">
        <v>15</v>
      </c>
      <c r="T487" s="2931">
        <v>15</v>
      </c>
      <c r="U487" s="373">
        <v>20</v>
      </c>
      <c r="V487" s="2926" t="s">
        <v>5044</v>
      </c>
      <c r="W487" s="2926" t="s">
        <v>5045</v>
      </c>
      <c r="X487" s="2926" t="s">
        <v>5046</v>
      </c>
      <c r="Y487" s="2926" t="s">
        <v>5047</v>
      </c>
      <c r="Z487" s="2926" t="s">
        <v>5051</v>
      </c>
      <c r="AA487" s="371" t="s">
        <v>1706</v>
      </c>
    </row>
    <row r="488" spans="1:27" ht="12.75" customHeight="1" x14ac:dyDescent="0.2">
      <c r="A488" s="6418"/>
      <c r="B488" s="251" t="str">
        <f t="shared" si="11"/>
        <v/>
      </c>
      <c r="D488" s="272" t="s">
        <v>462</v>
      </c>
      <c r="E488" s="2931"/>
      <c r="F488" s="2931"/>
      <c r="G488" s="2934"/>
      <c r="H488" s="2934"/>
      <c r="I488" s="376"/>
      <c r="J488" s="2931"/>
      <c r="K488" s="2931"/>
      <c r="L488" s="2931"/>
      <c r="M488" s="373"/>
      <c r="N488" s="2931"/>
      <c r="O488" s="2931"/>
      <c r="P488" s="2931"/>
      <c r="Q488" s="373"/>
      <c r="R488" s="2931"/>
      <c r="S488" s="2931"/>
      <c r="T488" s="2931"/>
      <c r="U488" s="373"/>
      <c r="V488" s="2926"/>
      <c r="W488" s="2926"/>
      <c r="X488" s="2926"/>
      <c r="Y488" s="2926"/>
      <c r="Z488" s="2926"/>
      <c r="AA488" s="371"/>
    </row>
    <row r="489" spans="1:27" ht="12.75" customHeight="1" x14ac:dyDescent="0.2">
      <c r="A489" s="6418"/>
      <c r="B489" s="251" t="str">
        <f t="shared" si="11"/>
        <v>Libre acceso72</v>
      </c>
      <c r="D489" s="272" t="s">
        <v>463</v>
      </c>
      <c r="E489" s="2931" t="s">
        <v>381</v>
      </c>
      <c r="F489" s="2931">
        <f>F476+10</f>
        <v>72</v>
      </c>
      <c r="G489" s="2934" t="s">
        <v>2087</v>
      </c>
      <c r="H489" s="2934" t="s">
        <v>4019</v>
      </c>
      <c r="I489" s="376" t="s">
        <v>1304</v>
      </c>
      <c r="J489" s="2931">
        <v>8</v>
      </c>
      <c r="K489" s="2931">
        <v>11</v>
      </c>
      <c r="L489" s="2931">
        <v>13</v>
      </c>
      <c r="M489" s="373">
        <v>16</v>
      </c>
      <c r="N489" s="2931">
        <v>150</v>
      </c>
      <c r="O489" s="2931">
        <v>200</v>
      </c>
      <c r="P489" s="2931">
        <v>250</v>
      </c>
      <c r="Q489" s="373">
        <v>300</v>
      </c>
      <c r="R489" s="2931">
        <v>15</v>
      </c>
      <c r="S489" s="2931">
        <v>20</v>
      </c>
      <c r="T489" s="2931">
        <v>25</v>
      </c>
      <c r="U489" s="373">
        <v>30</v>
      </c>
      <c r="V489" s="2926" t="s">
        <v>5052</v>
      </c>
      <c r="W489" s="2926" t="s">
        <v>5053</v>
      </c>
      <c r="X489" s="2926" t="s">
        <v>5054</v>
      </c>
      <c r="Y489" s="2926" t="s">
        <v>5055</v>
      </c>
      <c r="Z489" s="2926" t="s">
        <v>5056</v>
      </c>
      <c r="AA489" s="371" t="s">
        <v>10422</v>
      </c>
    </row>
    <row r="490" spans="1:27" ht="12.75" customHeight="1" x14ac:dyDescent="0.2">
      <c r="A490" s="6418"/>
      <c r="B490" s="251" t="str">
        <f t="shared" si="11"/>
        <v>Libre acceso72</v>
      </c>
      <c r="D490" s="272" t="s">
        <v>464</v>
      </c>
      <c r="E490" s="2931" t="s">
        <v>381</v>
      </c>
      <c r="F490" s="2931">
        <f t="shared" ref="F490:F500" si="14">F477+10</f>
        <v>72</v>
      </c>
      <c r="G490" s="2934" t="s">
        <v>1381</v>
      </c>
      <c r="H490" s="2934" t="s">
        <v>1234</v>
      </c>
      <c r="I490" s="376" t="s">
        <v>1304</v>
      </c>
      <c r="J490" s="2931">
        <v>9</v>
      </c>
      <c r="K490" s="2931">
        <v>11</v>
      </c>
      <c r="L490" s="2931">
        <v>13</v>
      </c>
      <c r="M490" s="373">
        <v>16</v>
      </c>
      <c r="N490" s="2931">
        <v>150</v>
      </c>
      <c r="O490" s="2931">
        <v>200</v>
      </c>
      <c r="P490" s="2931">
        <v>250</v>
      </c>
      <c r="Q490" s="373">
        <v>300</v>
      </c>
      <c r="R490" s="2931"/>
      <c r="S490" s="2931"/>
      <c r="T490" s="2931"/>
      <c r="U490" s="373"/>
      <c r="V490" s="2926" t="s">
        <v>5057</v>
      </c>
      <c r="W490" s="2926" t="s">
        <v>5058</v>
      </c>
      <c r="X490" s="2926" t="s">
        <v>5059</v>
      </c>
      <c r="Y490" s="2926" t="s">
        <v>5060</v>
      </c>
      <c r="Z490" s="2926" t="s">
        <v>5061</v>
      </c>
      <c r="AA490" s="371" t="s">
        <v>1602</v>
      </c>
    </row>
    <row r="491" spans="1:27" ht="12.75" customHeight="1" x14ac:dyDescent="0.2">
      <c r="A491" s="6418"/>
      <c r="B491" s="251" t="str">
        <f t="shared" si="11"/>
        <v>Libre acceso72</v>
      </c>
      <c r="D491" s="272" t="s">
        <v>465</v>
      </c>
      <c r="E491" s="2931" t="s">
        <v>381</v>
      </c>
      <c r="F491" s="2931">
        <f t="shared" si="14"/>
        <v>72</v>
      </c>
      <c r="G491" s="2934" t="s">
        <v>1381</v>
      </c>
      <c r="H491" s="2934" t="s">
        <v>4019</v>
      </c>
      <c r="I491" s="376" t="s">
        <v>1304</v>
      </c>
      <c r="J491" s="2931">
        <v>8</v>
      </c>
      <c r="K491" s="2931">
        <v>11</v>
      </c>
      <c r="L491" s="2931">
        <v>13</v>
      </c>
      <c r="M491" s="373">
        <v>16</v>
      </c>
      <c r="N491" s="2931">
        <v>120</v>
      </c>
      <c r="O491" s="2931">
        <v>180</v>
      </c>
      <c r="P491" s="2931">
        <v>240</v>
      </c>
      <c r="Q491" s="373">
        <v>300</v>
      </c>
      <c r="R491" s="2931">
        <v>15</v>
      </c>
      <c r="S491" s="2931">
        <v>20</v>
      </c>
      <c r="T491" s="2931">
        <v>25</v>
      </c>
      <c r="U491" s="373">
        <v>30</v>
      </c>
      <c r="V491" s="2926" t="s">
        <v>3589</v>
      </c>
      <c r="W491" s="2926" t="s">
        <v>3590</v>
      </c>
      <c r="X491" s="2926" t="s">
        <v>3321</v>
      </c>
      <c r="Y491" s="2926" t="s">
        <v>3775</v>
      </c>
      <c r="Z491" s="2926" t="s">
        <v>5062</v>
      </c>
      <c r="AA491" s="371" t="s">
        <v>1605</v>
      </c>
    </row>
    <row r="492" spans="1:27" ht="12.75" customHeight="1" x14ac:dyDescent="0.2">
      <c r="A492" s="6418"/>
      <c r="B492" s="251" t="str">
        <f t="shared" si="11"/>
        <v>Libre acceso72</v>
      </c>
      <c r="D492" s="272" t="s">
        <v>466</v>
      </c>
      <c r="E492" s="2931" t="s">
        <v>381</v>
      </c>
      <c r="F492" s="2931">
        <f t="shared" si="14"/>
        <v>72</v>
      </c>
      <c r="G492" s="2934" t="s">
        <v>1381</v>
      </c>
      <c r="H492" s="2934" t="s">
        <v>5076</v>
      </c>
      <c r="I492" s="376" t="s">
        <v>1305</v>
      </c>
      <c r="J492" s="2931">
        <v>9</v>
      </c>
      <c r="K492" s="2931">
        <v>11</v>
      </c>
      <c r="L492" s="2931">
        <v>13</v>
      </c>
      <c r="M492" s="373">
        <v>16</v>
      </c>
      <c r="N492" s="2931">
        <v>100</v>
      </c>
      <c r="O492" s="2931">
        <v>160</v>
      </c>
      <c r="P492" s="2931">
        <v>220</v>
      </c>
      <c r="Q492" s="373">
        <v>300</v>
      </c>
      <c r="R492" s="2931"/>
      <c r="S492" s="2931"/>
      <c r="T492" s="2931"/>
      <c r="U492" s="373"/>
      <c r="V492" s="2926" t="s">
        <v>3590</v>
      </c>
      <c r="W492" s="2926" t="s">
        <v>3486</v>
      </c>
      <c r="X492" s="2926" t="s">
        <v>3487</v>
      </c>
      <c r="Y492" s="2926" t="s">
        <v>3488</v>
      </c>
      <c r="Z492" s="2926" t="s">
        <v>5077</v>
      </c>
      <c r="AA492" s="371" t="s">
        <v>1609</v>
      </c>
    </row>
    <row r="493" spans="1:27" ht="12.75" customHeight="1" x14ac:dyDescent="0.2">
      <c r="A493" s="6418"/>
      <c r="B493" s="251" t="str">
        <f t="shared" si="11"/>
        <v>Libre acceso72</v>
      </c>
      <c r="D493" s="272" t="s">
        <v>3</v>
      </c>
      <c r="E493" s="2931" t="s">
        <v>381</v>
      </c>
      <c r="F493" s="2931">
        <f t="shared" si="14"/>
        <v>72</v>
      </c>
      <c r="G493" s="2934" t="s">
        <v>1381</v>
      </c>
      <c r="H493" s="2934" t="s">
        <v>1234</v>
      </c>
      <c r="I493" s="376" t="s">
        <v>1304</v>
      </c>
      <c r="J493" s="2931">
        <v>9</v>
      </c>
      <c r="K493" s="2931">
        <v>11</v>
      </c>
      <c r="L493" s="2931">
        <v>13</v>
      </c>
      <c r="M493" s="373">
        <v>16</v>
      </c>
      <c r="N493" s="2931">
        <v>160</v>
      </c>
      <c r="O493" s="2931">
        <v>200</v>
      </c>
      <c r="P493" s="2931">
        <v>240</v>
      </c>
      <c r="Q493" s="373">
        <v>280</v>
      </c>
      <c r="R493" s="2931">
        <v>20</v>
      </c>
      <c r="S493" s="2931">
        <v>20</v>
      </c>
      <c r="T493" s="2931">
        <v>25</v>
      </c>
      <c r="U493" s="373">
        <v>30</v>
      </c>
      <c r="V493" s="2926" t="s">
        <v>5070</v>
      </c>
      <c r="W493" s="2926" t="s">
        <v>5071</v>
      </c>
      <c r="X493" s="2926" t="s">
        <v>5072</v>
      </c>
      <c r="Y493" s="2926" t="s">
        <v>5073</v>
      </c>
      <c r="Z493" s="2926" t="s">
        <v>5074</v>
      </c>
      <c r="AA493" s="371" t="s">
        <v>1708</v>
      </c>
    </row>
    <row r="494" spans="1:27" ht="12.75" customHeight="1" x14ac:dyDescent="0.2">
      <c r="A494" s="6418"/>
      <c r="B494" s="251" t="str">
        <f t="shared" si="11"/>
        <v>Libre acceso72</v>
      </c>
      <c r="D494" s="272" t="s">
        <v>467</v>
      </c>
      <c r="E494" s="2931" t="s">
        <v>381</v>
      </c>
      <c r="F494" s="2931">
        <f t="shared" si="14"/>
        <v>72</v>
      </c>
      <c r="G494" s="2934" t="s">
        <v>1381</v>
      </c>
      <c r="H494" s="2934" t="s">
        <v>4019</v>
      </c>
      <c r="I494" s="376" t="s">
        <v>1304</v>
      </c>
      <c r="J494" s="2931">
        <v>9</v>
      </c>
      <c r="K494" s="2931">
        <v>11</v>
      </c>
      <c r="L494" s="2931">
        <v>13</v>
      </c>
      <c r="M494" s="373">
        <v>16</v>
      </c>
      <c r="N494" s="2931">
        <v>160</v>
      </c>
      <c r="O494" s="2931">
        <v>200</v>
      </c>
      <c r="P494" s="2931">
        <v>240</v>
      </c>
      <c r="Q494" s="373">
        <v>280</v>
      </c>
      <c r="R494" s="2931">
        <v>20</v>
      </c>
      <c r="S494" s="2931">
        <v>20</v>
      </c>
      <c r="T494" s="2931">
        <v>25</v>
      </c>
      <c r="U494" s="373">
        <v>30</v>
      </c>
      <c r="V494" s="2926" t="s">
        <v>3602</v>
      </c>
      <c r="W494" s="2926" t="s">
        <v>3603</v>
      </c>
      <c r="X494" s="2926" t="s">
        <v>4581</v>
      </c>
      <c r="Y494" s="2926" t="s">
        <v>3604</v>
      </c>
      <c r="Z494" s="2926" t="s">
        <v>5075</v>
      </c>
      <c r="AA494" s="371"/>
    </row>
    <row r="495" spans="1:27" ht="12.75" customHeight="1" x14ac:dyDescent="0.2">
      <c r="A495" s="6418"/>
      <c r="B495" s="251" t="str">
        <f t="shared" si="11"/>
        <v>Libre acceso72</v>
      </c>
      <c r="D495" s="272" t="s">
        <v>5063</v>
      </c>
      <c r="E495" s="2931" t="s">
        <v>381</v>
      </c>
      <c r="F495" s="2931">
        <f t="shared" si="14"/>
        <v>72</v>
      </c>
      <c r="G495" s="2934" t="s">
        <v>2087</v>
      </c>
      <c r="H495" s="2934" t="s">
        <v>5064</v>
      </c>
      <c r="I495" s="376" t="s">
        <v>1304</v>
      </c>
      <c r="J495" s="2931">
        <v>9</v>
      </c>
      <c r="K495" s="2931">
        <v>11</v>
      </c>
      <c r="L495" s="2931">
        <v>14</v>
      </c>
      <c r="M495" s="373">
        <v>16</v>
      </c>
      <c r="N495" s="2931">
        <v>100</v>
      </c>
      <c r="O495" s="2931">
        <v>120</v>
      </c>
      <c r="P495" s="2931">
        <v>140</v>
      </c>
      <c r="Q495" s="373">
        <v>160</v>
      </c>
      <c r="R495" s="2931">
        <v>10</v>
      </c>
      <c r="S495" s="2931">
        <v>15</v>
      </c>
      <c r="T495" s="2931">
        <v>15</v>
      </c>
      <c r="U495" s="373">
        <v>20</v>
      </c>
      <c r="V495" s="2926" t="s">
        <v>5065</v>
      </c>
      <c r="W495" s="2926" t="s">
        <v>5066</v>
      </c>
      <c r="X495" s="2926" t="s">
        <v>5067</v>
      </c>
      <c r="Y495" s="2926" t="s">
        <v>5068</v>
      </c>
      <c r="Z495" s="2926" t="s">
        <v>5069</v>
      </c>
      <c r="AA495" s="371" t="s">
        <v>1699</v>
      </c>
    </row>
    <row r="496" spans="1:27" ht="12.75" customHeight="1" x14ac:dyDescent="0.2">
      <c r="A496" s="6418"/>
      <c r="B496" s="251" t="str">
        <f t="shared" si="11"/>
        <v>Libre acceso72</v>
      </c>
      <c r="D496" s="272" t="s">
        <v>10099</v>
      </c>
      <c r="E496" s="2931" t="s">
        <v>381</v>
      </c>
      <c r="F496" s="2931">
        <f t="shared" si="14"/>
        <v>72</v>
      </c>
      <c r="G496" s="2934" t="s">
        <v>1381</v>
      </c>
      <c r="H496" s="2934" t="s">
        <v>1234</v>
      </c>
      <c r="I496" s="376" t="s">
        <v>1304</v>
      </c>
      <c r="J496" s="2931">
        <v>8</v>
      </c>
      <c r="K496" s="2931">
        <v>11</v>
      </c>
      <c r="L496" s="2931">
        <v>13</v>
      </c>
      <c r="M496" s="373">
        <v>16</v>
      </c>
      <c r="N496" s="2931">
        <v>100</v>
      </c>
      <c r="O496" s="2931">
        <v>120</v>
      </c>
      <c r="P496" s="2931">
        <v>140</v>
      </c>
      <c r="Q496" s="373">
        <v>160</v>
      </c>
      <c r="R496" s="2931">
        <v>5</v>
      </c>
      <c r="S496" s="2931">
        <v>10</v>
      </c>
      <c r="T496" s="2931">
        <v>10</v>
      </c>
      <c r="U496" s="373">
        <v>10</v>
      </c>
      <c r="V496" s="2926" t="s">
        <v>5078</v>
      </c>
      <c r="W496" s="2926" t="s">
        <v>5079</v>
      </c>
      <c r="X496" s="2926" t="s">
        <v>5080</v>
      </c>
      <c r="Y496" s="2926" t="s">
        <v>2672</v>
      </c>
      <c r="Z496" s="2926" t="s">
        <v>5081</v>
      </c>
      <c r="AA496" s="371" t="s">
        <v>1703</v>
      </c>
    </row>
    <row r="497" spans="1:27" ht="12.75" customHeight="1" x14ac:dyDescent="0.2">
      <c r="A497" s="6418"/>
      <c r="B497" s="251" t="str">
        <f t="shared" si="11"/>
        <v>Libre acceso72</v>
      </c>
      <c r="D497" s="272" t="s">
        <v>1751</v>
      </c>
      <c r="E497" s="2931" t="s">
        <v>381</v>
      </c>
      <c r="F497" s="2931">
        <f t="shared" si="14"/>
        <v>72</v>
      </c>
      <c r="G497" s="2934" t="s">
        <v>1381</v>
      </c>
      <c r="H497" s="2934" t="s">
        <v>1234</v>
      </c>
      <c r="I497" s="376" t="s">
        <v>1304</v>
      </c>
      <c r="J497" s="2931">
        <v>9</v>
      </c>
      <c r="K497" s="2931">
        <v>11</v>
      </c>
      <c r="L497" s="2931">
        <v>13</v>
      </c>
      <c r="M497" s="373">
        <v>16</v>
      </c>
      <c r="N497" s="2931">
        <v>80</v>
      </c>
      <c r="O497" s="2931">
        <v>120</v>
      </c>
      <c r="P497" s="2931">
        <v>160</v>
      </c>
      <c r="Q497" s="373">
        <v>200</v>
      </c>
      <c r="R497" s="2931">
        <v>10</v>
      </c>
      <c r="S497" s="2931">
        <v>10</v>
      </c>
      <c r="T497" s="2931">
        <v>15</v>
      </c>
      <c r="U497" s="373">
        <v>15</v>
      </c>
      <c r="V497" s="2926" t="s">
        <v>5082</v>
      </c>
      <c r="W497" s="2926" t="s">
        <v>5083</v>
      </c>
      <c r="X497" s="2926" t="s">
        <v>5084</v>
      </c>
      <c r="Y497" s="2926" t="s">
        <v>5085</v>
      </c>
      <c r="Z497" s="2926" t="s">
        <v>5086</v>
      </c>
      <c r="AA497" s="371" t="s">
        <v>1705</v>
      </c>
    </row>
    <row r="498" spans="1:27" ht="12.75" customHeight="1" x14ac:dyDescent="0.2">
      <c r="A498" s="6418"/>
      <c r="B498" s="251" t="str">
        <f t="shared" si="11"/>
        <v>Libre acceso72</v>
      </c>
      <c r="D498" s="272" t="s">
        <v>1748</v>
      </c>
      <c r="E498" s="2931" t="s">
        <v>381</v>
      </c>
      <c r="F498" s="2931">
        <f t="shared" si="14"/>
        <v>72</v>
      </c>
      <c r="G498" s="2934" t="s">
        <v>1381</v>
      </c>
      <c r="H498" s="2934" t="s">
        <v>1234</v>
      </c>
      <c r="I498" s="376" t="s">
        <v>1304</v>
      </c>
      <c r="J498" s="2931">
        <v>9</v>
      </c>
      <c r="K498" s="2931">
        <v>11</v>
      </c>
      <c r="L498" s="2931">
        <v>13</v>
      </c>
      <c r="M498" s="373">
        <v>16</v>
      </c>
      <c r="N498" s="2931">
        <v>80</v>
      </c>
      <c r="O498" s="2931">
        <v>120</v>
      </c>
      <c r="P498" s="2931">
        <v>160</v>
      </c>
      <c r="Q498" s="373">
        <v>200</v>
      </c>
      <c r="R498" s="2931">
        <v>10</v>
      </c>
      <c r="S498" s="2931">
        <v>10</v>
      </c>
      <c r="T498" s="2931">
        <v>15</v>
      </c>
      <c r="U498" s="373">
        <v>15</v>
      </c>
      <c r="V498" s="2926" t="s">
        <v>5087</v>
      </c>
      <c r="W498" s="2926" t="s">
        <v>5088</v>
      </c>
      <c r="X498" s="2926" t="s">
        <v>5089</v>
      </c>
      <c r="Y498" s="2926" t="s">
        <v>5090</v>
      </c>
      <c r="Z498" s="2926" t="s">
        <v>5091</v>
      </c>
      <c r="AA498" s="371" t="s">
        <v>1706</v>
      </c>
    </row>
    <row r="499" spans="1:27" ht="12.75" customHeight="1" x14ac:dyDescent="0.2">
      <c r="A499" s="6418"/>
      <c r="B499" s="251" t="str">
        <f t="shared" si="11"/>
        <v>Libre acceso72</v>
      </c>
      <c r="D499" s="272" t="s">
        <v>468</v>
      </c>
      <c r="E499" s="2931" t="s">
        <v>381</v>
      </c>
      <c r="F499" s="2931">
        <f t="shared" si="14"/>
        <v>72</v>
      </c>
      <c r="G499" s="2934" t="s">
        <v>2087</v>
      </c>
      <c r="H499" s="2934" t="s">
        <v>1235</v>
      </c>
      <c r="I499" s="376" t="s">
        <v>1304</v>
      </c>
      <c r="J499" s="2931">
        <v>9</v>
      </c>
      <c r="K499" s="2931">
        <v>11</v>
      </c>
      <c r="L499" s="2931">
        <v>14</v>
      </c>
      <c r="M499" s="373">
        <v>16</v>
      </c>
      <c r="N499" s="2931">
        <v>200</v>
      </c>
      <c r="O499" s="2931">
        <v>240</v>
      </c>
      <c r="P499" s="2931">
        <v>280</v>
      </c>
      <c r="Q499" s="373">
        <v>320</v>
      </c>
      <c r="R499" s="2931">
        <v>40</v>
      </c>
      <c r="S499" s="2931">
        <v>50</v>
      </c>
      <c r="T499" s="2931">
        <v>60</v>
      </c>
      <c r="U499" s="373">
        <v>65</v>
      </c>
      <c r="V499" s="2926" t="s">
        <v>4629</v>
      </c>
      <c r="W499" s="2926" t="s">
        <v>3786</v>
      </c>
      <c r="X499" s="2926" t="s">
        <v>4630</v>
      </c>
      <c r="Y499" s="2926" t="s">
        <v>4631</v>
      </c>
      <c r="Z499" s="2926" t="s">
        <v>5092</v>
      </c>
      <c r="AA499" s="371"/>
    </row>
    <row r="500" spans="1:27" ht="12.75" customHeight="1" x14ac:dyDescent="0.2">
      <c r="A500" s="6418"/>
      <c r="B500" s="251" t="str">
        <f t="shared" si="11"/>
        <v>Libre acceso72</v>
      </c>
      <c r="D500" s="272" t="s">
        <v>469</v>
      </c>
      <c r="E500" s="2931" t="s">
        <v>381</v>
      </c>
      <c r="F500" s="2931">
        <f t="shared" si="14"/>
        <v>72</v>
      </c>
      <c r="G500" s="2934" t="s">
        <v>1381</v>
      </c>
      <c r="H500" s="2934" t="s">
        <v>1234</v>
      </c>
      <c r="I500" s="376" t="s">
        <v>1304</v>
      </c>
      <c r="J500" s="2931">
        <v>9</v>
      </c>
      <c r="K500" s="2931">
        <v>11</v>
      </c>
      <c r="L500" s="2931">
        <v>13</v>
      </c>
      <c r="M500" s="373">
        <v>16</v>
      </c>
      <c r="N500" s="2931">
        <v>80</v>
      </c>
      <c r="O500" s="2931">
        <v>100</v>
      </c>
      <c r="P500" s="2931">
        <v>120</v>
      </c>
      <c r="Q500" s="373">
        <v>140</v>
      </c>
      <c r="R500" s="2931"/>
      <c r="S500" s="2931"/>
      <c r="T500" s="2931"/>
      <c r="U500" s="373"/>
      <c r="V500" s="2926" t="s">
        <v>5093</v>
      </c>
      <c r="W500" s="2926" t="s">
        <v>5094</v>
      </c>
      <c r="X500" s="2926" t="s">
        <v>5095</v>
      </c>
      <c r="Y500" s="2926" t="s">
        <v>5096</v>
      </c>
      <c r="Z500" s="2926" t="s">
        <v>5097</v>
      </c>
      <c r="AA500" s="371"/>
    </row>
    <row r="501" spans="1:27" ht="12.75" customHeight="1" x14ac:dyDescent="0.2">
      <c r="A501" s="6418"/>
      <c r="B501" s="251" t="str">
        <f t="shared" si="11"/>
        <v/>
      </c>
      <c r="D501" s="272" t="s">
        <v>470</v>
      </c>
      <c r="E501" s="2931"/>
      <c r="F501" s="2931"/>
      <c r="G501" s="2934"/>
      <c r="H501" s="2934"/>
      <c r="I501" s="376"/>
      <c r="J501" s="2931"/>
      <c r="K501" s="2931"/>
      <c r="L501" s="2931"/>
      <c r="M501" s="373"/>
      <c r="N501" s="2931"/>
      <c r="O501" s="2931"/>
      <c r="P501" s="2931"/>
      <c r="Q501" s="373"/>
      <c r="R501" s="2931"/>
      <c r="S501" s="2931"/>
      <c r="T501" s="2931"/>
      <c r="U501" s="373"/>
      <c r="V501" s="2926"/>
      <c r="W501" s="2926"/>
      <c r="X501" s="2926"/>
      <c r="Y501" s="2926"/>
      <c r="Z501" s="2926"/>
      <c r="AA501" s="371"/>
    </row>
    <row r="502" spans="1:27" ht="12.75" customHeight="1" x14ac:dyDescent="0.2">
      <c r="A502" s="6418"/>
      <c r="B502" s="251" t="str">
        <f t="shared" si="11"/>
        <v>Libre acceso82</v>
      </c>
      <c r="D502" s="272" t="s">
        <v>471</v>
      </c>
      <c r="E502" s="2931" t="s">
        <v>381</v>
      </c>
      <c r="F502" s="2931">
        <f>F489+10</f>
        <v>82</v>
      </c>
      <c r="G502" s="2934" t="s">
        <v>2087</v>
      </c>
      <c r="H502" s="2934" t="s">
        <v>1234</v>
      </c>
      <c r="I502" s="376" t="s">
        <v>1304</v>
      </c>
      <c r="J502" s="2931">
        <v>10</v>
      </c>
      <c r="K502" s="2931">
        <v>13</v>
      </c>
      <c r="L502" s="2931">
        <v>15</v>
      </c>
      <c r="M502" s="373">
        <v>17</v>
      </c>
      <c r="N502" s="2931">
        <v>300</v>
      </c>
      <c r="O502" s="2931">
        <v>400</v>
      </c>
      <c r="P502" s="2931">
        <v>500</v>
      </c>
      <c r="Q502" s="373">
        <v>600</v>
      </c>
      <c r="R502" s="2931">
        <v>15</v>
      </c>
      <c r="S502" s="2931">
        <v>20</v>
      </c>
      <c r="T502" s="2931">
        <v>25</v>
      </c>
      <c r="U502" s="373">
        <v>30</v>
      </c>
      <c r="V502" s="2926" t="s">
        <v>3918</v>
      </c>
      <c r="W502" s="2926" t="s">
        <v>5098</v>
      </c>
      <c r="X502" s="2926" t="s">
        <v>5099</v>
      </c>
      <c r="Y502" s="2926" t="s">
        <v>5100</v>
      </c>
      <c r="Z502" s="2926" t="s">
        <v>5101</v>
      </c>
      <c r="AA502" s="371" t="s">
        <v>1706</v>
      </c>
    </row>
    <row r="503" spans="1:27" ht="12.75" customHeight="1" x14ac:dyDescent="0.2">
      <c r="A503" s="6418"/>
      <c r="B503" s="251" t="str">
        <f t="shared" si="11"/>
        <v>Libre acceso82</v>
      </c>
      <c r="D503" s="272" t="s">
        <v>1328</v>
      </c>
      <c r="E503" s="2931" t="s">
        <v>381</v>
      </c>
      <c r="F503" s="2931">
        <f t="shared" ref="F503:F513" si="15">F490+10</f>
        <v>82</v>
      </c>
      <c r="G503" s="2934" t="s">
        <v>1381</v>
      </c>
      <c r="H503" s="2934" t="s">
        <v>1236</v>
      </c>
      <c r="I503" s="376" t="s">
        <v>1304</v>
      </c>
      <c r="J503" s="2931">
        <v>10</v>
      </c>
      <c r="K503" s="2931">
        <v>12</v>
      </c>
      <c r="L503" s="2931">
        <v>14</v>
      </c>
      <c r="M503" s="373">
        <v>16</v>
      </c>
      <c r="N503" s="2931">
        <v>300</v>
      </c>
      <c r="O503" s="2931">
        <v>360</v>
      </c>
      <c r="P503" s="2931">
        <v>420</v>
      </c>
      <c r="Q503" s="373">
        <v>480</v>
      </c>
      <c r="R503" s="2931"/>
      <c r="S503" s="2931"/>
      <c r="T503" s="2931"/>
      <c r="U503" s="373"/>
      <c r="V503" s="2926" t="s">
        <v>5102</v>
      </c>
      <c r="W503" s="2926" t="s">
        <v>5103</v>
      </c>
      <c r="X503" s="2926" t="s">
        <v>5104</v>
      </c>
      <c r="Y503" s="2926" t="s">
        <v>5105</v>
      </c>
      <c r="Z503" s="2926" t="s">
        <v>5106</v>
      </c>
      <c r="AA503" s="371" t="s">
        <v>1699</v>
      </c>
    </row>
    <row r="504" spans="1:27" ht="12.75" customHeight="1" x14ac:dyDescent="0.2">
      <c r="A504" s="6418"/>
      <c r="B504" s="251" t="str">
        <f t="shared" si="11"/>
        <v>Libre acceso82</v>
      </c>
      <c r="D504" s="272" t="s">
        <v>472</v>
      </c>
      <c r="E504" s="2931" t="s">
        <v>381</v>
      </c>
      <c r="F504" s="2931">
        <f t="shared" si="15"/>
        <v>82</v>
      </c>
      <c r="G504" s="2934" t="s">
        <v>1381</v>
      </c>
      <c r="H504" s="2934" t="s">
        <v>1234</v>
      </c>
      <c r="I504" s="376" t="s">
        <v>1304</v>
      </c>
      <c r="J504" s="2931">
        <v>10</v>
      </c>
      <c r="K504" s="2931">
        <v>13</v>
      </c>
      <c r="L504" s="2931">
        <v>15</v>
      </c>
      <c r="M504" s="373">
        <v>17</v>
      </c>
      <c r="N504" s="2931">
        <v>200</v>
      </c>
      <c r="O504" s="2931">
        <v>250</v>
      </c>
      <c r="P504" s="2931">
        <v>320</v>
      </c>
      <c r="Q504" s="373">
        <v>400</v>
      </c>
      <c r="R504" s="2931"/>
      <c r="S504" s="2931"/>
      <c r="T504" s="2931"/>
      <c r="U504" s="373"/>
      <c r="V504" s="2926" t="s">
        <v>3403</v>
      </c>
      <c r="W504" s="2926" t="s">
        <v>3404</v>
      </c>
      <c r="X504" s="2926" t="s">
        <v>3574</v>
      </c>
      <c r="Y504" s="2926" t="s">
        <v>4306</v>
      </c>
      <c r="Z504" s="2926" t="s">
        <v>5107</v>
      </c>
      <c r="AA504" s="371" t="s">
        <v>1705</v>
      </c>
    </row>
    <row r="505" spans="1:27" ht="12.75" customHeight="1" x14ac:dyDescent="0.2">
      <c r="A505" s="6418"/>
      <c r="B505" s="251" t="str">
        <f t="shared" si="11"/>
        <v>Libre acceso82</v>
      </c>
      <c r="D505" s="272" t="s">
        <v>473</v>
      </c>
      <c r="E505" s="2931" t="s">
        <v>381</v>
      </c>
      <c r="F505" s="2931">
        <f t="shared" si="15"/>
        <v>82</v>
      </c>
      <c r="G505" s="2934" t="s">
        <v>2087</v>
      </c>
      <c r="H505" s="2934" t="s">
        <v>1234</v>
      </c>
      <c r="I505" s="376" t="s">
        <v>1304</v>
      </c>
      <c r="J505" s="2931">
        <v>10</v>
      </c>
      <c r="K505" s="2931">
        <v>12</v>
      </c>
      <c r="L505" s="2931">
        <v>14</v>
      </c>
      <c r="M505" s="373">
        <v>16</v>
      </c>
      <c r="N505" s="2931">
        <v>300</v>
      </c>
      <c r="O505" s="2931">
        <v>360</v>
      </c>
      <c r="P505" s="2931">
        <v>420</v>
      </c>
      <c r="Q505" s="373">
        <v>480</v>
      </c>
      <c r="R505" s="2931">
        <v>15</v>
      </c>
      <c r="S505" s="2931">
        <v>20</v>
      </c>
      <c r="T505" s="2931">
        <v>25</v>
      </c>
      <c r="U505" s="373">
        <v>25</v>
      </c>
      <c r="V505" s="2926" t="s">
        <v>3918</v>
      </c>
      <c r="W505" s="2926" t="s">
        <v>5108</v>
      </c>
      <c r="X505" s="2926" t="s">
        <v>5109</v>
      </c>
      <c r="Y505" s="2926" t="s">
        <v>5110</v>
      </c>
      <c r="Z505" s="2926" t="s">
        <v>7058</v>
      </c>
      <c r="AA505" s="371" t="s">
        <v>1708</v>
      </c>
    </row>
    <row r="506" spans="1:27" ht="12.75" customHeight="1" x14ac:dyDescent="0.2">
      <c r="A506" s="6418"/>
      <c r="B506" s="251" t="str">
        <f t="shared" si="11"/>
        <v>Libre acceso82</v>
      </c>
      <c r="D506" s="272" t="s">
        <v>474</v>
      </c>
      <c r="E506" s="2931" t="s">
        <v>381</v>
      </c>
      <c r="F506" s="2931">
        <f t="shared" si="15"/>
        <v>82</v>
      </c>
      <c r="G506" s="2934" t="s">
        <v>2087</v>
      </c>
      <c r="H506" s="2934" t="s">
        <v>1234</v>
      </c>
      <c r="I506" s="376" t="s">
        <v>1304</v>
      </c>
      <c r="J506" s="2931">
        <v>10</v>
      </c>
      <c r="K506" s="2931">
        <v>12</v>
      </c>
      <c r="L506" s="2931">
        <v>14</v>
      </c>
      <c r="M506" s="373">
        <v>16</v>
      </c>
      <c r="N506" s="2931">
        <v>200</v>
      </c>
      <c r="O506" s="2931">
        <v>240</v>
      </c>
      <c r="P506" s="2931">
        <v>280</v>
      </c>
      <c r="Q506" s="373">
        <v>320</v>
      </c>
      <c r="R506" s="2931">
        <v>10</v>
      </c>
      <c r="S506" s="2931">
        <v>15</v>
      </c>
      <c r="T506" s="2931">
        <v>15</v>
      </c>
      <c r="U506" s="373">
        <v>20</v>
      </c>
      <c r="V506" s="2926" t="s">
        <v>3652</v>
      </c>
      <c r="W506" s="2926" t="s">
        <v>3403</v>
      </c>
      <c r="X506" s="2926" t="s">
        <v>3404</v>
      </c>
      <c r="Y506" s="2926" t="s">
        <v>3574</v>
      </c>
      <c r="Z506" s="2926" t="s">
        <v>5111</v>
      </c>
      <c r="AA506" s="371" t="s">
        <v>1708</v>
      </c>
    </row>
    <row r="507" spans="1:27" ht="12.75" customHeight="1" x14ac:dyDescent="0.2">
      <c r="A507" s="6418"/>
      <c r="B507" s="251" t="str">
        <f t="shared" si="11"/>
        <v>Libre acceso82</v>
      </c>
      <c r="D507" s="272" t="s">
        <v>475</v>
      </c>
      <c r="E507" s="2931" t="s">
        <v>381</v>
      </c>
      <c r="F507" s="2931">
        <f t="shared" si="15"/>
        <v>82</v>
      </c>
      <c r="G507" s="2934" t="s">
        <v>2087</v>
      </c>
      <c r="H507" s="2934" t="s">
        <v>1234</v>
      </c>
      <c r="I507" s="376" t="s">
        <v>1304</v>
      </c>
      <c r="J507" s="2931">
        <v>10</v>
      </c>
      <c r="K507" s="2931">
        <v>12</v>
      </c>
      <c r="L507" s="2931">
        <v>14</v>
      </c>
      <c r="M507" s="373">
        <v>16</v>
      </c>
      <c r="N507" s="2931">
        <v>200</v>
      </c>
      <c r="O507" s="2931">
        <v>300</v>
      </c>
      <c r="P507" s="2931">
        <v>360</v>
      </c>
      <c r="Q507" s="373">
        <v>420</v>
      </c>
      <c r="R507" s="2931">
        <v>20</v>
      </c>
      <c r="S507" s="2931">
        <v>30</v>
      </c>
      <c r="T507" s="2931">
        <v>40</v>
      </c>
      <c r="U507" s="373">
        <v>45</v>
      </c>
      <c r="V507" s="2926" t="s">
        <v>5112</v>
      </c>
      <c r="W507" s="2926" t="s">
        <v>5113</v>
      </c>
      <c r="X507" s="2926" t="s">
        <v>5114</v>
      </c>
      <c r="Y507" s="2926" t="s">
        <v>5115</v>
      </c>
      <c r="Z507" s="2926" t="s">
        <v>5116</v>
      </c>
      <c r="AA507" s="371"/>
    </row>
    <row r="508" spans="1:27" ht="12.75" customHeight="1" x14ac:dyDescent="0.2">
      <c r="A508" s="6418"/>
      <c r="B508" s="251" t="str">
        <f t="shared" si="11"/>
        <v>Libre acceso82</v>
      </c>
      <c r="D508" s="272" t="s">
        <v>476</v>
      </c>
      <c r="E508" s="2931" t="s">
        <v>381</v>
      </c>
      <c r="F508" s="2931">
        <f t="shared" si="15"/>
        <v>82</v>
      </c>
      <c r="G508" s="2934" t="s">
        <v>1381</v>
      </c>
      <c r="H508" s="2934" t="s">
        <v>1235</v>
      </c>
      <c r="I508" s="376" t="s">
        <v>1304</v>
      </c>
      <c r="J508" s="2931">
        <v>10</v>
      </c>
      <c r="K508" s="2931">
        <v>12</v>
      </c>
      <c r="L508" s="2931">
        <v>14</v>
      </c>
      <c r="M508" s="373">
        <v>16</v>
      </c>
      <c r="N508" s="2931">
        <v>200</v>
      </c>
      <c r="O508" s="2931">
        <v>280</v>
      </c>
      <c r="P508" s="2931">
        <v>340</v>
      </c>
      <c r="Q508" s="373">
        <v>400</v>
      </c>
      <c r="R508" s="2931"/>
      <c r="S508" s="2931"/>
      <c r="T508" s="2931"/>
      <c r="U508" s="373" t="s">
        <v>3582</v>
      </c>
      <c r="V508" s="2926" t="s">
        <v>5117</v>
      </c>
      <c r="W508" s="2926" t="s">
        <v>5118</v>
      </c>
      <c r="X508" s="2926" t="s">
        <v>5119</v>
      </c>
      <c r="Y508" s="2926" t="s">
        <v>5120</v>
      </c>
      <c r="Z508" s="2926" t="s">
        <v>5121</v>
      </c>
      <c r="AA508" s="371"/>
    </row>
    <row r="509" spans="1:27" ht="12.75" customHeight="1" x14ac:dyDescent="0.2">
      <c r="A509" s="6418"/>
      <c r="B509" s="251" t="str">
        <f t="shared" si="11"/>
        <v>Libre acceso82</v>
      </c>
      <c r="D509" s="272" t="s">
        <v>477</v>
      </c>
      <c r="E509" s="2931" t="s">
        <v>381</v>
      </c>
      <c r="F509" s="2931">
        <f t="shared" si="15"/>
        <v>82</v>
      </c>
      <c r="G509" s="2934" t="s">
        <v>2087</v>
      </c>
      <c r="H509" s="2934" t="s">
        <v>1234</v>
      </c>
      <c r="I509" s="376" t="s">
        <v>1304</v>
      </c>
      <c r="J509" s="2931">
        <v>10</v>
      </c>
      <c r="K509" s="2931">
        <v>13</v>
      </c>
      <c r="L509" s="2931">
        <v>15</v>
      </c>
      <c r="M509" s="373">
        <v>17</v>
      </c>
      <c r="N509" s="2931">
        <v>350</v>
      </c>
      <c r="O509" s="2931">
        <v>420</v>
      </c>
      <c r="P509" s="2931">
        <v>480</v>
      </c>
      <c r="Q509" s="373">
        <v>540</v>
      </c>
      <c r="R509" s="2931">
        <v>70</v>
      </c>
      <c r="S509" s="2931">
        <v>85</v>
      </c>
      <c r="T509" s="2931">
        <v>100</v>
      </c>
      <c r="U509" s="373">
        <v>110</v>
      </c>
      <c r="V509" s="2926" t="s">
        <v>4873</v>
      </c>
      <c r="W509" s="2926" t="s">
        <v>5122</v>
      </c>
      <c r="X509" s="2926" t="s">
        <v>5123</v>
      </c>
      <c r="Y509" s="2926" t="s">
        <v>5124</v>
      </c>
      <c r="Z509" s="2926" t="s">
        <v>5125</v>
      </c>
      <c r="AA509" s="371"/>
    </row>
    <row r="510" spans="1:27" ht="12.75" customHeight="1" x14ac:dyDescent="0.2">
      <c r="A510" s="6418"/>
      <c r="B510" s="251" t="str">
        <f t="shared" si="11"/>
        <v>Libre acceso82</v>
      </c>
      <c r="D510" s="272" t="s">
        <v>478</v>
      </c>
      <c r="E510" s="2931" t="s">
        <v>381</v>
      </c>
      <c r="F510" s="2931">
        <f t="shared" si="15"/>
        <v>82</v>
      </c>
      <c r="G510" s="2934" t="s">
        <v>2087</v>
      </c>
      <c r="H510" s="2934" t="s">
        <v>1234</v>
      </c>
      <c r="I510" s="376" t="s">
        <v>1304</v>
      </c>
      <c r="J510" s="2931">
        <v>10</v>
      </c>
      <c r="K510" s="2931">
        <v>12</v>
      </c>
      <c r="L510" s="2931">
        <v>14</v>
      </c>
      <c r="M510" s="373">
        <v>16</v>
      </c>
      <c r="N510" s="2931">
        <v>200</v>
      </c>
      <c r="O510" s="2931">
        <v>240</v>
      </c>
      <c r="P510" s="2931">
        <v>280</v>
      </c>
      <c r="Q510" s="373">
        <v>320</v>
      </c>
      <c r="R510" s="2931">
        <v>10</v>
      </c>
      <c r="S510" s="2931">
        <v>15</v>
      </c>
      <c r="T510" s="2931">
        <v>20</v>
      </c>
      <c r="U510" s="373">
        <v>20</v>
      </c>
      <c r="V510" s="2926" t="s">
        <v>5126</v>
      </c>
      <c r="W510" s="2926" t="s">
        <v>5127</v>
      </c>
      <c r="X510" s="2926" t="s">
        <v>5128</v>
      </c>
      <c r="Y510" s="2926" t="s">
        <v>5129</v>
      </c>
      <c r="Z510" s="2926" t="s">
        <v>5130</v>
      </c>
      <c r="AA510" s="371" t="s">
        <v>1706</v>
      </c>
    </row>
    <row r="511" spans="1:27" ht="12.75" customHeight="1" x14ac:dyDescent="0.2">
      <c r="A511" s="6418"/>
      <c r="B511" s="251" t="str">
        <f t="shared" si="11"/>
        <v>Libre acceso82</v>
      </c>
      <c r="D511" s="272" t="s">
        <v>479</v>
      </c>
      <c r="E511" s="2931" t="s">
        <v>381</v>
      </c>
      <c r="F511" s="2931">
        <f t="shared" si="15"/>
        <v>82</v>
      </c>
      <c r="G511" s="2934" t="s">
        <v>1381</v>
      </c>
      <c r="H511" s="2934" t="s">
        <v>1235</v>
      </c>
      <c r="I511" s="376" t="s">
        <v>1305</v>
      </c>
      <c r="J511" s="2931">
        <v>10</v>
      </c>
      <c r="K511" s="2931">
        <v>12</v>
      </c>
      <c r="L511" s="2931">
        <v>14</v>
      </c>
      <c r="M511" s="373">
        <v>16</v>
      </c>
      <c r="N511" s="2931">
        <v>150</v>
      </c>
      <c r="O511" s="2931">
        <v>200</v>
      </c>
      <c r="P511" s="2931">
        <v>240</v>
      </c>
      <c r="Q511" s="373">
        <v>280</v>
      </c>
      <c r="R511" s="2931"/>
      <c r="S511" s="2931"/>
      <c r="T511" s="2931"/>
      <c r="U511" s="373" t="s">
        <v>3582</v>
      </c>
      <c r="V511" s="2926" t="s">
        <v>5131</v>
      </c>
      <c r="W511" s="2926" t="s">
        <v>5132</v>
      </c>
      <c r="X511" s="2926" t="s">
        <v>5133</v>
      </c>
      <c r="Y511" s="2926" t="s">
        <v>5134</v>
      </c>
      <c r="Z511" s="2926" t="s">
        <v>5135</v>
      </c>
      <c r="AA511" s="371"/>
    </row>
    <row r="512" spans="1:27" ht="12.75" customHeight="1" x14ac:dyDescent="0.2">
      <c r="A512" s="6418"/>
      <c r="B512" s="251" t="str">
        <f t="shared" si="11"/>
        <v>Libre acceso82</v>
      </c>
      <c r="D512" s="272" t="s">
        <v>115</v>
      </c>
      <c r="E512" s="2931" t="s">
        <v>381</v>
      </c>
      <c r="F512" s="2931">
        <f t="shared" si="15"/>
        <v>82</v>
      </c>
      <c r="G512" s="2934" t="s">
        <v>1381</v>
      </c>
      <c r="H512" s="2934" t="s">
        <v>1234</v>
      </c>
      <c r="I512" s="376" t="s">
        <v>1304</v>
      </c>
      <c r="J512" s="2931">
        <v>10</v>
      </c>
      <c r="K512" s="2931">
        <v>12</v>
      </c>
      <c r="L512" s="2931">
        <v>14</v>
      </c>
      <c r="M512" s="373">
        <v>16</v>
      </c>
      <c r="N512" s="2931">
        <v>300</v>
      </c>
      <c r="O512" s="2931">
        <v>480</v>
      </c>
      <c r="P512" s="2931">
        <v>560</v>
      </c>
      <c r="Q512" s="373">
        <v>640</v>
      </c>
      <c r="R512" s="2931"/>
      <c r="S512" s="2931"/>
      <c r="T512" s="2931"/>
      <c r="U512" s="373" t="s">
        <v>3582</v>
      </c>
      <c r="V512" s="2926" t="s">
        <v>5136</v>
      </c>
      <c r="W512" s="2926" t="s">
        <v>5137</v>
      </c>
      <c r="X512" s="2926" t="s">
        <v>5138</v>
      </c>
      <c r="Y512" s="2926" t="s">
        <v>5139</v>
      </c>
      <c r="Z512" s="2926" t="s">
        <v>5140</v>
      </c>
      <c r="AA512" s="371" t="s">
        <v>1703</v>
      </c>
    </row>
    <row r="513" spans="1:27" ht="12.75" customHeight="1" x14ac:dyDescent="0.2">
      <c r="A513" s="6418"/>
      <c r="B513" s="251" t="str">
        <f t="shared" si="11"/>
        <v>Libre acceso82</v>
      </c>
      <c r="D513" s="272" t="s">
        <v>480</v>
      </c>
      <c r="E513" s="2931" t="s">
        <v>381</v>
      </c>
      <c r="F513" s="2931">
        <f t="shared" si="15"/>
        <v>82</v>
      </c>
      <c r="G513" s="2934" t="s">
        <v>2087</v>
      </c>
      <c r="H513" s="2934" t="s">
        <v>1234</v>
      </c>
      <c r="I513" s="376" t="s">
        <v>1304</v>
      </c>
      <c r="J513" s="2931">
        <v>10</v>
      </c>
      <c r="K513" s="2931">
        <v>12</v>
      </c>
      <c r="L513" s="2931">
        <v>14</v>
      </c>
      <c r="M513" s="373">
        <v>16</v>
      </c>
      <c r="N513" s="2931">
        <v>500</v>
      </c>
      <c r="O513" s="2931">
        <v>600</v>
      </c>
      <c r="P513" s="2931">
        <v>700</v>
      </c>
      <c r="Q513" s="373">
        <v>800</v>
      </c>
      <c r="R513" s="2931">
        <v>25</v>
      </c>
      <c r="S513" s="2931">
        <v>30</v>
      </c>
      <c r="T513" s="2931">
        <v>35</v>
      </c>
      <c r="U513" s="373">
        <v>40</v>
      </c>
      <c r="V513" s="2926" t="s">
        <v>5141</v>
      </c>
      <c r="W513" s="2926" t="s">
        <v>5142</v>
      </c>
      <c r="X513" s="2926" t="s">
        <v>5143</v>
      </c>
      <c r="Y513" s="2926" t="s">
        <v>5144</v>
      </c>
      <c r="Z513" s="2926" t="s">
        <v>5145</v>
      </c>
      <c r="AA513" s="371"/>
    </row>
    <row r="514" spans="1:27" ht="12.75" customHeight="1" x14ac:dyDescent="0.2">
      <c r="A514" s="6418"/>
      <c r="B514" s="251" t="str">
        <f t="shared" si="11"/>
        <v/>
      </c>
      <c r="D514" s="272" t="s">
        <v>481</v>
      </c>
      <c r="E514" s="2931"/>
      <c r="F514" s="2931"/>
      <c r="G514" s="2934"/>
      <c r="H514" s="2934"/>
      <c r="I514" s="376"/>
      <c r="J514" s="2931"/>
      <c r="K514" s="2931"/>
      <c r="L514" s="2931"/>
      <c r="M514" s="373"/>
      <c r="N514" s="2931"/>
      <c r="O514" s="2931"/>
      <c r="P514" s="2931"/>
      <c r="Q514" s="373"/>
      <c r="R514" s="2931"/>
      <c r="S514" s="2931"/>
      <c r="T514" s="2931"/>
      <c r="U514" s="373"/>
      <c r="V514" s="2926"/>
      <c r="W514" s="2926"/>
      <c r="X514" s="2926"/>
      <c r="Y514" s="2926"/>
      <c r="Z514" s="2926"/>
      <c r="AA514" s="371"/>
    </row>
    <row r="515" spans="1:27" ht="12.75" customHeight="1" x14ac:dyDescent="0.2">
      <c r="A515" s="6418"/>
      <c r="B515" s="251" t="str">
        <f t="shared" si="11"/>
        <v>Libre acceso92</v>
      </c>
      <c r="D515" s="272" t="s">
        <v>482</v>
      </c>
      <c r="E515" s="2931" t="s">
        <v>381</v>
      </c>
      <c r="F515" s="2931">
        <f>F502+10</f>
        <v>92</v>
      </c>
      <c r="G515" s="2934" t="s">
        <v>1381</v>
      </c>
      <c r="H515" s="2934" t="s">
        <v>5146</v>
      </c>
      <c r="I515" s="376" t="s">
        <v>1304</v>
      </c>
      <c r="J515" s="2931">
        <v>10</v>
      </c>
      <c r="K515" s="2931">
        <v>12</v>
      </c>
      <c r="L515" s="2931">
        <v>14</v>
      </c>
      <c r="M515" s="373">
        <v>16</v>
      </c>
      <c r="N515" s="2931">
        <v>200</v>
      </c>
      <c r="O515" s="2931">
        <v>300</v>
      </c>
      <c r="P515" s="2931">
        <v>360</v>
      </c>
      <c r="Q515" s="373">
        <v>420</v>
      </c>
      <c r="R515" s="2931"/>
      <c r="S515" s="2931"/>
      <c r="T515" s="2931"/>
      <c r="U515" s="373" t="s">
        <v>3582</v>
      </c>
      <c r="V515" s="2926" t="s">
        <v>4873</v>
      </c>
      <c r="W515" s="2926" t="s">
        <v>5147</v>
      </c>
      <c r="X515" s="2926" t="s">
        <v>5148</v>
      </c>
      <c r="Y515" s="2926" t="s">
        <v>5149</v>
      </c>
      <c r="Z515" s="2926" t="s">
        <v>5150</v>
      </c>
      <c r="AA515" s="371" t="s">
        <v>1706</v>
      </c>
    </row>
    <row r="516" spans="1:27" ht="12.75" customHeight="1" x14ac:dyDescent="0.2">
      <c r="A516" s="6418"/>
      <c r="B516" s="251" t="str">
        <f t="shared" si="11"/>
        <v>Libre acceso92</v>
      </c>
      <c r="D516" s="272" t="s">
        <v>483</v>
      </c>
      <c r="E516" s="2931" t="s">
        <v>381</v>
      </c>
      <c r="F516" s="2931">
        <f t="shared" ref="F516:F526" si="16">F503+10</f>
        <v>92</v>
      </c>
      <c r="G516" s="2934" t="s">
        <v>2087</v>
      </c>
      <c r="H516" s="2934" t="s">
        <v>1234</v>
      </c>
      <c r="I516" s="376" t="s">
        <v>1304</v>
      </c>
      <c r="J516" s="2931">
        <v>11</v>
      </c>
      <c r="K516" s="2931">
        <v>13</v>
      </c>
      <c r="L516" s="2931">
        <v>15</v>
      </c>
      <c r="M516" s="373">
        <v>17</v>
      </c>
      <c r="N516" s="2931">
        <v>300</v>
      </c>
      <c r="O516" s="2931">
        <v>400</v>
      </c>
      <c r="P516" s="2931">
        <v>500</v>
      </c>
      <c r="Q516" s="373">
        <v>600</v>
      </c>
      <c r="R516" s="2931">
        <v>30</v>
      </c>
      <c r="S516" s="2931">
        <v>40</v>
      </c>
      <c r="T516" s="2931">
        <v>50</v>
      </c>
      <c r="U516" s="373">
        <v>60</v>
      </c>
      <c r="V516" s="2926" t="s">
        <v>5151</v>
      </c>
      <c r="W516" s="2926" t="s">
        <v>5152</v>
      </c>
      <c r="X516" s="2926" t="s">
        <v>5153</v>
      </c>
      <c r="Y516" s="2926" t="s">
        <v>5154</v>
      </c>
      <c r="Z516" s="2926" t="s">
        <v>5155</v>
      </c>
      <c r="AA516" s="371"/>
    </row>
    <row r="517" spans="1:27" ht="12.75" customHeight="1" x14ac:dyDescent="0.2">
      <c r="A517" s="6418"/>
      <c r="B517" s="251" t="str">
        <f t="shared" si="11"/>
        <v>Libre acceso92</v>
      </c>
      <c r="D517" s="272" t="s">
        <v>484</v>
      </c>
      <c r="E517" s="2931" t="s">
        <v>381</v>
      </c>
      <c r="F517" s="2931">
        <f t="shared" si="16"/>
        <v>92</v>
      </c>
      <c r="G517" s="2934" t="s">
        <v>1381</v>
      </c>
      <c r="H517" s="2934" t="s">
        <v>1234</v>
      </c>
      <c r="I517" s="376" t="s">
        <v>1304</v>
      </c>
      <c r="J517" s="2931">
        <v>11</v>
      </c>
      <c r="K517" s="2931">
        <v>13</v>
      </c>
      <c r="L517" s="2931">
        <v>15</v>
      </c>
      <c r="M517" s="373">
        <v>17</v>
      </c>
      <c r="N517" s="2931">
        <v>200</v>
      </c>
      <c r="O517" s="2931">
        <v>300</v>
      </c>
      <c r="P517" s="2931">
        <v>400</v>
      </c>
      <c r="Q517" s="373">
        <v>500</v>
      </c>
      <c r="R517" s="2931">
        <v>10</v>
      </c>
      <c r="S517" s="2931">
        <v>15</v>
      </c>
      <c r="T517" s="2931">
        <v>20</v>
      </c>
      <c r="U517" s="373">
        <v>25</v>
      </c>
      <c r="V517" s="2926" t="s">
        <v>5156</v>
      </c>
      <c r="W517" s="2926" t="s">
        <v>5157</v>
      </c>
      <c r="X517" s="2926" t="s">
        <v>5158</v>
      </c>
      <c r="Y517" s="2926" t="s">
        <v>5159</v>
      </c>
      <c r="Z517" s="2926" t="s">
        <v>5160</v>
      </c>
      <c r="AA517" s="371" t="s">
        <v>1699</v>
      </c>
    </row>
    <row r="518" spans="1:27" ht="12.75" customHeight="1" x14ac:dyDescent="0.2">
      <c r="A518" s="6418"/>
      <c r="B518" s="251" t="str">
        <f t="shared" si="11"/>
        <v>Libre acceso92</v>
      </c>
      <c r="D518" s="272" t="s">
        <v>485</v>
      </c>
      <c r="E518" s="2931" t="s">
        <v>381</v>
      </c>
      <c r="F518" s="2931">
        <f t="shared" si="16"/>
        <v>92</v>
      </c>
      <c r="G518" s="2934" t="s">
        <v>1381</v>
      </c>
      <c r="H518" s="2934" t="s">
        <v>1234</v>
      </c>
      <c r="I518" s="376" t="s">
        <v>1304</v>
      </c>
      <c r="J518" s="2931">
        <v>11</v>
      </c>
      <c r="K518" s="2931">
        <v>13</v>
      </c>
      <c r="L518" s="2931">
        <v>15</v>
      </c>
      <c r="M518" s="373">
        <v>17</v>
      </c>
      <c r="N518" s="2931">
        <v>200</v>
      </c>
      <c r="O518" s="2931">
        <v>360</v>
      </c>
      <c r="P518" s="2931">
        <v>420</v>
      </c>
      <c r="Q518" s="373">
        <v>480</v>
      </c>
      <c r="R518" s="2931"/>
      <c r="S518" s="2931"/>
      <c r="T518" s="2931"/>
      <c r="U518" s="373" t="s">
        <v>3582</v>
      </c>
      <c r="V518" s="2926" t="s">
        <v>5161</v>
      </c>
      <c r="W518" s="2926" t="s">
        <v>5162</v>
      </c>
      <c r="X518" s="2926" t="s">
        <v>5163</v>
      </c>
      <c r="Y518" s="2926" t="s">
        <v>5164</v>
      </c>
      <c r="Z518" s="2926" t="s">
        <v>5165</v>
      </c>
      <c r="AA518" s="371"/>
    </row>
    <row r="519" spans="1:27" ht="12.75" customHeight="1" x14ac:dyDescent="0.2">
      <c r="A519" s="6418"/>
      <c r="B519" s="251" t="str">
        <f t="shared" si="11"/>
        <v>Libre acceso92</v>
      </c>
      <c r="D519" s="272" t="s">
        <v>486</v>
      </c>
      <c r="E519" s="2931" t="s">
        <v>381</v>
      </c>
      <c r="F519" s="2931">
        <f t="shared" si="16"/>
        <v>92</v>
      </c>
      <c r="G519" s="2934" t="s">
        <v>1381</v>
      </c>
      <c r="H519" s="2934" t="s">
        <v>4019</v>
      </c>
      <c r="I519" s="376" t="s">
        <v>1304</v>
      </c>
      <c r="J519" s="2931">
        <v>10</v>
      </c>
      <c r="K519" s="2931">
        <v>12</v>
      </c>
      <c r="L519" s="2931">
        <v>14</v>
      </c>
      <c r="M519" s="373">
        <v>16</v>
      </c>
      <c r="N519" s="2931">
        <v>100</v>
      </c>
      <c r="O519" s="2931">
        <v>150</v>
      </c>
      <c r="P519" s="2931">
        <v>200</v>
      </c>
      <c r="Q519" s="373">
        <v>250</v>
      </c>
      <c r="R519" s="2931"/>
      <c r="S519" s="2931"/>
      <c r="T519" s="2931"/>
      <c r="U519" s="373"/>
      <c r="V519" s="2926" t="s">
        <v>3589</v>
      </c>
      <c r="W519" s="2926" t="s">
        <v>3590</v>
      </c>
      <c r="X519" s="2926" t="s">
        <v>3486</v>
      </c>
      <c r="Y519" s="2926" t="s">
        <v>3321</v>
      </c>
      <c r="Z519" s="2926" t="s">
        <v>5166</v>
      </c>
      <c r="AA519" s="371"/>
    </row>
    <row r="520" spans="1:27" ht="12.75" customHeight="1" x14ac:dyDescent="0.2">
      <c r="A520" s="6418"/>
      <c r="B520" s="251" t="str">
        <f t="shared" ref="B520:B583" si="17">E520&amp;F520</f>
        <v>Libre acceso92</v>
      </c>
      <c r="D520" s="272" t="s">
        <v>487</v>
      </c>
      <c r="E520" s="2931" t="s">
        <v>381</v>
      </c>
      <c r="F520" s="2931">
        <f t="shared" si="16"/>
        <v>92</v>
      </c>
      <c r="G520" s="2934" t="s">
        <v>2087</v>
      </c>
      <c r="H520" s="2934" t="s">
        <v>1234</v>
      </c>
      <c r="I520" s="376" t="s">
        <v>1304</v>
      </c>
      <c r="J520" s="2931">
        <v>11</v>
      </c>
      <c r="K520" s="2931">
        <v>13</v>
      </c>
      <c r="L520" s="2931">
        <v>15</v>
      </c>
      <c r="M520" s="373">
        <v>17</v>
      </c>
      <c r="N520" s="2931">
        <v>200</v>
      </c>
      <c r="O520" s="2931">
        <v>360</v>
      </c>
      <c r="P520" s="2931">
        <v>480</v>
      </c>
      <c r="Q520" s="373">
        <v>600</v>
      </c>
      <c r="R520" s="2931">
        <v>20</v>
      </c>
      <c r="S520" s="2931">
        <v>40</v>
      </c>
      <c r="T520" s="2931">
        <v>50</v>
      </c>
      <c r="U520" s="373">
        <v>60</v>
      </c>
      <c r="V520" s="2926" t="s">
        <v>5167</v>
      </c>
      <c r="W520" s="2926" t="s">
        <v>5168</v>
      </c>
      <c r="X520" s="2926" t="s">
        <v>5169</v>
      </c>
      <c r="Y520" s="2926" t="s">
        <v>5170</v>
      </c>
      <c r="Z520" s="2926" t="s">
        <v>5171</v>
      </c>
      <c r="AA520" s="371" t="s">
        <v>1706</v>
      </c>
    </row>
    <row r="521" spans="1:27" ht="12.75" customHeight="1" x14ac:dyDescent="0.2">
      <c r="A521" s="6418"/>
      <c r="B521" s="251" t="str">
        <f t="shared" si="17"/>
        <v>Libre acceso92</v>
      </c>
      <c r="D521" s="272" t="s">
        <v>488</v>
      </c>
      <c r="E521" s="2931" t="s">
        <v>381</v>
      </c>
      <c r="F521" s="2931">
        <f t="shared" si="16"/>
        <v>92</v>
      </c>
      <c r="G521" s="2934" t="s">
        <v>2087</v>
      </c>
      <c r="H521" s="2934" t="s">
        <v>1234</v>
      </c>
      <c r="I521" s="376" t="s">
        <v>1304</v>
      </c>
      <c r="J521" s="2931">
        <v>10</v>
      </c>
      <c r="K521" s="2931">
        <v>12</v>
      </c>
      <c r="L521" s="2931">
        <v>14</v>
      </c>
      <c r="M521" s="373">
        <v>16</v>
      </c>
      <c r="N521" s="2931">
        <v>200</v>
      </c>
      <c r="O521" s="2931">
        <v>300</v>
      </c>
      <c r="P521" s="2931">
        <v>400</v>
      </c>
      <c r="Q521" s="373">
        <v>500</v>
      </c>
      <c r="R521" s="2931">
        <v>30</v>
      </c>
      <c r="S521" s="2931">
        <v>45</v>
      </c>
      <c r="T521" s="2931">
        <v>60</v>
      </c>
      <c r="U521" s="373">
        <v>75</v>
      </c>
      <c r="V521" s="2926" t="s">
        <v>5172</v>
      </c>
      <c r="W521" s="2926" t="s">
        <v>5173</v>
      </c>
      <c r="X521" s="2926" t="s">
        <v>5174</v>
      </c>
      <c r="Y521" s="2926" t="s">
        <v>5175</v>
      </c>
      <c r="Z521" s="2926" t="s">
        <v>5176</v>
      </c>
      <c r="AA521" s="371" t="s">
        <v>1706</v>
      </c>
    </row>
    <row r="522" spans="1:27" ht="12.75" customHeight="1" x14ac:dyDescent="0.2">
      <c r="A522" s="6418"/>
      <c r="B522" s="251" t="str">
        <f t="shared" si="17"/>
        <v>Libre acceso92</v>
      </c>
      <c r="D522" s="272" t="s">
        <v>489</v>
      </c>
      <c r="E522" s="2931" t="s">
        <v>381</v>
      </c>
      <c r="F522" s="2931">
        <f t="shared" si="16"/>
        <v>92</v>
      </c>
      <c r="G522" s="2934" t="s">
        <v>2087</v>
      </c>
      <c r="H522" s="2934" t="s">
        <v>4019</v>
      </c>
      <c r="I522" s="376" t="s">
        <v>1304</v>
      </c>
      <c r="J522" s="2931">
        <v>10</v>
      </c>
      <c r="K522" s="2931">
        <v>12</v>
      </c>
      <c r="L522" s="2931">
        <v>14</v>
      </c>
      <c r="M522" s="373">
        <v>16</v>
      </c>
      <c r="N522" s="2931">
        <v>300</v>
      </c>
      <c r="O522" s="2931">
        <v>400</v>
      </c>
      <c r="P522" s="2931">
        <v>500</v>
      </c>
      <c r="Q522" s="373">
        <v>600</v>
      </c>
      <c r="R522" s="2931">
        <v>30</v>
      </c>
      <c r="S522" s="2931">
        <v>40</v>
      </c>
      <c r="T522" s="2931">
        <v>50</v>
      </c>
      <c r="U522" s="373">
        <v>60</v>
      </c>
      <c r="V522" s="2926" t="s">
        <v>3589</v>
      </c>
      <c r="W522" s="2926" t="s">
        <v>3590</v>
      </c>
      <c r="X522" s="2926" t="s">
        <v>3321</v>
      </c>
      <c r="Y522" s="2926" t="s">
        <v>3775</v>
      </c>
      <c r="Z522" s="2926" t="s">
        <v>5177</v>
      </c>
      <c r="AA522" s="371"/>
    </row>
    <row r="523" spans="1:27" ht="12.75" customHeight="1" x14ac:dyDescent="0.2">
      <c r="A523" s="6418"/>
      <c r="B523" s="251" t="str">
        <f t="shared" si="17"/>
        <v>Libre acceso92</v>
      </c>
      <c r="D523" s="272" t="s">
        <v>490</v>
      </c>
      <c r="E523" s="2931" t="s">
        <v>381</v>
      </c>
      <c r="F523" s="2931">
        <f t="shared" si="16"/>
        <v>92</v>
      </c>
      <c r="G523" s="2934" t="s">
        <v>2087</v>
      </c>
      <c r="H523" s="2934" t="s">
        <v>1235</v>
      </c>
      <c r="I523" s="376" t="s">
        <v>1304</v>
      </c>
      <c r="J523" s="2931">
        <v>11</v>
      </c>
      <c r="K523" s="2931">
        <v>13</v>
      </c>
      <c r="L523" s="2931">
        <v>15</v>
      </c>
      <c r="M523" s="373">
        <v>17</v>
      </c>
      <c r="N523" s="2931">
        <v>300</v>
      </c>
      <c r="O523" s="2931">
        <v>360</v>
      </c>
      <c r="P523" s="2931">
        <v>420</v>
      </c>
      <c r="Q523" s="373">
        <v>480</v>
      </c>
      <c r="R523" s="2931">
        <v>30</v>
      </c>
      <c r="S523" s="2931">
        <v>40</v>
      </c>
      <c r="T523" s="2931">
        <v>45</v>
      </c>
      <c r="U523" s="373">
        <v>50</v>
      </c>
      <c r="V523" s="2926" t="s">
        <v>5178</v>
      </c>
      <c r="W523" s="2926" t="s">
        <v>5179</v>
      </c>
      <c r="X523" s="2926" t="s">
        <v>5180</v>
      </c>
      <c r="Y523" s="2926" t="s">
        <v>5181</v>
      </c>
      <c r="Z523" s="2926" t="s">
        <v>5182</v>
      </c>
      <c r="AA523" s="371" t="s">
        <v>1705</v>
      </c>
    </row>
    <row r="524" spans="1:27" ht="12.75" customHeight="1" x14ac:dyDescent="0.2">
      <c r="A524" s="6418"/>
      <c r="B524" s="251" t="str">
        <f t="shared" si="17"/>
        <v>Libre acceso92</v>
      </c>
      <c r="D524" s="272" t="s">
        <v>491</v>
      </c>
      <c r="E524" s="2931" t="s">
        <v>381</v>
      </c>
      <c r="F524" s="2931">
        <f t="shared" si="16"/>
        <v>92</v>
      </c>
      <c r="G524" s="2934" t="s">
        <v>2087</v>
      </c>
      <c r="H524" s="2934" t="s">
        <v>1235</v>
      </c>
      <c r="I524" s="376" t="s">
        <v>1304</v>
      </c>
      <c r="J524" s="2931">
        <v>12</v>
      </c>
      <c r="K524" s="2931">
        <v>14</v>
      </c>
      <c r="L524" s="2931">
        <v>16</v>
      </c>
      <c r="M524" s="373">
        <v>18</v>
      </c>
      <c r="N524" s="2931">
        <v>450</v>
      </c>
      <c r="O524" s="2931">
        <v>600</v>
      </c>
      <c r="P524" s="2931">
        <v>800</v>
      </c>
      <c r="Q524" s="373">
        <v>1000</v>
      </c>
      <c r="R524" s="2931">
        <v>45</v>
      </c>
      <c r="S524" s="2931">
        <v>60</v>
      </c>
      <c r="T524" s="2931">
        <v>80</v>
      </c>
      <c r="U524" s="373">
        <v>100</v>
      </c>
      <c r="V524" s="2926" t="s">
        <v>4657</v>
      </c>
      <c r="W524" s="2926" t="s">
        <v>4631</v>
      </c>
      <c r="X524" s="2926" t="s">
        <v>5183</v>
      </c>
      <c r="Y524" s="2926" t="s">
        <v>5184</v>
      </c>
      <c r="Z524" s="2926" t="s">
        <v>5185</v>
      </c>
      <c r="AA524" s="371"/>
    </row>
    <row r="525" spans="1:27" ht="12.75" customHeight="1" x14ac:dyDescent="0.2">
      <c r="A525" s="6418"/>
      <c r="B525" s="251" t="str">
        <f t="shared" si="17"/>
        <v>Libre acceso92</v>
      </c>
      <c r="D525" s="272" t="s">
        <v>492</v>
      </c>
      <c r="E525" s="2931" t="s">
        <v>381</v>
      </c>
      <c r="F525" s="2931">
        <f t="shared" si="16"/>
        <v>92</v>
      </c>
      <c r="G525" s="2934" t="s">
        <v>2087</v>
      </c>
      <c r="H525" s="2934" t="s">
        <v>1234</v>
      </c>
      <c r="I525" s="376" t="s">
        <v>1304</v>
      </c>
      <c r="J525" s="2931">
        <v>10</v>
      </c>
      <c r="K525" s="2931">
        <v>12</v>
      </c>
      <c r="L525" s="2931">
        <v>14</v>
      </c>
      <c r="M525" s="373">
        <v>16</v>
      </c>
      <c r="N525" s="2931">
        <v>200</v>
      </c>
      <c r="O525" s="2931">
        <v>300</v>
      </c>
      <c r="P525" s="2931">
        <v>400</v>
      </c>
      <c r="Q525" s="373">
        <v>500</v>
      </c>
      <c r="R525" s="2931">
        <v>50</v>
      </c>
      <c r="S525" s="2931">
        <v>60</v>
      </c>
      <c r="T525" s="2931">
        <v>70</v>
      </c>
      <c r="U525" s="373">
        <v>80</v>
      </c>
      <c r="V525" s="2926" t="s">
        <v>5186</v>
      </c>
      <c r="W525" s="2926" t="s">
        <v>5187</v>
      </c>
      <c r="X525" s="2926" t="s">
        <v>5188</v>
      </c>
      <c r="Y525" s="2926" t="s">
        <v>5189</v>
      </c>
      <c r="Z525" s="2926" t="s">
        <v>5190</v>
      </c>
      <c r="AA525" s="371"/>
    </row>
    <row r="526" spans="1:27" ht="12.75" customHeight="1" x14ac:dyDescent="0.2">
      <c r="A526" s="6418"/>
      <c r="B526" s="251" t="str">
        <f t="shared" si="17"/>
        <v>Libre acceso92</v>
      </c>
      <c r="D526" s="272" t="s">
        <v>493</v>
      </c>
      <c r="E526" s="2931" t="s">
        <v>381</v>
      </c>
      <c r="F526" s="2931">
        <f t="shared" si="16"/>
        <v>92</v>
      </c>
      <c r="G526" s="2934" t="s">
        <v>1381</v>
      </c>
      <c r="H526" s="2934" t="s">
        <v>1235</v>
      </c>
      <c r="I526" s="376" t="s">
        <v>1304</v>
      </c>
      <c r="J526" s="2931">
        <v>12</v>
      </c>
      <c r="K526" s="2931">
        <v>15</v>
      </c>
      <c r="L526" s="2931">
        <v>17</v>
      </c>
      <c r="M526" s="373">
        <v>19</v>
      </c>
      <c r="N526" s="2931">
        <v>600</v>
      </c>
      <c r="O526" s="2931">
        <v>900</v>
      </c>
      <c r="P526" s="2931">
        <v>1200</v>
      </c>
      <c r="Q526" s="373">
        <v>1500</v>
      </c>
      <c r="R526" s="2931"/>
      <c r="S526" s="2931"/>
      <c r="T526" s="2931"/>
      <c r="U526" s="373"/>
      <c r="V526" s="2926" t="s">
        <v>3590</v>
      </c>
      <c r="W526" s="2926" t="s">
        <v>5191</v>
      </c>
      <c r="X526" s="2926" t="s">
        <v>3487</v>
      </c>
      <c r="Y526" s="2926" t="s">
        <v>3488</v>
      </c>
      <c r="Z526" s="2926" t="s">
        <v>5192</v>
      </c>
      <c r="AA526" s="371"/>
    </row>
    <row r="527" spans="1:27" ht="12.75" customHeight="1" x14ac:dyDescent="0.2">
      <c r="A527" s="6418"/>
      <c r="B527" s="251" t="str">
        <f t="shared" si="17"/>
        <v/>
      </c>
      <c r="D527" s="272" t="s">
        <v>494</v>
      </c>
      <c r="E527" s="2931"/>
      <c r="F527" s="2931"/>
      <c r="G527" s="2934"/>
      <c r="H527" s="2934"/>
      <c r="I527" s="376"/>
      <c r="J527" s="2931"/>
      <c r="K527" s="2931"/>
      <c r="L527" s="2931"/>
      <c r="M527" s="373"/>
      <c r="N527" s="2931"/>
      <c r="O527" s="2931"/>
      <c r="P527" s="2931"/>
      <c r="Q527" s="373"/>
      <c r="R527" s="2931"/>
      <c r="S527" s="2931"/>
      <c r="T527" s="2931"/>
      <c r="U527" s="373"/>
      <c r="V527" s="2926"/>
      <c r="W527" s="2926"/>
      <c r="X527" s="2926"/>
      <c r="Y527" s="2926"/>
      <c r="Z527" s="2926"/>
      <c r="AA527" s="371"/>
    </row>
    <row r="528" spans="1:27" ht="12.75" customHeight="1" x14ac:dyDescent="0.2">
      <c r="A528" s="6418"/>
      <c r="B528" s="251" t="str">
        <f t="shared" si="17"/>
        <v>Caos4</v>
      </c>
      <c r="D528" s="272" t="s">
        <v>495</v>
      </c>
      <c r="E528" s="2931" t="s">
        <v>81</v>
      </c>
      <c r="F528" s="2931">
        <v>4</v>
      </c>
      <c r="G528" s="2934" t="s">
        <v>2583</v>
      </c>
      <c r="H528" s="2934" t="s">
        <v>5193</v>
      </c>
      <c r="I528" s="376" t="s">
        <v>1304</v>
      </c>
      <c r="J528" s="2931">
        <v>5</v>
      </c>
      <c r="K528" s="2931">
        <v>8</v>
      </c>
      <c r="L528" s="2931">
        <v>10</v>
      </c>
      <c r="M528" s="373">
        <v>12</v>
      </c>
      <c r="N528" s="2931">
        <v>50</v>
      </c>
      <c r="O528" s="2931">
        <v>80</v>
      </c>
      <c r="P528" s="2931">
        <v>100</v>
      </c>
      <c r="Q528" s="373">
        <v>120</v>
      </c>
      <c r="R528" s="2931">
        <v>5</v>
      </c>
      <c r="S528" s="2931">
        <v>10</v>
      </c>
      <c r="T528" s="2931">
        <v>10</v>
      </c>
      <c r="U528" s="373">
        <v>12</v>
      </c>
      <c r="V528" s="2926" t="s">
        <v>3506</v>
      </c>
      <c r="W528" s="2926" t="s">
        <v>3395</v>
      </c>
      <c r="X528" s="2926" t="s">
        <v>3475</v>
      </c>
      <c r="Y528" s="2926" t="s">
        <v>5194</v>
      </c>
      <c r="Z528" s="2926" t="s">
        <v>5195</v>
      </c>
      <c r="AA528" s="371"/>
    </row>
    <row r="529" spans="1:27" ht="12.75" customHeight="1" x14ac:dyDescent="0.2">
      <c r="A529" s="6418"/>
      <c r="B529" s="251" t="str">
        <f t="shared" si="17"/>
        <v>Caos14</v>
      </c>
      <c r="D529" s="272" t="s">
        <v>496</v>
      </c>
      <c r="E529" s="2931" t="s">
        <v>81</v>
      </c>
      <c r="F529" s="2931">
        <v>14</v>
      </c>
      <c r="G529" s="2934" t="s">
        <v>1381</v>
      </c>
      <c r="H529" s="2934" t="s">
        <v>1234</v>
      </c>
      <c r="I529" s="376" t="s">
        <v>1304</v>
      </c>
      <c r="J529" s="2931">
        <v>6</v>
      </c>
      <c r="K529" s="2931">
        <v>9</v>
      </c>
      <c r="L529" s="2931">
        <v>12</v>
      </c>
      <c r="M529" s="373">
        <v>15</v>
      </c>
      <c r="N529" s="2931">
        <v>60</v>
      </c>
      <c r="O529" s="2931">
        <v>90</v>
      </c>
      <c r="P529" s="2931">
        <v>120</v>
      </c>
      <c r="Q529" s="373">
        <v>150</v>
      </c>
      <c r="R529" s="2931">
        <v>15</v>
      </c>
      <c r="S529" s="2931">
        <v>20</v>
      </c>
      <c r="T529" s="2931">
        <v>25</v>
      </c>
      <c r="U529" s="373">
        <v>30</v>
      </c>
      <c r="V529" s="2926" t="s">
        <v>5196</v>
      </c>
      <c r="W529" s="2926" t="s">
        <v>5197</v>
      </c>
      <c r="X529" s="2926" t="s">
        <v>5198</v>
      </c>
      <c r="Y529" s="2926" t="s">
        <v>5199</v>
      </c>
      <c r="Z529" s="2926" t="s">
        <v>5200</v>
      </c>
      <c r="AA529" s="371"/>
    </row>
    <row r="530" spans="1:27" ht="12.75" customHeight="1" x14ac:dyDescent="0.2">
      <c r="A530" s="6418"/>
      <c r="B530" s="251" t="str">
        <f t="shared" si="17"/>
        <v>Caos24</v>
      </c>
      <c r="D530" s="272" t="s">
        <v>10245</v>
      </c>
      <c r="E530" s="2931" t="s">
        <v>81</v>
      </c>
      <c r="F530" s="2931">
        <v>24</v>
      </c>
      <c r="G530" s="2934" t="s">
        <v>1381</v>
      </c>
      <c r="H530" s="2934" t="s">
        <v>1233</v>
      </c>
      <c r="I530" s="376" t="s">
        <v>1304</v>
      </c>
      <c r="J530" s="2931">
        <v>8</v>
      </c>
      <c r="K530" s="2931">
        <v>10</v>
      </c>
      <c r="L530" s="2931">
        <v>12</v>
      </c>
      <c r="M530" s="373">
        <v>14</v>
      </c>
      <c r="N530" s="2931">
        <v>80</v>
      </c>
      <c r="O530" s="2931">
        <v>100</v>
      </c>
      <c r="P530" s="2931">
        <v>120</v>
      </c>
      <c r="Q530" s="373">
        <v>140</v>
      </c>
      <c r="R530" s="2931">
        <v>20</v>
      </c>
      <c r="S530" s="2931">
        <v>20</v>
      </c>
      <c r="T530" s="2931">
        <v>25</v>
      </c>
      <c r="U530" s="373">
        <v>30</v>
      </c>
      <c r="V530" s="2932" t="s">
        <v>10246</v>
      </c>
      <c r="W530" s="2932" t="s">
        <v>10247</v>
      </c>
      <c r="X530" s="2932" t="s">
        <v>10248</v>
      </c>
      <c r="Y530" s="2932" t="s">
        <v>10249</v>
      </c>
      <c r="Z530" s="2926" t="s">
        <v>5201</v>
      </c>
      <c r="AA530" s="371"/>
    </row>
    <row r="531" spans="1:27" ht="12.75" customHeight="1" x14ac:dyDescent="0.2">
      <c r="A531" s="6418"/>
      <c r="B531" s="251" t="str">
        <f t="shared" si="17"/>
        <v>Caos34</v>
      </c>
      <c r="D531" s="272" t="s">
        <v>497</v>
      </c>
      <c r="E531" s="2931" t="s">
        <v>81</v>
      </c>
      <c r="F531" s="2931">
        <v>34</v>
      </c>
      <c r="G531" s="2934" t="s">
        <v>1381</v>
      </c>
      <c r="H531" s="2934" t="s">
        <v>1233</v>
      </c>
      <c r="I531" s="376" t="s">
        <v>1304</v>
      </c>
      <c r="J531" s="2931">
        <v>8</v>
      </c>
      <c r="K531" s="2931">
        <v>10</v>
      </c>
      <c r="L531" s="2931">
        <v>12</v>
      </c>
      <c r="M531" s="373">
        <v>14</v>
      </c>
      <c r="N531" s="2931">
        <v>80</v>
      </c>
      <c r="O531" s="2931">
        <v>140</v>
      </c>
      <c r="P531" s="2931">
        <v>250</v>
      </c>
      <c r="Q531" s="373">
        <v>400</v>
      </c>
      <c r="R531" s="2931">
        <v>10</v>
      </c>
      <c r="S531" s="2931">
        <v>10</v>
      </c>
      <c r="T531" s="2931">
        <v>15</v>
      </c>
      <c r="U531" s="373">
        <v>15</v>
      </c>
      <c r="V531" s="2926" t="s">
        <v>3589</v>
      </c>
      <c r="W531" s="2926" t="s">
        <v>5202</v>
      </c>
      <c r="X531" s="2926" t="s">
        <v>5203</v>
      </c>
      <c r="Y531" s="2926" t="s">
        <v>3321</v>
      </c>
      <c r="Z531" s="2926" t="s">
        <v>5204</v>
      </c>
      <c r="AA531" s="371"/>
    </row>
    <row r="532" spans="1:27" ht="12.75" customHeight="1" x14ac:dyDescent="0.2">
      <c r="A532" s="6418"/>
      <c r="B532" s="251" t="str">
        <f t="shared" si="17"/>
        <v>Caos44</v>
      </c>
      <c r="D532" s="272" t="s">
        <v>498</v>
      </c>
      <c r="E532" s="2931" t="s">
        <v>81</v>
      </c>
      <c r="F532" s="2931">
        <v>44</v>
      </c>
      <c r="G532" s="2934" t="s">
        <v>1381</v>
      </c>
      <c r="H532" s="2934" t="s">
        <v>1233</v>
      </c>
      <c r="I532" s="376" t="s">
        <v>1304</v>
      </c>
      <c r="J532" s="2931">
        <v>7</v>
      </c>
      <c r="K532" s="2931">
        <v>9</v>
      </c>
      <c r="L532" s="2931">
        <v>12</v>
      </c>
      <c r="M532" s="373">
        <v>14</v>
      </c>
      <c r="N532" s="2931">
        <v>120</v>
      </c>
      <c r="O532" s="2931">
        <v>180</v>
      </c>
      <c r="P532" s="2931">
        <v>280</v>
      </c>
      <c r="Q532" s="373">
        <v>400</v>
      </c>
      <c r="R532" s="2931">
        <v>20</v>
      </c>
      <c r="S532" s="2931">
        <v>20</v>
      </c>
      <c r="T532" s="2931">
        <v>25</v>
      </c>
      <c r="U532" s="373">
        <v>30</v>
      </c>
      <c r="V532" s="2926" t="s">
        <v>5205</v>
      </c>
      <c r="W532" s="2926" t="s">
        <v>5206</v>
      </c>
      <c r="X532" s="2926" t="s">
        <v>5207</v>
      </c>
      <c r="Y532" s="2926" t="s">
        <v>5208</v>
      </c>
      <c r="Z532" s="2926" t="s">
        <v>5209</v>
      </c>
      <c r="AA532" s="371"/>
    </row>
    <row r="533" spans="1:27" ht="12.75" customHeight="1" x14ac:dyDescent="0.2">
      <c r="A533" s="6418"/>
      <c r="B533" s="251" t="str">
        <f t="shared" si="17"/>
        <v>Caos54</v>
      </c>
      <c r="D533" s="272" t="s">
        <v>499</v>
      </c>
      <c r="E533" s="2931" t="s">
        <v>81</v>
      </c>
      <c r="F533" s="2931">
        <v>54</v>
      </c>
      <c r="G533" s="2934" t="s">
        <v>1381</v>
      </c>
      <c r="H533" s="2934" t="s">
        <v>1234</v>
      </c>
      <c r="I533" s="376" t="s">
        <v>1304</v>
      </c>
      <c r="J533" s="2931">
        <v>8</v>
      </c>
      <c r="K533" s="2931">
        <v>10</v>
      </c>
      <c r="L533" s="2931">
        <v>12</v>
      </c>
      <c r="M533" s="373">
        <v>15</v>
      </c>
      <c r="N533" s="2931">
        <v>120</v>
      </c>
      <c r="O533" s="2931">
        <v>200</v>
      </c>
      <c r="P533" s="2931">
        <v>300</v>
      </c>
      <c r="Q533" s="373">
        <v>700</v>
      </c>
      <c r="R533" s="2931" t="s">
        <v>1381</v>
      </c>
      <c r="S533" s="2931" t="s">
        <v>1381</v>
      </c>
      <c r="T533" s="2931" t="s">
        <v>1381</v>
      </c>
      <c r="U533" s="373" t="s">
        <v>1381</v>
      </c>
      <c r="V533" s="2926" t="s">
        <v>3617</v>
      </c>
      <c r="W533" s="2926" t="s">
        <v>3618</v>
      </c>
      <c r="X533" s="2926" t="s">
        <v>3619</v>
      </c>
      <c r="Y533" s="2926" t="s">
        <v>3620</v>
      </c>
      <c r="Z533" s="2926" t="s">
        <v>5210</v>
      </c>
      <c r="AA533" s="371"/>
    </row>
    <row r="534" spans="1:27" ht="12.75" customHeight="1" x14ac:dyDescent="0.2">
      <c r="A534" s="6418"/>
      <c r="B534" s="251" t="str">
        <f t="shared" si="17"/>
        <v>Caos64</v>
      </c>
      <c r="D534" s="272" t="s">
        <v>500</v>
      </c>
      <c r="E534" s="2931" t="s">
        <v>81</v>
      </c>
      <c r="F534" s="2931">
        <v>64</v>
      </c>
      <c r="G534" s="2934" t="s">
        <v>1381</v>
      </c>
      <c r="H534" s="2934" t="s">
        <v>1235</v>
      </c>
      <c r="I534" s="376" t="s">
        <v>1305</v>
      </c>
      <c r="J534" s="2931">
        <v>10</v>
      </c>
      <c r="K534" s="2931">
        <v>12</v>
      </c>
      <c r="L534" s="2931">
        <v>14</v>
      </c>
      <c r="M534" s="373">
        <v>16</v>
      </c>
      <c r="N534" s="2931">
        <v>100</v>
      </c>
      <c r="O534" s="2931">
        <v>200</v>
      </c>
      <c r="P534" s="2931">
        <v>300</v>
      </c>
      <c r="Q534" s="373">
        <v>400</v>
      </c>
      <c r="R534" s="2931" t="s">
        <v>1381</v>
      </c>
      <c r="S534" s="2931" t="s">
        <v>1381</v>
      </c>
      <c r="T534" s="2931" t="s">
        <v>1381</v>
      </c>
      <c r="U534" s="373" t="s">
        <v>1381</v>
      </c>
      <c r="V534" s="2926" t="s">
        <v>3590</v>
      </c>
      <c r="W534" s="2926" t="s">
        <v>5211</v>
      </c>
      <c r="X534" s="2926" t="s">
        <v>5212</v>
      </c>
      <c r="Y534" s="2926" t="s">
        <v>5213</v>
      </c>
      <c r="Z534" s="2926" t="s">
        <v>5214</v>
      </c>
      <c r="AA534" s="371"/>
    </row>
    <row r="535" spans="1:27" ht="12.75" customHeight="1" x14ac:dyDescent="0.2">
      <c r="A535" s="6418"/>
      <c r="B535" s="251" t="str">
        <f t="shared" si="17"/>
        <v>Caos74</v>
      </c>
      <c r="D535" s="272" t="s">
        <v>501</v>
      </c>
      <c r="E535" s="2931" t="s">
        <v>81</v>
      </c>
      <c r="F535" s="2931">
        <v>74</v>
      </c>
      <c r="G535" s="2934" t="s">
        <v>1381</v>
      </c>
      <c r="H535" s="2934" t="s">
        <v>1234</v>
      </c>
      <c r="I535" s="376" t="s">
        <v>1304</v>
      </c>
      <c r="J535" s="2931">
        <v>8</v>
      </c>
      <c r="K535" s="2931">
        <v>11</v>
      </c>
      <c r="L535" s="2931">
        <v>13</v>
      </c>
      <c r="M535" s="373">
        <v>15</v>
      </c>
      <c r="N535" s="2931">
        <v>200</v>
      </c>
      <c r="O535" s="2931">
        <v>400</v>
      </c>
      <c r="P535" s="2931">
        <v>800</v>
      </c>
      <c r="Q535" s="373">
        <v>1200</v>
      </c>
      <c r="R535" s="2931" t="s">
        <v>1381</v>
      </c>
      <c r="S535" s="2931" t="s">
        <v>1381</v>
      </c>
      <c r="T535" s="2931" t="s">
        <v>1381</v>
      </c>
      <c r="U535" s="373" t="s">
        <v>1381</v>
      </c>
      <c r="V535" s="2926" t="s">
        <v>5215</v>
      </c>
      <c r="W535" s="2926" t="s">
        <v>5216</v>
      </c>
      <c r="X535" s="2926" t="s">
        <v>5217</v>
      </c>
      <c r="Y535" s="2926" t="s">
        <v>5218</v>
      </c>
      <c r="Z535" s="2926" t="s">
        <v>5219</v>
      </c>
      <c r="AA535" s="371"/>
    </row>
    <row r="536" spans="1:27" ht="12.75" customHeight="1" x14ac:dyDescent="0.2">
      <c r="A536" s="6418"/>
      <c r="B536" s="251" t="str">
        <f t="shared" si="17"/>
        <v>Caos84</v>
      </c>
      <c r="D536" s="272" t="s">
        <v>502</v>
      </c>
      <c r="E536" s="2931" t="s">
        <v>81</v>
      </c>
      <c r="F536" s="2931">
        <v>84</v>
      </c>
      <c r="G536" s="2934" t="s">
        <v>1381</v>
      </c>
      <c r="H536" s="2934" t="s">
        <v>1234</v>
      </c>
      <c r="I536" s="376" t="s">
        <v>1304</v>
      </c>
      <c r="J536" s="2931">
        <v>11</v>
      </c>
      <c r="K536" s="2931">
        <v>13</v>
      </c>
      <c r="L536" s="2931">
        <v>15</v>
      </c>
      <c r="M536" s="373">
        <v>17</v>
      </c>
      <c r="N536" s="2931">
        <v>300</v>
      </c>
      <c r="O536" s="2931">
        <v>500</v>
      </c>
      <c r="P536" s="2931">
        <v>800</v>
      </c>
      <c r="Q536" s="373">
        <v>1200</v>
      </c>
      <c r="R536" s="2931">
        <v>50</v>
      </c>
      <c r="S536" s="2931">
        <v>60</v>
      </c>
      <c r="T536" s="2931">
        <v>67</v>
      </c>
      <c r="U536" s="373">
        <v>75</v>
      </c>
      <c r="V536" s="2926" t="s">
        <v>5220</v>
      </c>
      <c r="W536" s="2926" t="s">
        <v>5221</v>
      </c>
      <c r="X536" s="2926" t="s">
        <v>5222</v>
      </c>
      <c r="Y536" s="2926" t="s">
        <v>5223</v>
      </c>
      <c r="Z536" s="2926" t="s">
        <v>5224</v>
      </c>
      <c r="AA536" s="371"/>
    </row>
    <row r="537" spans="1:27" ht="12.75" customHeight="1" x14ac:dyDescent="0.2">
      <c r="A537" s="6418"/>
      <c r="B537" s="251" t="str">
        <f t="shared" si="17"/>
        <v>Caos94</v>
      </c>
      <c r="D537" s="272" t="s">
        <v>503</v>
      </c>
      <c r="E537" s="2931" t="s">
        <v>81</v>
      </c>
      <c r="F537" s="2931">
        <v>94</v>
      </c>
      <c r="G537" s="2934" t="s">
        <v>2583</v>
      </c>
      <c r="H537" s="2934" t="s">
        <v>1235</v>
      </c>
      <c r="I537" s="376" t="s">
        <v>1304</v>
      </c>
      <c r="J537" s="2931">
        <v>12</v>
      </c>
      <c r="K537" s="2931">
        <v>14</v>
      </c>
      <c r="L537" s="2931">
        <v>16</v>
      </c>
      <c r="M537" s="373">
        <v>18</v>
      </c>
      <c r="N537" s="2931">
        <v>500</v>
      </c>
      <c r="O537" s="2931">
        <v>900</v>
      </c>
      <c r="P537" s="2931">
        <v>1500</v>
      </c>
      <c r="Q537" s="373">
        <v>2400</v>
      </c>
      <c r="R537" s="2931">
        <v>100</v>
      </c>
      <c r="S537" s="2931">
        <v>180</v>
      </c>
      <c r="T537" s="2931">
        <v>300</v>
      </c>
      <c r="U537" s="373">
        <v>480</v>
      </c>
      <c r="V537" s="2926" t="s">
        <v>5225</v>
      </c>
      <c r="W537" s="2926" t="s">
        <v>5226</v>
      </c>
      <c r="X537" s="2926" t="s">
        <v>5227</v>
      </c>
      <c r="Y537" s="2926" t="s">
        <v>5228</v>
      </c>
      <c r="Z537" s="2926" t="s">
        <v>5229</v>
      </c>
      <c r="AA537" s="371"/>
    </row>
    <row r="538" spans="1:27" ht="12.75" customHeight="1" x14ac:dyDescent="0.2">
      <c r="A538" s="6418"/>
      <c r="B538" s="251" t="str">
        <f t="shared" si="17"/>
        <v/>
      </c>
      <c r="D538" s="272" t="s">
        <v>504</v>
      </c>
      <c r="E538" s="2931"/>
      <c r="F538" s="2931"/>
      <c r="G538" s="2934"/>
      <c r="H538" s="2934"/>
      <c r="I538" s="376"/>
      <c r="J538" s="2931"/>
      <c r="K538" s="2931"/>
      <c r="L538" s="2931"/>
      <c r="M538" s="373"/>
      <c r="N538" s="2931"/>
      <c r="O538" s="2931"/>
      <c r="P538" s="2931"/>
      <c r="Q538" s="373"/>
      <c r="R538" s="2931"/>
      <c r="S538" s="2931"/>
      <c r="T538" s="2931"/>
      <c r="U538" s="373"/>
      <c r="V538" s="2926"/>
      <c r="W538" s="2926"/>
      <c r="X538" s="2926"/>
      <c r="Y538" s="2926"/>
      <c r="Z538" s="2926"/>
      <c r="AA538" s="371"/>
    </row>
    <row r="539" spans="1:27" ht="12.75" customHeight="1" x14ac:dyDescent="0.2">
      <c r="A539" s="6418"/>
      <c r="B539" s="251" t="str">
        <f t="shared" si="17"/>
        <v>Guerra4</v>
      </c>
      <c r="D539" s="272" t="s">
        <v>505</v>
      </c>
      <c r="E539" s="2931" t="s">
        <v>82</v>
      </c>
      <c r="F539" s="2931">
        <v>4</v>
      </c>
      <c r="G539" s="2934" t="s">
        <v>1381</v>
      </c>
      <c r="H539" s="2934" t="s">
        <v>1234</v>
      </c>
      <c r="I539" s="376" t="s">
        <v>1304</v>
      </c>
      <c r="J539" s="2931">
        <v>5</v>
      </c>
      <c r="K539" s="2931">
        <v>8</v>
      </c>
      <c r="L539" s="2931">
        <v>11</v>
      </c>
      <c r="M539" s="373">
        <v>13</v>
      </c>
      <c r="N539" s="2931">
        <v>30</v>
      </c>
      <c r="O539" s="2931">
        <v>60</v>
      </c>
      <c r="P539" s="2931">
        <v>90</v>
      </c>
      <c r="Q539" s="373">
        <v>120</v>
      </c>
      <c r="R539" s="2931" t="s">
        <v>1381</v>
      </c>
      <c r="S539" s="2931" t="s">
        <v>1381</v>
      </c>
      <c r="T539" s="2931" t="s">
        <v>1381</v>
      </c>
      <c r="U539" s="373" t="s">
        <v>1381</v>
      </c>
      <c r="V539" s="2926" t="s">
        <v>5230</v>
      </c>
      <c r="W539" s="2926" t="s">
        <v>5231</v>
      </c>
      <c r="X539" s="2926" t="s">
        <v>5232</v>
      </c>
      <c r="Y539" s="2926" t="s">
        <v>5233</v>
      </c>
      <c r="Z539" s="2926" t="s">
        <v>5234</v>
      </c>
      <c r="AA539" s="371"/>
    </row>
    <row r="540" spans="1:27" ht="12.75" customHeight="1" x14ac:dyDescent="0.2">
      <c r="A540" s="6418"/>
      <c r="B540" s="251" t="str">
        <f t="shared" si="17"/>
        <v>Guerra14</v>
      </c>
      <c r="D540" s="272" t="s">
        <v>506</v>
      </c>
      <c r="E540" s="2931" t="s">
        <v>82</v>
      </c>
      <c r="F540" s="2931">
        <v>14</v>
      </c>
      <c r="G540" s="2934" t="s">
        <v>1381</v>
      </c>
      <c r="H540" s="2934" t="s">
        <v>1234</v>
      </c>
      <c r="I540" s="376" t="s">
        <v>1304</v>
      </c>
      <c r="J540" s="2931">
        <v>6</v>
      </c>
      <c r="K540" s="2931">
        <v>9</v>
      </c>
      <c r="L540" s="2931">
        <v>12</v>
      </c>
      <c r="M540" s="373">
        <v>15</v>
      </c>
      <c r="N540" s="2931">
        <v>40</v>
      </c>
      <c r="O540" s="2931">
        <v>70</v>
      </c>
      <c r="P540" s="2931">
        <v>100</v>
      </c>
      <c r="Q540" s="373">
        <v>130</v>
      </c>
      <c r="R540" s="2931">
        <v>5</v>
      </c>
      <c r="S540" s="2931">
        <v>10</v>
      </c>
      <c r="T540" s="2931">
        <v>10</v>
      </c>
      <c r="U540" s="373">
        <v>15</v>
      </c>
      <c r="V540" s="2926" t="s">
        <v>5235</v>
      </c>
      <c r="W540" s="2926" t="s">
        <v>5236</v>
      </c>
      <c r="X540" s="2926" t="s">
        <v>5237</v>
      </c>
      <c r="Y540" s="2926" t="s">
        <v>5238</v>
      </c>
      <c r="Z540" s="2926" t="s">
        <v>5239</v>
      </c>
      <c r="AA540" s="371"/>
    </row>
    <row r="541" spans="1:27" ht="12.75" customHeight="1" x14ac:dyDescent="0.2">
      <c r="A541" s="6418"/>
      <c r="B541" s="251" t="str">
        <f t="shared" si="17"/>
        <v>Guerra24</v>
      </c>
      <c r="D541" s="272" t="s">
        <v>507</v>
      </c>
      <c r="E541" s="2931" t="s">
        <v>82</v>
      </c>
      <c r="F541" s="2931">
        <v>24</v>
      </c>
      <c r="G541" s="2934" t="s">
        <v>1381</v>
      </c>
      <c r="H541" s="2934" t="s">
        <v>1234</v>
      </c>
      <c r="I541" s="376" t="s">
        <v>1304</v>
      </c>
      <c r="J541" s="2931">
        <v>6</v>
      </c>
      <c r="K541" s="2931">
        <v>9</v>
      </c>
      <c r="L541" s="2931">
        <v>12</v>
      </c>
      <c r="M541" s="373">
        <v>15</v>
      </c>
      <c r="N541" s="2931">
        <v>50</v>
      </c>
      <c r="O541" s="2931">
        <v>90</v>
      </c>
      <c r="P541" s="2931">
        <v>120</v>
      </c>
      <c r="Q541" s="373">
        <v>150</v>
      </c>
      <c r="R541" s="2931">
        <v>5</v>
      </c>
      <c r="S541" s="2931">
        <v>10</v>
      </c>
      <c r="T541" s="2931">
        <v>15</v>
      </c>
      <c r="U541" s="373">
        <v>15</v>
      </c>
      <c r="V541" s="2926" t="s">
        <v>5240</v>
      </c>
      <c r="W541" s="2926" t="s">
        <v>5241</v>
      </c>
      <c r="X541" s="2926" t="s">
        <v>5242</v>
      </c>
      <c r="Y541" s="2926" t="s">
        <v>5243</v>
      </c>
      <c r="Z541" s="2926" t="s">
        <v>5244</v>
      </c>
      <c r="AA541" s="371"/>
    </row>
    <row r="542" spans="1:27" ht="12.75" customHeight="1" x14ac:dyDescent="0.2">
      <c r="A542" s="6418"/>
      <c r="B542" s="251" t="str">
        <f t="shared" si="17"/>
        <v>Guerra34</v>
      </c>
      <c r="D542" s="272" t="s">
        <v>508</v>
      </c>
      <c r="E542" s="2931" t="s">
        <v>82</v>
      </c>
      <c r="F542" s="2931">
        <v>34</v>
      </c>
      <c r="G542" s="2934" t="s">
        <v>1381</v>
      </c>
      <c r="H542" s="2934" t="s">
        <v>1234</v>
      </c>
      <c r="I542" s="376" t="s">
        <v>1304</v>
      </c>
      <c r="J542" s="2931">
        <v>7</v>
      </c>
      <c r="K542" s="2931">
        <v>9</v>
      </c>
      <c r="L542" s="2931">
        <v>12</v>
      </c>
      <c r="M542" s="373">
        <v>15</v>
      </c>
      <c r="N542" s="2931">
        <v>80</v>
      </c>
      <c r="O542" s="2931">
        <v>120</v>
      </c>
      <c r="P542" s="2931">
        <v>160</v>
      </c>
      <c r="Q542" s="373">
        <v>200</v>
      </c>
      <c r="R542" s="2931">
        <v>5</v>
      </c>
      <c r="S542" s="2931">
        <v>15</v>
      </c>
      <c r="T542" s="2931">
        <v>20</v>
      </c>
      <c r="U542" s="373">
        <v>20</v>
      </c>
      <c r="V542" s="2926" t="s">
        <v>5246</v>
      </c>
      <c r="W542" s="2926" t="s">
        <v>5245</v>
      </c>
      <c r="X542" s="2926" t="s">
        <v>5247</v>
      </c>
      <c r="Y542" s="2926" t="s">
        <v>5248</v>
      </c>
      <c r="Z542" s="2926" t="s">
        <v>5249</v>
      </c>
      <c r="AA542" s="371"/>
    </row>
    <row r="543" spans="1:27" ht="12.75" customHeight="1" x14ac:dyDescent="0.2">
      <c r="A543" s="6418"/>
      <c r="B543" s="251" t="str">
        <f t="shared" si="17"/>
        <v>Guerra44</v>
      </c>
      <c r="D543" s="272" t="s">
        <v>509</v>
      </c>
      <c r="E543" s="2931" t="s">
        <v>82</v>
      </c>
      <c r="F543" s="2931">
        <v>44</v>
      </c>
      <c r="G543" s="2934" t="s">
        <v>1381</v>
      </c>
      <c r="H543" s="2934" t="s">
        <v>1234</v>
      </c>
      <c r="I543" s="376" t="s">
        <v>1304</v>
      </c>
      <c r="J543" s="2931">
        <v>7</v>
      </c>
      <c r="K543" s="2931">
        <v>9</v>
      </c>
      <c r="L543" s="2931">
        <v>12</v>
      </c>
      <c r="M543" s="373">
        <v>15</v>
      </c>
      <c r="N543" s="2931">
        <v>80</v>
      </c>
      <c r="O543" s="2931">
        <v>120</v>
      </c>
      <c r="P543" s="2931">
        <v>160</v>
      </c>
      <c r="Q543" s="373">
        <v>200</v>
      </c>
      <c r="R543" s="2931">
        <v>5</v>
      </c>
      <c r="S543" s="2931">
        <v>15</v>
      </c>
      <c r="T543" s="2931">
        <v>20</v>
      </c>
      <c r="U543" s="373">
        <v>20</v>
      </c>
      <c r="V543" s="2926" t="s">
        <v>5250</v>
      </c>
      <c r="W543" s="2926" t="s">
        <v>5251</v>
      </c>
      <c r="X543" s="2926" t="s">
        <v>5252</v>
      </c>
      <c r="Y543" s="2926" t="s">
        <v>5253</v>
      </c>
      <c r="Z543" s="2926" t="s">
        <v>5254</v>
      </c>
      <c r="AA543" s="371"/>
    </row>
    <row r="544" spans="1:27" ht="12.75" customHeight="1" x14ac:dyDescent="0.2">
      <c r="A544" s="6418"/>
      <c r="B544" s="251" t="str">
        <f t="shared" si="17"/>
        <v>Guerra54</v>
      </c>
      <c r="D544" s="272" t="s">
        <v>510</v>
      </c>
      <c r="E544" s="2931" t="s">
        <v>82</v>
      </c>
      <c r="F544" s="2931">
        <v>54</v>
      </c>
      <c r="G544" s="2934" t="s">
        <v>2087</v>
      </c>
      <c r="H544" s="2934" t="s">
        <v>1234</v>
      </c>
      <c r="I544" s="376" t="s">
        <v>1304</v>
      </c>
      <c r="J544" s="2931">
        <v>6</v>
      </c>
      <c r="K544" s="2931">
        <v>9</v>
      </c>
      <c r="L544" s="2931">
        <v>12</v>
      </c>
      <c r="M544" s="373">
        <v>15</v>
      </c>
      <c r="N544" s="2931">
        <v>150</v>
      </c>
      <c r="O544" s="2931">
        <v>200</v>
      </c>
      <c r="P544" s="2931">
        <v>250</v>
      </c>
      <c r="Q544" s="373">
        <v>300</v>
      </c>
      <c r="R544" s="2931">
        <v>30</v>
      </c>
      <c r="S544" s="2931">
        <v>40</v>
      </c>
      <c r="T544" s="2931">
        <v>50</v>
      </c>
      <c r="U544" s="373">
        <v>100</v>
      </c>
      <c r="V544" s="2926" t="s">
        <v>5235</v>
      </c>
      <c r="W544" s="2926" t="s">
        <v>5236</v>
      </c>
      <c r="X544" s="2926" t="s">
        <v>5255</v>
      </c>
      <c r="Y544" s="2926" t="s">
        <v>5238</v>
      </c>
      <c r="Z544" s="2926" t="s">
        <v>5256</v>
      </c>
      <c r="AA544" s="371"/>
    </row>
    <row r="545" spans="1:27" ht="12.75" customHeight="1" x14ac:dyDescent="0.2">
      <c r="A545" s="6418"/>
      <c r="B545" s="251" t="str">
        <f t="shared" si="17"/>
        <v>Guerra64</v>
      </c>
      <c r="D545" s="272" t="s">
        <v>511</v>
      </c>
      <c r="E545" s="2931" t="s">
        <v>82</v>
      </c>
      <c r="F545" s="2931">
        <v>64</v>
      </c>
      <c r="G545" s="2934" t="s">
        <v>1381</v>
      </c>
      <c r="H545" s="2934" t="s">
        <v>1234</v>
      </c>
      <c r="I545" s="376" t="s">
        <v>1304</v>
      </c>
      <c r="J545" s="2931">
        <v>10</v>
      </c>
      <c r="K545" s="2931">
        <v>12</v>
      </c>
      <c r="L545" s="2931">
        <v>14</v>
      </c>
      <c r="M545" s="373">
        <v>16</v>
      </c>
      <c r="N545" s="2931">
        <v>140</v>
      </c>
      <c r="O545" s="2931">
        <v>180</v>
      </c>
      <c r="P545" s="2931">
        <v>240</v>
      </c>
      <c r="Q545" s="373">
        <v>350</v>
      </c>
      <c r="R545" s="2931">
        <v>15</v>
      </c>
      <c r="S545" s="2931">
        <v>15</v>
      </c>
      <c r="T545" s="2931">
        <v>20</v>
      </c>
      <c r="U545" s="373">
        <v>30</v>
      </c>
      <c r="V545" s="2926" t="s">
        <v>5257</v>
      </c>
      <c r="W545" s="2926" t="s">
        <v>5258</v>
      </c>
      <c r="X545" s="2926" t="s">
        <v>5259</v>
      </c>
      <c r="Y545" s="2926" t="s">
        <v>5260</v>
      </c>
      <c r="Z545" s="2926" t="s">
        <v>5261</v>
      </c>
      <c r="AA545" s="371"/>
    </row>
    <row r="546" spans="1:27" ht="12.75" customHeight="1" x14ac:dyDescent="0.2">
      <c r="A546" s="6418"/>
      <c r="B546" s="251" t="str">
        <f t="shared" si="17"/>
        <v>Guerra74</v>
      </c>
      <c r="D546" s="272" t="s">
        <v>512</v>
      </c>
      <c r="E546" s="2931" t="s">
        <v>82</v>
      </c>
      <c r="F546" s="2931">
        <v>74</v>
      </c>
      <c r="G546" s="2934" t="s">
        <v>1381</v>
      </c>
      <c r="H546" s="2934" t="s">
        <v>1234</v>
      </c>
      <c r="I546" s="376" t="s">
        <v>1304</v>
      </c>
      <c r="J546" s="2931">
        <v>8</v>
      </c>
      <c r="K546" s="2931">
        <v>10</v>
      </c>
      <c r="L546" s="2931">
        <v>12</v>
      </c>
      <c r="M546" s="373">
        <v>15</v>
      </c>
      <c r="N546" s="2931">
        <v>150</v>
      </c>
      <c r="O546" s="2931">
        <v>200</v>
      </c>
      <c r="P546" s="2931">
        <v>250</v>
      </c>
      <c r="Q546" s="373">
        <v>300</v>
      </c>
      <c r="R546" s="2931" t="s">
        <v>1381</v>
      </c>
      <c r="S546" s="2931" t="s">
        <v>1381</v>
      </c>
      <c r="T546" s="2931" t="s">
        <v>1381</v>
      </c>
      <c r="U546" s="373" t="s">
        <v>1381</v>
      </c>
      <c r="V546" s="2926" t="s">
        <v>5262</v>
      </c>
      <c r="W546" s="2926" t="s">
        <v>5255</v>
      </c>
      <c r="X546" s="2926" t="s">
        <v>5237</v>
      </c>
      <c r="Y546" s="2926" t="s">
        <v>5238</v>
      </c>
      <c r="Z546" s="2926" t="s">
        <v>5263</v>
      </c>
      <c r="AA546" s="371"/>
    </row>
    <row r="547" spans="1:27" ht="12.75" customHeight="1" x14ac:dyDescent="0.2">
      <c r="A547" s="6418"/>
      <c r="B547" s="251" t="str">
        <f t="shared" si="17"/>
        <v>Guerra84</v>
      </c>
      <c r="D547" s="272" t="s">
        <v>513</v>
      </c>
      <c r="E547" s="2931" t="s">
        <v>82</v>
      </c>
      <c r="F547" s="2931">
        <v>84</v>
      </c>
      <c r="G547" s="2934" t="s">
        <v>1381</v>
      </c>
      <c r="H547" s="2934" t="s">
        <v>1234</v>
      </c>
      <c r="I547" s="376" t="s">
        <v>1305</v>
      </c>
      <c r="J547" s="2931">
        <v>10</v>
      </c>
      <c r="K547" s="2931">
        <v>12</v>
      </c>
      <c r="L547" s="2931">
        <v>15</v>
      </c>
      <c r="M547" s="373">
        <v>18</v>
      </c>
      <c r="N547" s="2931">
        <v>200</v>
      </c>
      <c r="O547" s="2931">
        <v>300</v>
      </c>
      <c r="P547" s="2931">
        <v>400</v>
      </c>
      <c r="Q547" s="373">
        <v>500</v>
      </c>
      <c r="R547" s="2931">
        <v>10</v>
      </c>
      <c r="S547" s="2931">
        <v>15</v>
      </c>
      <c r="T547" s="2931">
        <v>20</v>
      </c>
      <c r="U547" s="373">
        <v>25</v>
      </c>
      <c r="V547" s="2926" t="s">
        <v>5264</v>
      </c>
      <c r="W547" s="2926" t="s">
        <v>5265</v>
      </c>
      <c r="X547" s="2926" t="s">
        <v>5266</v>
      </c>
      <c r="Y547" s="2926" t="s">
        <v>5267</v>
      </c>
      <c r="Z547" s="2926" t="s">
        <v>5268</v>
      </c>
      <c r="AA547" s="371"/>
    </row>
    <row r="548" spans="1:27" ht="12.75" customHeight="1" x14ac:dyDescent="0.2">
      <c r="A548" s="6418"/>
      <c r="B548" s="251" t="str">
        <f t="shared" si="17"/>
        <v>Guerra94</v>
      </c>
      <c r="D548" s="272" t="s">
        <v>514</v>
      </c>
      <c r="E548" s="2931" t="s">
        <v>82</v>
      </c>
      <c r="F548" s="2931">
        <v>94</v>
      </c>
      <c r="G548" s="2934" t="s">
        <v>1381</v>
      </c>
      <c r="H548" s="2934" t="s">
        <v>1234</v>
      </c>
      <c r="I548" s="376" t="s">
        <v>1304</v>
      </c>
      <c r="J548" s="2931">
        <v>14</v>
      </c>
      <c r="K548" s="2931">
        <v>16</v>
      </c>
      <c r="L548" s="2931">
        <v>18</v>
      </c>
      <c r="M548" s="373">
        <v>20</v>
      </c>
      <c r="N548" s="2931">
        <v>250</v>
      </c>
      <c r="O548" s="2931">
        <v>500</v>
      </c>
      <c r="P548" s="2931">
        <v>750</v>
      </c>
      <c r="Q548" s="373">
        <v>1000</v>
      </c>
      <c r="R548" s="2931">
        <v>25</v>
      </c>
      <c r="S548" s="2931">
        <v>50</v>
      </c>
      <c r="T548" s="2931">
        <v>75</v>
      </c>
      <c r="U548" s="373">
        <v>100</v>
      </c>
      <c r="V548" s="2926" t="s">
        <v>5262</v>
      </c>
      <c r="W548" s="2926" t="s">
        <v>5236</v>
      </c>
      <c r="X548" s="2926" t="s">
        <v>5237</v>
      </c>
      <c r="Y548" s="2926" t="s">
        <v>5269</v>
      </c>
      <c r="Z548" s="2926" t="s">
        <v>5270</v>
      </c>
      <c r="AA548" s="371"/>
    </row>
    <row r="549" spans="1:27" ht="12.75" customHeight="1" x14ac:dyDescent="0.2">
      <c r="A549" s="6418"/>
      <c r="B549" s="251" t="str">
        <f t="shared" si="17"/>
        <v/>
      </c>
      <c r="D549" s="272" t="s">
        <v>515</v>
      </c>
      <c r="E549" s="2931"/>
      <c r="F549" s="2931"/>
      <c r="G549" s="2934"/>
      <c r="H549" s="2934"/>
      <c r="I549" s="376"/>
      <c r="J549" s="2931"/>
      <c r="K549" s="2931"/>
      <c r="L549" s="2931"/>
      <c r="M549" s="373"/>
      <c r="N549" s="2931"/>
      <c r="O549" s="2931"/>
      <c r="P549" s="2931"/>
      <c r="Q549" s="373"/>
      <c r="R549" s="2931"/>
      <c r="S549" s="2931"/>
      <c r="T549" s="2931"/>
      <c r="U549" s="373"/>
      <c r="V549" s="2926"/>
      <c r="W549" s="2926"/>
      <c r="X549" s="2926"/>
      <c r="Y549" s="2926"/>
      <c r="Z549" s="2926"/>
      <c r="AA549" s="371"/>
    </row>
    <row r="550" spans="1:27" ht="12.75" customHeight="1" x14ac:dyDescent="0.2">
      <c r="A550" s="6418"/>
      <c r="B550" s="251" t="str">
        <f t="shared" si="17"/>
        <v>Literae4</v>
      </c>
      <c r="D550" s="272" t="s">
        <v>516</v>
      </c>
      <c r="E550" s="2931" t="s">
        <v>83</v>
      </c>
      <c r="F550" s="2931">
        <v>4</v>
      </c>
      <c r="G550" s="2934" t="s">
        <v>2087</v>
      </c>
      <c r="H550" s="2934" t="s">
        <v>1234</v>
      </c>
      <c r="I550" s="376" t="s">
        <v>1304</v>
      </c>
      <c r="J550" s="2931">
        <v>5</v>
      </c>
      <c r="K550" s="2931">
        <v>8</v>
      </c>
      <c r="L550" s="2931">
        <v>10</v>
      </c>
      <c r="M550" s="373">
        <v>12</v>
      </c>
      <c r="N550" s="2931">
        <v>30</v>
      </c>
      <c r="O550" s="2931">
        <v>80</v>
      </c>
      <c r="P550" s="2931">
        <v>100</v>
      </c>
      <c r="Q550" s="373">
        <v>120</v>
      </c>
      <c r="R550" s="2931">
        <v>5</v>
      </c>
      <c r="S550" s="2931">
        <v>10</v>
      </c>
      <c r="T550" s="2931">
        <v>10</v>
      </c>
      <c r="U550" s="373">
        <v>15</v>
      </c>
      <c r="V550" s="2926" t="s">
        <v>5271</v>
      </c>
      <c r="W550" s="2926" t="s">
        <v>5272</v>
      </c>
      <c r="X550" s="2926" t="s">
        <v>5273</v>
      </c>
      <c r="Y550" s="2926" t="s">
        <v>5274</v>
      </c>
      <c r="Z550" s="2926" t="s">
        <v>5275</v>
      </c>
      <c r="AA550" s="371"/>
    </row>
    <row r="551" spans="1:27" ht="12.75" customHeight="1" x14ac:dyDescent="0.2">
      <c r="A551" s="6418"/>
      <c r="B551" s="251" t="str">
        <f t="shared" si="17"/>
        <v>Literae14</v>
      </c>
      <c r="D551" s="272" t="s">
        <v>517</v>
      </c>
      <c r="E551" s="2931" t="s">
        <v>83</v>
      </c>
      <c r="F551" s="2931">
        <v>14</v>
      </c>
      <c r="G551" s="2934" t="s">
        <v>1381</v>
      </c>
      <c r="H551" s="2934" t="s">
        <v>1234</v>
      </c>
      <c r="I551" s="376" t="s">
        <v>1304</v>
      </c>
      <c r="J551" s="2931">
        <v>6</v>
      </c>
      <c r="K551" s="2931">
        <v>9</v>
      </c>
      <c r="L551" s="2931">
        <v>12</v>
      </c>
      <c r="M551" s="373">
        <v>15</v>
      </c>
      <c r="N551" s="2931">
        <v>80</v>
      </c>
      <c r="O551" s="2931">
        <v>140</v>
      </c>
      <c r="P551" s="2931">
        <v>200</v>
      </c>
      <c r="Q551" s="373">
        <v>280</v>
      </c>
      <c r="R551" s="2931" t="s">
        <v>1381</v>
      </c>
      <c r="S551" s="2931" t="s">
        <v>1381</v>
      </c>
      <c r="T551" s="2931" t="s">
        <v>1381</v>
      </c>
      <c r="U551" s="373" t="s">
        <v>1381</v>
      </c>
      <c r="V551" s="2926" t="s">
        <v>5276</v>
      </c>
      <c r="W551" s="2926" t="s">
        <v>5277</v>
      </c>
      <c r="X551" s="2926" t="s">
        <v>5278</v>
      </c>
      <c r="Y551" s="2926" t="s">
        <v>5279</v>
      </c>
      <c r="Z551" s="2926" t="s">
        <v>5280</v>
      </c>
      <c r="AA551" s="371"/>
    </row>
    <row r="552" spans="1:27" ht="12.75" customHeight="1" x14ac:dyDescent="0.2">
      <c r="A552" s="6418"/>
      <c r="B552" s="251" t="str">
        <f t="shared" si="17"/>
        <v>Literae24</v>
      </c>
      <c r="D552" s="272" t="s">
        <v>518</v>
      </c>
      <c r="E552" s="2931" t="s">
        <v>83</v>
      </c>
      <c r="F552" s="2931">
        <v>24</v>
      </c>
      <c r="G552" s="2934" t="s">
        <v>2087</v>
      </c>
      <c r="H552" s="2934" t="s">
        <v>1234</v>
      </c>
      <c r="I552" s="376" t="s">
        <v>1304</v>
      </c>
      <c r="J552" s="2931">
        <v>6</v>
      </c>
      <c r="K552" s="2931">
        <v>9</v>
      </c>
      <c r="L552" s="2931">
        <v>12</v>
      </c>
      <c r="M552" s="373">
        <v>15</v>
      </c>
      <c r="N552" s="2931">
        <v>100</v>
      </c>
      <c r="O552" s="2931">
        <v>180</v>
      </c>
      <c r="P552" s="2931">
        <v>240</v>
      </c>
      <c r="Q552" s="373">
        <v>300</v>
      </c>
      <c r="R552" s="2931">
        <v>15</v>
      </c>
      <c r="S552" s="2931">
        <v>20</v>
      </c>
      <c r="T552" s="2931">
        <v>25</v>
      </c>
      <c r="U552" s="373">
        <v>30</v>
      </c>
      <c r="V552" s="2926" t="s">
        <v>1738</v>
      </c>
      <c r="W552" s="2926" t="s">
        <v>1740</v>
      </c>
      <c r="X552" s="2926" t="s">
        <v>1741</v>
      </c>
      <c r="Y552" s="2926" t="s">
        <v>5281</v>
      </c>
      <c r="Z552" s="2926" t="s">
        <v>5282</v>
      </c>
      <c r="AA552" s="371"/>
    </row>
    <row r="553" spans="1:27" ht="12.75" customHeight="1" x14ac:dyDescent="0.2">
      <c r="A553" s="6418"/>
      <c r="B553" s="251" t="str">
        <f t="shared" si="17"/>
        <v>Literae34</v>
      </c>
      <c r="D553" s="272" t="s">
        <v>519</v>
      </c>
      <c r="E553" s="2931" t="s">
        <v>83</v>
      </c>
      <c r="F553" s="2931">
        <v>34</v>
      </c>
      <c r="G553" s="2934" t="s">
        <v>1381</v>
      </c>
      <c r="H553" s="2934" t="s">
        <v>1235</v>
      </c>
      <c r="I553" s="376" t="s">
        <v>1304</v>
      </c>
      <c r="J553" s="2931">
        <v>6</v>
      </c>
      <c r="K553" s="2931">
        <v>9</v>
      </c>
      <c r="L553" s="2931">
        <v>12</v>
      </c>
      <c r="M553" s="373">
        <v>15</v>
      </c>
      <c r="N553" s="2931">
        <v>120</v>
      </c>
      <c r="O553" s="2931">
        <v>240</v>
      </c>
      <c r="P553" s="2931">
        <v>360</v>
      </c>
      <c r="Q553" s="373">
        <v>480</v>
      </c>
      <c r="R553" s="2931" t="s">
        <v>1381</v>
      </c>
      <c r="S553" s="2931" t="s">
        <v>1381</v>
      </c>
      <c r="T553" s="2931" t="s">
        <v>1381</v>
      </c>
      <c r="U553" s="373" t="s">
        <v>1381</v>
      </c>
      <c r="V553" s="2926" t="s">
        <v>3603</v>
      </c>
      <c r="W553" s="2926" t="s">
        <v>4581</v>
      </c>
      <c r="X553" s="2926" t="s">
        <v>3604</v>
      </c>
      <c r="Y553" s="2926" t="s">
        <v>4582</v>
      </c>
      <c r="Z553" s="2926" t="s">
        <v>5283</v>
      </c>
      <c r="AA553" s="371"/>
    </row>
    <row r="554" spans="1:27" ht="12.75" customHeight="1" x14ac:dyDescent="0.2">
      <c r="A554" s="6418"/>
      <c r="B554" s="251" t="str">
        <f t="shared" si="17"/>
        <v>Literae44</v>
      </c>
      <c r="D554" s="272" t="s">
        <v>520</v>
      </c>
      <c r="E554" s="2931" t="s">
        <v>83</v>
      </c>
      <c r="F554" s="2931">
        <v>44</v>
      </c>
      <c r="G554" s="2934" t="s">
        <v>1381</v>
      </c>
      <c r="H554" s="2934" t="s">
        <v>1564</v>
      </c>
      <c r="I554" s="376" t="s">
        <v>1305</v>
      </c>
      <c r="J554" s="2931">
        <v>8</v>
      </c>
      <c r="K554" s="2931">
        <v>10</v>
      </c>
      <c r="L554" s="2931">
        <v>12</v>
      </c>
      <c r="M554" s="373">
        <v>15</v>
      </c>
      <c r="N554" s="2931">
        <v>150</v>
      </c>
      <c r="O554" s="2931">
        <v>200</v>
      </c>
      <c r="P554" s="2931">
        <v>250</v>
      </c>
      <c r="Q554" s="373">
        <v>300</v>
      </c>
      <c r="R554" s="2931">
        <v>15</v>
      </c>
      <c r="S554" s="2931">
        <v>20</v>
      </c>
      <c r="T554" s="2931">
        <v>25</v>
      </c>
      <c r="U554" s="373">
        <v>30</v>
      </c>
      <c r="V554" s="2926" t="s">
        <v>5284</v>
      </c>
      <c r="W554" s="2926" t="s">
        <v>5285</v>
      </c>
      <c r="X554" s="2926" t="s">
        <v>5286</v>
      </c>
      <c r="Y554" s="2926" t="s">
        <v>4304</v>
      </c>
      <c r="Z554" s="2926" t="s">
        <v>5287</v>
      </c>
      <c r="AA554" s="371"/>
    </row>
    <row r="555" spans="1:27" ht="12.75" customHeight="1" x14ac:dyDescent="0.2">
      <c r="A555" s="6418"/>
      <c r="B555" s="251" t="str">
        <f t="shared" si="17"/>
        <v>Literae54</v>
      </c>
      <c r="D555" s="272" t="s">
        <v>521</v>
      </c>
      <c r="E555" s="2931" t="s">
        <v>83</v>
      </c>
      <c r="F555" s="2931">
        <v>54</v>
      </c>
      <c r="G555" s="2934" t="s">
        <v>1381</v>
      </c>
      <c r="H555" s="2934" t="s">
        <v>1235</v>
      </c>
      <c r="I555" s="376" t="s">
        <v>1304</v>
      </c>
      <c r="J555" s="2931">
        <v>6</v>
      </c>
      <c r="K555" s="2931">
        <v>9</v>
      </c>
      <c r="L555" s="2931">
        <v>12</v>
      </c>
      <c r="M555" s="373">
        <v>15</v>
      </c>
      <c r="N555" s="2931">
        <v>240</v>
      </c>
      <c r="O555" s="2931">
        <v>360</v>
      </c>
      <c r="P555" s="2931">
        <v>480</v>
      </c>
      <c r="Q555" s="373">
        <v>600</v>
      </c>
      <c r="R555" s="2931">
        <v>15</v>
      </c>
      <c r="S555" s="2931">
        <v>20</v>
      </c>
      <c r="T555" s="2931">
        <v>25</v>
      </c>
      <c r="U555" s="373">
        <v>30</v>
      </c>
      <c r="V555" s="2926" t="s">
        <v>5288</v>
      </c>
      <c r="W555" s="2926" t="s">
        <v>5289</v>
      </c>
      <c r="X555" s="2926" t="s">
        <v>5290</v>
      </c>
      <c r="Y555" s="2926" t="s">
        <v>5291</v>
      </c>
      <c r="Z555" s="2926" t="s">
        <v>5292</v>
      </c>
      <c r="AA555" s="371"/>
    </row>
    <row r="556" spans="1:27" ht="12.75" customHeight="1" x14ac:dyDescent="0.2">
      <c r="A556" s="6418"/>
      <c r="B556" s="251" t="str">
        <f t="shared" si="17"/>
        <v>Literae64</v>
      </c>
      <c r="D556" s="272" t="s">
        <v>522</v>
      </c>
      <c r="E556" s="2931" t="s">
        <v>83</v>
      </c>
      <c r="F556" s="2931">
        <v>64</v>
      </c>
      <c r="G556" s="2934" t="s">
        <v>2087</v>
      </c>
      <c r="H556" s="2934" t="s">
        <v>1234</v>
      </c>
      <c r="I556" s="376" t="s">
        <v>1304</v>
      </c>
      <c r="J556" s="2931">
        <v>7</v>
      </c>
      <c r="K556" s="2931">
        <v>10</v>
      </c>
      <c r="L556" s="2931">
        <v>13</v>
      </c>
      <c r="M556" s="373">
        <v>15</v>
      </c>
      <c r="N556" s="2931">
        <v>120</v>
      </c>
      <c r="O556" s="2931">
        <v>260</v>
      </c>
      <c r="P556" s="2931">
        <v>380</v>
      </c>
      <c r="Q556" s="373">
        <v>500</v>
      </c>
      <c r="R556" s="2931">
        <v>10</v>
      </c>
      <c r="S556" s="2931">
        <v>20</v>
      </c>
      <c r="T556" s="2931">
        <v>30</v>
      </c>
      <c r="U556" s="373">
        <v>40</v>
      </c>
      <c r="V556" s="2926" t="s">
        <v>5293</v>
      </c>
      <c r="W556" s="2926" t="s">
        <v>5294</v>
      </c>
      <c r="X556" s="2926" t="s">
        <v>5295</v>
      </c>
      <c r="Y556" s="2926" t="s">
        <v>5296</v>
      </c>
      <c r="Z556" s="2926" t="s">
        <v>5297</v>
      </c>
      <c r="AA556" s="371"/>
    </row>
    <row r="557" spans="1:27" ht="12.75" customHeight="1" x14ac:dyDescent="0.2">
      <c r="A557" s="6418"/>
      <c r="B557" s="251" t="str">
        <f t="shared" si="17"/>
        <v>Literae74</v>
      </c>
      <c r="D557" s="272" t="s">
        <v>523</v>
      </c>
      <c r="E557" s="2931" t="s">
        <v>83</v>
      </c>
      <c r="F557" s="2931">
        <v>74</v>
      </c>
      <c r="G557" s="2934" t="s">
        <v>1381</v>
      </c>
      <c r="H557" s="2934" t="s">
        <v>1234</v>
      </c>
      <c r="I557" s="376" t="s">
        <v>1304</v>
      </c>
      <c r="J557" s="2931">
        <v>10</v>
      </c>
      <c r="K557" s="2931">
        <v>12</v>
      </c>
      <c r="L557" s="2931">
        <v>14</v>
      </c>
      <c r="M557" s="373">
        <v>16</v>
      </c>
      <c r="N557" s="2931">
        <v>280</v>
      </c>
      <c r="O557" s="2931">
        <v>320</v>
      </c>
      <c r="P557" s="2931">
        <v>480</v>
      </c>
      <c r="Q557" s="373">
        <v>700</v>
      </c>
      <c r="R557" s="2931" t="s">
        <v>1381</v>
      </c>
      <c r="S557" s="2931" t="s">
        <v>1381</v>
      </c>
      <c r="T557" s="2931" t="s">
        <v>1381</v>
      </c>
      <c r="U557" s="373" t="s">
        <v>1381</v>
      </c>
      <c r="V557" s="2926" t="s">
        <v>3541</v>
      </c>
      <c r="W557" s="2926" t="s">
        <v>3403</v>
      </c>
      <c r="X557" s="2926" t="s">
        <v>3574</v>
      </c>
      <c r="Y557" s="2926" t="s">
        <v>3575</v>
      </c>
      <c r="Z557" s="2926" t="s">
        <v>5298</v>
      </c>
      <c r="AA557" s="371"/>
    </row>
    <row r="558" spans="1:27" ht="12.75" customHeight="1" x14ac:dyDescent="0.2">
      <c r="A558" s="6418"/>
      <c r="B558" s="251" t="str">
        <f t="shared" si="17"/>
        <v>Literae84</v>
      </c>
      <c r="D558" s="272" t="s">
        <v>524</v>
      </c>
      <c r="E558" s="2931" t="s">
        <v>83</v>
      </c>
      <c r="F558" s="2931">
        <v>84</v>
      </c>
      <c r="G558" s="2934" t="s">
        <v>2087</v>
      </c>
      <c r="H558" s="2934" t="s">
        <v>1234</v>
      </c>
      <c r="I558" s="376" t="s">
        <v>1304</v>
      </c>
      <c r="J558" s="2931">
        <v>10</v>
      </c>
      <c r="K558" s="2931">
        <v>12</v>
      </c>
      <c r="L558" s="2931">
        <v>14</v>
      </c>
      <c r="M558" s="373">
        <v>17</v>
      </c>
      <c r="N558" s="2931">
        <v>400</v>
      </c>
      <c r="O558" s="2931">
        <v>600</v>
      </c>
      <c r="P558" s="2931">
        <v>800</v>
      </c>
      <c r="Q558" s="373">
        <v>1200</v>
      </c>
      <c r="R558" s="2931">
        <v>40</v>
      </c>
      <c r="S558" s="2931">
        <v>60</v>
      </c>
      <c r="T558" s="2931">
        <v>80</v>
      </c>
      <c r="U558" s="373">
        <v>120</v>
      </c>
      <c r="V558" s="2926" t="s">
        <v>3617</v>
      </c>
      <c r="W558" s="2926" t="s">
        <v>3657</v>
      </c>
      <c r="X558" s="2926" t="s">
        <v>5299</v>
      </c>
      <c r="Y558" s="2926" t="s">
        <v>4369</v>
      </c>
      <c r="Z558" s="2926" t="s">
        <v>5300</v>
      </c>
      <c r="AA558" s="371"/>
    </row>
    <row r="559" spans="1:27" ht="12.75" customHeight="1" x14ac:dyDescent="0.2">
      <c r="A559" s="6418"/>
      <c r="B559" s="251" t="str">
        <f t="shared" si="17"/>
        <v>Literae94</v>
      </c>
      <c r="D559" s="272" t="s">
        <v>525</v>
      </c>
      <c r="E559" s="2931" t="s">
        <v>83</v>
      </c>
      <c r="F559" s="2931">
        <v>94</v>
      </c>
      <c r="G559" s="2934" t="s">
        <v>1381</v>
      </c>
      <c r="H559" s="2934" t="s">
        <v>1235</v>
      </c>
      <c r="I559" s="376" t="s">
        <v>1304</v>
      </c>
      <c r="J559" s="2931">
        <v>12</v>
      </c>
      <c r="K559" s="2931">
        <v>15</v>
      </c>
      <c r="L559" s="2931">
        <v>17</v>
      </c>
      <c r="M559" s="373">
        <v>19</v>
      </c>
      <c r="N559" s="2931">
        <v>500</v>
      </c>
      <c r="O559" s="2931">
        <v>900</v>
      </c>
      <c r="P559" s="2931">
        <v>1400</v>
      </c>
      <c r="Q559" s="373">
        <v>2500</v>
      </c>
      <c r="R559" s="2931" t="s">
        <v>1381</v>
      </c>
      <c r="S559" s="2931" t="s">
        <v>1381</v>
      </c>
      <c r="T559" s="2931" t="s">
        <v>1381</v>
      </c>
      <c r="U559" s="373" t="s">
        <v>1381</v>
      </c>
      <c r="V559" s="2926" t="s">
        <v>3589</v>
      </c>
      <c r="W559" s="2926" t="s">
        <v>3590</v>
      </c>
      <c r="X559" s="2926" t="s">
        <v>3486</v>
      </c>
      <c r="Y559" s="2926" t="s">
        <v>3321</v>
      </c>
      <c r="Z559" s="2926" t="s">
        <v>5301</v>
      </c>
      <c r="AA559" s="371"/>
    </row>
    <row r="560" spans="1:27" ht="12.75" customHeight="1" x14ac:dyDescent="0.2">
      <c r="A560" s="6418"/>
      <c r="B560" s="251" t="str">
        <f t="shared" si="17"/>
        <v/>
      </c>
      <c r="D560" s="272" t="s">
        <v>526</v>
      </c>
      <c r="E560" s="2931"/>
      <c r="F560" s="2931"/>
      <c r="G560" s="2934"/>
      <c r="H560" s="2934"/>
      <c r="I560" s="376"/>
      <c r="J560" s="2931"/>
      <c r="K560" s="2931"/>
      <c r="L560" s="2931"/>
      <c r="M560" s="373"/>
      <c r="N560" s="2931"/>
      <c r="O560" s="2931"/>
      <c r="P560" s="2931"/>
      <c r="Q560" s="373"/>
      <c r="R560" s="2931"/>
      <c r="S560" s="2931"/>
      <c r="T560" s="2931"/>
      <c r="U560" s="373"/>
      <c r="V560" s="2926"/>
      <c r="W560" s="2926"/>
      <c r="X560" s="2926"/>
      <c r="Y560" s="2926"/>
      <c r="Z560" s="2926"/>
      <c r="AA560" s="371"/>
    </row>
    <row r="561" spans="1:27" ht="12.75" customHeight="1" x14ac:dyDescent="0.2">
      <c r="A561" s="6418"/>
      <c r="B561" s="251" t="str">
        <f t="shared" si="17"/>
        <v>Muerte4</v>
      </c>
      <c r="D561" s="272" t="s">
        <v>527</v>
      </c>
      <c r="E561" s="2931" t="s">
        <v>84</v>
      </c>
      <c r="F561" s="2931">
        <v>4</v>
      </c>
      <c r="G561" s="2934" t="s">
        <v>1381</v>
      </c>
      <c r="H561" s="2934" t="s">
        <v>1234</v>
      </c>
      <c r="I561" s="376" t="s">
        <v>1304</v>
      </c>
      <c r="J561" s="2931">
        <v>4</v>
      </c>
      <c r="K561" s="2931">
        <v>8</v>
      </c>
      <c r="L561" s="2931">
        <v>10</v>
      </c>
      <c r="M561" s="373">
        <v>12</v>
      </c>
      <c r="N561" s="2931">
        <v>50</v>
      </c>
      <c r="O561" s="2931">
        <v>80</v>
      </c>
      <c r="P561" s="2931">
        <v>100</v>
      </c>
      <c r="Q561" s="373">
        <v>120</v>
      </c>
      <c r="R561" s="2931" t="s">
        <v>1381</v>
      </c>
      <c r="S561" s="2931" t="s">
        <v>1381</v>
      </c>
      <c r="T561" s="2931" t="s">
        <v>1381</v>
      </c>
      <c r="U561" s="373" t="s">
        <v>1381</v>
      </c>
      <c r="V561" s="2926" t="s">
        <v>1735</v>
      </c>
      <c r="W561" s="2926" t="s">
        <v>1738</v>
      </c>
      <c r="X561" s="2926" t="s">
        <v>1740</v>
      </c>
      <c r="Y561" s="2926" t="s">
        <v>1741</v>
      </c>
      <c r="Z561" s="2926" t="s">
        <v>5302</v>
      </c>
      <c r="AA561" s="371"/>
    </row>
    <row r="562" spans="1:27" ht="12.75" customHeight="1" x14ac:dyDescent="0.2">
      <c r="A562" s="6418"/>
      <c r="B562" s="251" t="str">
        <f t="shared" si="17"/>
        <v>Muerte14</v>
      </c>
      <c r="D562" s="272" t="s">
        <v>528</v>
      </c>
      <c r="E562" s="2931" t="s">
        <v>84</v>
      </c>
      <c r="F562" s="2931">
        <v>14</v>
      </c>
      <c r="G562" s="2934" t="s">
        <v>2583</v>
      </c>
      <c r="H562" s="2934" t="s">
        <v>1234</v>
      </c>
      <c r="I562" s="376" t="s">
        <v>1305</v>
      </c>
      <c r="J562" s="2931">
        <v>6</v>
      </c>
      <c r="K562" s="2931">
        <v>9</v>
      </c>
      <c r="L562" s="2931">
        <v>12</v>
      </c>
      <c r="M562" s="373">
        <v>14</v>
      </c>
      <c r="N562" s="2931">
        <v>60</v>
      </c>
      <c r="O562" s="2931">
        <v>90</v>
      </c>
      <c r="P562" s="2931">
        <v>120</v>
      </c>
      <c r="Q562" s="373">
        <v>140</v>
      </c>
      <c r="R562" s="2931">
        <v>10</v>
      </c>
      <c r="S562" s="2931">
        <v>10</v>
      </c>
      <c r="T562" s="2931">
        <v>15</v>
      </c>
      <c r="U562" s="373">
        <v>15</v>
      </c>
      <c r="V562" s="2926" t="s">
        <v>5303</v>
      </c>
      <c r="W562" s="2926" t="s">
        <v>5304</v>
      </c>
      <c r="X562" s="2926" t="s">
        <v>5305</v>
      </c>
      <c r="Y562" s="2926" t="s">
        <v>5306</v>
      </c>
      <c r="Z562" s="2926" t="s">
        <v>5307</v>
      </c>
      <c r="AA562" s="371"/>
    </row>
    <row r="563" spans="1:27" ht="12.75" customHeight="1" x14ac:dyDescent="0.2">
      <c r="A563" s="6418"/>
      <c r="B563" s="251" t="str">
        <f t="shared" si="17"/>
        <v>Muerte24</v>
      </c>
      <c r="D563" s="272" t="s">
        <v>529</v>
      </c>
      <c r="E563" s="2931" t="s">
        <v>84</v>
      </c>
      <c r="F563" s="2931">
        <v>24</v>
      </c>
      <c r="G563" s="2934" t="s">
        <v>1381</v>
      </c>
      <c r="H563" s="2934" t="s">
        <v>3923</v>
      </c>
      <c r="I563" s="376" t="s">
        <v>1304</v>
      </c>
      <c r="J563" s="2931">
        <v>7</v>
      </c>
      <c r="K563" s="2931">
        <v>9</v>
      </c>
      <c r="L563" s="2931">
        <v>11</v>
      </c>
      <c r="M563" s="373">
        <v>13</v>
      </c>
      <c r="N563" s="2931">
        <v>80</v>
      </c>
      <c r="O563" s="2931">
        <v>100</v>
      </c>
      <c r="P563" s="2931">
        <v>120</v>
      </c>
      <c r="Q563" s="373">
        <v>140</v>
      </c>
      <c r="R563" s="2931" t="s">
        <v>1381</v>
      </c>
      <c r="S563" s="2931" t="s">
        <v>1381</v>
      </c>
      <c r="T563" s="2931" t="s">
        <v>1381</v>
      </c>
      <c r="U563" s="373" t="s">
        <v>1381</v>
      </c>
      <c r="V563" s="2926" t="s">
        <v>9689</v>
      </c>
      <c r="W563" s="2926" t="s">
        <v>5052</v>
      </c>
      <c r="X563" s="2926" t="s">
        <v>9690</v>
      </c>
      <c r="Y563" s="2926" t="s">
        <v>5308</v>
      </c>
      <c r="Z563" s="2926" t="s">
        <v>5309</v>
      </c>
      <c r="AA563" s="371"/>
    </row>
    <row r="564" spans="1:27" ht="12.75" customHeight="1" x14ac:dyDescent="0.2">
      <c r="A564" s="6418"/>
      <c r="B564" s="251" t="str">
        <f t="shared" si="17"/>
        <v>Muerte34</v>
      </c>
      <c r="D564" s="272" t="s">
        <v>530</v>
      </c>
      <c r="E564" s="2931" t="s">
        <v>84</v>
      </c>
      <c r="F564" s="2931">
        <v>34</v>
      </c>
      <c r="G564" s="2934" t="s">
        <v>1381</v>
      </c>
      <c r="H564" s="2934" t="s">
        <v>1235</v>
      </c>
      <c r="I564" s="376" t="s">
        <v>1304</v>
      </c>
      <c r="J564" s="2931">
        <v>7</v>
      </c>
      <c r="K564" s="2931">
        <v>9</v>
      </c>
      <c r="L564" s="2931">
        <v>11</v>
      </c>
      <c r="M564" s="373">
        <v>13</v>
      </c>
      <c r="N564" s="2931">
        <v>60</v>
      </c>
      <c r="O564" s="2931">
        <v>80</v>
      </c>
      <c r="P564" s="2931">
        <v>100</v>
      </c>
      <c r="Q564" s="373">
        <v>120</v>
      </c>
      <c r="R564" s="2931" t="s">
        <v>1381</v>
      </c>
      <c r="S564" s="2931" t="s">
        <v>1381</v>
      </c>
      <c r="T564" s="2931" t="s">
        <v>1381</v>
      </c>
      <c r="U564" s="373" t="s">
        <v>1381</v>
      </c>
      <c r="V564" s="2926" t="s">
        <v>3590</v>
      </c>
      <c r="W564" s="2926" t="s">
        <v>3486</v>
      </c>
      <c r="X564" s="2926" t="s">
        <v>3321</v>
      </c>
      <c r="Y564" s="2926" t="s">
        <v>3487</v>
      </c>
      <c r="Z564" s="2926" t="s">
        <v>5310</v>
      </c>
      <c r="AA564" s="371"/>
    </row>
    <row r="565" spans="1:27" ht="12.75" customHeight="1" x14ac:dyDescent="0.2">
      <c r="A565" s="6418"/>
      <c r="B565" s="251" t="str">
        <f t="shared" si="17"/>
        <v>Muerte44</v>
      </c>
      <c r="D565" s="272" t="s">
        <v>531</v>
      </c>
      <c r="E565" s="2931" t="s">
        <v>84</v>
      </c>
      <c r="F565" s="2931">
        <v>44</v>
      </c>
      <c r="G565" s="2934" t="s">
        <v>1381</v>
      </c>
      <c r="H565" s="2934" t="s">
        <v>4019</v>
      </c>
      <c r="I565" s="376" t="s">
        <v>1304</v>
      </c>
      <c r="J565" s="2931">
        <v>7</v>
      </c>
      <c r="K565" s="2931">
        <v>10</v>
      </c>
      <c r="L565" s="2931">
        <v>13</v>
      </c>
      <c r="M565" s="373">
        <v>15</v>
      </c>
      <c r="N565" s="2931">
        <v>60</v>
      </c>
      <c r="O565" s="2931">
        <v>90</v>
      </c>
      <c r="P565" s="2931">
        <v>120</v>
      </c>
      <c r="Q565" s="373">
        <v>150</v>
      </c>
      <c r="R565" s="2931" t="s">
        <v>1381</v>
      </c>
      <c r="S565" s="2931" t="s">
        <v>1381</v>
      </c>
      <c r="T565" s="2931" t="s">
        <v>1381</v>
      </c>
      <c r="U565" s="373" t="s">
        <v>1381</v>
      </c>
      <c r="V565" s="2926" t="s">
        <v>5311</v>
      </c>
      <c r="W565" s="2926" t="s">
        <v>5312</v>
      </c>
      <c r="X565" s="2926" t="s">
        <v>5313</v>
      </c>
      <c r="Y565" s="2926" t="s">
        <v>5314</v>
      </c>
      <c r="Z565" s="2926" t="s">
        <v>5315</v>
      </c>
      <c r="AA565" s="371"/>
    </row>
    <row r="566" spans="1:27" ht="12.75" customHeight="1" x14ac:dyDescent="0.2">
      <c r="A566" s="6418"/>
      <c r="B566" s="251" t="str">
        <f t="shared" si="17"/>
        <v>Muerte54</v>
      </c>
      <c r="D566" s="272" t="s">
        <v>9943</v>
      </c>
      <c r="E566" s="2931" t="s">
        <v>84</v>
      </c>
      <c r="F566" s="2931">
        <v>54</v>
      </c>
      <c r="G566" s="2934" t="s">
        <v>1381</v>
      </c>
      <c r="H566" s="2934" t="s">
        <v>1234</v>
      </c>
      <c r="I566" s="376" t="s">
        <v>1304</v>
      </c>
      <c r="J566" s="2931">
        <v>7</v>
      </c>
      <c r="K566" s="2931">
        <v>10</v>
      </c>
      <c r="L566" s="2931">
        <v>13</v>
      </c>
      <c r="M566" s="373">
        <v>15</v>
      </c>
      <c r="N566" s="2931">
        <v>80</v>
      </c>
      <c r="O566" s="2931">
        <v>100</v>
      </c>
      <c r="P566" s="2931">
        <v>120</v>
      </c>
      <c r="Q566" s="373">
        <v>150</v>
      </c>
      <c r="R566" s="2931">
        <v>10</v>
      </c>
      <c r="S566" s="2931">
        <v>10</v>
      </c>
      <c r="T566" s="2931">
        <v>15</v>
      </c>
      <c r="U566" s="373">
        <v>15</v>
      </c>
      <c r="V566" s="2926" t="s">
        <v>9942</v>
      </c>
      <c r="W566" s="2926" t="s">
        <v>5316</v>
      </c>
      <c r="X566" s="2926" t="s">
        <v>5317</v>
      </c>
      <c r="Y566" s="2926" t="s">
        <v>5318</v>
      </c>
      <c r="Z566" s="2926" t="s">
        <v>5319</v>
      </c>
      <c r="AA566" s="371"/>
    </row>
    <row r="567" spans="1:27" ht="12.75" customHeight="1" x14ac:dyDescent="0.2">
      <c r="A567" s="6418"/>
      <c r="B567" s="251" t="str">
        <f t="shared" si="17"/>
        <v>Muerte64</v>
      </c>
      <c r="D567" s="272" t="s">
        <v>532</v>
      </c>
      <c r="E567" s="2931" t="s">
        <v>84</v>
      </c>
      <c r="F567" s="2931">
        <v>64</v>
      </c>
      <c r="G567" s="2934" t="s">
        <v>1381</v>
      </c>
      <c r="H567" s="2934" t="s">
        <v>1233</v>
      </c>
      <c r="I567" s="376" t="s">
        <v>1304</v>
      </c>
      <c r="J567" s="2931">
        <v>8</v>
      </c>
      <c r="K567" s="2931">
        <v>10</v>
      </c>
      <c r="L567" s="2931">
        <v>13</v>
      </c>
      <c r="M567" s="373">
        <v>15</v>
      </c>
      <c r="N567" s="2931">
        <v>120</v>
      </c>
      <c r="O567" s="2931">
        <v>150</v>
      </c>
      <c r="P567" s="2931">
        <v>200</v>
      </c>
      <c r="Q567" s="373">
        <v>260</v>
      </c>
      <c r="R567" s="2931" t="s">
        <v>1381</v>
      </c>
      <c r="S567" s="2931" t="s">
        <v>1381</v>
      </c>
      <c r="T567" s="2931" t="s">
        <v>1381</v>
      </c>
      <c r="U567" s="373" t="s">
        <v>1381</v>
      </c>
      <c r="V567" s="2926" t="s">
        <v>5320</v>
      </c>
      <c r="W567" s="2926" t="s">
        <v>5321</v>
      </c>
      <c r="X567" s="2926" t="s">
        <v>5322</v>
      </c>
      <c r="Y567" s="2926" t="s">
        <v>5323</v>
      </c>
      <c r="Z567" s="2926" t="s">
        <v>5324</v>
      </c>
      <c r="AA567" s="371"/>
    </row>
    <row r="568" spans="1:27" ht="12.75" customHeight="1" x14ac:dyDescent="0.2">
      <c r="A568" s="6418"/>
      <c r="B568" s="251" t="str">
        <f t="shared" si="17"/>
        <v>Muerte74</v>
      </c>
      <c r="D568" s="272" t="s">
        <v>533</v>
      </c>
      <c r="E568" s="2931" t="s">
        <v>84</v>
      </c>
      <c r="F568" s="2931">
        <v>74</v>
      </c>
      <c r="G568" s="2934" t="s">
        <v>2583</v>
      </c>
      <c r="H568" s="2934" t="s">
        <v>5325</v>
      </c>
      <c r="I568" s="376" t="s">
        <v>1304</v>
      </c>
      <c r="J568" s="2931">
        <v>9</v>
      </c>
      <c r="K568" s="2931">
        <v>11</v>
      </c>
      <c r="L568" s="2931">
        <v>13</v>
      </c>
      <c r="M568" s="373">
        <v>15</v>
      </c>
      <c r="N568" s="2931">
        <v>150</v>
      </c>
      <c r="O568" s="2931">
        <v>250</v>
      </c>
      <c r="P568" s="2931">
        <v>350</v>
      </c>
      <c r="Q568" s="373">
        <v>500</v>
      </c>
      <c r="R568" s="2931">
        <v>15</v>
      </c>
      <c r="S568" s="2931">
        <v>25</v>
      </c>
      <c r="T568" s="2931">
        <v>35</v>
      </c>
      <c r="U568" s="373">
        <v>50</v>
      </c>
      <c r="V568" s="2926" t="s">
        <v>3589</v>
      </c>
      <c r="W568" s="2926" t="s">
        <v>3486</v>
      </c>
      <c r="X568" s="2926" t="s">
        <v>3487</v>
      </c>
      <c r="Y568" s="2926" t="s">
        <v>3488</v>
      </c>
      <c r="Z568" s="2926" t="s">
        <v>9691</v>
      </c>
      <c r="AA568" s="371"/>
    </row>
    <row r="569" spans="1:27" ht="12.75" customHeight="1" x14ac:dyDescent="0.2">
      <c r="A569" s="6418"/>
      <c r="B569" s="251" t="str">
        <f t="shared" si="17"/>
        <v>Muerte84</v>
      </c>
      <c r="D569" s="272" t="s">
        <v>534</v>
      </c>
      <c r="E569" s="2931" t="s">
        <v>84</v>
      </c>
      <c r="F569" s="2931">
        <v>84</v>
      </c>
      <c r="G569" s="2934" t="s">
        <v>1381</v>
      </c>
      <c r="H569" s="2934" t="s">
        <v>3923</v>
      </c>
      <c r="I569" s="376" t="s">
        <v>1305</v>
      </c>
      <c r="J569" s="2931">
        <v>10</v>
      </c>
      <c r="K569" s="2931">
        <v>12</v>
      </c>
      <c r="L569" s="2931">
        <v>14</v>
      </c>
      <c r="M569" s="373">
        <v>16</v>
      </c>
      <c r="N569" s="2931">
        <v>350</v>
      </c>
      <c r="O569" s="2931">
        <v>500</v>
      </c>
      <c r="P569" s="2931">
        <v>800</v>
      </c>
      <c r="Q569" s="373">
        <v>1200</v>
      </c>
      <c r="R569" s="2931">
        <v>15</v>
      </c>
      <c r="S569" s="2931">
        <v>25</v>
      </c>
      <c r="T569" s="2931">
        <v>40</v>
      </c>
      <c r="U569" s="373">
        <v>60</v>
      </c>
      <c r="V569" s="2926" t="s">
        <v>5326</v>
      </c>
      <c r="W569" s="2926" t="s">
        <v>5327</v>
      </c>
      <c r="X569" s="2926" t="s">
        <v>5328</v>
      </c>
      <c r="Y569" s="2926" t="s">
        <v>5329</v>
      </c>
      <c r="Z569" s="2926" t="s">
        <v>5330</v>
      </c>
      <c r="AA569" s="371"/>
    </row>
    <row r="570" spans="1:27" ht="12.75" customHeight="1" x14ac:dyDescent="0.2">
      <c r="A570" s="6418"/>
      <c r="B570" s="251" t="str">
        <f t="shared" si="17"/>
        <v>Muerte94</v>
      </c>
      <c r="D570" s="272" t="s">
        <v>535</v>
      </c>
      <c r="E570" s="2931" t="s">
        <v>84</v>
      </c>
      <c r="F570" s="2931">
        <v>94</v>
      </c>
      <c r="G570" s="2934" t="s">
        <v>2583</v>
      </c>
      <c r="H570" s="2934" t="s">
        <v>3949</v>
      </c>
      <c r="I570" s="376" t="s">
        <v>1304</v>
      </c>
      <c r="J570" s="2931">
        <v>12</v>
      </c>
      <c r="K570" s="2931">
        <v>14</v>
      </c>
      <c r="L570" s="2931">
        <v>16</v>
      </c>
      <c r="M570" s="373">
        <v>18</v>
      </c>
      <c r="N570" s="2931">
        <v>400</v>
      </c>
      <c r="O570" s="2931">
        <v>750</v>
      </c>
      <c r="P570" s="2931">
        <v>1200</v>
      </c>
      <c r="Q570" s="373">
        <v>2000</v>
      </c>
      <c r="R570" s="2931">
        <v>40</v>
      </c>
      <c r="S570" s="2931">
        <v>75</v>
      </c>
      <c r="T570" s="2931">
        <v>120</v>
      </c>
      <c r="U570" s="373">
        <v>200</v>
      </c>
      <c r="V570" s="2926" t="s">
        <v>5331</v>
      </c>
      <c r="W570" s="2926" t="s">
        <v>5332</v>
      </c>
      <c r="X570" s="2926" t="s">
        <v>5333</v>
      </c>
      <c r="Y570" s="2926" t="s">
        <v>5334</v>
      </c>
      <c r="Z570" s="2926" t="s">
        <v>5335</v>
      </c>
      <c r="AA570" s="371"/>
    </row>
    <row r="571" spans="1:27" ht="12.75" customHeight="1" x14ac:dyDescent="0.2">
      <c r="A571" s="6418"/>
      <c r="B571" s="251" t="str">
        <f t="shared" si="17"/>
        <v/>
      </c>
      <c r="D571" s="272" t="s">
        <v>536</v>
      </c>
      <c r="E571" s="2931"/>
      <c r="F571" s="2931"/>
      <c r="G571" s="2934"/>
      <c r="H571" s="2934"/>
      <c r="I571" s="376"/>
      <c r="J571" s="2931"/>
      <c r="K571" s="2931"/>
      <c r="L571" s="2931"/>
      <c r="M571" s="373"/>
      <c r="N571" s="2931"/>
      <c r="O571" s="2931"/>
      <c r="P571" s="2931"/>
      <c r="Q571" s="373"/>
      <c r="R571" s="2931"/>
      <c r="S571" s="2931"/>
      <c r="T571" s="2931"/>
      <c r="U571" s="373"/>
      <c r="V571" s="2926"/>
      <c r="W571" s="2926"/>
      <c r="X571" s="2926"/>
      <c r="Y571" s="2926"/>
      <c r="Z571" s="2926"/>
      <c r="AA571" s="371"/>
    </row>
    <row r="572" spans="1:27" ht="12.75" customHeight="1" x14ac:dyDescent="0.2">
      <c r="A572" s="6418"/>
      <c r="B572" s="251" t="str">
        <f t="shared" si="17"/>
        <v>Musical4</v>
      </c>
      <c r="D572" s="272" t="s">
        <v>537</v>
      </c>
      <c r="E572" s="2931" t="s">
        <v>85</v>
      </c>
      <c r="F572" s="2931">
        <v>4</v>
      </c>
      <c r="G572" s="2934" t="s">
        <v>1381</v>
      </c>
      <c r="H572" s="2934" t="s">
        <v>1234</v>
      </c>
      <c r="I572" s="376" t="s">
        <v>1304</v>
      </c>
      <c r="J572" s="2931">
        <v>5</v>
      </c>
      <c r="K572" s="2931">
        <v>8</v>
      </c>
      <c r="L572" s="2931">
        <v>10</v>
      </c>
      <c r="M572" s="373">
        <v>12</v>
      </c>
      <c r="N572" s="2931">
        <v>30</v>
      </c>
      <c r="O572" s="2931">
        <v>50</v>
      </c>
      <c r="P572" s="2931">
        <v>70</v>
      </c>
      <c r="Q572" s="373">
        <v>100</v>
      </c>
      <c r="R572" s="2931" t="s">
        <v>1381</v>
      </c>
      <c r="S572" s="2931" t="s">
        <v>1381</v>
      </c>
      <c r="T572" s="2931" t="s">
        <v>1381</v>
      </c>
      <c r="U572" s="373" t="s">
        <v>1381</v>
      </c>
      <c r="V572" s="2926" t="s">
        <v>5336</v>
      </c>
      <c r="W572" s="2926" t="s">
        <v>5337</v>
      </c>
      <c r="X572" s="2926" t="s">
        <v>5338</v>
      </c>
      <c r="Y572" s="2926" t="s">
        <v>5339</v>
      </c>
      <c r="Z572" s="2926" t="s">
        <v>5340</v>
      </c>
      <c r="AA572" s="371"/>
    </row>
    <row r="573" spans="1:27" ht="12.75" customHeight="1" x14ac:dyDescent="0.2">
      <c r="A573" s="6418"/>
      <c r="B573" s="251" t="str">
        <f t="shared" si="17"/>
        <v>Musical14</v>
      </c>
      <c r="D573" s="272" t="s">
        <v>538</v>
      </c>
      <c r="E573" s="2931" t="s">
        <v>85</v>
      </c>
      <c r="F573" s="2931">
        <v>14</v>
      </c>
      <c r="G573" s="2934" t="s">
        <v>1381</v>
      </c>
      <c r="H573" s="2934" t="s">
        <v>1234</v>
      </c>
      <c r="I573" s="376" t="s">
        <v>1304</v>
      </c>
      <c r="J573" s="2931">
        <v>5</v>
      </c>
      <c r="K573" s="2931">
        <v>8</v>
      </c>
      <c r="L573" s="2931">
        <v>10</v>
      </c>
      <c r="M573" s="373">
        <v>12</v>
      </c>
      <c r="N573" s="2931">
        <v>40</v>
      </c>
      <c r="O573" s="2931">
        <v>60</v>
      </c>
      <c r="P573" s="2931">
        <v>80</v>
      </c>
      <c r="Q573" s="373">
        <v>100</v>
      </c>
      <c r="R573" s="2931">
        <v>5</v>
      </c>
      <c r="S573" s="2931">
        <v>5</v>
      </c>
      <c r="T573" s="2931">
        <v>5</v>
      </c>
      <c r="U573" s="373">
        <v>10</v>
      </c>
      <c r="V573" s="2926" t="s">
        <v>4914</v>
      </c>
      <c r="W573" s="2926" t="s">
        <v>5341</v>
      </c>
      <c r="X573" s="2926" t="s">
        <v>5225</v>
      </c>
      <c r="Y573" s="2926" t="s">
        <v>5342</v>
      </c>
      <c r="Z573" s="2926" t="s">
        <v>5343</v>
      </c>
      <c r="AA573" s="371"/>
    </row>
    <row r="574" spans="1:27" ht="12.75" customHeight="1" x14ac:dyDescent="0.2">
      <c r="A574" s="6418"/>
      <c r="B574" s="251" t="str">
        <f t="shared" si="17"/>
        <v>Musical24</v>
      </c>
      <c r="D574" s="272" t="s">
        <v>539</v>
      </c>
      <c r="E574" s="2931" t="s">
        <v>85</v>
      </c>
      <c r="F574" s="2931">
        <v>24</v>
      </c>
      <c r="G574" s="2934" t="s">
        <v>1381</v>
      </c>
      <c r="H574" s="2934" t="s">
        <v>1234</v>
      </c>
      <c r="I574" s="376" t="s">
        <v>1304</v>
      </c>
      <c r="J574" s="2931">
        <v>6</v>
      </c>
      <c r="K574" s="2931">
        <v>8</v>
      </c>
      <c r="L574" s="2931">
        <v>10</v>
      </c>
      <c r="M574" s="373">
        <v>12</v>
      </c>
      <c r="N574" s="2931">
        <v>50</v>
      </c>
      <c r="O574" s="2931">
        <v>70</v>
      </c>
      <c r="P574" s="2931">
        <v>80</v>
      </c>
      <c r="Q574" s="373">
        <v>120</v>
      </c>
      <c r="R574" s="2931">
        <v>5</v>
      </c>
      <c r="S574" s="2931">
        <v>5</v>
      </c>
      <c r="T574" s="2931">
        <v>5</v>
      </c>
      <c r="U574" s="373">
        <v>10</v>
      </c>
      <c r="V574" s="2926" t="s">
        <v>5344</v>
      </c>
      <c r="W574" s="2926" t="s">
        <v>5345</v>
      </c>
      <c r="X574" s="2926" t="s">
        <v>5346</v>
      </c>
      <c r="Y574" s="2926" t="s">
        <v>5347</v>
      </c>
      <c r="Z574" s="2926" t="s">
        <v>5348</v>
      </c>
      <c r="AA574" s="371"/>
    </row>
    <row r="575" spans="1:27" ht="12.75" customHeight="1" x14ac:dyDescent="0.2">
      <c r="A575" s="6418"/>
      <c r="B575" s="251" t="str">
        <f t="shared" si="17"/>
        <v>Musical34</v>
      </c>
      <c r="D575" s="272" t="s">
        <v>540</v>
      </c>
      <c r="E575" s="2931" t="s">
        <v>85</v>
      </c>
      <c r="F575" s="2931">
        <v>34</v>
      </c>
      <c r="G575" s="2934" t="s">
        <v>1381</v>
      </c>
      <c r="H575" s="2934" t="s">
        <v>1232</v>
      </c>
      <c r="I575" s="376" t="s">
        <v>1304</v>
      </c>
      <c r="J575" s="2931">
        <v>7</v>
      </c>
      <c r="K575" s="2931">
        <v>9</v>
      </c>
      <c r="L575" s="2931">
        <v>11</v>
      </c>
      <c r="M575" s="373">
        <v>13</v>
      </c>
      <c r="N575" s="2931">
        <v>60</v>
      </c>
      <c r="O575" s="2931">
        <v>90</v>
      </c>
      <c r="P575" s="2931">
        <v>120</v>
      </c>
      <c r="Q575" s="373">
        <v>150</v>
      </c>
      <c r="R575" s="2931" t="s">
        <v>1381</v>
      </c>
      <c r="S575" s="2931" t="s">
        <v>1381</v>
      </c>
      <c r="T575" s="2931" t="s">
        <v>1381</v>
      </c>
      <c r="U575" s="373" t="s">
        <v>1381</v>
      </c>
      <c r="V575" s="2926" t="s">
        <v>5349</v>
      </c>
      <c r="W575" s="2926" t="s">
        <v>5350</v>
      </c>
      <c r="X575" s="2926" t="s">
        <v>5351</v>
      </c>
      <c r="Y575" s="2926" t="s">
        <v>4896</v>
      </c>
      <c r="Z575" s="2926" t="s">
        <v>10384</v>
      </c>
      <c r="AA575" s="371"/>
    </row>
    <row r="576" spans="1:27" ht="12.75" customHeight="1" x14ac:dyDescent="0.2">
      <c r="A576" s="6418"/>
      <c r="B576" s="251" t="str">
        <f t="shared" si="17"/>
        <v>Musical44</v>
      </c>
      <c r="D576" s="272" t="s">
        <v>541</v>
      </c>
      <c r="E576" s="2931" t="s">
        <v>85</v>
      </c>
      <c r="F576" s="2931">
        <v>44</v>
      </c>
      <c r="G576" s="2934" t="s">
        <v>1381</v>
      </c>
      <c r="H576" s="2934" t="s">
        <v>1235</v>
      </c>
      <c r="I576" s="376" t="s">
        <v>1304</v>
      </c>
      <c r="J576" s="2931">
        <v>7</v>
      </c>
      <c r="K576" s="2931">
        <v>9</v>
      </c>
      <c r="L576" s="2931">
        <v>11</v>
      </c>
      <c r="M576" s="373">
        <v>13</v>
      </c>
      <c r="N576" s="2931">
        <v>100</v>
      </c>
      <c r="O576" s="2931">
        <v>160</v>
      </c>
      <c r="P576" s="2931">
        <v>220</v>
      </c>
      <c r="Q576" s="373">
        <v>280</v>
      </c>
      <c r="R576" s="2931">
        <v>5</v>
      </c>
      <c r="S576" s="2931">
        <v>10</v>
      </c>
      <c r="T576" s="2931">
        <v>15</v>
      </c>
      <c r="U576" s="373">
        <v>20</v>
      </c>
      <c r="V576" s="2926" t="s">
        <v>5352</v>
      </c>
      <c r="W576" s="2926" t="s">
        <v>5353</v>
      </c>
      <c r="X576" s="2926" t="s">
        <v>5354</v>
      </c>
      <c r="Y576" s="2926" t="s">
        <v>5355</v>
      </c>
      <c r="Z576" s="2926" t="s">
        <v>5356</v>
      </c>
      <c r="AA576" s="371"/>
    </row>
    <row r="577" spans="1:27" ht="12.75" customHeight="1" x14ac:dyDescent="0.2">
      <c r="A577" s="6418"/>
      <c r="B577" s="251" t="str">
        <f t="shared" si="17"/>
        <v>Musical54</v>
      </c>
      <c r="D577" s="272" t="s">
        <v>542</v>
      </c>
      <c r="E577" s="2931" t="s">
        <v>85</v>
      </c>
      <c r="F577" s="2931">
        <v>54</v>
      </c>
      <c r="G577" s="2934" t="s">
        <v>1381</v>
      </c>
      <c r="H577" s="2934" t="s">
        <v>1235</v>
      </c>
      <c r="I577" s="376" t="s">
        <v>1304</v>
      </c>
      <c r="J577" s="2931">
        <v>7</v>
      </c>
      <c r="K577" s="2931">
        <v>9</v>
      </c>
      <c r="L577" s="2931">
        <v>11</v>
      </c>
      <c r="M577" s="373">
        <v>13</v>
      </c>
      <c r="N577" s="2931">
        <v>100</v>
      </c>
      <c r="O577" s="2931">
        <v>160</v>
      </c>
      <c r="P577" s="2931">
        <v>220</v>
      </c>
      <c r="Q577" s="373">
        <v>280</v>
      </c>
      <c r="R577" s="2931">
        <v>5</v>
      </c>
      <c r="S577" s="2931">
        <v>10</v>
      </c>
      <c r="T577" s="2931">
        <v>15</v>
      </c>
      <c r="U577" s="373">
        <v>20</v>
      </c>
      <c r="V577" s="2926" t="s">
        <v>5357</v>
      </c>
      <c r="W577" s="2926" t="s">
        <v>5358</v>
      </c>
      <c r="X577" s="2926" t="s">
        <v>5359</v>
      </c>
      <c r="Y577" s="2926" t="s">
        <v>5360</v>
      </c>
      <c r="Z577" s="2926" t="s">
        <v>5361</v>
      </c>
      <c r="AA577" s="371"/>
    </row>
    <row r="578" spans="1:27" ht="12.75" customHeight="1" x14ac:dyDescent="0.2">
      <c r="A578" s="6418"/>
      <c r="B578" s="251" t="str">
        <f t="shared" si="17"/>
        <v>Musical64</v>
      </c>
      <c r="D578" s="272" t="s">
        <v>543</v>
      </c>
      <c r="E578" s="2931" t="s">
        <v>85</v>
      </c>
      <c r="F578" s="2931">
        <v>64</v>
      </c>
      <c r="G578" s="2934" t="s">
        <v>1381</v>
      </c>
      <c r="H578" s="2934" t="s">
        <v>1234</v>
      </c>
      <c r="I578" s="376" t="s">
        <v>1304</v>
      </c>
      <c r="J578" s="2931">
        <v>8</v>
      </c>
      <c r="K578" s="2931">
        <v>10</v>
      </c>
      <c r="L578" s="2931">
        <v>12</v>
      </c>
      <c r="M578" s="373">
        <v>14</v>
      </c>
      <c r="N578" s="2931">
        <v>120</v>
      </c>
      <c r="O578" s="2931">
        <v>180</v>
      </c>
      <c r="P578" s="2931">
        <v>240</v>
      </c>
      <c r="Q578" s="373">
        <v>300</v>
      </c>
      <c r="R578" s="2931">
        <v>5</v>
      </c>
      <c r="S578" s="2931">
        <v>10</v>
      </c>
      <c r="T578" s="2931">
        <v>15</v>
      </c>
      <c r="U578" s="373">
        <v>20</v>
      </c>
      <c r="V578" s="2926" t="s">
        <v>5362</v>
      </c>
      <c r="W578" s="2926" t="s">
        <v>5363</v>
      </c>
      <c r="X578" s="2926" t="s">
        <v>5364</v>
      </c>
      <c r="Y578" s="2926" t="s">
        <v>5365</v>
      </c>
      <c r="Z578" s="2926" t="s">
        <v>5366</v>
      </c>
      <c r="AA578" s="371"/>
    </row>
    <row r="579" spans="1:27" ht="12.75" customHeight="1" x14ac:dyDescent="0.2">
      <c r="A579" s="6418"/>
      <c r="B579" s="251" t="str">
        <f t="shared" si="17"/>
        <v>Musical74</v>
      </c>
      <c r="D579" s="272" t="s">
        <v>544</v>
      </c>
      <c r="E579" s="2931" t="s">
        <v>85</v>
      </c>
      <c r="F579" s="2931">
        <v>74</v>
      </c>
      <c r="G579" s="2934" t="s">
        <v>1381</v>
      </c>
      <c r="H579" s="2934" t="s">
        <v>1234</v>
      </c>
      <c r="I579" s="376" t="s">
        <v>1304</v>
      </c>
      <c r="J579" s="2931">
        <v>8</v>
      </c>
      <c r="K579" s="2931">
        <v>10</v>
      </c>
      <c r="L579" s="2931">
        <v>12</v>
      </c>
      <c r="M579" s="373">
        <v>14</v>
      </c>
      <c r="N579" s="2931">
        <v>120</v>
      </c>
      <c r="O579" s="2931">
        <v>180</v>
      </c>
      <c r="P579" s="2931">
        <v>240</v>
      </c>
      <c r="Q579" s="373">
        <v>300</v>
      </c>
      <c r="R579" s="2931">
        <v>10</v>
      </c>
      <c r="S579" s="2931">
        <v>15</v>
      </c>
      <c r="T579" s="2931">
        <v>20</v>
      </c>
      <c r="U579" s="373">
        <v>30</v>
      </c>
      <c r="V579" s="2926" t="s">
        <v>4265</v>
      </c>
      <c r="W579" s="2926" t="s">
        <v>3394</v>
      </c>
      <c r="X579" s="2926" t="s">
        <v>3506</v>
      </c>
      <c r="Y579" s="2926" t="s">
        <v>3395</v>
      </c>
      <c r="Z579" s="2926" t="s">
        <v>5367</v>
      </c>
      <c r="AA579" s="371"/>
    </row>
    <row r="580" spans="1:27" ht="12.75" customHeight="1" x14ac:dyDescent="0.2">
      <c r="A580" s="6418"/>
      <c r="B580" s="251" t="str">
        <f t="shared" si="17"/>
        <v>Musical84</v>
      </c>
      <c r="D580" s="272" t="s">
        <v>545</v>
      </c>
      <c r="E580" s="2931" t="s">
        <v>85</v>
      </c>
      <c r="F580" s="2931">
        <v>84</v>
      </c>
      <c r="G580" s="2934" t="s">
        <v>1381</v>
      </c>
      <c r="H580" s="2934" t="s">
        <v>1234</v>
      </c>
      <c r="I580" s="376" t="s">
        <v>1304</v>
      </c>
      <c r="J580" s="2931">
        <v>8</v>
      </c>
      <c r="K580" s="2931">
        <v>10</v>
      </c>
      <c r="L580" s="2931">
        <v>12</v>
      </c>
      <c r="M580" s="373">
        <v>14</v>
      </c>
      <c r="N580" s="2931">
        <v>120</v>
      </c>
      <c r="O580" s="2931">
        <v>180</v>
      </c>
      <c r="P580" s="2931">
        <v>240</v>
      </c>
      <c r="Q580" s="373">
        <v>300</v>
      </c>
      <c r="R580" s="2931">
        <v>5</v>
      </c>
      <c r="S580" s="2931">
        <v>10</v>
      </c>
      <c r="T580" s="2931">
        <v>15</v>
      </c>
      <c r="U580" s="373">
        <v>20</v>
      </c>
      <c r="V580" s="2926" t="s">
        <v>5368</v>
      </c>
      <c r="W580" s="2926" t="s">
        <v>5369</v>
      </c>
      <c r="X580" s="2926" t="s">
        <v>5370</v>
      </c>
      <c r="Y580" s="2926" t="s">
        <v>5371</v>
      </c>
      <c r="Z580" s="2926" t="s">
        <v>5372</v>
      </c>
      <c r="AA580" s="371"/>
    </row>
    <row r="581" spans="1:27" ht="12.75" customHeight="1" x14ac:dyDescent="0.2">
      <c r="A581" s="6418"/>
      <c r="B581" s="251" t="str">
        <f t="shared" si="17"/>
        <v>Musical94</v>
      </c>
      <c r="D581" s="272" t="s">
        <v>546</v>
      </c>
      <c r="E581" s="2931" t="s">
        <v>85</v>
      </c>
      <c r="F581" s="2931">
        <v>94</v>
      </c>
      <c r="G581" s="2934" t="s">
        <v>1381</v>
      </c>
      <c r="H581" s="2934" t="s">
        <v>1235</v>
      </c>
      <c r="I581" s="376" t="s">
        <v>1304</v>
      </c>
      <c r="J581" s="2931">
        <v>8</v>
      </c>
      <c r="K581" s="2931">
        <v>10</v>
      </c>
      <c r="L581" s="2931">
        <v>12</v>
      </c>
      <c r="M581" s="373">
        <v>14</v>
      </c>
      <c r="N581" s="2931">
        <v>300</v>
      </c>
      <c r="O581" s="2931">
        <v>450</v>
      </c>
      <c r="P581" s="2931">
        <v>600</v>
      </c>
      <c r="Q581" s="373">
        <v>800</v>
      </c>
      <c r="R581" s="2931">
        <v>5</v>
      </c>
      <c r="S581" s="2931">
        <v>10</v>
      </c>
      <c r="T581" s="2931">
        <v>15</v>
      </c>
      <c r="U581" s="373">
        <v>20</v>
      </c>
      <c r="V581" s="2926" t="s">
        <v>3977</v>
      </c>
      <c r="W581" s="2926" t="s">
        <v>5373</v>
      </c>
      <c r="X581" s="2926" t="s">
        <v>5374</v>
      </c>
      <c r="Y581" s="2926" t="s">
        <v>5375</v>
      </c>
      <c r="Z581" s="2926" t="s">
        <v>5376</v>
      </c>
      <c r="AA581" s="371"/>
    </row>
    <row r="582" spans="1:27" ht="12.75" customHeight="1" x14ac:dyDescent="0.2">
      <c r="A582" s="6418"/>
      <c r="B582" s="251" t="str">
        <f t="shared" si="17"/>
        <v/>
      </c>
      <c r="D582" s="272" t="s">
        <v>547</v>
      </c>
      <c r="E582" s="2931"/>
      <c r="F582" s="2931"/>
      <c r="G582" s="2934"/>
      <c r="H582" s="2934"/>
      <c r="I582" s="376"/>
      <c r="J582" s="2931"/>
      <c r="K582" s="2931"/>
      <c r="L582" s="2931"/>
      <c r="M582" s="373"/>
      <c r="N582" s="2931"/>
      <c r="O582" s="2931"/>
      <c r="P582" s="2931"/>
      <c r="Q582" s="373"/>
      <c r="R582" s="2931"/>
      <c r="S582" s="2931"/>
      <c r="T582" s="2931"/>
      <c r="U582" s="373"/>
      <c r="V582" s="2926"/>
      <c r="W582" s="2926"/>
      <c r="X582" s="2926"/>
      <c r="Y582" s="2926"/>
      <c r="Z582" s="2926"/>
      <c r="AA582" s="371"/>
    </row>
    <row r="583" spans="1:27" ht="12.75" customHeight="1" x14ac:dyDescent="0.2">
      <c r="A583" s="6418"/>
      <c r="B583" s="251" t="str">
        <f t="shared" si="17"/>
        <v>Nobleza4</v>
      </c>
      <c r="D583" s="272" t="s">
        <v>548</v>
      </c>
      <c r="E583" s="2931" t="s">
        <v>86</v>
      </c>
      <c r="F583" s="2931">
        <v>4</v>
      </c>
      <c r="G583" s="2934" t="s">
        <v>2087</v>
      </c>
      <c r="H583" s="2934" t="s">
        <v>1234</v>
      </c>
      <c r="I583" s="376" t="s">
        <v>1304</v>
      </c>
      <c r="J583" s="2931">
        <v>5</v>
      </c>
      <c r="K583" s="2931">
        <v>8</v>
      </c>
      <c r="L583" s="2931">
        <v>10</v>
      </c>
      <c r="M583" s="373">
        <v>12</v>
      </c>
      <c r="N583" s="2931">
        <v>30</v>
      </c>
      <c r="O583" s="2931">
        <v>50</v>
      </c>
      <c r="P583" s="2931">
        <v>80</v>
      </c>
      <c r="Q583" s="373">
        <v>120</v>
      </c>
      <c r="R583" s="2931">
        <v>5</v>
      </c>
      <c r="S583" s="2931">
        <v>5</v>
      </c>
      <c r="T583" s="2931">
        <v>5</v>
      </c>
      <c r="U583" s="373">
        <v>10</v>
      </c>
      <c r="V583" s="2926" t="s">
        <v>3918</v>
      </c>
      <c r="W583" s="2926" t="s">
        <v>5377</v>
      </c>
      <c r="X583" s="2926" t="s">
        <v>5378</v>
      </c>
      <c r="Y583" s="2926" t="s">
        <v>5379</v>
      </c>
      <c r="Z583" s="2926" t="s">
        <v>5380</v>
      </c>
      <c r="AA583" s="371"/>
    </row>
    <row r="584" spans="1:27" ht="12.75" customHeight="1" x14ac:dyDescent="0.2">
      <c r="A584" s="6418"/>
      <c r="B584" s="251" t="str">
        <f t="shared" ref="B584:B647" si="18">E584&amp;F584</f>
        <v>Nobleza14</v>
      </c>
      <c r="D584" s="272" t="s">
        <v>549</v>
      </c>
      <c r="E584" s="2931" t="s">
        <v>86</v>
      </c>
      <c r="F584" s="2931">
        <v>14</v>
      </c>
      <c r="G584" s="2934" t="s">
        <v>2087</v>
      </c>
      <c r="H584" s="2934" t="s">
        <v>5381</v>
      </c>
      <c r="I584" s="376" t="s">
        <v>1304</v>
      </c>
      <c r="J584" s="2931">
        <v>5</v>
      </c>
      <c r="K584" s="2931">
        <v>8</v>
      </c>
      <c r="L584" s="2931">
        <v>10</v>
      </c>
      <c r="M584" s="373">
        <v>12</v>
      </c>
      <c r="N584" s="2931">
        <v>40</v>
      </c>
      <c r="O584" s="2931">
        <v>60</v>
      </c>
      <c r="P584" s="2931">
        <v>90</v>
      </c>
      <c r="Q584" s="373">
        <v>120</v>
      </c>
      <c r="R584" s="2931">
        <v>5</v>
      </c>
      <c r="S584" s="2931">
        <v>5</v>
      </c>
      <c r="T584" s="2931">
        <v>5</v>
      </c>
      <c r="U584" s="373">
        <v>10</v>
      </c>
      <c r="V584" s="2926" t="s">
        <v>5382</v>
      </c>
      <c r="W584" s="2926" t="s">
        <v>10459</v>
      </c>
      <c r="X584" s="2926" t="s">
        <v>10460</v>
      </c>
      <c r="Y584" s="2926" t="s">
        <v>5383</v>
      </c>
      <c r="Z584" s="2926" t="s">
        <v>5384</v>
      </c>
      <c r="AA584" s="371"/>
    </row>
    <row r="585" spans="1:27" ht="12.75" customHeight="1" x14ac:dyDescent="0.2">
      <c r="A585" s="6418"/>
      <c r="B585" s="251" t="str">
        <f t="shared" si="18"/>
        <v>Nobleza24</v>
      </c>
      <c r="D585" s="272" t="s">
        <v>550</v>
      </c>
      <c r="E585" s="2931" t="s">
        <v>86</v>
      </c>
      <c r="F585" s="2931">
        <v>24</v>
      </c>
      <c r="G585" s="2934" t="s">
        <v>1381</v>
      </c>
      <c r="H585" s="2934" t="s">
        <v>1234</v>
      </c>
      <c r="I585" s="376" t="s">
        <v>1304</v>
      </c>
      <c r="J585" s="2931">
        <v>6</v>
      </c>
      <c r="K585" s="2931">
        <v>9</v>
      </c>
      <c r="L585" s="2931">
        <v>11</v>
      </c>
      <c r="M585" s="373">
        <v>13</v>
      </c>
      <c r="N585" s="2931">
        <v>60</v>
      </c>
      <c r="O585" s="2931">
        <v>90</v>
      </c>
      <c r="P585" s="2931">
        <v>120</v>
      </c>
      <c r="Q585" s="373">
        <v>150</v>
      </c>
      <c r="R585" s="2931" t="s">
        <v>1381</v>
      </c>
      <c r="S585" s="2931" t="s">
        <v>1381</v>
      </c>
      <c r="T585" s="2931" t="s">
        <v>1381</v>
      </c>
      <c r="U585" s="373" t="s">
        <v>1381</v>
      </c>
      <c r="V585" s="2926" t="s">
        <v>5385</v>
      </c>
      <c r="W585" s="2926" t="s">
        <v>5386</v>
      </c>
      <c r="X585" s="2926" t="s">
        <v>5387</v>
      </c>
      <c r="Y585" s="2926" t="s">
        <v>5388</v>
      </c>
      <c r="Z585" s="2926" t="s">
        <v>5389</v>
      </c>
      <c r="AA585" s="371"/>
    </row>
    <row r="586" spans="1:27" ht="12.75" customHeight="1" x14ac:dyDescent="0.2">
      <c r="A586" s="6418"/>
      <c r="B586" s="251" t="str">
        <f t="shared" si="18"/>
        <v>Nobleza34</v>
      </c>
      <c r="D586" s="272" t="s">
        <v>551</v>
      </c>
      <c r="E586" s="2931" t="s">
        <v>86</v>
      </c>
      <c r="F586" s="2931">
        <v>34</v>
      </c>
      <c r="G586" s="2934" t="s">
        <v>2087</v>
      </c>
      <c r="H586" s="2934" t="s">
        <v>1234</v>
      </c>
      <c r="I586" s="376" t="s">
        <v>1304</v>
      </c>
      <c r="J586" s="2931">
        <v>6</v>
      </c>
      <c r="K586" s="2931">
        <v>9</v>
      </c>
      <c r="L586" s="2931">
        <v>11</v>
      </c>
      <c r="M586" s="373">
        <v>13</v>
      </c>
      <c r="N586" s="2931">
        <v>60</v>
      </c>
      <c r="O586" s="2931">
        <v>90</v>
      </c>
      <c r="P586" s="2931">
        <v>120</v>
      </c>
      <c r="Q586" s="373">
        <v>150</v>
      </c>
      <c r="R586" s="2931">
        <v>5</v>
      </c>
      <c r="S586" s="2931">
        <v>5</v>
      </c>
      <c r="T586" s="2931">
        <v>5</v>
      </c>
      <c r="U586" s="373">
        <v>10</v>
      </c>
      <c r="V586" s="2926" t="s">
        <v>3918</v>
      </c>
      <c r="W586" s="2926" t="s">
        <v>5390</v>
      </c>
      <c r="X586" s="2926" t="s">
        <v>5391</v>
      </c>
      <c r="Y586" s="2926" t="s">
        <v>5392</v>
      </c>
      <c r="Z586" s="2926" t="s">
        <v>10088</v>
      </c>
      <c r="AA586" s="371"/>
    </row>
    <row r="587" spans="1:27" ht="12.75" customHeight="1" x14ac:dyDescent="0.2">
      <c r="A587" s="6418"/>
      <c r="B587" s="251" t="str">
        <f t="shared" si="18"/>
        <v>Nobleza44</v>
      </c>
      <c r="D587" s="272" t="s">
        <v>552</v>
      </c>
      <c r="E587" s="2931" t="s">
        <v>86</v>
      </c>
      <c r="F587" s="2931">
        <v>44</v>
      </c>
      <c r="G587" s="2934" t="s">
        <v>1381</v>
      </c>
      <c r="H587" s="2934" t="s">
        <v>1235</v>
      </c>
      <c r="I587" s="376" t="s">
        <v>1304</v>
      </c>
      <c r="J587" s="2931">
        <v>7</v>
      </c>
      <c r="K587" s="2931">
        <v>10</v>
      </c>
      <c r="L587" s="2931">
        <v>12</v>
      </c>
      <c r="M587" s="373">
        <v>14</v>
      </c>
      <c r="N587" s="2931">
        <v>80</v>
      </c>
      <c r="O587" s="2931">
        <v>100</v>
      </c>
      <c r="P587" s="2931">
        <v>120</v>
      </c>
      <c r="Q587" s="373">
        <v>140</v>
      </c>
      <c r="R587" s="2931" t="s">
        <v>1381</v>
      </c>
      <c r="S587" s="2931" t="s">
        <v>1381</v>
      </c>
      <c r="T587" s="2931" t="s">
        <v>1381</v>
      </c>
      <c r="U587" s="373" t="s">
        <v>1381</v>
      </c>
      <c r="V587" s="2926" t="s">
        <v>5393</v>
      </c>
      <c r="W587" s="2926" t="s">
        <v>5394</v>
      </c>
      <c r="X587" s="2926" t="s">
        <v>5395</v>
      </c>
      <c r="Y587" s="2926" t="s">
        <v>5396</v>
      </c>
      <c r="Z587" s="2926" t="s">
        <v>5397</v>
      </c>
      <c r="AA587" s="371"/>
    </row>
    <row r="588" spans="1:27" ht="12.75" customHeight="1" x14ac:dyDescent="0.2">
      <c r="A588" s="6418"/>
      <c r="B588" s="251" t="str">
        <f t="shared" si="18"/>
        <v>Nobleza54</v>
      </c>
      <c r="D588" s="272" t="s">
        <v>553</v>
      </c>
      <c r="E588" s="2931" t="s">
        <v>86</v>
      </c>
      <c r="F588" s="2931">
        <v>54</v>
      </c>
      <c r="G588" s="2934" t="s">
        <v>1381</v>
      </c>
      <c r="H588" s="2934" t="s">
        <v>1235</v>
      </c>
      <c r="I588" s="376" t="s">
        <v>1304</v>
      </c>
      <c r="J588" s="2931">
        <v>7</v>
      </c>
      <c r="K588" s="2931">
        <v>10</v>
      </c>
      <c r="L588" s="2931">
        <v>12</v>
      </c>
      <c r="M588" s="373">
        <v>14</v>
      </c>
      <c r="N588" s="2931">
        <v>80</v>
      </c>
      <c r="O588" s="2931">
        <v>100</v>
      </c>
      <c r="P588" s="2931">
        <v>120</v>
      </c>
      <c r="Q588" s="373">
        <v>150</v>
      </c>
      <c r="R588" s="2931">
        <v>10</v>
      </c>
      <c r="S588" s="2931">
        <v>10</v>
      </c>
      <c r="T588" s="2931">
        <v>15</v>
      </c>
      <c r="U588" s="373">
        <v>15</v>
      </c>
      <c r="V588" s="2926" t="s">
        <v>5393</v>
      </c>
      <c r="W588" s="2926" t="s">
        <v>5394</v>
      </c>
      <c r="X588" s="2926" t="s">
        <v>5395</v>
      </c>
      <c r="Y588" s="2926" t="s">
        <v>5396</v>
      </c>
      <c r="Z588" s="2926" t="s">
        <v>5398</v>
      </c>
      <c r="AA588" s="371"/>
    </row>
    <row r="589" spans="1:27" ht="12.75" customHeight="1" x14ac:dyDescent="0.2">
      <c r="A589" s="6418"/>
      <c r="B589" s="251" t="str">
        <f t="shared" si="18"/>
        <v>Nobleza64</v>
      </c>
      <c r="D589" s="272" t="s">
        <v>554</v>
      </c>
      <c r="E589" s="2931" t="s">
        <v>86</v>
      </c>
      <c r="F589" s="2931">
        <v>64</v>
      </c>
      <c r="G589" s="2934" t="s">
        <v>2087</v>
      </c>
      <c r="H589" s="2934" t="s">
        <v>1235</v>
      </c>
      <c r="I589" s="376" t="s">
        <v>1304</v>
      </c>
      <c r="J589" s="2931">
        <v>8</v>
      </c>
      <c r="K589" s="2931">
        <v>11</v>
      </c>
      <c r="L589" s="2931">
        <v>13</v>
      </c>
      <c r="M589" s="373">
        <v>15</v>
      </c>
      <c r="N589" s="2931">
        <v>100</v>
      </c>
      <c r="O589" s="2931">
        <v>150</v>
      </c>
      <c r="P589" s="2931">
        <v>200</v>
      </c>
      <c r="Q589" s="373">
        <v>250</v>
      </c>
      <c r="R589" s="2931">
        <v>5</v>
      </c>
      <c r="S589" s="2931">
        <v>10</v>
      </c>
      <c r="T589" s="2931">
        <v>15</v>
      </c>
      <c r="U589" s="373">
        <v>15</v>
      </c>
      <c r="V589" s="2926" t="s">
        <v>5393</v>
      </c>
      <c r="W589" s="2926" t="s">
        <v>5394</v>
      </c>
      <c r="X589" s="2926" t="s">
        <v>5395</v>
      </c>
      <c r="Y589" s="2926" t="s">
        <v>5396</v>
      </c>
      <c r="Z589" s="2926" t="s">
        <v>5399</v>
      </c>
      <c r="AA589" s="371"/>
    </row>
    <row r="590" spans="1:27" ht="12.75" customHeight="1" x14ac:dyDescent="0.2">
      <c r="A590" s="6418"/>
      <c r="B590" s="251" t="str">
        <f t="shared" si="18"/>
        <v>Nobleza74</v>
      </c>
      <c r="D590" s="272" t="s">
        <v>555</v>
      </c>
      <c r="E590" s="2931" t="s">
        <v>86</v>
      </c>
      <c r="F590" s="2931">
        <v>74</v>
      </c>
      <c r="G590" s="2934" t="s">
        <v>3724</v>
      </c>
      <c r="H590" s="2934" t="s">
        <v>1235</v>
      </c>
      <c r="I590" s="376" t="s">
        <v>1304</v>
      </c>
      <c r="J590" s="2931">
        <v>9</v>
      </c>
      <c r="K590" s="2931">
        <v>12</v>
      </c>
      <c r="L590" s="2931">
        <v>14</v>
      </c>
      <c r="M590" s="373">
        <v>16</v>
      </c>
      <c r="N590" s="2931">
        <v>120</v>
      </c>
      <c r="O590" s="2931">
        <v>150</v>
      </c>
      <c r="P590" s="2931">
        <v>200</v>
      </c>
      <c r="Q590" s="373">
        <v>250</v>
      </c>
      <c r="R590" s="2931">
        <v>10</v>
      </c>
      <c r="S590" s="2931">
        <v>10</v>
      </c>
      <c r="T590" s="2931">
        <v>15</v>
      </c>
      <c r="U590" s="373">
        <v>20</v>
      </c>
      <c r="V590" s="2926" t="s">
        <v>5400</v>
      </c>
      <c r="W590" s="2926" t="s">
        <v>5401</v>
      </c>
      <c r="X590" s="2926" t="s">
        <v>5402</v>
      </c>
      <c r="Y590" s="2926" t="s">
        <v>5403</v>
      </c>
      <c r="Z590" s="2926" t="s">
        <v>5404</v>
      </c>
      <c r="AA590" s="371"/>
    </row>
    <row r="591" spans="1:27" ht="12.75" customHeight="1" x14ac:dyDescent="0.2">
      <c r="A591" s="6418"/>
      <c r="B591" s="251" t="str">
        <f t="shared" si="18"/>
        <v>Nobleza84</v>
      </c>
      <c r="D591" s="272" t="s">
        <v>556</v>
      </c>
      <c r="E591" s="2931" t="s">
        <v>86</v>
      </c>
      <c r="F591" s="2931">
        <v>84</v>
      </c>
      <c r="G591" s="2934" t="s">
        <v>2087</v>
      </c>
      <c r="H591" s="2934" t="s">
        <v>1234</v>
      </c>
      <c r="I591" s="376" t="s">
        <v>1304</v>
      </c>
      <c r="J591" s="2931">
        <v>9</v>
      </c>
      <c r="K591" s="2931">
        <v>12</v>
      </c>
      <c r="L591" s="2931">
        <v>14</v>
      </c>
      <c r="M591" s="373">
        <v>16</v>
      </c>
      <c r="N591" s="2931">
        <v>120</v>
      </c>
      <c r="O591" s="2931">
        <v>150</v>
      </c>
      <c r="P591" s="2931">
        <v>200</v>
      </c>
      <c r="Q591" s="373">
        <v>250</v>
      </c>
      <c r="R591" s="2931">
        <v>15</v>
      </c>
      <c r="S591" s="2931">
        <v>15</v>
      </c>
      <c r="T591" s="2931">
        <v>20</v>
      </c>
      <c r="U591" s="373">
        <v>25</v>
      </c>
      <c r="V591" s="2926" t="s">
        <v>5405</v>
      </c>
      <c r="W591" s="2926" t="s">
        <v>5406</v>
      </c>
      <c r="X591" s="2926" t="s">
        <v>5407</v>
      </c>
      <c r="Y591" s="2926" t="s">
        <v>5408</v>
      </c>
      <c r="Z591" s="2926" t="s">
        <v>5409</v>
      </c>
      <c r="AA591" s="371"/>
    </row>
    <row r="592" spans="1:27" ht="12.75" customHeight="1" x14ac:dyDescent="0.2">
      <c r="A592" s="6418"/>
      <c r="B592" s="251" t="str">
        <f t="shared" si="18"/>
        <v>Nobleza94</v>
      </c>
      <c r="D592" s="272" t="s">
        <v>557</v>
      </c>
      <c r="E592" s="2931" t="s">
        <v>86</v>
      </c>
      <c r="F592" s="2931">
        <v>94</v>
      </c>
      <c r="G592" s="2934" t="s">
        <v>2087</v>
      </c>
      <c r="H592" s="2934" t="s">
        <v>1234</v>
      </c>
      <c r="I592" s="376" t="s">
        <v>1304</v>
      </c>
      <c r="J592" s="2931">
        <v>9</v>
      </c>
      <c r="K592" s="2931">
        <v>12</v>
      </c>
      <c r="L592" s="2931">
        <v>14</v>
      </c>
      <c r="M592" s="373">
        <v>16</v>
      </c>
      <c r="N592" s="2931">
        <v>120</v>
      </c>
      <c r="O592" s="2931">
        <v>150</v>
      </c>
      <c r="P592" s="2931">
        <v>200</v>
      </c>
      <c r="Q592" s="373">
        <v>250</v>
      </c>
      <c r="R592" s="2931">
        <v>10</v>
      </c>
      <c r="S592" s="2931">
        <v>10</v>
      </c>
      <c r="T592" s="2931">
        <v>15</v>
      </c>
      <c r="U592" s="373">
        <v>20</v>
      </c>
      <c r="V592" s="2926" t="s">
        <v>5410</v>
      </c>
      <c r="W592" s="2926" t="s">
        <v>5411</v>
      </c>
      <c r="X592" s="2926" t="s">
        <v>5412</v>
      </c>
      <c r="Y592" s="2926" t="s">
        <v>5413</v>
      </c>
      <c r="Z592" s="2926" t="s">
        <v>5414</v>
      </c>
      <c r="AA592" s="371"/>
    </row>
    <row r="593" spans="1:27" ht="12.75" customHeight="1" x14ac:dyDescent="0.2">
      <c r="A593" s="6418"/>
      <c r="B593" s="251" t="str">
        <f t="shared" si="18"/>
        <v/>
      </c>
      <c r="D593" s="272" t="s">
        <v>558</v>
      </c>
      <c r="E593" s="2931"/>
      <c r="F593" s="2931"/>
      <c r="G593" s="2934"/>
      <c r="H593" s="2934"/>
      <c r="I593" s="376"/>
      <c r="J593" s="2931"/>
      <c r="K593" s="2931"/>
      <c r="L593" s="2931"/>
      <c r="M593" s="373"/>
      <c r="N593" s="2931"/>
      <c r="O593" s="2931"/>
      <c r="P593" s="2931"/>
      <c r="Q593" s="373"/>
      <c r="R593" s="2931"/>
      <c r="S593" s="2931"/>
      <c r="T593" s="2931"/>
      <c r="U593" s="373"/>
      <c r="V593" s="2926"/>
      <c r="W593" s="2926"/>
      <c r="X593" s="2926"/>
      <c r="Y593" s="2926"/>
      <c r="Z593" s="2926"/>
      <c r="AA593" s="371"/>
    </row>
    <row r="594" spans="1:27" ht="12.75" customHeight="1" x14ac:dyDescent="0.2">
      <c r="A594" s="6418"/>
      <c r="B594" s="251" t="str">
        <f t="shared" si="18"/>
        <v>Paz4</v>
      </c>
      <c r="D594" s="272" t="s">
        <v>559</v>
      </c>
      <c r="E594" s="2931" t="s">
        <v>87</v>
      </c>
      <c r="F594" s="2931">
        <v>4</v>
      </c>
      <c r="G594" s="2934" t="s">
        <v>1381</v>
      </c>
      <c r="H594" s="2934" t="s">
        <v>1564</v>
      </c>
      <c r="I594" s="376" t="s">
        <v>1305</v>
      </c>
      <c r="J594" s="2931">
        <v>6</v>
      </c>
      <c r="K594" s="2931">
        <v>8</v>
      </c>
      <c r="L594" s="2931">
        <v>10</v>
      </c>
      <c r="M594" s="373">
        <v>14</v>
      </c>
      <c r="N594" s="2931">
        <v>50</v>
      </c>
      <c r="O594" s="2931">
        <v>100</v>
      </c>
      <c r="P594" s="2931">
        <v>160</v>
      </c>
      <c r="Q594" s="373">
        <v>240</v>
      </c>
      <c r="R594" s="2931">
        <v>5</v>
      </c>
      <c r="S594" s="2931">
        <v>15</v>
      </c>
      <c r="T594" s="2931">
        <v>20</v>
      </c>
      <c r="U594" s="373">
        <v>25</v>
      </c>
      <c r="V594" s="2926" t="s">
        <v>5415</v>
      </c>
      <c r="W594" s="2926" t="s">
        <v>5416</v>
      </c>
      <c r="X594" s="2926" t="s">
        <v>5417</v>
      </c>
      <c r="Y594" s="2926" t="s">
        <v>5418</v>
      </c>
      <c r="Z594" s="2926" t="s">
        <v>5419</v>
      </c>
      <c r="AA594" s="371"/>
    </row>
    <row r="595" spans="1:27" ht="12.75" customHeight="1" x14ac:dyDescent="0.2">
      <c r="A595" s="6418"/>
      <c r="B595" s="251" t="str">
        <f t="shared" si="18"/>
        <v>Paz14</v>
      </c>
      <c r="D595" s="272" t="s">
        <v>560</v>
      </c>
      <c r="E595" s="2931" t="s">
        <v>87</v>
      </c>
      <c r="F595" s="2931">
        <v>14</v>
      </c>
      <c r="G595" s="2934" t="s">
        <v>2087</v>
      </c>
      <c r="H595" s="2934" t="s">
        <v>1234</v>
      </c>
      <c r="I595" s="376" t="s">
        <v>1305</v>
      </c>
      <c r="J595" s="2931">
        <v>6</v>
      </c>
      <c r="K595" s="2931">
        <v>9</v>
      </c>
      <c r="L595" s="2931">
        <v>12</v>
      </c>
      <c r="M595" s="373">
        <v>15</v>
      </c>
      <c r="N595" s="2931">
        <v>120</v>
      </c>
      <c r="O595" s="2931">
        <v>180</v>
      </c>
      <c r="P595" s="2931">
        <v>240</v>
      </c>
      <c r="Q595" s="373">
        <v>300</v>
      </c>
      <c r="R595" s="2931">
        <v>15</v>
      </c>
      <c r="S595" s="2931">
        <v>20</v>
      </c>
      <c r="T595" s="2931">
        <v>25</v>
      </c>
      <c r="U595" s="373">
        <v>30</v>
      </c>
      <c r="V595" s="2926" t="s">
        <v>5420</v>
      </c>
      <c r="W595" s="2926" t="s">
        <v>5421</v>
      </c>
      <c r="X595" s="2926" t="s">
        <v>5422</v>
      </c>
      <c r="Y595" s="2926" t="s">
        <v>5423</v>
      </c>
      <c r="Z595" s="2926" t="s">
        <v>5424</v>
      </c>
      <c r="AA595" s="371"/>
    </row>
    <row r="596" spans="1:27" ht="12.75" customHeight="1" x14ac:dyDescent="0.2">
      <c r="A596" s="6418"/>
      <c r="B596" s="251" t="str">
        <f t="shared" si="18"/>
        <v>Paz24</v>
      </c>
      <c r="D596" s="272" t="s">
        <v>561</v>
      </c>
      <c r="E596" s="2931" t="s">
        <v>87</v>
      </c>
      <c r="F596" s="2931">
        <v>24</v>
      </c>
      <c r="G596" s="2934" t="s">
        <v>1381</v>
      </c>
      <c r="H596" s="2934" t="s">
        <v>1234</v>
      </c>
      <c r="I596" s="376" t="s">
        <v>1304</v>
      </c>
      <c r="J596" s="2931">
        <v>6</v>
      </c>
      <c r="K596" s="2931">
        <v>8</v>
      </c>
      <c r="L596" s="2931">
        <v>10</v>
      </c>
      <c r="M596" s="373">
        <v>12</v>
      </c>
      <c r="N596" s="2931">
        <v>60</v>
      </c>
      <c r="O596" s="2931">
        <v>100</v>
      </c>
      <c r="P596" s="2931">
        <v>140</v>
      </c>
      <c r="Q596" s="373">
        <v>200</v>
      </c>
      <c r="R596" s="2931">
        <v>10</v>
      </c>
      <c r="S596" s="2931">
        <v>10</v>
      </c>
      <c r="T596" s="2931">
        <v>15</v>
      </c>
      <c r="U596" s="373">
        <v>20</v>
      </c>
      <c r="V596" s="2926" t="s">
        <v>5425</v>
      </c>
      <c r="W596" s="2926" t="s">
        <v>5426</v>
      </c>
      <c r="X596" s="2926" t="s">
        <v>5427</v>
      </c>
      <c r="Y596" s="2926" t="s">
        <v>5428</v>
      </c>
      <c r="Z596" s="2926" t="s">
        <v>5429</v>
      </c>
      <c r="AA596" s="371"/>
    </row>
    <row r="597" spans="1:27" ht="12.75" customHeight="1" x14ac:dyDescent="0.2">
      <c r="A597" s="6418"/>
      <c r="B597" s="251" t="str">
        <f t="shared" si="18"/>
        <v>Paz34</v>
      </c>
      <c r="D597" s="272" t="s">
        <v>562</v>
      </c>
      <c r="E597" s="2931" t="s">
        <v>87</v>
      </c>
      <c r="F597" s="2931">
        <v>34</v>
      </c>
      <c r="G597" s="2934" t="s">
        <v>1381</v>
      </c>
      <c r="H597" s="2934" t="s">
        <v>1236</v>
      </c>
      <c r="I597" s="376" t="s">
        <v>1304</v>
      </c>
      <c r="J597" s="2931">
        <v>8</v>
      </c>
      <c r="K597" s="2931">
        <v>10</v>
      </c>
      <c r="L597" s="2931">
        <v>12</v>
      </c>
      <c r="M597" s="373">
        <v>14</v>
      </c>
      <c r="N597" s="2931">
        <v>80</v>
      </c>
      <c r="O597" s="2931">
        <v>100</v>
      </c>
      <c r="P597" s="2931">
        <v>120</v>
      </c>
      <c r="Q597" s="373">
        <v>140</v>
      </c>
      <c r="R597" s="2931">
        <v>10</v>
      </c>
      <c r="S597" s="2931">
        <v>10</v>
      </c>
      <c r="T597" s="2931">
        <v>15</v>
      </c>
      <c r="U597" s="373">
        <v>15</v>
      </c>
      <c r="V597" s="2926" t="s">
        <v>5430</v>
      </c>
      <c r="W597" s="2926" t="s">
        <v>5431</v>
      </c>
      <c r="X597" s="2926" t="s">
        <v>5432</v>
      </c>
      <c r="Y597" s="2926" t="s">
        <v>5433</v>
      </c>
      <c r="Z597" s="2926" t="s">
        <v>5434</v>
      </c>
      <c r="AA597" s="371"/>
    </row>
    <row r="598" spans="1:27" ht="12.75" customHeight="1" x14ac:dyDescent="0.2">
      <c r="A598" s="6418"/>
      <c r="B598" s="251" t="str">
        <f t="shared" si="18"/>
        <v>Paz44</v>
      </c>
      <c r="D598" s="272" t="s">
        <v>563</v>
      </c>
      <c r="E598" s="2931" t="s">
        <v>87</v>
      </c>
      <c r="F598" s="2931">
        <v>44</v>
      </c>
      <c r="G598" s="2934" t="s">
        <v>2087</v>
      </c>
      <c r="H598" s="2934" t="s">
        <v>1235</v>
      </c>
      <c r="I598" s="376" t="s">
        <v>1304</v>
      </c>
      <c r="J598" s="2931">
        <v>8</v>
      </c>
      <c r="K598" s="2931">
        <v>10</v>
      </c>
      <c r="L598" s="2931">
        <v>12</v>
      </c>
      <c r="M598" s="373">
        <v>14</v>
      </c>
      <c r="N598" s="2931">
        <v>160</v>
      </c>
      <c r="O598" s="2931">
        <v>220</v>
      </c>
      <c r="P598" s="2931">
        <v>280</v>
      </c>
      <c r="Q598" s="373">
        <v>300</v>
      </c>
      <c r="R598" s="2931">
        <v>20</v>
      </c>
      <c r="S598" s="2931">
        <v>25</v>
      </c>
      <c r="T598" s="2931">
        <v>30</v>
      </c>
      <c r="U598" s="373">
        <v>30</v>
      </c>
      <c r="V598" s="2926" t="s">
        <v>5430</v>
      </c>
      <c r="W598" s="2926" t="s">
        <v>5431</v>
      </c>
      <c r="X598" s="2926" t="s">
        <v>5432</v>
      </c>
      <c r="Y598" s="2926" t="s">
        <v>5433</v>
      </c>
      <c r="Z598" s="2926" t="s">
        <v>5435</v>
      </c>
      <c r="AA598" s="371"/>
    </row>
    <row r="599" spans="1:27" ht="12.75" customHeight="1" x14ac:dyDescent="0.2">
      <c r="A599" s="6418"/>
      <c r="B599" s="251" t="str">
        <f t="shared" si="18"/>
        <v>Paz54</v>
      </c>
      <c r="D599" s="272" t="s">
        <v>564</v>
      </c>
      <c r="E599" s="2931" t="s">
        <v>87</v>
      </c>
      <c r="F599" s="2931">
        <v>54</v>
      </c>
      <c r="G599" s="2934" t="s">
        <v>1381</v>
      </c>
      <c r="H599" s="2934" t="s">
        <v>1235</v>
      </c>
      <c r="I599" s="376" t="s">
        <v>1305</v>
      </c>
      <c r="J599" s="2931">
        <v>8</v>
      </c>
      <c r="K599" s="2931">
        <v>10</v>
      </c>
      <c r="L599" s="2931">
        <v>12</v>
      </c>
      <c r="M599" s="373">
        <v>14</v>
      </c>
      <c r="N599" s="2931">
        <v>100</v>
      </c>
      <c r="O599" s="2931">
        <v>180</v>
      </c>
      <c r="P599" s="2931">
        <v>260</v>
      </c>
      <c r="Q599" s="373">
        <v>340</v>
      </c>
      <c r="R599" s="2931" t="s">
        <v>1381</v>
      </c>
      <c r="S599" s="2931" t="s">
        <v>1381</v>
      </c>
      <c r="T599" s="2931" t="s">
        <v>1381</v>
      </c>
      <c r="U599" s="373" t="s">
        <v>1381</v>
      </c>
      <c r="V599" s="2926" t="s">
        <v>3589</v>
      </c>
      <c r="W599" s="2926" t="s">
        <v>3486</v>
      </c>
      <c r="X599" s="2926" t="s">
        <v>3487</v>
      </c>
      <c r="Y599" s="2926" t="s">
        <v>3488</v>
      </c>
      <c r="Z599" s="2926" t="s">
        <v>5436</v>
      </c>
      <c r="AA599" s="371"/>
    </row>
    <row r="600" spans="1:27" ht="12.75" customHeight="1" x14ac:dyDescent="0.2">
      <c r="A600" s="6418"/>
      <c r="B600" s="251" t="str">
        <f t="shared" si="18"/>
        <v>Paz64</v>
      </c>
      <c r="D600" s="272" t="s">
        <v>565</v>
      </c>
      <c r="E600" s="2931" t="s">
        <v>87</v>
      </c>
      <c r="F600" s="2931">
        <v>64</v>
      </c>
      <c r="G600" s="2934" t="s">
        <v>1381</v>
      </c>
      <c r="H600" s="2934" t="s">
        <v>1234</v>
      </c>
      <c r="I600" s="376" t="s">
        <v>1304</v>
      </c>
      <c r="J600" s="2931">
        <v>6</v>
      </c>
      <c r="K600" s="2931">
        <v>9</v>
      </c>
      <c r="L600" s="2931">
        <v>12</v>
      </c>
      <c r="M600" s="373">
        <v>15</v>
      </c>
      <c r="N600" s="2931">
        <v>50</v>
      </c>
      <c r="O600" s="2931">
        <v>80</v>
      </c>
      <c r="P600" s="2931">
        <v>110</v>
      </c>
      <c r="Q600" s="373">
        <v>140</v>
      </c>
      <c r="R600" s="2931">
        <v>10</v>
      </c>
      <c r="S600" s="2931">
        <v>10</v>
      </c>
      <c r="T600" s="2931">
        <v>15</v>
      </c>
      <c r="U600" s="373">
        <v>15</v>
      </c>
      <c r="V600" s="2926" t="s">
        <v>5437</v>
      </c>
      <c r="W600" s="2926" t="s">
        <v>5438</v>
      </c>
      <c r="X600" s="2926" t="s">
        <v>5439</v>
      </c>
      <c r="Y600" s="2926" t="s">
        <v>5440</v>
      </c>
      <c r="Z600" s="2926" t="s">
        <v>5441</v>
      </c>
      <c r="AA600" s="371"/>
    </row>
    <row r="601" spans="1:27" ht="12.75" customHeight="1" x14ac:dyDescent="0.2">
      <c r="A601" s="6418"/>
      <c r="B601" s="251" t="str">
        <f t="shared" si="18"/>
        <v>Paz74</v>
      </c>
      <c r="D601" s="272" t="s">
        <v>566</v>
      </c>
      <c r="E601" s="2931" t="s">
        <v>87</v>
      </c>
      <c r="F601" s="2931">
        <v>74</v>
      </c>
      <c r="G601" s="2934" t="s">
        <v>1381</v>
      </c>
      <c r="H601" s="2934" t="s">
        <v>1564</v>
      </c>
      <c r="I601" s="376" t="s">
        <v>1305</v>
      </c>
      <c r="J601" s="2931">
        <v>9</v>
      </c>
      <c r="K601" s="2931">
        <v>11</v>
      </c>
      <c r="L601" s="2931">
        <v>13</v>
      </c>
      <c r="M601" s="373">
        <v>15</v>
      </c>
      <c r="N601" s="2931">
        <v>150</v>
      </c>
      <c r="O601" s="2931">
        <v>250</v>
      </c>
      <c r="P601" s="2931">
        <v>350</v>
      </c>
      <c r="Q601" s="373">
        <v>450</v>
      </c>
      <c r="R601" s="2931">
        <v>15</v>
      </c>
      <c r="S601" s="2931">
        <v>25</v>
      </c>
      <c r="T601" s="2931">
        <v>35</v>
      </c>
      <c r="U601" s="373">
        <v>45</v>
      </c>
      <c r="V601" s="2926" t="s">
        <v>5442</v>
      </c>
      <c r="W601" s="2926" t="s">
        <v>5443</v>
      </c>
      <c r="X601" s="2926" t="s">
        <v>5444</v>
      </c>
      <c r="Y601" s="2926" t="s">
        <v>5445</v>
      </c>
      <c r="Z601" s="2926" t="s">
        <v>5446</v>
      </c>
      <c r="AA601" s="371"/>
    </row>
    <row r="602" spans="1:27" ht="12.75" customHeight="1" x14ac:dyDescent="0.2">
      <c r="A602" s="6418"/>
      <c r="B602" s="251" t="str">
        <f t="shared" si="18"/>
        <v>Paz84</v>
      </c>
      <c r="D602" s="272" t="s">
        <v>567</v>
      </c>
      <c r="E602" s="2931" t="s">
        <v>87</v>
      </c>
      <c r="F602" s="2931">
        <v>84</v>
      </c>
      <c r="G602" s="2934" t="s">
        <v>1381</v>
      </c>
      <c r="H602" s="2934" t="s">
        <v>1233</v>
      </c>
      <c r="I602" s="376" t="s">
        <v>1304</v>
      </c>
      <c r="J602" s="2931">
        <v>9</v>
      </c>
      <c r="K602" s="2931">
        <v>11</v>
      </c>
      <c r="L602" s="2931">
        <v>13</v>
      </c>
      <c r="M602" s="373">
        <v>15</v>
      </c>
      <c r="N602" s="2931">
        <v>120</v>
      </c>
      <c r="O602" s="2931">
        <v>180</v>
      </c>
      <c r="P602" s="2931">
        <v>240</v>
      </c>
      <c r="Q602" s="373">
        <v>300</v>
      </c>
      <c r="R602" s="2931" t="s">
        <v>1381</v>
      </c>
      <c r="S602" s="2931" t="s">
        <v>1381</v>
      </c>
      <c r="T602" s="2931" t="s">
        <v>1381</v>
      </c>
      <c r="U602" s="373" t="s">
        <v>1381</v>
      </c>
      <c r="V602" s="2926" t="s">
        <v>3589</v>
      </c>
      <c r="W602" s="2926" t="s">
        <v>3590</v>
      </c>
      <c r="X602" s="2926" t="s">
        <v>3486</v>
      </c>
      <c r="Y602" s="2926" t="s">
        <v>3321</v>
      </c>
      <c r="Z602" s="2926" t="s">
        <v>5447</v>
      </c>
      <c r="AA602" s="371"/>
    </row>
    <row r="603" spans="1:27" ht="12.75" customHeight="1" x14ac:dyDescent="0.2">
      <c r="A603" s="6418"/>
      <c r="B603" s="251" t="str">
        <f t="shared" si="18"/>
        <v>Paz94</v>
      </c>
      <c r="D603" s="272" t="s">
        <v>568</v>
      </c>
      <c r="E603" s="2931" t="s">
        <v>87</v>
      </c>
      <c r="F603" s="2931">
        <v>94</v>
      </c>
      <c r="G603" s="2934" t="s">
        <v>2087</v>
      </c>
      <c r="H603" s="2934" t="s">
        <v>1235</v>
      </c>
      <c r="I603" s="376" t="s">
        <v>1304</v>
      </c>
      <c r="J603" s="2931">
        <v>8</v>
      </c>
      <c r="K603" s="2931">
        <v>10</v>
      </c>
      <c r="L603" s="2931">
        <v>12</v>
      </c>
      <c r="M603" s="373">
        <v>14</v>
      </c>
      <c r="N603" s="2931">
        <v>350</v>
      </c>
      <c r="O603" s="2931">
        <v>600</v>
      </c>
      <c r="P603" s="2931">
        <v>1000</v>
      </c>
      <c r="Q603" s="373">
        <v>1600</v>
      </c>
      <c r="R603" s="2931">
        <v>35</v>
      </c>
      <c r="S603" s="2931">
        <v>60</v>
      </c>
      <c r="T603" s="2931">
        <v>100</v>
      </c>
      <c r="U603" s="373">
        <v>160</v>
      </c>
      <c r="V603" s="2926" t="s">
        <v>10253</v>
      </c>
      <c r="W603" s="2926" t="s">
        <v>10254</v>
      </c>
      <c r="X603" s="2926" t="s">
        <v>10255</v>
      </c>
      <c r="Y603" s="2926" t="s">
        <v>10256</v>
      </c>
      <c r="Z603" s="2926" t="s">
        <v>5448</v>
      </c>
      <c r="AA603" s="371"/>
    </row>
    <row r="604" spans="1:27" ht="12.75" customHeight="1" x14ac:dyDescent="0.2">
      <c r="A604" s="6418"/>
      <c r="B604" s="251" t="str">
        <f t="shared" si="18"/>
        <v/>
      </c>
      <c r="D604" s="272" t="s">
        <v>569</v>
      </c>
      <c r="E604" s="2931"/>
      <c r="F604" s="2931"/>
      <c r="G604" s="2934"/>
      <c r="H604" s="2934"/>
      <c r="I604" s="376"/>
      <c r="J604" s="2931"/>
      <c r="K604" s="2931"/>
      <c r="L604" s="2931"/>
      <c r="M604" s="373"/>
      <c r="N604" s="2931"/>
      <c r="O604" s="2931"/>
      <c r="P604" s="2931"/>
      <c r="Q604" s="373"/>
      <c r="R604" s="2931"/>
      <c r="S604" s="2931"/>
      <c r="T604" s="2931"/>
      <c r="U604" s="373"/>
      <c r="V604" s="2926"/>
      <c r="W604" s="2926"/>
      <c r="X604" s="2926"/>
      <c r="Y604" s="2926"/>
      <c r="Z604" s="2926"/>
      <c r="AA604" s="371"/>
    </row>
    <row r="605" spans="1:27" ht="12.75" customHeight="1" x14ac:dyDescent="0.2">
      <c r="A605" s="6418"/>
      <c r="B605" s="251" t="str">
        <f t="shared" si="18"/>
        <v>Pecado4</v>
      </c>
      <c r="D605" s="272" t="s">
        <v>570</v>
      </c>
      <c r="E605" s="2931" t="s">
        <v>88</v>
      </c>
      <c r="F605" s="2931">
        <v>4</v>
      </c>
      <c r="G605" s="2934" t="s">
        <v>1381</v>
      </c>
      <c r="H605" s="2934" t="s">
        <v>1236</v>
      </c>
      <c r="I605" s="376" t="s">
        <v>1304</v>
      </c>
      <c r="J605" s="2931">
        <v>6</v>
      </c>
      <c r="K605" s="2931">
        <v>8</v>
      </c>
      <c r="L605" s="2931">
        <v>10</v>
      </c>
      <c r="M605" s="373">
        <v>12</v>
      </c>
      <c r="N605" s="2931">
        <v>40</v>
      </c>
      <c r="O605" s="2931">
        <v>60</v>
      </c>
      <c r="P605" s="2931">
        <v>90</v>
      </c>
      <c r="Q605" s="373">
        <v>120</v>
      </c>
      <c r="R605" s="2931" t="s">
        <v>1381</v>
      </c>
      <c r="S605" s="2931" t="s">
        <v>1381</v>
      </c>
      <c r="T605" s="2931" t="s">
        <v>1381</v>
      </c>
      <c r="U605" s="373" t="s">
        <v>1381</v>
      </c>
      <c r="V605" s="2926" t="s">
        <v>3589</v>
      </c>
      <c r="W605" s="2926" t="s">
        <v>3590</v>
      </c>
      <c r="X605" s="2926" t="s">
        <v>3486</v>
      </c>
      <c r="Y605" s="2926" t="s">
        <v>3321</v>
      </c>
      <c r="Z605" s="2926" t="s">
        <v>5449</v>
      </c>
      <c r="AA605" s="371"/>
    </row>
    <row r="606" spans="1:27" ht="12.75" customHeight="1" x14ac:dyDescent="0.2">
      <c r="A606" s="6418"/>
      <c r="B606" s="251" t="str">
        <f t="shared" si="18"/>
        <v>Pecado14</v>
      </c>
      <c r="D606" s="272" t="s">
        <v>571</v>
      </c>
      <c r="E606" s="2931" t="s">
        <v>88</v>
      </c>
      <c r="F606" s="2931">
        <v>14</v>
      </c>
      <c r="G606" s="2934" t="s">
        <v>2087</v>
      </c>
      <c r="H606" s="2934" t="s">
        <v>1233</v>
      </c>
      <c r="I606" s="376" t="s">
        <v>1304</v>
      </c>
      <c r="J606" s="2931">
        <v>6</v>
      </c>
      <c r="K606" s="2931">
        <v>8</v>
      </c>
      <c r="L606" s="2931">
        <v>10</v>
      </c>
      <c r="M606" s="373">
        <v>12</v>
      </c>
      <c r="N606" s="2931">
        <v>50</v>
      </c>
      <c r="O606" s="2931">
        <v>70</v>
      </c>
      <c r="P606" s="2931">
        <v>100</v>
      </c>
      <c r="Q606" s="373">
        <v>140</v>
      </c>
      <c r="R606" s="2931">
        <v>5</v>
      </c>
      <c r="S606" s="2931">
        <v>10</v>
      </c>
      <c r="T606" s="2931">
        <v>10</v>
      </c>
      <c r="U606" s="373">
        <v>15</v>
      </c>
      <c r="V606" s="2926" t="s">
        <v>3589</v>
      </c>
      <c r="W606" s="2926" t="s">
        <v>3590</v>
      </c>
      <c r="X606" s="2926" t="s">
        <v>3486</v>
      </c>
      <c r="Y606" s="2926" t="s">
        <v>3321</v>
      </c>
      <c r="Z606" s="2926" t="s">
        <v>5450</v>
      </c>
      <c r="AA606" s="371"/>
    </row>
    <row r="607" spans="1:27" ht="12.75" customHeight="1" x14ac:dyDescent="0.2">
      <c r="A607" s="6418"/>
      <c r="B607" s="251" t="str">
        <f t="shared" si="18"/>
        <v>Pecado24</v>
      </c>
      <c r="D607" s="272" t="s">
        <v>572</v>
      </c>
      <c r="E607" s="2931" t="s">
        <v>88</v>
      </c>
      <c r="F607" s="2931">
        <v>24</v>
      </c>
      <c r="G607" s="2934" t="s">
        <v>1381</v>
      </c>
      <c r="H607" s="2934" t="s">
        <v>1234</v>
      </c>
      <c r="I607" s="376" t="s">
        <v>1304</v>
      </c>
      <c r="J607" s="2931">
        <v>7</v>
      </c>
      <c r="K607" s="2931">
        <v>9</v>
      </c>
      <c r="L607" s="2931">
        <v>11</v>
      </c>
      <c r="M607" s="373">
        <v>13</v>
      </c>
      <c r="N607" s="2931">
        <v>60</v>
      </c>
      <c r="O607" s="2931">
        <v>100</v>
      </c>
      <c r="P607" s="2931">
        <v>140</v>
      </c>
      <c r="Q607" s="373">
        <v>180</v>
      </c>
      <c r="R607" s="2931">
        <v>5</v>
      </c>
      <c r="S607" s="2931">
        <v>5</v>
      </c>
      <c r="T607" s="2931">
        <v>10</v>
      </c>
      <c r="U607" s="373">
        <v>10</v>
      </c>
      <c r="V607" s="2926" t="s">
        <v>5451</v>
      </c>
      <c r="W607" s="2926" t="s">
        <v>5452</v>
      </c>
      <c r="X607" s="2926" t="s">
        <v>5453</v>
      </c>
      <c r="Y607" s="2926" t="s">
        <v>5454</v>
      </c>
      <c r="Z607" s="2926" t="s">
        <v>5455</v>
      </c>
      <c r="AA607" s="371"/>
    </row>
    <row r="608" spans="1:27" ht="12.75" customHeight="1" x14ac:dyDescent="0.2">
      <c r="A608" s="6418"/>
      <c r="B608" s="251" t="str">
        <f t="shared" si="18"/>
        <v>Pecado34</v>
      </c>
      <c r="D608" s="272" t="s">
        <v>573</v>
      </c>
      <c r="E608" s="2931" t="s">
        <v>88</v>
      </c>
      <c r="F608" s="2931">
        <v>34</v>
      </c>
      <c r="G608" s="2934" t="s">
        <v>1381</v>
      </c>
      <c r="H608" s="2934" t="s">
        <v>1233</v>
      </c>
      <c r="I608" s="376" t="s">
        <v>1304</v>
      </c>
      <c r="J608" s="2931">
        <v>7</v>
      </c>
      <c r="K608" s="2931">
        <v>9</v>
      </c>
      <c r="L608" s="2931">
        <v>11</v>
      </c>
      <c r="M608" s="373">
        <v>13</v>
      </c>
      <c r="N608" s="2931">
        <v>60</v>
      </c>
      <c r="O608" s="2931">
        <v>100</v>
      </c>
      <c r="P608" s="2931">
        <v>120</v>
      </c>
      <c r="Q608" s="373">
        <v>150</v>
      </c>
      <c r="R608" s="2931">
        <v>5</v>
      </c>
      <c r="S608" s="2931">
        <v>5</v>
      </c>
      <c r="T608" s="2931">
        <v>10</v>
      </c>
      <c r="U608" s="373">
        <v>10</v>
      </c>
      <c r="V608" s="2926" t="s">
        <v>3590</v>
      </c>
      <c r="W608" s="2926" t="s">
        <v>3486</v>
      </c>
      <c r="X608" s="2926" t="s">
        <v>3321</v>
      </c>
      <c r="Y608" s="2926" t="s">
        <v>3487</v>
      </c>
      <c r="Z608" s="2926" t="s">
        <v>5456</v>
      </c>
      <c r="AA608" s="371"/>
    </row>
    <row r="609" spans="1:27" ht="12.75" customHeight="1" x14ac:dyDescent="0.2">
      <c r="A609" s="6418"/>
      <c r="B609" s="251" t="str">
        <f t="shared" si="18"/>
        <v>Pecado44</v>
      </c>
      <c r="D609" s="272" t="s">
        <v>574</v>
      </c>
      <c r="E609" s="2931" t="s">
        <v>88</v>
      </c>
      <c r="F609" s="2931">
        <v>44</v>
      </c>
      <c r="G609" s="2934" t="s">
        <v>1381</v>
      </c>
      <c r="H609" s="2934" t="s">
        <v>1235</v>
      </c>
      <c r="I609" s="376" t="s">
        <v>1304</v>
      </c>
      <c r="J609" s="2931">
        <v>8</v>
      </c>
      <c r="K609" s="2931">
        <v>10</v>
      </c>
      <c r="L609" s="2931">
        <v>12</v>
      </c>
      <c r="M609" s="373">
        <v>14</v>
      </c>
      <c r="N609" s="2931">
        <v>50</v>
      </c>
      <c r="O609" s="2931">
        <v>80</v>
      </c>
      <c r="P609" s="2931">
        <v>120</v>
      </c>
      <c r="Q609" s="373">
        <v>260</v>
      </c>
      <c r="R609" s="2931" t="s">
        <v>1381</v>
      </c>
      <c r="S609" s="2931" t="s">
        <v>1381</v>
      </c>
      <c r="T609" s="2931" t="s">
        <v>1381</v>
      </c>
      <c r="U609" s="373" t="s">
        <v>1381</v>
      </c>
      <c r="V609" s="2926" t="s">
        <v>5457</v>
      </c>
      <c r="W609" s="2926" t="s">
        <v>5458</v>
      </c>
      <c r="X609" s="2926" t="s">
        <v>5459</v>
      </c>
      <c r="Y609" s="2926" t="s">
        <v>5460</v>
      </c>
      <c r="Z609" s="2926" t="s">
        <v>5461</v>
      </c>
      <c r="AA609" s="371"/>
    </row>
    <row r="610" spans="1:27" ht="12.75" customHeight="1" x14ac:dyDescent="0.2">
      <c r="A610" s="6418"/>
      <c r="B610" s="251" t="str">
        <f t="shared" si="18"/>
        <v>Pecado54</v>
      </c>
      <c r="D610" s="272" t="s">
        <v>575</v>
      </c>
      <c r="E610" s="2931" t="s">
        <v>88</v>
      </c>
      <c r="F610" s="2931">
        <v>54</v>
      </c>
      <c r="G610" s="2934" t="s">
        <v>1381</v>
      </c>
      <c r="H610" s="2934" t="s">
        <v>1234</v>
      </c>
      <c r="I610" s="376" t="s">
        <v>1304</v>
      </c>
      <c r="J610" s="2931">
        <v>7</v>
      </c>
      <c r="K610" s="2931">
        <v>9</v>
      </c>
      <c r="L610" s="2931">
        <v>11</v>
      </c>
      <c r="M610" s="373">
        <v>13</v>
      </c>
      <c r="N610" s="2931">
        <v>60</v>
      </c>
      <c r="O610" s="2931">
        <v>80</v>
      </c>
      <c r="P610" s="2931">
        <v>100</v>
      </c>
      <c r="Q610" s="373">
        <v>120</v>
      </c>
      <c r="R610" s="2931">
        <v>5</v>
      </c>
      <c r="S610" s="2931">
        <v>5</v>
      </c>
      <c r="T610" s="2931">
        <v>10</v>
      </c>
      <c r="U610" s="373">
        <v>10</v>
      </c>
      <c r="V610" s="2926" t="s">
        <v>3627</v>
      </c>
      <c r="W610" s="2926" t="s">
        <v>3589</v>
      </c>
      <c r="X610" s="2926" t="s">
        <v>3590</v>
      </c>
      <c r="Y610" s="2926" t="s">
        <v>3486</v>
      </c>
      <c r="Z610" s="2926" t="s">
        <v>5462</v>
      </c>
      <c r="AA610" s="371"/>
    </row>
    <row r="611" spans="1:27" ht="12.75" customHeight="1" x14ac:dyDescent="0.2">
      <c r="A611" s="6418"/>
      <c r="B611" s="251" t="str">
        <f t="shared" si="18"/>
        <v>Pecado64</v>
      </c>
      <c r="D611" s="272" t="s">
        <v>576</v>
      </c>
      <c r="E611" s="2931" t="s">
        <v>88</v>
      </c>
      <c r="F611" s="2931">
        <v>64</v>
      </c>
      <c r="G611" s="2934" t="s">
        <v>1381</v>
      </c>
      <c r="H611" s="2934" t="s">
        <v>1233</v>
      </c>
      <c r="I611" s="376" t="s">
        <v>1304</v>
      </c>
      <c r="J611" s="2931">
        <v>7</v>
      </c>
      <c r="K611" s="2931">
        <v>9</v>
      </c>
      <c r="L611" s="2931">
        <v>11</v>
      </c>
      <c r="M611" s="373">
        <v>13</v>
      </c>
      <c r="N611" s="2931">
        <v>80</v>
      </c>
      <c r="O611" s="2931">
        <v>100</v>
      </c>
      <c r="P611" s="2931">
        <v>120</v>
      </c>
      <c r="Q611" s="373">
        <v>150</v>
      </c>
      <c r="R611" s="2931">
        <v>5</v>
      </c>
      <c r="S611" s="2931">
        <v>5</v>
      </c>
      <c r="T611" s="2931">
        <v>10</v>
      </c>
      <c r="U611" s="373">
        <v>10</v>
      </c>
      <c r="V611" s="2926" t="s">
        <v>5463</v>
      </c>
      <c r="W611" s="2926" t="s">
        <v>5464</v>
      </c>
      <c r="X611" s="2926" t="s">
        <v>5465</v>
      </c>
      <c r="Y611" s="2926" t="s">
        <v>5466</v>
      </c>
      <c r="Z611" s="2926" t="s">
        <v>5467</v>
      </c>
      <c r="AA611" s="371"/>
    </row>
    <row r="612" spans="1:27" ht="12.75" customHeight="1" x14ac:dyDescent="0.2">
      <c r="A612" s="6418"/>
      <c r="B612" s="251" t="str">
        <f t="shared" si="18"/>
        <v>Pecado74</v>
      </c>
      <c r="D612" s="272" t="s">
        <v>577</v>
      </c>
      <c r="E612" s="2931" t="s">
        <v>88</v>
      </c>
      <c r="F612" s="2931">
        <v>74</v>
      </c>
      <c r="G612" s="2934" t="s">
        <v>1381</v>
      </c>
      <c r="H612" s="2934" t="s">
        <v>1233</v>
      </c>
      <c r="I612" s="376" t="s">
        <v>1304</v>
      </c>
      <c r="J612" s="2931">
        <v>8</v>
      </c>
      <c r="K612" s="2931">
        <v>10</v>
      </c>
      <c r="L612" s="2931">
        <v>12</v>
      </c>
      <c r="M612" s="373">
        <v>14</v>
      </c>
      <c r="N612" s="2931">
        <v>100</v>
      </c>
      <c r="O612" s="2931">
        <v>140</v>
      </c>
      <c r="P612" s="2931">
        <v>180</v>
      </c>
      <c r="Q612" s="373">
        <v>220</v>
      </c>
      <c r="R612" s="2931">
        <v>5</v>
      </c>
      <c r="S612" s="2931">
        <v>5</v>
      </c>
      <c r="T612" s="2931">
        <v>10</v>
      </c>
      <c r="U612" s="373">
        <v>10</v>
      </c>
      <c r="V612" s="2926" t="s">
        <v>3589</v>
      </c>
      <c r="W612" s="2926" t="s">
        <v>3590</v>
      </c>
      <c r="X612" s="2926" t="s">
        <v>3486</v>
      </c>
      <c r="Y612" s="2926" t="s">
        <v>3321</v>
      </c>
      <c r="Z612" s="2926" t="s">
        <v>5468</v>
      </c>
      <c r="AA612" s="371"/>
    </row>
    <row r="613" spans="1:27" ht="12.75" customHeight="1" x14ac:dyDescent="0.2">
      <c r="A613" s="6418"/>
      <c r="B613" s="251" t="str">
        <f t="shared" si="18"/>
        <v>Pecado84</v>
      </c>
      <c r="D613" s="272" t="s">
        <v>578</v>
      </c>
      <c r="E613" s="2931" t="s">
        <v>88</v>
      </c>
      <c r="F613" s="2931">
        <v>84</v>
      </c>
      <c r="G613" s="2934" t="s">
        <v>1381</v>
      </c>
      <c r="H613" s="2934" t="s">
        <v>1233</v>
      </c>
      <c r="I613" s="376" t="s">
        <v>1304</v>
      </c>
      <c r="J613" s="2931">
        <v>9</v>
      </c>
      <c r="K613" s="2931">
        <v>11</v>
      </c>
      <c r="L613" s="2931">
        <v>13</v>
      </c>
      <c r="M613" s="373">
        <v>15</v>
      </c>
      <c r="N613" s="2931">
        <v>100</v>
      </c>
      <c r="O613" s="2931">
        <v>150</v>
      </c>
      <c r="P613" s="2931">
        <v>200</v>
      </c>
      <c r="Q613" s="373">
        <v>250</v>
      </c>
      <c r="R613" s="2931">
        <v>5</v>
      </c>
      <c r="S613" s="2931">
        <v>5</v>
      </c>
      <c r="T613" s="2931">
        <v>10</v>
      </c>
      <c r="U613" s="373">
        <v>10</v>
      </c>
      <c r="V613" s="2926" t="s">
        <v>3589</v>
      </c>
      <c r="W613" s="2926" t="s">
        <v>3590</v>
      </c>
      <c r="X613" s="2926" t="s">
        <v>3486</v>
      </c>
      <c r="Y613" s="2926" t="s">
        <v>3321</v>
      </c>
      <c r="Z613" s="2926" t="s">
        <v>5469</v>
      </c>
      <c r="AA613" s="371"/>
    </row>
    <row r="614" spans="1:27" ht="12.75" customHeight="1" x14ac:dyDescent="0.2">
      <c r="A614" s="6418"/>
      <c r="B614" s="251" t="str">
        <f t="shared" si="18"/>
        <v>Pecado94</v>
      </c>
      <c r="D614" s="272" t="s">
        <v>579</v>
      </c>
      <c r="E614" s="2931" t="s">
        <v>88</v>
      </c>
      <c r="F614" s="2931">
        <v>94</v>
      </c>
      <c r="G614" s="2934" t="s">
        <v>1381</v>
      </c>
      <c r="H614" s="2934" t="s">
        <v>1233</v>
      </c>
      <c r="I614" s="376" t="s">
        <v>1304</v>
      </c>
      <c r="J614" s="2931">
        <v>10</v>
      </c>
      <c r="K614" s="2931">
        <v>12</v>
      </c>
      <c r="L614" s="2931">
        <v>14</v>
      </c>
      <c r="M614" s="373">
        <v>16</v>
      </c>
      <c r="N614" s="2931">
        <v>120</v>
      </c>
      <c r="O614" s="2931">
        <v>180</v>
      </c>
      <c r="P614" s="2931">
        <v>260</v>
      </c>
      <c r="Q614" s="373">
        <v>320</v>
      </c>
      <c r="R614" s="2931" t="s">
        <v>1381</v>
      </c>
      <c r="S614" s="2931" t="s">
        <v>1381</v>
      </c>
      <c r="T614" s="2931" t="s">
        <v>1381</v>
      </c>
      <c r="U614" s="373" t="s">
        <v>1381</v>
      </c>
      <c r="V614" s="2926" t="s">
        <v>3589</v>
      </c>
      <c r="W614" s="2926" t="s">
        <v>3590</v>
      </c>
      <c r="X614" s="2926" t="s">
        <v>3486</v>
      </c>
      <c r="Y614" s="2926" t="s">
        <v>3321</v>
      </c>
      <c r="Z614" s="2926" t="s">
        <v>5470</v>
      </c>
      <c r="AA614" s="371"/>
    </row>
    <row r="615" spans="1:27" ht="12.75" customHeight="1" x14ac:dyDescent="0.2">
      <c r="A615" s="6418"/>
      <c r="B615" s="251" t="str">
        <f t="shared" si="18"/>
        <v/>
      </c>
      <c r="D615" s="272" t="s">
        <v>580</v>
      </c>
      <c r="E615" s="2931"/>
      <c r="F615" s="2931"/>
      <c r="G615" s="2934"/>
      <c r="H615" s="2934"/>
      <c r="I615" s="376"/>
      <c r="J615" s="2931"/>
      <c r="K615" s="2931"/>
      <c r="L615" s="2931"/>
      <c r="M615" s="373"/>
      <c r="N615" s="2931"/>
      <c r="O615" s="2931"/>
      <c r="P615" s="2931"/>
      <c r="Q615" s="373"/>
      <c r="R615" s="2931"/>
      <c r="S615" s="2931"/>
      <c r="T615" s="2931"/>
      <c r="U615" s="373"/>
      <c r="V615" s="2926"/>
      <c r="W615" s="2926"/>
      <c r="X615" s="2926"/>
      <c r="Y615" s="2926"/>
      <c r="Z615" s="2926"/>
      <c r="AA615" s="371"/>
    </row>
    <row r="616" spans="1:27" ht="12.75" customHeight="1" x14ac:dyDescent="0.2">
      <c r="A616" s="6418"/>
      <c r="B616" s="251" t="str">
        <f t="shared" si="18"/>
        <v>Conocimiento4</v>
      </c>
      <c r="D616" s="272" t="s">
        <v>581</v>
      </c>
      <c r="E616" s="2931" t="s">
        <v>89</v>
      </c>
      <c r="F616" s="2931">
        <v>4</v>
      </c>
      <c r="G616" s="2934" t="s">
        <v>1381</v>
      </c>
      <c r="H616" s="2934" t="s">
        <v>1234</v>
      </c>
      <c r="I616" s="376" t="s">
        <v>1304</v>
      </c>
      <c r="J616" s="2931">
        <v>5</v>
      </c>
      <c r="K616" s="2931">
        <v>7</v>
      </c>
      <c r="L616" s="2931">
        <v>9</v>
      </c>
      <c r="M616" s="373">
        <v>11</v>
      </c>
      <c r="N616" s="2931">
        <v>30</v>
      </c>
      <c r="O616" s="2931">
        <v>60</v>
      </c>
      <c r="P616" s="2931">
        <v>90</v>
      </c>
      <c r="Q616" s="373">
        <v>120</v>
      </c>
      <c r="R616" s="2931" t="s">
        <v>1381</v>
      </c>
      <c r="S616" s="2931" t="s">
        <v>1381</v>
      </c>
      <c r="T616" s="2931" t="s">
        <v>1381</v>
      </c>
      <c r="U616" s="373" t="s">
        <v>1381</v>
      </c>
      <c r="V616" s="2926" t="s">
        <v>5471</v>
      </c>
      <c r="W616" s="2926" t="s">
        <v>5472</v>
      </c>
      <c r="X616" s="2926" t="s">
        <v>5473</v>
      </c>
      <c r="Y616" s="2926" t="s">
        <v>5474</v>
      </c>
      <c r="Z616" s="2926" t="s">
        <v>5475</v>
      </c>
      <c r="AA616" s="371"/>
    </row>
    <row r="617" spans="1:27" ht="12.75" customHeight="1" x14ac:dyDescent="0.2">
      <c r="A617" s="6418"/>
      <c r="B617" s="251" t="str">
        <f t="shared" si="18"/>
        <v>Conocimiento14</v>
      </c>
      <c r="D617" s="272" t="s">
        <v>89</v>
      </c>
      <c r="E617" s="2931" t="s">
        <v>89</v>
      </c>
      <c r="F617" s="2931">
        <v>14</v>
      </c>
      <c r="G617" s="2934" t="s">
        <v>1381</v>
      </c>
      <c r="H617" s="2934" t="s">
        <v>1234</v>
      </c>
      <c r="I617" s="376" t="s">
        <v>1304</v>
      </c>
      <c r="J617" s="2931">
        <v>6</v>
      </c>
      <c r="K617" s="2931">
        <v>9</v>
      </c>
      <c r="L617" s="2931">
        <v>11</v>
      </c>
      <c r="M617" s="373">
        <v>13</v>
      </c>
      <c r="N617" s="2931">
        <v>40</v>
      </c>
      <c r="O617" s="2931">
        <v>80</v>
      </c>
      <c r="P617" s="2931">
        <v>120</v>
      </c>
      <c r="Q617" s="373">
        <v>160</v>
      </c>
      <c r="R617" s="2931">
        <v>5</v>
      </c>
      <c r="S617" s="2931">
        <v>10</v>
      </c>
      <c r="T617" s="2931">
        <v>15</v>
      </c>
      <c r="U617" s="373">
        <v>20</v>
      </c>
      <c r="V617" s="2926" t="s">
        <v>5476</v>
      </c>
      <c r="W617" s="2926" t="s">
        <v>5477</v>
      </c>
      <c r="X617" s="2926" t="s">
        <v>5478</v>
      </c>
      <c r="Y617" s="2926" t="s">
        <v>5479</v>
      </c>
      <c r="Z617" s="2926" t="s">
        <v>5480</v>
      </c>
      <c r="AA617" s="371"/>
    </row>
    <row r="618" spans="1:27" ht="12.75" customHeight="1" x14ac:dyDescent="0.2">
      <c r="A618" s="6418"/>
      <c r="B618" s="251" t="str">
        <f t="shared" si="18"/>
        <v>Conocimiento24</v>
      </c>
      <c r="D618" s="272" t="s">
        <v>582</v>
      </c>
      <c r="E618" s="2931" t="s">
        <v>89</v>
      </c>
      <c r="F618" s="2931">
        <v>24</v>
      </c>
      <c r="G618" s="2934" t="s">
        <v>1381</v>
      </c>
      <c r="H618" s="2934" t="s">
        <v>1236</v>
      </c>
      <c r="I618" s="376" t="s">
        <v>1304</v>
      </c>
      <c r="J618" s="2931">
        <v>7</v>
      </c>
      <c r="K618" s="2931">
        <v>9</v>
      </c>
      <c r="L618" s="2931">
        <v>11</v>
      </c>
      <c r="M618" s="373">
        <v>13</v>
      </c>
      <c r="N618" s="2931">
        <v>60</v>
      </c>
      <c r="O618" s="2931">
        <v>100</v>
      </c>
      <c r="P618" s="2931">
        <v>140</v>
      </c>
      <c r="Q618" s="373">
        <v>180</v>
      </c>
      <c r="R618" s="2931" t="s">
        <v>1381</v>
      </c>
      <c r="S618" s="2931" t="s">
        <v>1381</v>
      </c>
      <c r="T618" s="2931" t="s">
        <v>1381</v>
      </c>
      <c r="U618" s="373" t="s">
        <v>1381</v>
      </c>
      <c r="V618" s="2926" t="s">
        <v>3709</v>
      </c>
      <c r="W618" s="2926" t="s">
        <v>3710</v>
      </c>
      <c r="X618" s="2926" t="s">
        <v>3711</v>
      </c>
      <c r="Y618" s="2926" t="s">
        <v>3735</v>
      </c>
      <c r="Z618" s="2926" t="s">
        <v>5481</v>
      </c>
      <c r="AA618" s="371"/>
    </row>
    <row r="619" spans="1:27" ht="12.75" customHeight="1" x14ac:dyDescent="0.2">
      <c r="A619" s="6418"/>
      <c r="B619" s="251" t="str">
        <f t="shared" si="18"/>
        <v>Conocimiento34</v>
      </c>
      <c r="D619" s="272" t="s">
        <v>583</v>
      </c>
      <c r="E619" s="2931" t="s">
        <v>89</v>
      </c>
      <c r="F619" s="2931">
        <v>34</v>
      </c>
      <c r="G619" s="2934" t="s">
        <v>2087</v>
      </c>
      <c r="H619" s="2934" t="s">
        <v>1236</v>
      </c>
      <c r="I619" s="376" t="s">
        <v>1304</v>
      </c>
      <c r="J619" s="2931">
        <v>7</v>
      </c>
      <c r="K619" s="2931">
        <v>9</v>
      </c>
      <c r="L619" s="2931">
        <v>11</v>
      </c>
      <c r="M619" s="373">
        <v>13</v>
      </c>
      <c r="N619" s="2931">
        <v>80</v>
      </c>
      <c r="O619" s="2931">
        <v>120</v>
      </c>
      <c r="P619" s="2931">
        <v>160</v>
      </c>
      <c r="Q619" s="373">
        <v>200</v>
      </c>
      <c r="R619" s="2931">
        <v>10</v>
      </c>
      <c r="S619" s="2931">
        <v>15</v>
      </c>
      <c r="T619" s="2931">
        <v>20</v>
      </c>
      <c r="U619" s="373">
        <v>20</v>
      </c>
      <c r="V619" s="2926" t="s">
        <v>5482</v>
      </c>
      <c r="W619" s="2926" t="s">
        <v>3743</v>
      </c>
      <c r="X619" s="2926" t="s">
        <v>3709</v>
      </c>
      <c r="Y619" s="2926" t="s">
        <v>3710</v>
      </c>
      <c r="Z619" s="2926" t="s">
        <v>5483</v>
      </c>
      <c r="AA619" s="371"/>
    </row>
    <row r="620" spans="1:27" ht="12.75" customHeight="1" x14ac:dyDescent="0.2">
      <c r="A620" s="6418"/>
      <c r="B620" s="251" t="str">
        <f t="shared" si="18"/>
        <v>Conocimiento44</v>
      </c>
      <c r="D620" s="272" t="s">
        <v>584</v>
      </c>
      <c r="E620" s="2931" t="s">
        <v>89</v>
      </c>
      <c r="F620" s="2931">
        <v>44</v>
      </c>
      <c r="G620" s="2934" t="s">
        <v>1381</v>
      </c>
      <c r="H620" s="2934" t="s">
        <v>1234</v>
      </c>
      <c r="I620" s="376" t="s">
        <v>1304</v>
      </c>
      <c r="J620" s="2931">
        <v>8</v>
      </c>
      <c r="K620" s="2931">
        <v>10</v>
      </c>
      <c r="L620" s="2931">
        <v>12</v>
      </c>
      <c r="M620" s="373">
        <v>14</v>
      </c>
      <c r="N620" s="2931">
        <v>100</v>
      </c>
      <c r="O620" s="2931">
        <v>150</v>
      </c>
      <c r="P620" s="2931">
        <v>200</v>
      </c>
      <c r="Q620" s="373">
        <v>250</v>
      </c>
      <c r="R620" s="2931" t="s">
        <v>1381</v>
      </c>
      <c r="S620" s="2931" t="s">
        <v>1381</v>
      </c>
      <c r="T620" s="2931" t="s">
        <v>1381</v>
      </c>
      <c r="U620" s="373" t="s">
        <v>1381</v>
      </c>
      <c r="V620" s="2926" t="s">
        <v>5484</v>
      </c>
      <c r="W620" s="2926" t="s">
        <v>5485</v>
      </c>
      <c r="X620" s="2926" t="s">
        <v>5486</v>
      </c>
      <c r="Y620" s="2926" t="s">
        <v>5487</v>
      </c>
      <c r="Z620" s="2926" t="s">
        <v>5488</v>
      </c>
      <c r="AA620" s="371"/>
    </row>
    <row r="621" spans="1:27" ht="12.75" customHeight="1" x14ac:dyDescent="0.2">
      <c r="A621" s="6418"/>
      <c r="B621" s="251" t="str">
        <f t="shared" si="18"/>
        <v>Conocimiento54</v>
      </c>
      <c r="D621" s="272" t="s">
        <v>585</v>
      </c>
      <c r="E621" s="2931" t="s">
        <v>89</v>
      </c>
      <c r="F621" s="2931">
        <v>54</v>
      </c>
      <c r="G621" s="2934" t="s">
        <v>1381</v>
      </c>
      <c r="H621" s="2934" t="s">
        <v>1235</v>
      </c>
      <c r="I621" s="376" t="s">
        <v>1304</v>
      </c>
      <c r="J621" s="2931">
        <v>7</v>
      </c>
      <c r="K621" s="2931">
        <v>9</v>
      </c>
      <c r="L621" s="2931">
        <v>11</v>
      </c>
      <c r="M621" s="373">
        <v>13</v>
      </c>
      <c r="N621" s="2931">
        <v>80</v>
      </c>
      <c r="O621" s="2931">
        <v>120</v>
      </c>
      <c r="P621" s="2931">
        <v>160</v>
      </c>
      <c r="Q621" s="373">
        <v>200</v>
      </c>
      <c r="R621" s="2931">
        <v>5</v>
      </c>
      <c r="S621" s="2931">
        <v>10</v>
      </c>
      <c r="T621" s="2931">
        <v>20</v>
      </c>
      <c r="U621" s="373">
        <v>20</v>
      </c>
      <c r="V621" s="2926" t="s">
        <v>5489</v>
      </c>
      <c r="W621" s="2926" t="s">
        <v>5490</v>
      </c>
      <c r="X621" s="2926" t="s">
        <v>5491</v>
      </c>
      <c r="Y621" s="2926" t="s">
        <v>5492</v>
      </c>
      <c r="Z621" s="2926" t="s">
        <v>5493</v>
      </c>
      <c r="AA621" s="371"/>
    </row>
    <row r="622" spans="1:27" ht="12.75" customHeight="1" x14ac:dyDescent="0.2">
      <c r="A622" s="6418"/>
      <c r="B622" s="251" t="str">
        <f t="shared" si="18"/>
        <v>Conocimiento64</v>
      </c>
      <c r="D622" s="272" t="s">
        <v>586</v>
      </c>
      <c r="E622" s="2931" t="s">
        <v>89</v>
      </c>
      <c r="F622" s="2931">
        <v>64</v>
      </c>
      <c r="G622" s="2934" t="s">
        <v>2087</v>
      </c>
      <c r="H622" s="2934" t="s">
        <v>1235</v>
      </c>
      <c r="I622" s="376" t="s">
        <v>1304</v>
      </c>
      <c r="J622" s="2931">
        <v>8</v>
      </c>
      <c r="K622" s="2931">
        <v>10</v>
      </c>
      <c r="L622" s="2931">
        <v>12</v>
      </c>
      <c r="M622" s="373">
        <v>14</v>
      </c>
      <c r="N622" s="2931">
        <v>100</v>
      </c>
      <c r="O622" s="2931">
        <v>150</v>
      </c>
      <c r="P622" s="2931">
        <v>200</v>
      </c>
      <c r="Q622" s="373">
        <v>250</v>
      </c>
      <c r="R622" s="2931">
        <v>10</v>
      </c>
      <c r="S622" s="2931">
        <v>20</v>
      </c>
      <c r="T622" s="2931">
        <v>30</v>
      </c>
      <c r="U622" s="373">
        <v>40</v>
      </c>
      <c r="V622" s="2926" t="s">
        <v>5494</v>
      </c>
      <c r="W622" s="2926" t="s">
        <v>5495</v>
      </c>
      <c r="X622" s="2926" t="s">
        <v>5496</v>
      </c>
      <c r="Y622" s="2926" t="s">
        <v>5497</v>
      </c>
      <c r="Z622" s="2926" t="s">
        <v>5498</v>
      </c>
      <c r="AA622" s="371"/>
    </row>
    <row r="623" spans="1:27" ht="12.75" customHeight="1" x14ac:dyDescent="0.2">
      <c r="A623" s="6418"/>
      <c r="B623" s="251" t="str">
        <f t="shared" si="18"/>
        <v>Conocimiento74</v>
      </c>
      <c r="D623" s="272" t="s">
        <v>587</v>
      </c>
      <c r="E623" s="2931" t="s">
        <v>89</v>
      </c>
      <c r="F623" s="2931">
        <v>74</v>
      </c>
      <c r="G623" s="2934" t="s">
        <v>1381</v>
      </c>
      <c r="H623" s="2934" t="s">
        <v>1234</v>
      </c>
      <c r="I623" s="376" t="s">
        <v>1304</v>
      </c>
      <c r="J623" s="2931">
        <v>6</v>
      </c>
      <c r="K623" s="2931">
        <v>9</v>
      </c>
      <c r="L623" s="2931">
        <v>11</v>
      </c>
      <c r="M623" s="373">
        <v>13</v>
      </c>
      <c r="N623" s="2931">
        <v>60</v>
      </c>
      <c r="O623" s="2931">
        <v>100</v>
      </c>
      <c r="P623" s="2931">
        <v>140</v>
      </c>
      <c r="Q623" s="373">
        <v>200</v>
      </c>
      <c r="R623" s="2931">
        <v>5</v>
      </c>
      <c r="S623" s="2931">
        <v>10</v>
      </c>
      <c r="T623" s="2931">
        <v>15</v>
      </c>
      <c r="U623" s="373">
        <v>20</v>
      </c>
      <c r="V623" s="2926" t="s">
        <v>5499</v>
      </c>
      <c r="W623" s="2926" t="s">
        <v>5500</v>
      </c>
      <c r="X623" s="2926" t="s">
        <v>5501</v>
      </c>
      <c r="Y623" s="2926" t="s">
        <v>5502</v>
      </c>
      <c r="Z623" s="2926" t="s">
        <v>5503</v>
      </c>
      <c r="AA623" s="371"/>
    </row>
    <row r="624" spans="1:27" ht="12.75" customHeight="1" x14ac:dyDescent="0.2">
      <c r="A624" s="6418"/>
      <c r="B624" s="251" t="str">
        <f t="shared" si="18"/>
        <v>Conocimiento84</v>
      </c>
      <c r="D624" s="272" t="s">
        <v>588</v>
      </c>
      <c r="E624" s="2931" t="s">
        <v>89</v>
      </c>
      <c r="F624" s="2931">
        <v>84</v>
      </c>
      <c r="G624" s="2934" t="s">
        <v>2087</v>
      </c>
      <c r="H624" s="2934" t="s">
        <v>1233</v>
      </c>
      <c r="I624" s="376" t="s">
        <v>1304</v>
      </c>
      <c r="J624" s="2931">
        <v>8</v>
      </c>
      <c r="K624" s="2931">
        <v>10</v>
      </c>
      <c r="L624" s="2931">
        <v>12</v>
      </c>
      <c r="M624" s="373">
        <v>14</v>
      </c>
      <c r="N624" s="2931">
        <v>100</v>
      </c>
      <c r="O624" s="2931">
        <v>150</v>
      </c>
      <c r="P624" s="2931">
        <v>200</v>
      </c>
      <c r="Q624" s="373">
        <v>250</v>
      </c>
      <c r="R624" s="2931">
        <v>5</v>
      </c>
      <c r="S624" s="2931">
        <v>10</v>
      </c>
      <c r="T624" s="2931">
        <v>15</v>
      </c>
      <c r="U624" s="373">
        <v>20</v>
      </c>
      <c r="V624" s="2926" t="s">
        <v>5504</v>
      </c>
      <c r="W624" s="2926" t="s">
        <v>5505</v>
      </c>
      <c r="X624" s="2926" t="s">
        <v>5506</v>
      </c>
      <c r="Y624" s="2926" t="s">
        <v>5507</v>
      </c>
      <c r="Z624" s="2926" t="s">
        <v>5508</v>
      </c>
      <c r="AA624" s="371"/>
    </row>
    <row r="625" spans="1:27" ht="12.75" customHeight="1" x14ac:dyDescent="0.2">
      <c r="A625" s="6418"/>
      <c r="B625" s="251" t="str">
        <f t="shared" si="18"/>
        <v>Conocimiento94</v>
      </c>
      <c r="D625" s="272" t="s">
        <v>589</v>
      </c>
      <c r="E625" s="2931" t="s">
        <v>89</v>
      </c>
      <c r="F625" s="2931">
        <v>94</v>
      </c>
      <c r="G625" s="2934" t="s">
        <v>1381</v>
      </c>
      <c r="H625" s="2934" t="s">
        <v>1234</v>
      </c>
      <c r="I625" s="376" t="s">
        <v>1304</v>
      </c>
      <c r="J625" s="2931">
        <v>10</v>
      </c>
      <c r="K625" s="2931">
        <v>12</v>
      </c>
      <c r="L625" s="2931">
        <v>14</v>
      </c>
      <c r="M625" s="373">
        <v>16</v>
      </c>
      <c r="N625" s="2931">
        <v>400</v>
      </c>
      <c r="O625" s="2931">
        <v>600</v>
      </c>
      <c r="P625" s="2931">
        <v>800</v>
      </c>
      <c r="Q625" s="373">
        <v>1000</v>
      </c>
      <c r="R625" s="2931">
        <v>40</v>
      </c>
      <c r="S625" s="2931">
        <v>60</v>
      </c>
      <c r="T625" s="2931">
        <v>80</v>
      </c>
      <c r="U625" s="373">
        <v>100</v>
      </c>
      <c r="V625" s="2926" t="s">
        <v>5509</v>
      </c>
      <c r="W625" s="2926" t="s">
        <v>5510</v>
      </c>
      <c r="X625" s="2926" t="s">
        <v>5511</v>
      </c>
      <c r="Y625" s="2926" t="s">
        <v>5512</v>
      </c>
      <c r="Z625" s="2926" t="s">
        <v>5513</v>
      </c>
      <c r="AA625" s="371"/>
    </row>
    <row r="626" spans="1:27" ht="12.75" customHeight="1" x14ac:dyDescent="0.2">
      <c r="A626" s="6418"/>
      <c r="B626" s="251" t="str">
        <f t="shared" si="18"/>
        <v/>
      </c>
      <c r="D626" s="272" t="s">
        <v>590</v>
      </c>
      <c r="E626" s="2931"/>
      <c r="F626" s="2931"/>
      <c r="G626" s="2934"/>
      <c r="H626" s="2934"/>
      <c r="I626" s="376"/>
      <c r="J626" s="2931"/>
      <c r="K626" s="2931"/>
      <c r="L626" s="2931"/>
      <c r="M626" s="373"/>
      <c r="N626" s="2931"/>
      <c r="O626" s="2931"/>
      <c r="P626" s="2931"/>
      <c r="Q626" s="373"/>
      <c r="R626" s="2931"/>
      <c r="S626" s="2931"/>
      <c r="T626" s="2931"/>
      <c r="U626" s="373"/>
      <c r="V626" s="2926"/>
      <c r="W626" s="2926"/>
      <c r="X626" s="2926"/>
      <c r="Y626" s="2926"/>
      <c r="Z626" s="2926"/>
      <c r="AA626" s="371"/>
    </row>
    <row r="627" spans="1:27" ht="12.75" customHeight="1" x14ac:dyDescent="0.2">
      <c r="A627" s="6418"/>
      <c r="B627" s="251" t="str">
        <f t="shared" si="18"/>
        <v>Sangre4</v>
      </c>
      <c r="D627" s="272" t="s">
        <v>591</v>
      </c>
      <c r="E627" s="2931" t="s">
        <v>90</v>
      </c>
      <c r="F627" s="2931">
        <v>4</v>
      </c>
      <c r="G627" s="2934" t="s">
        <v>1381</v>
      </c>
      <c r="H627" s="2934" t="s">
        <v>1233</v>
      </c>
      <c r="I627" s="376" t="s">
        <v>1304</v>
      </c>
      <c r="J627" s="2931">
        <v>5</v>
      </c>
      <c r="K627" s="2931">
        <v>8</v>
      </c>
      <c r="L627" s="2931">
        <v>10</v>
      </c>
      <c r="M627" s="373">
        <v>13</v>
      </c>
      <c r="N627" s="2931">
        <v>30</v>
      </c>
      <c r="O627" s="2931">
        <v>60</v>
      </c>
      <c r="P627" s="2931">
        <v>100</v>
      </c>
      <c r="Q627" s="373">
        <v>150</v>
      </c>
      <c r="R627" s="2931" t="s">
        <v>1381</v>
      </c>
      <c r="S627" s="2931" t="s">
        <v>1381</v>
      </c>
      <c r="T627" s="2931" t="s">
        <v>1381</v>
      </c>
      <c r="U627" s="373" t="s">
        <v>1381</v>
      </c>
      <c r="V627" s="2926" t="s">
        <v>3588</v>
      </c>
      <c r="W627" s="2926" t="s">
        <v>3627</v>
      </c>
      <c r="X627" s="2926" t="s">
        <v>3589</v>
      </c>
      <c r="Y627" s="2926" t="s">
        <v>3486</v>
      </c>
      <c r="Z627" s="2926" t="s">
        <v>5514</v>
      </c>
      <c r="AA627" s="371"/>
    </row>
    <row r="628" spans="1:27" ht="12.75" customHeight="1" x14ac:dyDescent="0.2">
      <c r="A628" s="6418"/>
      <c r="B628" s="251" t="str">
        <f t="shared" si="18"/>
        <v>Sangre14</v>
      </c>
      <c r="D628" s="272" t="s">
        <v>592</v>
      </c>
      <c r="E628" s="2931" t="s">
        <v>90</v>
      </c>
      <c r="F628" s="2931">
        <v>14</v>
      </c>
      <c r="G628" s="2934" t="s">
        <v>1381</v>
      </c>
      <c r="H628" s="2934" t="s">
        <v>1234</v>
      </c>
      <c r="I628" s="376" t="s">
        <v>1304</v>
      </c>
      <c r="J628" s="2931">
        <v>6</v>
      </c>
      <c r="K628" s="2931">
        <v>8</v>
      </c>
      <c r="L628" s="2931">
        <v>10</v>
      </c>
      <c r="M628" s="373">
        <v>13</v>
      </c>
      <c r="N628" s="2931">
        <v>40</v>
      </c>
      <c r="O628" s="2931">
        <v>80</v>
      </c>
      <c r="P628" s="2931">
        <v>120</v>
      </c>
      <c r="Q628" s="373">
        <v>160</v>
      </c>
      <c r="R628" s="2931" t="s">
        <v>1381</v>
      </c>
      <c r="S628" s="2931" t="s">
        <v>1381</v>
      </c>
      <c r="T628" s="2931" t="s">
        <v>1381</v>
      </c>
      <c r="U628" s="373" t="s">
        <v>1381</v>
      </c>
      <c r="V628" s="2926" t="s">
        <v>5515</v>
      </c>
      <c r="W628" s="2926" t="s">
        <v>5516</v>
      </c>
      <c r="X628" s="2926" t="s">
        <v>5517</v>
      </c>
      <c r="Y628" s="2926" t="s">
        <v>5518</v>
      </c>
      <c r="Z628" s="2926" t="s">
        <v>5519</v>
      </c>
      <c r="AA628" s="371"/>
    </row>
    <row r="629" spans="1:27" ht="12.75" customHeight="1" x14ac:dyDescent="0.2">
      <c r="A629" s="6418"/>
      <c r="B629" s="251" t="str">
        <f t="shared" si="18"/>
        <v>Sangre24</v>
      </c>
      <c r="D629" s="272" t="s">
        <v>1916</v>
      </c>
      <c r="E629" s="2931" t="s">
        <v>90</v>
      </c>
      <c r="F629" s="2931">
        <v>24</v>
      </c>
      <c r="G629" s="2934" t="s">
        <v>2087</v>
      </c>
      <c r="H629" s="2934" t="s">
        <v>1234</v>
      </c>
      <c r="I629" s="376" t="s">
        <v>1304</v>
      </c>
      <c r="J629" s="2931">
        <v>6</v>
      </c>
      <c r="K629" s="2931">
        <v>9</v>
      </c>
      <c r="L629" s="2931">
        <v>12</v>
      </c>
      <c r="M629" s="373">
        <v>15</v>
      </c>
      <c r="N629" s="2931">
        <v>50</v>
      </c>
      <c r="O629" s="2931">
        <v>90</v>
      </c>
      <c r="P629" s="2931">
        <v>120</v>
      </c>
      <c r="Q629" s="373">
        <v>150</v>
      </c>
      <c r="R629" s="2931">
        <v>5</v>
      </c>
      <c r="S629" s="2931">
        <v>20</v>
      </c>
      <c r="T629" s="2931">
        <v>25</v>
      </c>
      <c r="U629" s="373">
        <v>30</v>
      </c>
      <c r="V629" s="2926" t="s">
        <v>5520</v>
      </c>
      <c r="W629" s="2926" t="s">
        <v>5521</v>
      </c>
      <c r="X629" s="2926" t="s">
        <v>5522</v>
      </c>
      <c r="Y629" s="2926" t="s">
        <v>5523</v>
      </c>
      <c r="Z629" s="2926" t="s">
        <v>5524</v>
      </c>
      <c r="AA629" s="371"/>
    </row>
    <row r="630" spans="1:27" ht="12.75" customHeight="1" x14ac:dyDescent="0.2">
      <c r="A630" s="6418"/>
      <c r="B630" s="251" t="str">
        <f t="shared" si="18"/>
        <v>Sangre34</v>
      </c>
      <c r="D630" s="272" t="s">
        <v>593</v>
      </c>
      <c r="E630" s="2931" t="s">
        <v>90</v>
      </c>
      <c r="F630" s="2931">
        <v>34</v>
      </c>
      <c r="G630" s="2934" t="s">
        <v>1381</v>
      </c>
      <c r="H630" s="2934" t="s">
        <v>1234</v>
      </c>
      <c r="I630" s="376" t="s">
        <v>1304</v>
      </c>
      <c r="J630" s="2931">
        <v>6</v>
      </c>
      <c r="K630" s="2931">
        <v>9</v>
      </c>
      <c r="L630" s="2931">
        <v>12</v>
      </c>
      <c r="M630" s="373">
        <v>15</v>
      </c>
      <c r="N630" s="2931">
        <v>80</v>
      </c>
      <c r="O630" s="2931">
        <v>120</v>
      </c>
      <c r="P630" s="2931">
        <v>160</v>
      </c>
      <c r="Q630" s="373">
        <v>200</v>
      </c>
      <c r="R630" s="2931">
        <v>10</v>
      </c>
      <c r="S630" s="2931">
        <v>40</v>
      </c>
      <c r="T630" s="2931">
        <v>50</v>
      </c>
      <c r="U630" s="373">
        <v>60</v>
      </c>
      <c r="V630" s="2926" t="s">
        <v>5525</v>
      </c>
      <c r="W630" s="2926" t="s">
        <v>5526</v>
      </c>
      <c r="X630" s="2926" t="s">
        <v>5527</v>
      </c>
      <c r="Y630" s="2926" t="s">
        <v>5528</v>
      </c>
      <c r="Z630" s="2926" t="s">
        <v>5529</v>
      </c>
      <c r="AA630" s="371"/>
    </row>
    <row r="631" spans="1:27" ht="12.75" customHeight="1" x14ac:dyDescent="0.2">
      <c r="A631" s="6418"/>
      <c r="B631" s="251" t="str">
        <f t="shared" si="18"/>
        <v>Sangre44</v>
      </c>
      <c r="D631" s="272" t="s">
        <v>594</v>
      </c>
      <c r="E631" s="2931" t="s">
        <v>90</v>
      </c>
      <c r="F631" s="2931">
        <v>44</v>
      </c>
      <c r="G631" s="2934" t="s">
        <v>1381</v>
      </c>
      <c r="H631" s="2934" t="s">
        <v>1234</v>
      </c>
      <c r="I631" s="376" t="s">
        <v>1304</v>
      </c>
      <c r="J631" s="2931">
        <v>6</v>
      </c>
      <c r="K631" s="2931">
        <v>8</v>
      </c>
      <c r="L631" s="2931">
        <v>10</v>
      </c>
      <c r="M631" s="373">
        <v>12</v>
      </c>
      <c r="N631" s="2931">
        <v>40</v>
      </c>
      <c r="O631" s="2931">
        <v>60</v>
      </c>
      <c r="P631" s="2931">
        <v>80</v>
      </c>
      <c r="Q631" s="373">
        <v>100</v>
      </c>
      <c r="R631" s="2931" t="s">
        <v>1381</v>
      </c>
      <c r="S631" s="2931" t="s">
        <v>1381</v>
      </c>
      <c r="T631" s="2931" t="s">
        <v>1381</v>
      </c>
      <c r="U631" s="373" t="s">
        <v>1381</v>
      </c>
      <c r="V631" s="2926" t="s">
        <v>5530</v>
      </c>
      <c r="W631" s="2926" t="s">
        <v>5531</v>
      </c>
      <c r="X631" s="2926" t="s">
        <v>5532</v>
      </c>
      <c r="Y631" s="2926" t="s">
        <v>5533</v>
      </c>
      <c r="Z631" s="2926" t="s">
        <v>5534</v>
      </c>
      <c r="AA631" s="371"/>
    </row>
    <row r="632" spans="1:27" ht="12.75" customHeight="1" x14ac:dyDescent="0.2">
      <c r="A632" s="6418"/>
      <c r="B632" s="251" t="str">
        <f t="shared" si="18"/>
        <v>Sangre54</v>
      </c>
      <c r="D632" s="272" t="s">
        <v>595</v>
      </c>
      <c r="E632" s="2931" t="s">
        <v>90</v>
      </c>
      <c r="F632" s="2931">
        <v>54</v>
      </c>
      <c r="G632" s="2934" t="s">
        <v>1381</v>
      </c>
      <c r="H632" s="2934" t="s">
        <v>1233</v>
      </c>
      <c r="I632" s="376" t="s">
        <v>1304</v>
      </c>
      <c r="J632" s="2931">
        <v>6</v>
      </c>
      <c r="K632" s="2931">
        <v>9</v>
      </c>
      <c r="L632" s="2931">
        <v>12</v>
      </c>
      <c r="M632" s="373">
        <v>15</v>
      </c>
      <c r="N632" s="2931">
        <v>100</v>
      </c>
      <c r="O632" s="2931">
        <v>150</v>
      </c>
      <c r="P632" s="2931">
        <v>200</v>
      </c>
      <c r="Q632" s="373">
        <v>250</v>
      </c>
      <c r="R632" s="2931">
        <v>10</v>
      </c>
      <c r="S632" s="2931">
        <v>15</v>
      </c>
      <c r="T632" s="2931">
        <v>20</v>
      </c>
      <c r="U632" s="373">
        <v>25</v>
      </c>
      <c r="V632" s="2926" t="s">
        <v>5535</v>
      </c>
      <c r="W632" s="2926" t="s">
        <v>5536</v>
      </c>
      <c r="X632" s="2926" t="s">
        <v>5537</v>
      </c>
      <c r="Y632" s="2926" t="s">
        <v>5538</v>
      </c>
      <c r="Z632" s="2926" t="s">
        <v>5539</v>
      </c>
      <c r="AA632" s="371"/>
    </row>
    <row r="633" spans="1:27" ht="12.75" customHeight="1" x14ac:dyDescent="0.2">
      <c r="A633" s="6418"/>
      <c r="B633" s="251" t="str">
        <f t="shared" si="18"/>
        <v>Sangre64</v>
      </c>
      <c r="D633" s="272" t="s">
        <v>596</v>
      </c>
      <c r="E633" s="2931" t="s">
        <v>90</v>
      </c>
      <c r="F633" s="2931">
        <v>64</v>
      </c>
      <c r="G633" s="2934" t="s">
        <v>1381</v>
      </c>
      <c r="H633" s="2934" t="s">
        <v>1234</v>
      </c>
      <c r="I633" s="376" t="s">
        <v>1304</v>
      </c>
      <c r="J633" s="2931">
        <v>8</v>
      </c>
      <c r="K633" s="2931">
        <v>10</v>
      </c>
      <c r="L633" s="2931">
        <v>12</v>
      </c>
      <c r="M633" s="373">
        <v>15</v>
      </c>
      <c r="N633" s="2931">
        <v>150</v>
      </c>
      <c r="O633" s="2931">
        <v>200</v>
      </c>
      <c r="P633" s="2931">
        <v>250</v>
      </c>
      <c r="Q633" s="373">
        <v>300</v>
      </c>
      <c r="R633" s="2931">
        <v>10</v>
      </c>
      <c r="S633" s="2931">
        <v>10</v>
      </c>
      <c r="T633" s="2931">
        <v>15</v>
      </c>
      <c r="U633" s="373">
        <v>15</v>
      </c>
      <c r="V633" s="2926" t="s">
        <v>5540</v>
      </c>
      <c r="W633" s="2926" t="s">
        <v>5541</v>
      </c>
      <c r="X633" s="2926" t="s">
        <v>5542</v>
      </c>
      <c r="Y633" s="2926" t="s">
        <v>5543</v>
      </c>
      <c r="Z633" s="2926" t="s">
        <v>5544</v>
      </c>
      <c r="AA633" s="371"/>
    </row>
    <row r="634" spans="1:27" ht="12.75" customHeight="1" x14ac:dyDescent="0.2">
      <c r="A634" s="6418"/>
      <c r="B634" s="251" t="str">
        <f t="shared" si="18"/>
        <v>Sangre74</v>
      </c>
      <c r="D634" s="272" t="s">
        <v>597</v>
      </c>
      <c r="E634" s="2931" t="s">
        <v>90</v>
      </c>
      <c r="F634" s="2931">
        <v>74</v>
      </c>
      <c r="G634" s="2934" t="s">
        <v>1381</v>
      </c>
      <c r="H634" s="2934" t="s">
        <v>1233</v>
      </c>
      <c r="I634" s="376" t="s">
        <v>1304</v>
      </c>
      <c r="J634" s="2931">
        <v>10</v>
      </c>
      <c r="K634" s="2931">
        <v>13</v>
      </c>
      <c r="L634" s="2931">
        <v>15</v>
      </c>
      <c r="M634" s="373">
        <v>17</v>
      </c>
      <c r="N634" s="2931">
        <v>280</v>
      </c>
      <c r="O634" s="2931">
        <v>320</v>
      </c>
      <c r="P634" s="2931">
        <v>360</v>
      </c>
      <c r="Q634" s="373">
        <v>400</v>
      </c>
      <c r="R634" s="2931" t="s">
        <v>1381</v>
      </c>
      <c r="S634" s="2931" t="s">
        <v>1381</v>
      </c>
      <c r="T634" s="2931" t="s">
        <v>1381</v>
      </c>
      <c r="U634" s="373" t="s">
        <v>1381</v>
      </c>
      <c r="V634" s="2926" t="s">
        <v>5545</v>
      </c>
      <c r="W634" s="2926" t="s">
        <v>5546</v>
      </c>
      <c r="X634" s="2926" t="s">
        <v>5547</v>
      </c>
      <c r="Y634" s="2926" t="s">
        <v>5548</v>
      </c>
      <c r="Z634" s="2926" t="s">
        <v>5549</v>
      </c>
      <c r="AA634" s="371"/>
    </row>
    <row r="635" spans="1:27" ht="12.75" customHeight="1" x14ac:dyDescent="0.2">
      <c r="A635" s="6418"/>
      <c r="B635" s="251" t="str">
        <f t="shared" si="18"/>
        <v>Sangre84</v>
      </c>
      <c r="D635" s="272" t="s">
        <v>598</v>
      </c>
      <c r="E635" s="2931" t="s">
        <v>90</v>
      </c>
      <c r="F635" s="2931">
        <v>84</v>
      </c>
      <c r="G635" s="2934" t="s">
        <v>1381</v>
      </c>
      <c r="H635" s="2934" t="s">
        <v>1234</v>
      </c>
      <c r="I635" s="376" t="s">
        <v>1305</v>
      </c>
      <c r="J635" s="2931">
        <v>10</v>
      </c>
      <c r="K635" s="2931">
        <v>12</v>
      </c>
      <c r="L635" s="2931">
        <v>15</v>
      </c>
      <c r="M635" s="373">
        <v>17</v>
      </c>
      <c r="N635" s="2931">
        <v>200</v>
      </c>
      <c r="O635" s="2931">
        <v>240</v>
      </c>
      <c r="P635" s="2931">
        <v>300</v>
      </c>
      <c r="Q635" s="373">
        <v>340</v>
      </c>
      <c r="R635" s="2931">
        <v>40</v>
      </c>
      <c r="S635" s="2931">
        <v>50</v>
      </c>
      <c r="T635" s="2931">
        <v>60</v>
      </c>
      <c r="U635" s="373">
        <v>70</v>
      </c>
      <c r="V635" s="2926" t="s">
        <v>5550</v>
      </c>
      <c r="W635" s="2926" t="s">
        <v>5551</v>
      </c>
      <c r="X635" s="2926" t="s">
        <v>5552</v>
      </c>
      <c r="Y635" s="2926" t="s">
        <v>5553</v>
      </c>
      <c r="Z635" s="2926" t="s">
        <v>5554</v>
      </c>
      <c r="AA635" s="371"/>
    </row>
    <row r="636" spans="1:27" ht="12.75" customHeight="1" x14ac:dyDescent="0.2">
      <c r="A636" s="6418"/>
      <c r="B636" s="251" t="str">
        <f t="shared" si="18"/>
        <v>Sangre94</v>
      </c>
      <c r="D636" s="272" t="s">
        <v>599</v>
      </c>
      <c r="E636" s="2931" t="s">
        <v>90</v>
      </c>
      <c r="F636" s="2931">
        <v>94</v>
      </c>
      <c r="G636" s="2934" t="s">
        <v>1381</v>
      </c>
      <c r="H636" s="2934" t="s">
        <v>1233</v>
      </c>
      <c r="I636" s="376" t="s">
        <v>1304</v>
      </c>
      <c r="J636" s="2931">
        <v>10</v>
      </c>
      <c r="K636" s="2931">
        <v>13</v>
      </c>
      <c r="L636" s="2931">
        <v>15</v>
      </c>
      <c r="M636" s="373">
        <v>17</v>
      </c>
      <c r="N636" s="2931">
        <v>280</v>
      </c>
      <c r="O636" s="2931">
        <v>320</v>
      </c>
      <c r="P636" s="2931">
        <v>360</v>
      </c>
      <c r="Q636" s="373">
        <v>400</v>
      </c>
      <c r="R636" s="2931" t="s">
        <v>1381</v>
      </c>
      <c r="S636" s="2931" t="s">
        <v>1381</v>
      </c>
      <c r="T636" s="2931" t="s">
        <v>1381</v>
      </c>
      <c r="U636" s="373" t="s">
        <v>1381</v>
      </c>
      <c r="V636" s="2926" t="s">
        <v>5555</v>
      </c>
      <c r="W636" s="2926" t="s">
        <v>5556</v>
      </c>
      <c r="X636" s="2926" t="s">
        <v>5557</v>
      </c>
      <c r="Y636" s="2926" t="s">
        <v>5558</v>
      </c>
      <c r="Z636" s="2926" t="s">
        <v>5559</v>
      </c>
      <c r="AA636" s="371"/>
    </row>
    <row r="637" spans="1:27" ht="12.75" customHeight="1" x14ac:dyDescent="0.2">
      <c r="A637" s="6418"/>
      <c r="B637" s="251" t="str">
        <f t="shared" si="18"/>
        <v/>
      </c>
      <c r="D637" s="272" t="s">
        <v>600</v>
      </c>
      <c r="E637" s="2931"/>
      <c r="F637" s="2931"/>
      <c r="G637" s="2934"/>
      <c r="H637" s="2934"/>
      <c r="I637" s="376"/>
      <c r="J637" s="2931"/>
      <c r="K637" s="2931"/>
      <c r="L637" s="2931"/>
      <c r="M637" s="373"/>
      <c r="N637" s="2931"/>
      <c r="O637" s="2931"/>
      <c r="P637" s="2931"/>
      <c r="Q637" s="373"/>
      <c r="R637" s="2931"/>
      <c r="S637" s="2931"/>
      <c r="T637" s="2931"/>
      <c r="U637" s="373"/>
      <c r="V637" s="2926"/>
      <c r="W637" s="2926"/>
      <c r="X637" s="2926"/>
      <c r="Y637" s="2926"/>
      <c r="Z637" s="2926"/>
      <c r="AA637" s="371"/>
    </row>
    <row r="638" spans="1:27" ht="12.75" customHeight="1" x14ac:dyDescent="0.2">
      <c r="A638" s="6418"/>
      <c r="B638" s="251" t="str">
        <f t="shared" si="18"/>
        <v>Sueños4</v>
      </c>
      <c r="D638" s="272" t="s">
        <v>601</v>
      </c>
      <c r="E638" s="2931" t="s">
        <v>91</v>
      </c>
      <c r="F638" s="2931">
        <v>4</v>
      </c>
      <c r="G638" s="2934" t="s">
        <v>1381</v>
      </c>
      <c r="H638" s="2934" t="s">
        <v>1236</v>
      </c>
      <c r="I638" s="376" t="s">
        <v>1304</v>
      </c>
      <c r="J638" s="2931">
        <v>5</v>
      </c>
      <c r="K638" s="2931">
        <v>8</v>
      </c>
      <c r="L638" s="2931">
        <v>10</v>
      </c>
      <c r="M638" s="373">
        <v>12</v>
      </c>
      <c r="N638" s="2931">
        <v>40</v>
      </c>
      <c r="O638" s="2931">
        <v>60</v>
      </c>
      <c r="P638" s="2931">
        <v>80</v>
      </c>
      <c r="Q638" s="373">
        <v>100</v>
      </c>
      <c r="R638" s="2931" t="s">
        <v>1381</v>
      </c>
      <c r="S638" s="2931" t="s">
        <v>1381</v>
      </c>
      <c r="T638" s="2931" t="s">
        <v>1381</v>
      </c>
      <c r="U638" s="373" t="s">
        <v>1381</v>
      </c>
      <c r="V638" s="2926" t="s">
        <v>5560</v>
      </c>
      <c r="W638" s="2926" t="s">
        <v>10055</v>
      </c>
      <c r="X638" s="2926" t="s">
        <v>5561</v>
      </c>
      <c r="Y638" s="2926" t="s">
        <v>5562</v>
      </c>
      <c r="Z638" s="2926" t="s">
        <v>9681</v>
      </c>
      <c r="AA638" s="371"/>
    </row>
    <row r="639" spans="1:27" ht="12.75" customHeight="1" x14ac:dyDescent="0.2">
      <c r="A639" s="6418"/>
      <c r="B639" s="251" t="str">
        <f t="shared" si="18"/>
        <v>Sueños14</v>
      </c>
      <c r="D639" s="272" t="s">
        <v>602</v>
      </c>
      <c r="E639" s="2931" t="s">
        <v>91</v>
      </c>
      <c r="F639" s="2931">
        <v>14</v>
      </c>
      <c r="G639" s="2934" t="s">
        <v>2087</v>
      </c>
      <c r="H639" s="2934" t="s">
        <v>1234</v>
      </c>
      <c r="I639" s="376" t="s">
        <v>1304</v>
      </c>
      <c r="J639" s="2931">
        <v>5</v>
      </c>
      <c r="K639" s="2931">
        <v>8</v>
      </c>
      <c r="L639" s="2931">
        <v>10</v>
      </c>
      <c r="M639" s="373">
        <v>12</v>
      </c>
      <c r="N639" s="2931">
        <v>60</v>
      </c>
      <c r="O639" s="2931">
        <v>80</v>
      </c>
      <c r="P639" s="2931">
        <v>100</v>
      </c>
      <c r="Q639" s="373">
        <v>120</v>
      </c>
      <c r="R639" s="2931">
        <v>5</v>
      </c>
      <c r="S639" s="2931">
        <v>5</v>
      </c>
      <c r="T639" s="2931">
        <v>5</v>
      </c>
      <c r="U639" s="373">
        <v>10</v>
      </c>
      <c r="V639" s="2926" t="s">
        <v>5563</v>
      </c>
      <c r="W639" s="2926" t="s">
        <v>5564</v>
      </c>
      <c r="X639" s="2926" t="s">
        <v>5565</v>
      </c>
      <c r="Y639" s="2926" t="s">
        <v>5566</v>
      </c>
      <c r="Z639" s="2926" t="s">
        <v>9682</v>
      </c>
      <c r="AA639" s="371"/>
    </row>
    <row r="640" spans="1:27" ht="12.75" customHeight="1" x14ac:dyDescent="0.2">
      <c r="A640" s="6418"/>
      <c r="B640" s="251" t="str">
        <f t="shared" si="18"/>
        <v>Sueños24</v>
      </c>
      <c r="D640" s="272" t="s">
        <v>603</v>
      </c>
      <c r="E640" s="2931" t="s">
        <v>91</v>
      </c>
      <c r="F640" s="2931">
        <v>24</v>
      </c>
      <c r="G640" s="2934" t="s">
        <v>2087</v>
      </c>
      <c r="H640" s="2934" t="s">
        <v>1233</v>
      </c>
      <c r="I640" s="376" t="s">
        <v>1304</v>
      </c>
      <c r="J640" s="2931">
        <v>6</v>
      </c>
      <c r="K640" s="2931">
        <v>8</v>
      </c>
      <c r="L640" s="2931">
        <v>10</v>
      </c>
      <c r="M640" s="373">
        <v>12</v>
      </c>
      <c r="N640" s="2931">
        <v>60</v>
      </c>
      <c r="O640" s="2931">
        <v>80</v>
      </c>
      <c r="P640" s="2931">
        <v>100</v>
      </c>
      <c r="Q640" s="373">
        <v>120</v>
      </c>
      <c r="R640" s="2931">
        <v>10</v>
      </c>
      <c r="S640" s="2931">
        <v>10</v>
      </c>
      <c r="T640" s="2931">
        <v>10</v>
      </c>
      <c r="U640" s="373">
        <v>15</v>
      </c>
      <c r="V640" s="2926" t="s">
        <v>3590</v>
      </c>
      <c r="W640" s="2926" t="s">
        <v>3486</v>
      </c>
      <c r="X640" s="2926" t="s">
        <v>3321</v>
      </c>
      <c r="Y640" s="2926" t="s">
        <v>9683</v>
      </c>
      <c r="Z640" s="2926" t="s">
        <v>10093</v>
      </c>
      <c r="AA640" s="371"/>
    </row>
    <row r="641" spans="1:27" ht="12.75" customHeight="1" x14ac:dyDescent="0.2">
      <c r="A641" s="6418"/>
      <c r="B641" s="251" t="str">
        <f t="shared" si="18"/>
        <v>Sueños34</v>
      </c>
      <c r="D641" s="272" t="s">
        <v>604</v>
      </c>
      <c r="E641" s="2931" t="s">
        <v>91</v>
      </c>
      <c r="F641" s="2931">
        <v>34</v>
      </c>
      <c r="G641" s="2934" t="s">
        <v>1381</v>
      </c>
      <c r="H641" s="2934" t="s">
        <v>1233</v>
      </c>
      <c r="I641" s="376" t="s">
        <v>1304</v>
      </c>
      <c r="J641" s="2931">
        <v>7</v>
      </c>
      <c r="K641" s="2931">
        <v>9</v>
      </c>
      <c r="L641" s="2931">
        <v>11</v>
      </c>
      <c r="M641" s="373">
        <v>13</v>
      </c>
      <c r="N641" s="2931">
        <v>80</v>
      </c>
      <c r="O641" s="2931">
        <v>100</v>
      </c>
      <c r="P641" s="2931">
        <v>120</v>
      </c>
      <c r="Q641" s="373">
        <v>140</v>
      </c>
      <c r="R641" s="2931">
        <v>10</v>
      </c>
      <c r="S641" s="2931">
        <v>10</v>
      </c>
      <c r="T641" s="2931">
        <v>10</v>
      </c>
      <c r="U641" s="373">
        <v>15</v>
      </c>
      <c r="V641" s="2926" t="s">
        <v>3271</v>
      </c>
      <c r="W641" s="2926" t="s">
        <v>5567</v>
      </c>
      <c r="X641" s="2926" t="s">
        <v>5568</v>
      </c>
      <c r="Y641" s="2926" t="s">
        <v>5569</v>
      </c>
      <c r="Z641" s="2926" t="s">
        <v>9684</v>
      </c>
      <c r="AA641" s="371"/>
    </row>
    <row r="642" spans="1:27" ht="12.75" customHeight="1" x14ac:dyDescent="0.2">
      <c r="A642" s="6418"/>
      <c r="B642" s="251" t="str">
        <f t="shared" si="18"/>
        <v>Sueños44</v>
      </c>
      <c r="D642" s="272" t="s">
        <v>605</v>
      </c>
      <c r="E642" s="2931" t="s">
        <v>91</v>
      </c>
      <c r="F642" s="2931">
        <v>44</v>
      </c>
      <c r="G642" s="2934" t="s">
        <v>2087</v>
      </c>
      <c r="H642" s="2934" t="s">
        <v>1234</v>
      </c>
      <c r="I642" s="376" t="s">
        <v>1304</v>
      </c>
      <c r="J642" s="2931">
        <v>10</v>
      </c>
      <c r="K642" s="2931">
        <v>12</v>
      </c>
      <c r="L642" s="2931">
        <v>14</v>
      </c>
      <c r="M642" s="373">
        <v>16</v>
      </c>
      <c r="N642" s="2931">
        <v>100</v>
      </c>
      <c r="O642" s="2931">
        <v>120</v>
      </c>
      <c r="P642" s="2931">
        <v>140</v>
      </c>
      <c r="Q642" s="373">
        <v>160</v>
      </c>
      <c r="R642" s="2931">
        <v>30</v>
      </c>
      <c r="S642" s="2931">
        <v>30</v>
      </c>
      <c r="T642" s="2931">
        <v>40</v>
      </c>
      <c r="U642" s="373">
        <v>40</v>
      </c>
      <c r="V642" s="2926" t="s">
        <v>5570</v>
      </c>
      <c r="W642" s="2926" t="s">
        <v>5571</v>
      </c>
      <c r="X642" s="2926" t="s">
        <v>5572</v>
      </c>
      <c r="Y642" s="2926" t="s">
        <v>9685</v>
      </c>
      <c r="Z642" s="2926" t="s">
        <v>9686</v>
      </c>
      <c r="AA642" s="371"/>
    </row>
    <row r="643" spans="1:27" ht="12.75" customHeight="1" x14ac:dyDescent="0.2">
      <c r="A643" s="6418"/>
      <c r="B643" s="251" t="str">
        <f t="shared" si="18"/>
        <v>Sueños54</v>
      </c>
      <c r="D643" s="272" t="s">
        <v>606</v>
      </c>
      <c r="E643" s="2931" t="s">
        <v>91</v>
      </c>
      <c r="F643" s="2931">
        <v>54</v>
      </c>
      <c r="G643" s="2934" t="s">
        <v>2087</v>
      </c>
      <c r="H643" s="2934" t="s">
        <v>1233</v>
      </c>
      <c r="I643" s="376" t="s">
        <v>1304</v>
      </c>
      <c r="J643" s="2931">
        <v>7</v>
      </c>
      <c r="K643" s="2931">
        <v>9</v>
      </c>
      <c r="L643" s="2931">
        <v>11</v>
      </c>
      <c r="M643" s="373">
        <v>13</v>
      </c>
      <c r="N643" s="2931">
        <v>100</v>
      </c>
      <c r="O643" s="2931">
        <v>140</v>
      </c>
      <c r="P643" s="2931">
        <v>180</v>
      </c>
      <c r="Q643" s="373">
        <v>240</v>
      </c>
      <c r="R643" s="2931">
        <v>10</v>
      </c>
      <c r="S643" s="2931">
        <v>20</v>
      </c>
      <c r="T643" s="2931">
        <v>20</v>
      </c>
      <c r="U643" s="373">
        <v>25</v>
      </c>
      <c r="V643" s="2926" t="s">
        <v>3588</v>
      </c>
      <c r="W643" s="2926" t="s">
        <v>3627</v>
      </c>
      <c r="X643" s="2926" t="s">
        <v>3589</v>
      </c>
      <c r="Y643" s="2926" t="s">
        <v>3590</v>
      </c>
      <c r="Z643" s="2926" t="s">
        <v>7059</v>
      </c>
      <c r="AA643" s="371"/>
    </row>
    <row r="644" spans="1:27" ht="12.75" customHeight="1" x14ac:dyDescent="0.2">
      <c r="A644" s="6418"/>
      <c r="B644" s="251" t="str">
        <f t="shared" si="18"/>
        <v>Sueños64</v>
      </c>
      <c r="D644" s="272" t="s">
        <v>607</v>
      </c>
      <c r="E644" s="2931" t="s">
        <v>91</v>
      </c>
      <c r="F644" s="2931">
        <v>64</v>
      </c>
      <c r="G644" s="2934" t="s">
        <v>2087</v>
      </c>
      <c r="H644" s="2934" t="s">
        <v>1234</v>
      </c>
      <c r="I644" s="376" t="s">
        <v>1304</v>
      </c>
      <c r="J644" s="2931">
        <v>10</v>
      </c>
      <c r="K644" s="2931">
        <v>12</v>
      </c>
      <c r="L644" s="2931">
        <v>14</v>
      </c>
      <c r="M644" s="373">
        <v>16</v>
      </c>
      <c r="N644" s="2931">
        <v>200</v>
      </c>
      <c r="O644" s="2931">
        <v>240</v>
      </c>
      <c r="P644" s="2931">
        <v>280</v>
      </c>
      <c r="Q644" s="373">
        <v>320</v>
      </c>
      <c r="R644" s="2931">
        <v>40</v>
      </c>
      <c r="S644" s="2931">
        <v>50</v>
      </c>
      <c r="T644" s="2931">
        <v>60</v>
      </c>
      <c r="U644" s="373">
        <v>70</v>
      </c>
      <c r="V644" s="2926" t="s">
        <v>5573</v>
      </c>
      <c r="W644" s="2926" t="s">
        <v>5574</v>
      </c>
      <c r="X644" s="2926" t="s">
        <v>5575</v>
      </c>
      <c r="Y644" s="2926" t="s">
        <v>5576</v>
      </c>
      <c r="Z644" s="2926" t="s">
        <v>5577</v>
      </c>
      <c r="AA644" s="371"/>
    </row>
    <row r="645" spans="1:27" ht="12.75" customHeight="1" x14ac:dyDescent="0.2">
      <c r="A645" s="6418"/>
      <c r="B645" s="251" t="str">
        <f t="shared" si="18"/>
        <v>Sueños74</v>
      </c>
      <c r="D645" s="272" t="s">
        <v>10451</v>
      </c>
      <c r="E645" s="2931" t="s">
        <v>91</v>
      </c>
      <c r="F645" s="2931">
        <v>74</v>
      </c>
      <c r="G645" s="2934" t="s">
        <v>1381</v>
      </c>
      <c r="H645" s="2934" t="s">
        <v>1233</v>
      </c>
      <c r="I645" s="376" t="s">
        <v>1304</v>
      </c>
      <c r="J645" s="2931">
        <v>10</v>
      </c>
      <c r="K645" s="2931">
        <v>12</v>
      </c>
      <c r="L645" s="2931">
        <v>14</v>
      </c>
      <c r="M645" s="373">
        <v>16</v>
      </c>
      <c r="N645" s="2931">
        <v>100</v>
      </c>
      <c r="O645" s="2931">
        <v>120</v>
      </c>
      <c r="P645" s="2931">
        <v>140</v>
      </c>
      <c r="Q645" s="373">
        <v>160</v>
      </c>
      <c r="R645" s="2931" t="s">
        <v>1381</v>
      </c>
      <c r="S645" s="2931" t="s">
        <v>1381</v>
      </c>
      <c r="T645" s="2931" t="s">
        <v>1381</v>
      </c>
      <c r="U645" s="373" t="s">
        <v>1381</v>
      </c>
      <c r="V645" s="2926" t="s">
        <v>3627</v>
      </c>
      <c r="W645" s="2926" t="s">
        <v>3589</v>
      </c>
      <c r="X645" s="2926" t="s">
        <v>3590</v>
      </c>
      <c r="Y645" s="2926" t="s">
        <v>3486</v>
      </c>
      <c r="Z645" s="2926" t="s">
        <v>5578</v>
      </c>
      <c r="AA645" s="371"/>
    </row>
    <row r="646" spans="1:27" ht="12.75" customHeight="1" x14ac:dyDescent="0.2">
      <c r="A646" s="6418"/>
      <c r="B646" s="251" t="str">
        <f t="shared" si="18"/>
        <v>Sueños84</v>
      </c>
      <c r="D646" s="272" t="s">
        <v>608</v>
      </c>
      <c r="E646" s="2931" t="s">
        <v>91</v>
      </c>
      <c r="F646" s="2931">
        <v>84</v>
      </c>
      <c r="G646" s="2934" t="s">
        <v>2087</v>
      </c>
      <c r="H646" s="2934" t="s">
        <v>1234</v>
      </c>
      <c r="I646" s="376" t="s">
        <v>1304</v>
      </c>
      <c r="J646" s="2931">
        <v>13</v>
      </c>
      <c r="K646" s="2931">
        <v>15</v>
      </c>
      <c r="L646" s="2931">
        <v>17</v>
      </c>
      <c r="M646" s="373">
        <v>19</v>
      </c>
      <c r="N646" s="2931">
        <v>400</v>
      </c>
      <c r="O646" s="2931">
        <v>500</v>
      </c>
      <c r="P646" s="2931">
        <v>700</v>
      </c>
      <c r="Q646" s="373">
        <v>900</v>
      </c>
      <c r="R646" s="2931">
        <v>80</v>
      </c>
      <c r="S646" s="2931">
        <v>100</v>
      </c>
      <c r="T646" s="2931">
        <v>140</v>
      </c>
      <c r="U646" s="373">
        <v>180</v>
      </c>
      <c r="V646" s="2926" t="s">
        <v>5579</v>
      </c>
      <c r="W646" s="2926" t="s">
        <v>5580</v>
      </c>
      <c r="X646" s="2926" t="s">
        <v>5581</v>
      </c>
      <c r="Y646" s="2926" t="s">
        <v>5582</v>
      </c>
      <c r="Z646" s="2926" t="s">
        <v>5583</v>
      </c>
      <c r="AA646" s="371"/>
    </row>
    <row r="647" spans="1:27" ht="12.75" customHeight="1" x14ac:dyDescent="0.2">
      <c r="A647" s="6418"/>
      <c r="B647" s="251" t="str">
        <f t="shared" si="18"/>
        <v>Sueños94</v>
      </c>
      <c r="D647" s="272" t="s">
        <v>609</v>
      </c>
      <c r="E647" s="2931" t="s">
        <v>91</v>
      </c>
      <c r="F647" s="2931">
        <v>94</v>
      </c>
      <c r="G647" s="2934" t="s">
        <v>2087</v>
      </c>
      <c r="H647" s="2934" t="s">
        <v>1234</v>
      </c>
      <c r="I647" s="376" t="s">
        <v>1304</v>
      </c>
      <c r="J647" s="2931">
        <v>12</v>
      </c>
      <c r="K647" s="2931">
        <v>14</v>
      </c>
      <c r="L647" s="2931">
        <v>16</v>
      </c>
      <c r="M647" s="373">
        <v>18</v>
      </c>
      <c r="N647" s="2931">
        <v>300</v>
      </c>
      <c r="O647" s="2931">
        <v>600</v>
      </c>
      <c r="P647" s="2931">
        <v>900</v>
      </c>
      <c r="Q647" s="373">
        <v>1200</v>
      </c>
      <c r="R647" s="2931">
        <v>50</v>
      </c>
      <c r="S647" s="2931">
        <v>60</v>
      </c>
      <c r="T647" s="2931">
        <v>65</v>
      </c>
      <c r="U647" s="373">
        <v>75</v>
      </c>
      <c r="V647" s="2926" t="s">
        <v>5584</v>
      </c>
      <c r="W647" s="2926" t="s">
        <v>5585</v>
      </c>
      <c r="X647" s="2926" t="s">
        <v>5586</v>
      </c>
      <c r="Y647" s="2926" t="s">
        <v>5587</v>
      </c>
      <c r="Z647" s="2926" t="s">
        <v>9687</v>
      </c>
      <c r="AA647" s="371"/>
    </row>
    <row r="648" spans="1:27" ht="12.75" customHeight="1" x14ac:dyDescent="0.2">
      <c r="A648" s="6418"/>
      <c r="B648" s="251" t="str">
        <f t="shared" ref="B648:B680" si="19">E648&amp;F648</f>
        <v/>
      </c>
      <c r="D648" s="272" t="s">
        <v>610</v>
      </c>
      <c r="E648" s="2931"/>
      <c r="F648" s="2931"/>
      <c r="G648" s="2934"/>
      <c r="H648" s="2934"/>
      <c r="I648" s="376"/>
      <c r="J648" s="2931"/>
      <c r="K648" s="2931"/>
      <c r="L648" s="2931"/>
      <c r="M648" s="373"/>
      <c r="N648" s="2931"/>
      <c r="O648" s="2931"/>
      <c r="P648" s="2931"/>
      <c r="Q648" s="373"/>
      <c r="R648" s="2931"/>
      <c r="S648" s="2931"/>
      <c r="T648" s="2931"/>
      <c r="U648" s="373"/>
      <c r="V648" s="2926"/>
      <c r="W648" s="2926"/>
      <c r="X648" s="2926"/>
      <c r="Y648" s="2926"/>
      <c r="Z648" s="2926"/>
      <c r="AA648" s="371"/>
    </row>
    <row r="649" spans="1:27" ht="12.75" customHeight="1" x14ac:dyDescent="0.2">
      <c r="A649" s="6418"/>
      <c r="B649" s="251" t="str">
        <f t="shared" si="19"/>
        <v>Tiempo4</v>
      </c>
      <c r="D649" s="272" t="s">
        <v>611</v>
      </c>
      <c r="E649" s="2931" t="s">
        <v>92</v>
      </c>
      <c r="F649" s="2931">
        <v>4</v>
      </c>
      <c r="G649" s="2934" t="s">
        <v>1381</v>
      </c>
      <c r="H649" s="2934" t="s">
        <v>1234</v>
      </c>
      <c r="I649" s="376" t="s">
        <v>1304</v>
      </c>
      <c r="J649" s="2931">
        <v>5</v>
      </c>
      <c r="K649" s="2931">
        <v>7</v>
      </c>
      <c r="L649" s="2931">
        <v>10</v>
      </c>
      <c r="M649" s="373">
        <v>12</v>
      </c>
      <c r="N649" s="2931">
        <v>30</v>
      </c>
      <c r="O649" s="2931">
        <v>50</v>
      </c>
      <c r="P649" s="2931">
        <v>70</v>
      </c>
      <c r="Q649" s="373">
        <v>90</v>
      </c>
      <c r="R649" s="2931" t="s">
        <v>1381</v>
      </c>
      <c r="S649" s="2931" t="s">
        <v>1381</v>
      </c>
      <c r="T649" s="2931" t="s">
        <v>1381</v>
      </c>
      <c r="U649" s="373" t="s">
        <v>1381</v>
      </c>
      <c r="V649" s="2926" t="s">
        <v>5588</v>
      </c>
      <c r="W649" s="2926" t="s">
        <v>5589</v>
      </c>
      <c r="X649" s="2926" t="s">
        <v>5590</v>
      </c>
      <c r="Y649" s="2926" t="s">
        <v>5591</v>
      </c>
      <c r="Z649" s="2926" t="s">
        <v>5592</v>
      </c>
      <c r="AA649" s="371"/>
    </row>
    <row r="650" spans="1:27" ht="12.75" customHeight="1" x14ac:dyDescent="0.2">
      <c r="A650" s="6418"/>
      <c r="B650" s="251" t="str">
        <f t="shared" si="19"/>
        <v>Tiempo14</v>
      </c>
      <c r="D650" s="272" t="s">
        <v>612</v>
      </c>
      <c r="E650" s="2931" t="s">
        <v>92</v>
      </c>
      <c r="F650" s="2931">
        <v>14</v>
      </c>
      <c r="G650" s="2934" t="s">
        <v>1381</v>
      </c>
      <c r="H650" s="2934" t="s">
        <v>1234</v>
      </c>
      <c r="I650" s="376" t="s">
        <v>1304</v>
      </c>
      <c r="J650" s="2931">
        <v>7</v>
      </c>
      <c r="K650" s="2931">
        <v>10</v>
      </c>
      <c r="L650" s="2931">
        <v>12</v>
      </c>
      <c r="M650" s="373">
        <v>15</v>
      </c>
      <c r="N650" s="2931">
        <v>100</v>
      </c>
      <c r="O650" s="2931">
        <v>140</v>
      </c>
      <c r="P650" s="2931">
        <v>180</v>
      </c>
      <c r="Q650" s="373">
        <v>240</v>
      </c>
      <c r="R650" s="2931">
        <v>10</v>
      </c>
      <c r="S650" s="2931">
        <v>15</v>
      </c>
      <c r="T650" s="2931">
        <v>20</v>
      </c>
      <c r="U650" s="373">
        <v>25</v>
      </c>
      <c r="V650" s="2926" t="s">
        <v>5593</v>
      </c>
      <c r="W650" s="2926" t="s">
        <v>5594</v>
      </c>
      <c r="X650" s="2926" t="s">
        <v>5595</v>
      </c>
      <c r="Y650" s="2926" t="s">
        <v>5596</v>
      </c>
      <c r="Z650" s="2926" t="s">
        <v>5597</v>
      </c>
      <c r="AA650" s="371"/>
    </row>
    <row r="651" spans="1:27" ht="12.75" customHeight="1" x14ac:dyDescent="0.2">
      <c r="A651" s="6418"/>
      <c r="B651" s="251" t="str">
        <f t="shared" si="19"/>
        <v>Tiempo24</v>
      </c>
      <c r="D651" s="272" t="s">
        <v>613</v>
      </c>
      <c r="E651" s="2931" t="s">
        <v>92</v>
      </c>
      <c r="F651" s="2931">
        <v>24</v>
      </c>
      <c r="G651" s="2934" t="s">
        <v>1381</v>
      </c>
      <c r="H651" s="2934" t="s">
        <v>1234</v>
      </c>
      <c r="I651" s="376" t="s">
        <v>1304</v>
      </c>
      <c r="J651" s="2931">
        <v>7</v>
      </c>
      <c r="K651" s="2931">
        <v>10</v>
      </c>
      <c r="L651" s="2931">
        <v>12</v>
      </c>
      <c r="M651" s="373">
        <v>15</v>
      </c>
      <c r="N651" s="2931">
        <v>100</v>
      </c>
      <c r="O651" s="2931">
        <v>150</v>
      </c>
      <c r="P651" s="2931">
        <v>200</v>
      </c>
      <c r="Q651" s="373">
        <v>250</v>
      </c>
      <c r="R651" s="2931">
        <v>10</v>
      </c>
      <c r="S651" s="2931">
        <v>15</v>
      </c>
      <c r="T651" s="2931">
        <v>20</v>
      </c>
      <c r="U651" s="373">
        <v>25</v>
      </c>
      <c r="V651" s="2926" t="s">
        <v>5598</v>
      </c>
      <c r="W651" s="2926" t="s">
        <v>5599</v>
      </c>
      <c r="X651" s="2926" t="s">
        <v>5600</v>
      </c>
      <c r="Y651" s="2926" t="s">
        <v>5601</v>
      </c>
      <c r="Z651" s="2926" t="s">
        <v>5602</v>
      </c>
      <c r="AA651" s="371"/>
    </row>
    <row r="652" spans="1:27" ht="12.75" customHeight="1" x14ac:dyDescent="0.2">
      <c r="A652" s="6418"/>
      <c r="B652" s="251" t="str">
        <f t="shared" si="19"/>
        <v>Tiempo34</v>
      </c>
      <c r="D652" s="272" t="s">
        <v>614</v>
      </c>
      <c r="E652" s="2931" t="s">
        <v>92</v>
      </c>
      <c r="F652" s="2931">
        <v>34</v>
      </c>
      <c r="G652" s="2934" t="s">
        <v>1381</v>
      </c>
      <c r="H652" s="2934" t="s">
        <v>1235</v>
      </c>
      <c r="I652" s="376" t="s">
        <v>1304</v>
      </c>
      <c r="J652" s="2931">
        <v>8</v>
      </c>
      <c r="K652" s="2931">
        <v>11</v>
      </c>
      <c r="L652" s="2931">
        <v>13</v>
      </c>
      <c r="M652" s="373">
        <v>15</v>
      </c>
      <c r="N652" s="2931">
        <v>150</v>
      </c>
      <c r="O652" s="2931">
        <v>200</v>
      </c>
      <c r="P652" s="2931">
        <v>280</v>
      </c>
      <c r="Q652" s="373">
        <v>380</v>
      </c>
      <c r="R652" s="2931">
        <v>15</v>
      </c>
      <c r="S652" s="2931">
        <v>20</v>
      </c>
      <c r="T652" s="2931">
        <v>30</v>
      </c>
      <c r="U652" s="373">
        <v>40</v>
      </c>
      <c r="V652" s="2926" t="s">
        <v>5603</v>
      </c>
      <c r="W652" s="2926" t="s">
        <v>5604</v>
      </c>
      <c r="X652" s="2926" t="s">
        <v>5605</v>
      </c>
      <c r="Y652" s="2926" t="s">
        <v>5606</v>
      </c>
      <c r="Z652" s="2926" t="s">
        <v>5607</v>
      </c>
      <c r="AA652" s="371"/>
    </row>
    <row r="653" spans="1:27" ht="12.75" customHeight="1" x14ac:dyDescent="0.2">
      <c r="A653" s="6418"/>
      <c r="B653" s="251" t="str">
        <f t="shared" si="19"/>
        <v>Tiempo44</v>
      </c>
      <c r="D653" s="272" t="s">
        <v>615</v>
      </c>
      <c r="E653" s="2931" t="s">
        <v>92</v>
      </c>
      <c r="F653" s="2931">
        <v>44</v>
      </c>
      <c r="G653" s="2934" t="s">
        <v>2087</v>
      </c>
      <c r="H653" s="2934" t="s">
        <v>1235</v>
      </c>
      <c r="I653" s="376" t="s">
        <v>1304</v>
      </c>
      <c r="J653" s="2931">
        <v>9</v>
      </c>
      <c r="K653" s="2931">
        <v>12</v>
      </c>
      <c r="L653" s="2931">
        <v>14</v>
      </c>
      <c r="M653" s="373">
        <v>16</v>
      </c>
      <c r="N653" s="2931">
        <v>200</v>
      </c>
      <c r="O653" s="2931">
        <v>300</v>
      </c>
      <c r="P653" s="2931">
        <v>400</v>
      </c>
      <c r="Q653" s="373">
        <v>500</v>
      </c>
      <c r="R653" s="2931">
        <v>40</v>
      </c>
      <c r="S653" s="2931">
        <v>60</v>
      </c>
      <c r="T653" s="2931">
        <v>80</v>
      </c>
      <c r="U653" s="373">
        <v>100</v>
      </c>
      <c r="V653" s="2926" t="s">
        <v>5608</v>
      </c>
      <c r="W653" s="2926" t="s">
        <v>5609</v>
      </c>
      <c r="X653" s="2926" t="s">
        <v>5610</v>
      </c>
      <c r="Y653" s="2926" t="s">
        <v>5611</v>
      </c>
      <c r="Z653" s="2926" t="s">
        <v>5612</v>
      </c>
      <c r="AA653" s="371"/>
    </row>
    <row r="654" spans="1:27" ht="12.75" customHeight="1" x14ac:dyDescent="0.2">
      <c r="A654" s="6418"/>
      <c r="B654" s="251" t="str">
        <f t="shared" si="19"/>
        <v>Tiempo54</v>
      </c>
      <c r="D654" s="272" t="s">
        <v>616</v>
      </c>
      <c r="E654" s="2931" t="s">
        <v>92</v>
      </c>
      <c r="F654" s="2931">
        <v>54</v>
      </c>
      <c r="G654" s="2934" t="s">
        <v>1381</v>
      </c>
      <c r="H654" s="2934" t="s">
        <v>1233</v>
      </c>
      <c r="I654" s="376" t="s">
        <v>1304</v>
      </c>
      <c r="J654" s="2931">
        <v>10</v>
      </c>
      <c r="K654" s="2931">
        <v>13</v>
      </c>
      <c r="L654" s="2931">
        <v>15</v>
      </c>
      <c r="M654" s="373">
        <v>17</v>
      </c>
      <c r="N654" s="2931">
        <v>250</v>
      </c>
      <c r="O654" s="2931">
        <v>350</v>
      </c>
      <c r="P654" s="2931">
        <v>450</v>
      </c>
      <c r="Q654" s="373">
        <v>600</v>
      </c>
      <c r="R654" s="2931" t="s">
        <v>1381</v>
      </c>
      <c r="S654" s="2931" t="s">
        <v>1381</v>
      </c>
      <c r="T654" s="2931" t="s">
        <v>1381</v>
      </c>
      <c r="U654" s="373" t="s">
        <v>1381</v>
      </c>
      <c r="V654" s="2926" t="s">
        <v>5613</v>
      </c>
      <c r="W654" s="2926" t="s">
        <v>5614</v>
      </c>
      <c r="X654" s="2926" t="s">
        <v>5615</v>
      </c>
      <c r="Y654" s="2926" t="s">
        <v>5616</v>
      </c>
      <c r="Z654" s="2926" t="s">
        <v>5617</v>
      </c>
      <c r="AA654" s="371"/>
    </row>
    <row r="655" spans="1:27" ht="12.75" customHeight="1" x14ac:dyDescent="0.2">
      <c r="A655" s="6418"/>
      <c r="B655" s="251" t="str">
        <f t="shared" si="19"/>
        <v>Tiempo64</v>
      </c>
      <c r="D655" s="272" t="s">
        <v>617</v>
      </c>
      <c r="E655" s="2931" t="s">
        <v>92</v>
      </c>
      <c r="F655" s="2931">
        <v>64</v>
      </c>
      <c r="G655" s="2934" t="s">
        <v>1381</v>
      </c>
      <c r="H655" s="2934" t="s">
        <v>1234</v>
      </c>
      <c r="I655" s="376" t="s">
        <v>1304</v>
      </c>
      <c r="J655" s="2931">
        <v>11</v>
      </c>
      <c r="K655" s="2931">
        <v>14</v>
      </c>
      <c r="L655" s="2931">
        <v>16</v>
      </c>
      <c r="M655" s="373">
        <v>18</v>
      </c>
      <c r="N655" s="2931">
        <v>200</v>
      </c>
      <c r="O655" s="2931">
        <v>350</v>
      </c>
      <c r="P655" s="2931">
        <v>500</v>
      </c>
      <c r="Q655" s="373">
        <v>800</v>
      </c>
      <c r="R655" s="2931" t="s">
        <v>1381</v>
      </c>
      <c r="S655" s="2931" t="s">
        <v>1381</v>
      </c>
      <c r="T655" s="2931" t="s">
        <v>1381</v>
      </c>
      <c r="U655" s="373" t="s">
        <v>1381</v>
      </c>
      <c r="V655" s="2926" t="s">
        <v>5618</v>
      </c>
      <c r="W655" s="2926" t="s">
        <v>5619</v>
      </c>
      <c r="X655" s="2926" t="s">
        <v>5620</v>
      </c>
      <c r="Y655" s="2926" t="s">
        <v>5621</v>
      </c>
      <c r="Z655" s="2926" t="s">
        <v>5622</v>
      </c>
      <c r="AA655" s="371"/>
    </row>
    <row r="656" spans="1:27" ht="12.75" customHeight="1" x14ac:dyDescent="0.2">
      <c r="A656" s="6418"/>
      <c r="B656" s="251" t="str">
        <f t="shared" si="19"/>
        <v>Tiempo74</v>
      </c>
      <c r="D656" s="272" t="s">
        <v>618</v>
      </c>
      <c r="E656" s="2931" t="s">
        <v>92</v>
      </c>
      <c r="F656" s="2931">
        <v>74</v>
      </c>
      <c r="G656" s="2934" t="s">
        <v>1381</v>
      </c>
      <c r="H656" s="2934" t="s">
        <v>1233</v>
      </c>
      <c r="I656" s="376" t="s">
        <v>1304</v>
      </c>
      <c r="J656" s="2931">
        <v>11</v>
      </c>
      <c r="K656" s="2931">
        <v>14</v>
      </c>
      <c r="L656" s="2931">
        <v>16</v>
      </c>
      <c r="M656" s="373">
        <v>18</v>
      </c>
      <c r="N656" s="2931">
        <v>250</v>
      </c>
      <c r="O656" s="2931">
        <v>350</v>
      </c>
      <c r="P656" s="2931">
        <v>450</v>
      </c>
      <c r="Q656" s="373">
        <v>600</v>
      </c>
      <c r="R656" s="2931" t="s">
        <v>1381</v>
      </c>
      <c r="S656" s="2931" t="s">
        <v>1381</v>
      </c>
      <c r="T656" s="2931" t="s">
        <v>1381</v>
      </c>
      <c r="U656" s="373" t="s">
        <v>1381</v>
      </c>
      <c r="V656" s="2926" t="s">
        <v>5623</v>
      </c>
      <c r="W656" s="2926" t="s">
        <v>5624</v>
      </c>
      <c r="X656" s="2926" t="s">
        <v>5625</v>
      </c>
      <c r="Y656" s="2926" t="s">
        <v>5626</v>
      </c>
      <c r="Z656" s="2926" t="s">
        <v>5627</v>
      </c>
      <c r="AA656" s="371"/>
    </row>
    <row r="657" spans="1:27" ht="12.75" customHeight="1" x14ac:dyDescent="0.2">
      <c r="A657" s="6418"/>
      <c r="B657" s="251" t="str">
        <f t="shared" si="19"/>
        <v>Tiempo84</v>
      </c>
      <c r="D657" s="272" t="s">
        <v>619</v>
      </c>
      <c r="E657" s="2931" t="s">
        <v>92</v>
      </c>
      <c r="F657" s="2931">
        <v>84</v>
      </c>
      <c r="G657" s="2934" t="s">
        <v>1381</v>
      </c>
      <c r="H657" s="2934" t="s">
        <v>1234</v>
      </c>
      <c r="I657" s="376" t="s">
        <v>1304</v>
      </c>
      <c r="J657" s="2931">
        <v>11</v>
      </c>
      <c r="K657" s="2931">
        <v>14</v>
      </c>
      <c r="L657" s="2931">
        <v>16</v>
      </c>
      <c r="M657" s="373">
        <v>18</v>
      </c>
      <c r="N657" s="2931">
        <v>400</v>
      </c>
      <c r="O657" s="2931">
        <v>600</v>
      </c>
      <c r="P657" s="2931">
        <v>900</v>
      </c>
      <c r="Q657" s="373">
        <v>1400</v>
      </c>
      <c r="R657" s="2931">
        <v>40</v>
      </c>
      <c r="S657" s="2931">
        <v>60</v>
      </c>
      <c r="T657" s="2931">
        <v>90</v>
      </c>
      <c r="U657" s="373">
        <v>140</v>
      </c>
      <c r="V657" s="2926" t="s">
        <v>5628</v>
      </c>
      <c r="W657" s="2926" t="s">
        <v>5629</v>
      </c>
      <c r="X657" s="2926" t="s">
        <v>5630</v>
      </c>
      <c r="Y657" s="2926" t="s">
        <v>5631</v>
      </c>
      <c r="Z657" s="2926" t="s">
        <v>5632</v>
      </c>
      <c r="AA657" s="371"/>
    </row>
    <row r="658" spans="1:27" ht="12.75" customHeight="1" x14ac:dyDescent="0.2">
      <c r="A658" s="6418"/>
      <c r="B658" s="251" t="str">
        <f t="shared" si="19"/>
        <v>Tiempo94</v>
      </c>
      <c r="D658" s="272" t="s">
        <v>620</v>
      </c>
      <c r="E658" s="2931" t="s">
        <v>92</v>
      </c>
      <c r="F658" s="2931">
        <v>94</v>
      </c>
      <c r="G658" s="2934" t="s">
        <v>1381</v>
      </c>
      <c r="H658" s="2934" t="s">
        <v>1234</v>
      </c>
      <c r="I658" s="376" t="s">
        <v>1304</v>
      </c>
      <c r="J658" s="2931">
        <v>12</v>
      </c>
      <c r="K658" s="2931">
        <v>15</v>
      </c>
      <c r="L658" s="2931">
        <v>17</v>
      </c>
      <c r="M658" s="373">
        <v>19</v>
      </c>
      <c r="N658" s="2931">
        <v>500</v>
      </c>
      <c r="O658" s="2931">
        <v>800</v>
      </c>
      <c r="P658" s="2931">
        <v>1250</v>
      </c>
      <c r="Q658" s="373">
        <v>2500</v>
      </c>
      <c r="R658" s="2931" t="s">
        <v>1381</v>
      </c>
      <c r="S658" s="2931" t="s">
        <v>1381</v>
      </c>
      <c r="T658" s="2931" t="s">
        <v>1381</v>
      </c>
      <c r="U658" s="373" t="s">
        <v>1381</v>
      </c>
      <c r="V658" s="2926" t="s">
        <v>5633</v>
      </c>
      <c r="W658" s="2926" t="s">
        <v>5634</v>
      </c>
      <c r="X658" s="2926" t="s">
        <v>5635</v>
      </c>
      <c r="Y658" s="2926" t="s">
        <v>5636</v>
      </c>
      <c r="Z658" s="2926" t="s">
        <v>5637</v>
      </c>
      <c r="AA658" s="371"/>
    </row>
    <row r="659" spans="1:27" ht="12.75" customHeight="1" x14ac:dyDescent="0.2">
      <c r="A659" s="6418"/>
      <c r="B659" s="251" t="str">
        <f t="shared" si="19"/>
        <v/>
      </c>
      <c r="D659" s="272" t="s">
        <v>621</v>
      </c>
      <c r="E659" s="2931"/>
      <c r="F659" s="2931"/>
      <c r="G659" s="2934"/>
      <c r="H659" s="2934"/>
      <c r="I659" s="376"/>
      <c r="J659" s="2931"/>
      <c r="K659" s="2931"/>
      <c r="L659" s="2931"/>
      <c r="M659" s="373"/>
      <c r="N659" s="2931"/>
      <c r="O659" s="2931"/>
      <c r="P659" s="2931"/>
      <c r="Q659" s="373"/>
      <c r="R659" s="2931"/>
      <c r="S659" s="2931"/>
      <c r="T659" s="2931"/>
      <c r="U659" s="373"/>
      <c r="V659" s="2926"/>
      <c r="W659" s="2926"/>
      <c r="X659" s="2926"/>
      <c r="Y659" s="2926"/>
      <c r="Z659" s="2926"/>
      <c r="AA659" s="371"/>
    </row>
    <row r="660" spans="1:27" ht="12.75" customHeight="1" x14ac:dyDescent="0.2">
      <c r="A660" s="6418"/>
      <c r="B660" s="251" t="str">
        <f t="shared" si="19"/>
        <v>Umbral4</v>
      </c>
      <c r="D660" s="272" t="s">
        <v>622</v>
      </c>
      <c r="E660" s="2931" t="s">
        <v>2074</v>
      </c>
      <c r="F660" s="2931">
        <v>4</v>
      </c>
      <c r="G660" s="2934" t="s">
        <v>1381</v>
      </c>
      <c r="H660" s="2934" t="s">
        <v>1236</v>
      </c>
      <c r="I660" s="376" t="s">
        <v>1304</v>
      </c>
      <c r="J660" s="2931">
        <v>5</v>
      </c>
      <c r="K660" s="2931">
        <v>8</v>
      </c>
      <c r="L660" s="2931">
        <v>11</v>
      </c>
      <c r="M660" s="373">
        <v>14</v>
      </c>
      <c r="N660" s="2931">
        <v>30</v>
      </c>
      <c r="O660" s="2931">
        <v>60</v>
      </c>
      <c r="P660" s="2931">
        <v>90</v>
      </c>
      <c r="Q660" s="373">
        <v>120</v>
      </c>
      <c r="R660" s="2931">
        <v>5</v>
      </c>
      <c r="S660" s="2931">
        <v>5</v>
      </c>
      <c r="T660" s="2931">
        <v>5</v>
      </c>
      <c r="U660" s="373">
        <v>10</v>
      </c>
      <c r="V660" s="2926" t="s">
        <v>5638</v>
      </c>
      <c r="W660" s="2926" t="s">
        <v>5639</v>
      </c>
      <c r="X660" s="2926" t="s">
        <v>5640</v>
      </c>
      <c r="Y660" s="2926" t="s">
        <v>5641</v>
      </c>
      <c r="Z660" s="2926" t="s">
        <v>5642</v>
      </c>
      <c r="AA660" s="371"/>
    </row>
    <row r="661" spans="1:27" ht="12.75" customHeight="1" x14ac:dyDescent="0.2">
      <c r="A661" s="6418"/>
      <c r="B661" s="251" t="str">
        <f t="shared" si="19"/>
        <v>Umbral14</v>
      </c>
      <c r="D661" s="272" t="s">
        <v>623</v>
      </c>
      <c r="E661" s="2931" t="s">
        <v>2074</v>
      </c>
      <c r="F661" s="2931">
        <v>14</v>
      </c>
      <c r="G661" s="2934" t="s">
        <v>1381</v>
      </c>
      <c r="H661" s="2934" t="s">
        <v>1234</v>
      </c>
      <c r="I661" s="376" t="s">
        <v>1304</v>
      </c>
      <c r="J661" s="2931">
        <v>6</v>
      </c>
      <c r="K661" s="2931">
        <v>9</v>
      </c>
      <c r="L661" s="2931">
        <v>12</v>
      </c>
      <c r="M661" s="373">
        <v>15</v>
      </c>
      <c r="N661" s="2931">
        <v>40</v>
      </c>
      <c r="O661" s="2931">
        <v>70</v>
      </c>
      <c r="P661" s="2931">
        <v>100</v>
      </c>
      <c r="Q661" s="373">
        <v>130</v>
      </c>
      <c r="R661" s="2931" t="s">
        <v>1381</v>
      </c>
      <c r="S661" s="2931" t="s">
        <v>1381</v>
      </c>
      <c r="T661" s="2931" t="s">
        <v>1381</v>
      </c>
      <c r="U661" s="373" t="s">
        <v>1381</v>
      </c>
      <c r="V661" s="2926" t="s">
        <v>3474</v>
      </c>
      <c r="W661" s="2926" t="s">
        <v>5643</v>
      </c>
      <c r="X661" s="2926" t="s">
        <v>4074</v>
      </c>
      <c r="Y661" s="2926" t="s">
        <v>4075</v>
      </c>
      <c r="Z661" s="2926" t="s">
        <v>5644</v>
      </c>
      <c r="AA661" s="371"/>
    </row>
    <row r="662" spans="1:27" ht="12.75" customHeight="1" x14ac:dyDescent="0.2">
      <c r="A662" s="6418"/>
      <c r="B662" s="251" t="str">
        <f t="shared" si="19"/>
        <v>Umbral24</v>
      </c>
      <c r="D662" s="272" t="s">
        <v>624</v>
      </c>
      <c r="E662" s="2931" t="s">
        <v>2074</v>
      </c>
      <c r="F662" s="2931">
        <v>24</v>
      </c>
      <c r="G662" s="2934" t="s">
        <v>1381</v>
      </c>
      <c r="H662" s="2934" t="s">
        <v>1235</v>
      </c>
      <c r="I662" s="376" t="s">
        <v>1304</v>
      </c>
      <c r="J662" s="2931">
        <v>6</v>
      </c>
      <c r="K662" s="2931">
        <v>9</v>
      </c>
      <c r="L662" s="2931">
        <v>12</v>
      </c>
      <c r="M662" s="373">
        <v>15</v>
      </c>
      <c r="N662" s="2931">
        <v>60</v>
      </c>
      <c r="O662" s="2931">
        <v>100</v>
      </c>
      <c r="P662" s="2931">
        <v>160</v>
      </c>
      <c r="Q662" s="373">
        <v>200</v>
      </c>
      <c r="R662" s="2931">
        <v>5</v>
      </c>
      <c r="S662" s="2931">
        <v>5</v>
      </c>
      <c r="T662" s="2931">
        <v>10</v>
      </c>
      <c r="U662" s="373">
        <v>10</v>
      </c>
      <c r="V662" s="2926" t="s">
        <v>3398</v>
      </c>
      <c r="W662" s="2926" t="s">
        <v>3205</v>
      </c>
      <c r="X662" s="2926" t="s">
        <v>5645</v>
      </c>
      <c r="Y662" s="2926" t="s">
        <v>5646</v>
      </c>
      <c r="Z662" s="2926" t="s">
        <v>5647</v>
      </c>
      <c r="AA662" s="371"/>
    </row>
    <row r="663" spans="1:27" ht="12.75" customHeight="1" x14ac:dyDescent="0.2">
      <c r="A663" s="6418"/>
      <c r="B663" s="251" t="str">
        <f t="shared" si="19"/>
        <v>Umbral34</v>
      </c>
      <c r="D663" s="272" t="s">
        <v>625</v>
      </c>
      <c r="E663" s="2931" t="s">
        <v>2074</v>
      </c>
      <c r="F663" s="2931">
        <v>34</v>
      </c>
      <c r="G663" s="2934" t="s">
        <v>1381</v>
      </c>
      <c r="H663" s="2934" t="s">
        <v>1233</v>
      </c>
      <c r="I663" s="376" t="s">
        <v>1304</v>
      </c>
      <c r="J663" s="2931">
        <v>7</v>
      </c>
      <c r="K663" s="2931">
        <v>10</v>
      </c>
      <c r="L663" s="2931">
        <v>13</v>
      </c>
      <c r="M663" s="373">
        <v>15</v>
      </c>
      <c r="N663" s="2931">
        <v>80</v>
      </c>
      <c r="O663" s="2931">
        <v>100</v>
      </c>
      <c r="P663" s="2931">
        <v>120</v>
      </c>
      <c r="Q663" s="373">
        <v>140</v>
      </c>
      <c r="R663" s="2931">
        <v>5</v>
      </c>
      <c r="S663" s="2931">
        <v>10</v>
      </c>
      <c r="T663" s="2931">
        <v>15</v>
      </c>
      <c r="U663" s="373">
        <v>20</v>
      </c>
      <c r="V663" s="2926" t="s">
        <v>4555</v>
      </c>
      <c r="W663" s="2926" t="s">
        <v>4556</v>
      </c>
      <c r="X663" s="2926" t="s">
        <v>4557</v>
      </c>
      <c r="Y663" s="2926" t="s">
        <v>4558</v>
      </c>
      <c r="Z663" s="2926" t="s">
        <v>5648</v>
      </c>
      <c r="AA663" s="371"/>
    </row>
    <row r="664" spans="1:27" ht="12.75" customHeight="1" x14ac:dyDescent="0.2">
      <c r="A664" s="6418"/>
      <c r="B664" s="251" t="str">
        <f t="shared" si="19"/>
        <v>Umbral44</v>
      </c>
      <c r="D664" s="272" t="s">
        <v>626</v>
      </c>
      <c r="E664" s="2931" t="s">
        <v>2074</v>
      </c>
      <c r="F664" s="2931">
        <v>44</v>
      </c>
      <c r="G664" s="2934" t="s">
        <v>2087</v>
      </c>
      <c r="H664" s="2934" t="s">
        <v>1233</v>
      </c>
      <c r="I664" s="376" t="s">
        <v>1304</v>
      </c>
      <c r="J664" s="2931">
        <v>7</v>
      </c>
      <c r="K664" s="2931">
        <v>10</v>
      </c>
      <c r="L664" s="2931">
        <v>13</v>
      </c>
      <c r="M664" s="373">
        <v>15</v>
      </c>
      <c r="N664" s="2931">
        <v>100</v>
      </c>
      <c r="O664" s="2931">
        <v>140</v>
      </c>
      <c r="P664" s="2931">
        <v>180</v>
      </c>
      <c r="Q664" s="373">
        <v>240</v>
      </c>
      <c r="R664" s="2931">
        <v>10</v>
      </c>
      <c r="S664" s="2931">
        <v>15</v>
      </c>
      <c r="T664" s="2931">
        <v>20</v>
      </c>
      <c r="U664" s="373">
        <v>25</v>
      </c>
      <c r="V664" s="2926" t="s">
        <v>4555</v>
      </c>
      <c r="W664" s="2926" t="s">
        <v>4557</v>
      </c>
      <c r="X664" s="2926" t="s">
        <v>5649</v>
      </c>
      <c r="Y664" s="2926" t="s">
        <v>5650</v>
      </c>
      <c r="Z664" s="2926" t="s">
        <v>7060</v>
      </c>
      <c r="AA664" s="371"/>
    </row>
    <row r="665" spans="1:27" ht="12.75" customHeight="1" x14ac:dyDescent="0.2">
      <c r="A665" s="6418"/>
      <c r="B665" s="251" t="str">
        <f t="shared" si="19"/>
        <v>Umbral54</v>
      </c>
      <c r="D665" s="272" t="s">
        <v>627</v>
      </c>
      <c r="E665" s="2931" t="s">
        <v>2074</v>
      </c>
      <c r="F665" s="2931">
        <v>54</v>
      </c>
      <c r="G665" s="2934" t="s">
        <v>2087</v>
      </c>
      <c r="H665" s="2934" t="s">
        <v>1233</v>
      </c>
      <c r="I665" s="376" t="s">
        <v>1304</v>
      </c>
      <c r="J665" s="2931">
        <v>6</v>
      </c>
      <c r="K665" s="2931">
        <v>9</v>
      </c>
      <c r="L665" s="2931">
        <v>12</v>
      </c>
      <c r="M665" s="373">
        <v>15</v>
      </c>
      <c r="N665" s="2931">
        <v>120</v>
      </c>
      <c r="O665" s="2931">
        <v>180</v>
      </c>
      <c r="P665" s="2931">
        <v>240</v>
      </c>
      <c r="Q665" s="373">
        <v>300</v>
      </c>
      <c r="R665" s="2931">
        <v>15</v>
      </c>
      <c r="S665" s="2931">
        <v>20</v>
      </c>
      <c r="T665" s="2931">
        <v>25</v>
      </c>
      <c r="U665" s="373">
        <v>30</v>
      </c>
      <c r="V665" s="2926" t="s">
        <v>5651</v>
      </c>
      <c r="W665" s="2926" t="s">
        <v>5652</v>
      </c>
      <c r="X665" s="2926" t="s">
        <v>5653</v>
      </c>
      <c r="Y665" s="2926" t="s">
        <v>5654</v>
      </c>
      <c r="Z665" s="2926" t="s">
        <v>5655</v>
      </c>
      <c r="AA665" s="371"/>
    </row>
    <row r="666" spans="1:27" ht="12.75" customHeight="1" x14ac:dyDescent="0.2">
      <c r="A666" s="6418"/>
      <c r="B666" s="251" t="str">
        <f t="shared" si="19"/>
        <v>Umbral64</v>
      </c>
      <c r="D666" s="272" t="s">
        <v>628</v>
      </c>
      <c r="E666" s="2931" t="s">
        <v>2074</v>
      </c>
      <c r="F666" s="2931">
        <v>64</v>
      </c>
      <c r="G666" s="2934" t="s">
        <v>1381</v>
      </c>
      <c r="H666" s="2934" t="s">
        <v>1233</v>
      </c>
      <c r="I666" s="376" t="s">
        <v>1304</v>
      </c>
      <c r="J666" s="2931">
        <v>8</v>
      </c>
      <c r="K666" s="2931">
        <v>10</v>
      </c>
      <c r="L666" s="2931">
        <v>12</v>
      </c>
      <c r="M666" s="373">
        <v>15</v>
      </c>
      <c r="N666" s="2931">
        <v>80</v>
      </c>
      <c r="O666" s="2931">
        <v>140</v>
      </c>
      <c r="P666" s="2931">
        <v>200</v>
      </c>
      <c r="Q666" s="373">
        <v>240</v>
      </c>
      <c r="R666" s="2931">
        <v>10</v>
      </c>
      <c r="S666" s="2931">
        <v>15</v>
      </c>
      <c r="T666" s="2931">
        <v>20</v>
      </c>
      <c r="U666" s="373">
        <v>25</v>
      </c>
      <c r="V666" s="2926" t="s">
        <v>5656</v>
      </c>
      <c r="W666" s="2926" t="s">
        <v>5657</v>
      </c>
      <c r="X666" s="2926" t="s">
        <v>5658</v>
      </c>
      <c r="Y666" s="2926" t="s">
        <v>5659</v>
      </c>
      <c r="Z666" s="2926" t="s">
        <v>5660</v>
      </c>
      <c r="AA666" s="371"/>
    </row>
    <row r="667" spans="1:27" ht="12.75" customHeight="1" x14ac:dyDescent="0.2">
      <c r="A667" s="6418"/>
      <c r="B667" s="251" t="str">
        <f t="shared" si="19"/>
        <v>Umbral74</v>
      </c>
      <c r="D667" s="272" t="s">
        <v>629</v>
      </c>
      <c r="E667" s="2931" t="s">
        <v>2074</v>
      </c>
      <c r="F667" s="2931">
        <v>74</v>
      </c>
      <c r="G667" s="2934" t="s">
        <v>1381</v>
      </c>
      <c r="H667" s="2934" t="s">
        <v>1235</v>
      </c>
      <c r="I667" s="376" t="s">
        <v>1304</v>
      </c>
      <c r="J667" s="2931">
        <v>10</v>
      </c>
      <c r="K667" s="2931">
        <v>12</v>
      </c>
      <c r="L667" s="2931">
        <v>14</v>
      </c>
      <c r="M667" s="373">
        <v>16</v>
      </c>
      <c r="N667" s="2931">
        <v>200</v>
      </c>
      <c r="O667" s="2931">
        <v>300</v>
      </c>
      <c r="P667" s="2931">
        <v>400</v>
      </c>
      <c r="Q667" s="373">
        <v>500</v>
      </c>
      <c r="R667" s="2931" t="s">
        <v>1381</v>
      </c>
      <c r="S667" s="2931" t="s">
        <v>1381</v>
      </c>
      <c r="T667" s="2931" t="s">
        <v>1381</v>
      </c>
      <c r="U667" s="373" t="s">
        <v>1381</v>
      </c>
      <c r="V667" s="2926" t="s">
        <v>5646</v>
      </c>
      <c r="W667" s="2926" t="s">
        <v>5661</v>
      </c>
      <c r="X667" s="2926" t="s">
        <v>5662</v>
      </c>
      <c r="Y667" s="2926" t="s">
        <v>5663</v>
      </c>
      <c r="Z667" s="2926" t="s">
        <v>5664</v>
      </c>
      <c r="AA667" s="371"/>
    </row>
    <row r="668" spans="1:27" ht="12.75" customHeight="1" x14ac:dyDescent="0.2">
      <c r="A668" s="6418"/>
      <c r="B668" s="251" t="str">
        <f t="shared" si="19"/>
        <v>Umbral84</v>
      </c>
      <c r="D668" s="272" t="s">
        <v>630</v>
      </c>
      <c r="E668" s="2931" t="s">
        <v>2074</v>
      </c>
      <c r="F668" s="2931">
        <v>84</v>
      </c>
      <c r="G668" s="2934" t="s">
        <v>1381</v>
      </c>
      <c r="H668" s="2934" t="s">
        <v>1235</v>
      </c>
      <c r="I668" s="376" t="s">
        <v>1304</v>
      </c>
      <c r="J668" s="2931">
        <v>10</v>
      </c>
      <c r="K668" s="2931">
        <v>12</v>
      </c>
      <c r="L668" s="2931">
        <v>15</v>
      </c>
      <c r="M668" s="373">
        <v>18</v>
      </c>
      <c r="N668" s="2931">
        <v>150</v>
      </c>
      <c r="O668" s="2931">
        <v>250</v>
      </c>
      <c r="P668" s="2931">
        <v>500</v>
      </c>
      <c r="Q668" s="373">
        <v>700</v>
      </c>
      <c r="R668" s="2931">
        <v>15</v>
      </c>
      <c r="S668" s="2931">
        <v>25</v>
      </c>
      <c r="T668" s="2931">
        <v>50</v>
      </c>
      <c r="U668" s="373">
        <v>70</v>
      </c>
      <c r="V668" s="2926" t="s">
        <v>5665</v>
      </c>
      <c r="W668" s="2926" t="s">
        <v>5666</v>
      </c>
      <c r="X668" s="2926" t="s">
        <v>5667</v>
      </c>
      <c r="Y668" s="2926" t="s">
        <v>5668</v>
      </c>
      <c r="Z668" s="2926" t="s">
        <v>5669</v>
      </c>
      <c r="AA668" s="371"/>
    </row>
    <row r="669" spans="1:27" ht="12.75" customHeight="1" x14ac:dyDescent="0.2">
      <c r="A669" s="6418"/>
      <c r="B669" s="251" t="str">
        <f t="shared" si="19"/>
        <v>Umbral94</v>
      </c>
      <c r="D669" s="272" t="s">
        <v>631</v>
      </c>
      <c r="E669" s="2931" t="s">
        <v>2074</v>
      </c>
      <c r="F669" s="2931">
        <v>94</v>
      </c>
      <c r="G669" s="2934" t="s">
        <v>1381</v>
      </c>
      <c r="H669" s="2934" t="s">
        <v>1235</v>
      </c>
      <c r="I669" s="376" t="s">
        <v>1304</v>
      </c>
      <c r="J669" s="2931">
        <v>11</v>
      </c>
      <c r="K669" s="2931">
        <v>13</v>
      </c>
      <c r="L669" s="2931">
        <v>15</v>
      </c>
      <c r="M669" s="373">
        <v>17</v>
      </c>
      <c r="N669" s="2931">
        <v>250</v>
      </c>
      <c r="O669" s="2931">
        <v>350</v>
      </c>
      <c r="P669" s="2931">
        <v>450</v>
      </c>
      <c r="Q669" s="373">
        <v>600</v>
      </c>
      <c r="R669" s="2931" t="s">
        <v>1381</v>
      </c>
      <c r="S669" s="2931" t="s">
        <v>1381</v>
      </c>
      <c r="T669" s="2931" t="s">
        <v>1381</v>
      </c>
      <c r="U669" s="373" t="s">
        <v>1381</v>
      </c>
      <c r="V669" s="2926" t="s">
        <v>3603</v>
      </c>
      <c r="W669" s="2926" t="s">
        <v>4581</v>
      </c>
      <c r="X669" s="2926" t="s">
        <v>3605</v>
      </c>
      <c r="Y669" s="2926" t="s">
        <v>5670</v>
      </c>
      <c r="Z669" s="2926" t="s">
        <v>5671</v>
      </c>
      <c r="AA669" s="371"/>
    </row>
    <row r="670" spans="1:27" ht="12.75" customHeight="1" x14ac:dyDescent="0.2">
      <c r="A670" s="6418"/>
      <c r="B670" s="251" t="str">
        <f t="shared" si="19"/>
        <v/>
      </c>
      <c r="D670" s="272" t="s">
        <v>632</v>
      </c>
      <c r="E670" s="2931"/>
      <c r="F670" s="2931"/>
      <c r="G670" s="2934"/>
      <c r="H670" s="2934"/>
      <c r="I670" s="376"/>
      <c r="J670" s="2931"/>
      <c r="K670" s="2931"/>
      <c r="L670" s="2931"/>
      <c r="M670" s="373"/>
      <c r="N670" s="2931"/>
      <c r="O670" s="2931"/>
      <c r="P670" s="2931"/>
      <c r="Q670" s="373"/>
      <c r="R670" s="2931"/>
      <c r="S670" s="2931"/>
      <c r="T670" s="2931"/>
      <c r="U670" s="373"/>
      <c r="V670" s="2926"/>
      <c r="W670" s="2926"/>
      <c r="X670" s="2926"/>
      <c r="Y670" s="2926"/>
      <c r="Z670" s="2926"/>
      <c r="AA670" s="371"/>
    </row>
    <row r="671" spans="1:27" ht="12.75" customHeight="1" x14ac:dyDescent="0.2">
      <c r="A671" s="6418"/>
      <c r="B671" s="251" t="str">
        <f t="shared" si="19"/>
        <v>Vacío4</v>
      </c>
      <c r="D671" s="272" t="s">
        <v>633</v>
      </c>
      <c r="E671" s="2931" t="s">
        <v>93</v>
      </c>
      <c r="F671" s="2931">
        <v>4</v>
      </c>
      <c r="G671" s="2934" t="s">
        <v>1381</v>
      </c>
      <c r="H671" s="2934" t="s">
        <v>1233</v>
      </c>
      <c r="I671" s="376" t="s">
        <v>1304</v>
      </c>
      <c r="J671" s="2931">
        <v>5</v>
      </c>
      <c r="K671" s="2931">
        <v>8</v>
      </c>
      <c r="L671" s="2931">
        <v>11</v>
      </c>
      <c r="M671" s="373">
        <v>14</v>
      </c>
      <c r="N671" s="2931">
        <v>30</v>
      </c>
      <c r="O671" s="2931">
        <v>60</v>
      </c>
      <c r="P671" s="2931">
        <v>90</v>
      </c>
      <c r="Q671" s="373">
        <v>120</v>
      </c>
      <c r="R671" s="2931" t="s">
        <v>1381</v>
      </c>
      <c r="S671" s="2931" t="s">
        <v>1381</v>
      </c>
      <c r="T671" s="2931" t="s">
        <v>1381</v>
      </c>
      <c r="U671" s="373" t="s">
        <v>1381</v>
      </c>
      <c r="V671" s="2926" t="s">
        <v>5672</v>
      </c>
      <c r="W671" s="2926" t="s">
        <v>5673</v>
      </c>
      <c r="X671" s="2926" t="s">
        <v>5674</v>
      </c>
      <c r="Y671" s="2926" t="s">
        <v>5675</v>
      </c>
      <c r="Z671" s="2926" t="s">
        <v>5676</v>
      </c>
      <c r="AA671" s="371"/>
    </row>
    <row r="672" spans="1:27" ht="12.75" customHeight="1" x14ac:dyDescent="0.2">
      <c r="A672" s="6418"/>
      <c r="B672" s="251" t="str">
        <f t="shared" si="19"/>
        <v>Vacío14</v>
      </c>
      <c r="D672" s="272" t="s">
        <v>634</v>
      </c>
      <c r="E672" s="2931" t="s">
        <v>93</v>
      </c>
      <c r="F672" s="2931">
        <v>14</v>
      </c>
      <c r="G672" s="2934" t="s">
        <v>1381</v>
      </c>
      <c r="H672" s="2934" t="s">
        <v>1232</v>
      </c>
      <c r="I672" s="376" t="s">
        <v>1304</v>
      </c>
      <c r="J672" s="2931">
        <v>6</v>
      </c>
      <c r="K672" s="2931">
        <v>9</v>
      </c>
      <c r="L672" s="2931">
        <v>12</v>
      </c>
      <c r="M672" s="373">
        <v>15</v>
      </c>
      <c r="N672" s="2931">
        <v>30</v>
      </c>
      <c r="O672" s="2931">
        <v>60</v>
      </c>
      <c r="P672" s="2931">
        <v>90</v>
      </c>
      <c r="Q672" s="373">
        <v>120</v>
      </c>
      <c r="R672" s="2931" t="s">
        <v>1381</v>
      </c>
      <c r="S672" s="2931" t="s">
        <v>1381</v>
      </c>
      <c r="T672" s="2931" t="s">
        <v>1381</v>
      </c>
      <c r="U672" s="373" t="s">
        <v>1381</v>
      </c>
      <c r="V672" s="2926" t="s">
        <v>5677</v>
      </c>
      <c r="W672" s="2926" t="s">
        <v>5678</v>
      </c>
      <c r="X672" s="2926" t="s">
        <v>5679</v>
      </c>
      <c r="Y672" s="2926" t="s">
        <v>5680</v>
      </c>
      <c r="Z672" s="2926" t="s">
        <v>5681</v>
      </c>
      <c r="AA672" s="371"/>
    </row>
    <row r="673" spans="1:27" ht="12.75" customHeight="1" x14ac:dyDescent="0.2">
      <c r="A673" s="6418"/>
      <c r="B673" s="251" t="str">
        <f t="shared" si="19"/>
        <v>Vacío24</v>
      </c>
      <c r="D673" s="272" t="s">
        <v>635</v>
      </c>
      <c r="E673" s="2931" t="s">
        <v>93</v>
      </c>
      <c r="F673" s="2931">
        <v>24</v>
      </c>
      <c r="G673" s="2934" t="s">
        <v>1381</v>
      </c>
      <c r="H673" s="2934" t="s">
        <v>1564</v>
      </c>
      <c r="I673" s="376" t="s">
        <v>1305</v>
      </c>
      <c r="J673" s="2931">
        <v>6</v>
      </c>
      <c r="K673" s="2931">
        <v>9</v>
      </c>
      <c r="L673" s="2931">
        <v>12</v>
      </c>
      <c r="M673" s="373">
        <v>15</v>
      </c>
      <c r="N673" s="2931">
        <v>50</v>
      </c>
      <c r="O673" s="2931">
        <v>90</v>
      </c>
      <c r="P673" s="2931">
        <v>120</v>
      </c>
      <c r="Q673" s="373">
        <v>150</v>
      </c>
      <c r="R673" s="2931">
        <v>5</v>
      </c>
      <c r="S673" s="2931">
        <v>20</v>
      </c>
      <c r="T673" s="2931">
        <v>25</v>
      </c>
      <c r="U673" s="373">
        <v>30</v>
      </c>
      <c r="V673" s="2926" t="s">
        <v>5682</v>
      </c>
      <c r="W673" s="2926" t="s">
        <v>5683</v>
      </c>
      <c r="X673" s="2926" t="s">
        <v>5684</v>
      </c>
      <c r="Y673" s="2926" t="s">
        <v>5685</v>
      </c>
      <c r="Z673" s="2926" t="s">
        <v>5686</v>
      </c>
      <c r="AA673" s="371"/>
    </row>
    <row r="674" spans="1:27" ht="12.75" customHeight="1" x14ac:dyDescent="0.2">
      <c r="A674" s="6418"/>
      <c r="B674" s="251" t="str">
        <f t="shared" si="19"/>
        <v>Vacío34</v>
      </c>
      <c r="D674" s="272" t="s">
        <v>636</v>
      </c>
      <c r="E674" s="2931" t="s">
        <v>93</v>
      </c>
      <c r="F674" s="2931">
        <v>34</v>
      </c>
      <c r="G674" s="2934" t="s">
        <v>1381</v>
      </c>
      <c r="H674" s="2934" t="s">
        <v>1235</v>
      </c>
      <c r="I674" s="376" t="s">
        <v>1304</v>
      </c>
      <c r="J674" s="2931">
        <v>7</v>
      </c>
      <c r="K674" s="2931">
        <v>10</v>
      </c>
      <c r="L674" s="2931">
        <v>13</v>
      </c>
      <c r="M674" s="373">
        <v>15</v>
      </c>
      <c r="N674" s="2931">
        <v>80</v>
      </c>
      <c r="O674" s="2931">
        <v>120</v>
      </c>
      <c r="P674" s="2931">
        <v>180</v>
      </c>
      <c r="Q674" s="373">
        <v>240</v>
      </c>
      <c r="R674" s="2931">
        <v>5</v>
      </c>
      <c r="S674" s="2931">
        <v>10</v>
      </c>
      <c r="T674" s="2931">
        <v>15</v>
      </c>
      <c r="U674" s="373">
        <v>20</v>
      </c>
      <c r="V674" s="2926" t="s">
        <v>5687</v>
      </c>
      <c r="W674" s="2926" t="s">
        <v>4565</v>
      </c>
      <c r="X674" s="2926" t="s">
        <v>5688</v>
      </c>
      <c r="Y674" s="2926" t="s">
        <v>5689</v>
      </c>
      <c r="Z674" s="2926" t="s">
        <v>5690</v>
      </c>
      <c r="AA674" s="371"/>
    </row>
    <row r="675" spans="1:27" ht="12.75" customHeight="1" x14ac:dyDescent="0.2">
      <c r="A675" s="6418"/>
      <c r="B675" s="251" t="str">
        <f t="shared" si="19"/>
        <v>Vacío44</v>
      </c>
      <c r="D675" s="272" t="s">
        <v>8344</v>
      </c>
      <c r="E675" s="2931" t="s">
        <v>93</v>
      </c>
      <c r="F675" s="2931">
        <v>44</v>
      </c>
      <c r="G675" s="2934" t="s">
        <v>1381</v>
      </c>
      <c r="H675" s="2934" t="s">
        <v>1232</v>
      </c>
      <c r="I675" s="376" t="s">
        <v>1304</v>
      </c>
      <c r="J675" s="2931">
        <v>6</v>
      </c>
      <c r="K675" s="2931">
        <v>9</v>
      </c>
      <c r="L675" s="2931">
        <v>12</v>
      </c>
      <c r="M675" s="373">
        <v>15</v>
      </c>
      <c r="N675" s="2931">
        <v>100</v>
      </c>
      <c r="O675" s="2931">
        <v>150</v>
      </c>
      <c r="P675" s="2931">
        <v>200</v>
      </c>
      <c r="Q675" s="373">
        <v>250</v>
      </c>
      <c r="R675" s="2931">
        <v>5</v>
      </c>
      <c r="S675" s="2931">
        <v>10</v>
      </c>
      <c r="T675" s="2931">
        <v>10</v>
      </c>
      <c r="U675" s="373">
        <v>15</v>
      </c>
      <c r="V675" s="2926" t="s">
        <v>4638</v>
      </c>
      <c r="W675" s="2926" t="s">
        <v>3242</v>
      </c>
      <c r="X675" s="2926" t="s">
        <v>5691</v>
      </c>
      <c r="Y675" s="2926" t="s">
        <v>4048</v>
      </c>
      <c r="Z675" s="2926" t="s">
        <v>5692</v>
      </c>
      <c r="AA675" s="371"/>
    </row>
    <row r="676" spans="1:27" ht="12.75" customHeight="1" x14ac:dyDescent="0.2">
      <c r="A676" s="6418"/>
      <c r="B676" s="251" t="str">
        <f t="shared" si="19"/>
        <v>Vacío54</v>
      </c>
      <c r="D676" s="272" t="s">
        <v>637</v>
      </c>
      <c r="E676" s="2931" t="s">
        <v>93</v>
      </c>
      <c r="F676" s="2931">
        <v>54</v>
      </c>
      <c r="G676" s="2934" t="s">
        <v>2087</v>
      </c>
      <c r="H676" s="2934" t="s">
        <v>1234</v>
      </c>
      <c r="I676" s="376" t="s">
        <v>1304</v>
      </c>
      <c r="J676" s="2931">
        <v>6</v>
      </c>
      <c r="K676" s="2931">
        <v>9</v>
      </c>
      <c r="L676" s="2931">
        <v>12</v>
      </c>
      <c r="M676" s="373">
        <v>15</v>
      </c>
      <c r="N676" s="2931">
        <v>120</v>
      </c>
      <c r="O676" s="2931">
        <v>180</v>
      </c>
      <c r="P676" s="2931">
        <v>240</v>
      </c>
      <c r="Q676" s="373">
        <v>350</v>
      </c>
      <c r="R676" s="2931">
        <v>15</v>
      </c>
      <c r="S676" s="2931">
        <v>20</v>
      </c>
      <c r="T676" s="2931">
        <v>25</v>
      </c>
      <c r="U676" s="373">
        <v>35</v>
      </c>
      <c r="V676" s="2926" t="s">
        <v>5693</v>
      </c>
      <c r="W676" s="2926" t="s">
        <v>5694</v>
      </c>
      <c r="X676" s="2926" t="s">
        <v>5695</v>
      </c>
      <c r="Y676" s="2926" t="s">
        <v>5696</v>
      </c>
      <c r="Z676" s="2926" t="s">
        <v>5697</v>
      </c>
      <c r="AA676" s="371"/>
    </row>
    <row r="677" spans="1:27" ht="12.75" customHeight="1" x14ac:dyDescent="0.2">
      <c r="A677" s="6418"/>
      <c r="B677" s="251" t="str">
        <f t="shared" si="19"/>
        <v>Vacío64</v>
      </c>
      <c r="D677" s="272" t="s">
        <v>638</v>
      </c>
      <c r="E677" s="2931" t="s">
        <v>93</v>
      </c>
      <c r="F677" s="2931">
        <v>64</v>
      </c>
      <c r="G677" s="2934" t="s">
        <v>1381</v>
      </c>
      <c r="H677" s="2934" t="s">
        <v>1235</v>
      </c>
      <c r="I677" s="376" t="s">
        <v>1304</v>
      </c>
      <c r="J677" s="2931">
        <v>8</v>
      </c>
      <c r="K677" s="2931">
        <v>10</v>
      </c>
      <c r="L677" s="2931">
        <v>12</v>
      </c>
      <c r="M677" s="373">
        <v>15</v>
      </c>
      <c r="N677" s="2931">
        <v>150</v>
      </c>
      <c r="O677" s="2931">
        <v>250</v>
      </c>
      <c r="P677" s="2931">
        <v>350</v>
      </c>
      <c r="Q677" s="373">
        <v>500</v>
      </c>
      <c r="R677" s="2931">
        <v>15</v>
      </c>
      <c r="S677" s="2931">
        <v>25</v>
      </c>
      <c r="T677" s="2931">
        <v>35</v>
      </c>
      <c r="U677" s="373">
        <v>50</v>
      </c>
      <c r="V677" s="2926" t="s">
        <v>5698</v>
      </c>
      <c r="W677" s="2926" t="s">
        <v>5699</v>
      </c>
      <c r="X677" s="2926" t="s">
        <v>5700</v>
      </c>
      <c r="Y677" s="2926" t="s">
        <v>5701</v>
      </c>
      <c r="Z677" s="2926" t="s">
        <v>5702</v>
      </c>
      <c r="AA677" s="371"/>
    </row>
    <row r="678" spans="1:27" ht="12.75" customHeight="1" x14ac:dyDescent="0.2">
      <c r="A678" s="6418"/>
      <c r="B678" s="251" t="str">
        <f t="shared" si="19"/>
        <v>Vacío74</v>
      </c>
      <c r="D678" s="272" t="s">
        <v>639</v>
      </c>
      <c r="E678" s="2931" t="s">
        <v>93</v>
      </c>
      <c r="F678" s="2931">
        <v>74</v>
      </c>
      <c r="G678" s="2934" t="s">
        <v>1381</v>
      </c>
      <c r="H678" s="2934" t="s">
        <v>1232</v>
      </c>
      <c r="I678" s="376" t="s">
        <v>1304</v>
      </c>
      <c r="J678" s="2931">
        <v>10</v>
      </c>
      <c r="K678" s="2931">
        <v>12</v>
      </c>
      <c r="L678" s="2931">
        <v>14</v>
      </c>
      <c r="M678" s="373">
        <v>16</v>
      </c>
      <c r="N678" s="2931">
        <v>140</v>
      </c>
      <c r="O678" s="2931">
        <v>200</v>
      </c>
      <c r="P678" s="2931">
        <v>280</v>
      </c>
      <c r="Q678" s="373">
        <v>400</v>
      </c>
      <c r="R678" s="2931">
        <v>15</v>
      </c>
      <c r="S678" s="2931">
        <v>20</v>
      </c>
      <c r="T678" s="2931">
        <v>30</v>
      </c>
      <c r="U678" s="373">
        <v>40</v>
      </c>
      <c r="V678" s="2926" t="s">
        <v>5703</v>
      </c>
      <c r="W678" s="2926" t="s">
        <v>5704</v>
      </c>
      <c r="X678" s="2926" t="s">
        <v>5705</v>
      </c>
      <c r="Y678" s="2926" t="s">
        <v>5706</v>
      </c>
      <c r="Z678" s="2926" t="s">
        <v>5707</v>
      </c>
      <c r="AA678" s="371"/>
    </row>
    <row r="679" spans="1:27" ht="12.75" customHeight="1" x14ac:dyDescent="0.2">
      <c r="A679" s="6418"/>
      <c r="B679" s="251" t="str">
        <f t="shared" si="19"/>
        <v>Vacío84</v>
      </c>
      <c r="D679" s="272" t="s">
        <v>640</v>
      </c>
      <c r="E679" s="2931" t="s">
        <v>93</v>
      </c>
      <c r="F679" s="2931">
        <v>84</v>
      </c>
      <c r="G679" s="2934" t="s">
        <v>1381</v>
      </c>
      <c r="H679" s="2934" t="s">
        <v>1232</v>
      </c>
      <c r="I679" s="376" t="s">
        <v>1304</v>
      </c>
      <c r="J679" s="2931">
        <v>14</v>
      </c>
      <c r="K679" s="2931">
        <v>16</v>
      </c>
      <c r="L679" s="2931">
        <v>18</v>
      </c>
      <c r="M679" s="373">
        <v>20</v>
      </c>
      <c r="N679" s="2931">
        <v>250</v>
      </c>
      <c r="O679" s="2931">
        <v>500</v>
      </c>
      <c r="P679" s="2931">
        <v>750</v>
      </c>
      <c r="Q679" s="373">
        <v>1000</v>
      </c>
      <c r="R679" s="2931" t="s">
        <v>1381</v>
      </c>
      <c r="S679" s="2931" t="s">
        <v>1381</v>
      </c>
      <c r="T679" s="2931" t="s">
        <v>1381</v>
      </c>
      <c r="U679" s="373" t="s">
        <v>1381</v>
      </c>
      <c r="V679" s="2926" t="s">
        <v>5708</v>
      </c>
      <c r="W679" s="2926" t="s">
        <v>5709</v>
      </c>
      <c r="X679" s="2926" t="s">
        <v>5710</v>
      </c>
      <c r="Y679" s="2926" t="s">
        <v>5711</v>
      </c>
      <c r="Z679" s="2926" t="s">
        <v>5712</v>
      </c>
      <c r="AA679" s="371"/>
    </row>
    <row r="680" spans="1:27" ht="12.75" customHeight="1" thickBot="1" x14ac:dyDescent="0.25">
      <c r="A680" s="6418"/>
      <c r="B680" s="251" t="str">
        <f t="shared" si="19"/>
        <v>Vacío94</v>
      </c>
      <c r="D680" s="2937"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225" t="s">
        <v>2570</v>
      </c>
      <c r="D2" s="5226"/>
      <c r="E2" s="5226"/>
      <c r="F2" s="5226"/>
      <c r="G2" s="5229"/>
      <c r="I2" s="5221" t="s">
        <v>2571</v>
      </c>
      <c r="J2" s="6475"/>
      <c r="L2" s="6476" t="s">
        <v>2572</v>
      </c>
    </row>
    <row r="3" spans="1:14" x14ac:dyDescent="0.2">
      <c r="A3" s="282">
        <v>3</v>
      </c>
      <c r="C3" s="5221"/>
      <c r="D3" s="6475"/>
      <c r="E3" s="6475"/>
      <c r="F3" s="6475"/>
      <c r="G3" s="5231"/>
      <c r="I3" s="5221"/>
      <c r="J3" s="6475"/>
      <c r="L3" s="6477"/>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225" t="s">
        <v>2250</v>
      </c>
      <c r="D15" s="5229"/>
      <c r="F15" s="5225" t="s">
        <v>2613</v>
      </c>
      <c r="G15" s="5226"/>
      <c r="H15" s="5226"/>
      <c r="I15" s="5226"/>
      <c r="J15" s="5226"/>
      <c r="K15" s="5226"/>
      <c r="L15" s="5226"/>
      <c r="M15" s="5226"/>
      <c r="N15" s="5229"/>
    </row>
    <row r="16" spans="1:14" x14ac:dyDescent="0.2">
      <c r="A16" s="282">
        <v>16</v>
      </c>
      <c r="C16" s="5221"/>
      <c r="D16" s="5231"/>
      <c r="F16" s="5221"/>
      <c r="G16" s="6475"/>
      <c r="H16" s="6475"/>
      <c r="I16" s="6475"/>
      <c r="J16" s="6475"/>
      <c r="K16" s="6475"/>
      <c r="L16" s="6475"/>
      <c r="M16" s="6475"/>
      <c r="N16" s="5231"/>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225" t="s">
        <v>2630</v>
      </c>
      <c r="D27" s="5226"/>
      <c r="E27" s="5226"/>
      <c r="F27" s="5226"/>
      <c r="G27" s="5226"/>
      <c r="H27" s="5226"/>
      <c r="I27" s="5226"/>
      <c r="J27" s="5226"/>
      <c r="K27" s="5229"/>
      <c r="M27" s="5225" t="s">
        <v>10398</v>
      </c>
      <c r="N27" s="5229"/>
    </row>
    <row r="28" spans="1:14" ht="12.75" customHeight="1" thickBot="1" x14ac:dyDescent="0.25">
      <c r="A28" s="282">
        <v>28</v>
      </c>
      <c r="C28" s="5223"/>
      <c r="D28" s="6478"/>
      <c r="E28" s="6478"/>
      <c r="F28" s="6478"/>
      <c r="G28" s="6478"/>
      <c r="H28" s="6478"/>
      <c r="I28" s="6478"/>
      <c r="J28" s="6478"/>
      <c r="K28" s="6479"/>
      <c r="M28" s="5223"/>
      <c r="N28" s="6479"/>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4" t="str">
        <f t="shared" ref="M29:M46" si="0">C91</f>
        <v>&gt; ESOTÉRICAS</v>
      </c>
      <c r="N29" s="2895"/>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3"/>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66" t="s">
        <v>2631</v>
      </c>
      <c r="D89" s="6467"/>
      <c r="E89" s="6467"/>
      <c r="F89" s="6467"/>
      <c r="G89" s="312" t="s">
        <v>2632</v>
      </c>
      <c r="H89" s="313"/>
      <c r="I89" s="314"/>
      <c r="J89" s="314"/>
      <c r="K89" s="314"/>
      <c r="L89" s="314"/>
      <c r="M89" s="314"/>
      <c r="N89" s="314"/>
      <c r="O89" s="314"/>
      <c r="P89" s="314"/>
      <c r="Q89" s="314"/>
      <c r="R89" s="6471" t="s">
        <v>2633</v>
      </c>
    </row>
    <row r="90" spans="1:18" ht="13.5" thickBot="1" x14ac:dyDescent="0.25">
      <c r="A90" s="282">
        <v>90</v>
      </c>
      <c r="C90" s="6473" t="s">
        <v>2634</v>
      </c>
      <c r="D90" s="6473"/>
      <c r="E90" s="6473"/>
      <c r="F90" s="316" t="s">
        <v>2251</v>
      </c>
      <c r="G90" s="315" t="s">
        <v>2635</v>
      </c>
      <c r="H90" s="316" t="s">
        <v>2636</v>
      </c>
      <c r="I90" s="293"/>
      <c r="J90" s="293"/>
      <c r="K90" s="293"/>
      <c r="L90" s="6474" t="s">
        <v>1548</v>
      </c>
      <c r="M90" s="6474"/>
      <c r="N90" s="6474"/>
      <c r="O90" s="6474"/>
      <c r="P90" s="6474"/>
      <c r="Q90" s="6474"/>
      <c r="R90" s="6472"/>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30" t="s">
        <v>2639</v>
      </c>
      <c r="M92" s="6462"/>
      <c r="N92" s="6462"/>
      <c r="O92" s="6462"/>
      <c r="P92" s="6462"/>
      <c r="Q92" s="6462"/>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30" t="s">
        <v>2641</v>
      </c>
      <c r="M93" s="6462"/>
      <c r="N93" s="6462"/>
      <c r="O93" s="6462"/>
      <c r="P93" s="6462"/>
      <c r="Q93" s="6462"/>
      <c r="R93" s="649" t="s">
        <v>1455</v>
      </c>
    </row>
    <row r="94" spans="1:18" x14ac:dyDescent="0.2">
      <c r="A94" s="282">
        <v>94</v>
      </c>
      <c r="B94" s="320">
        <f t="shared" si="1"/>
        <v>0</v>
      </c>
      <c r="C94" s="2892" t="s">
        <v>8662</v>
      </c>
      <c r="D94" s="332" t="s">
        <v>8662</v>
      </c>
      <c r="E94" s="318"/>
      <c r="F94" s="319">
        <f>COUNTIF(Sheele!$C$24:$H$35,C94)</f>
        <v>0</v>
      </c>
      <c r="G94" s="303">
        <v>1</v>
      </c>
      <c r="H94" s="303">
        <f>IF(OR($F94=0,$G94=0),0,MAX($H$91:H93)+1)</f>
        <v>0</v>
      </c>
      <c r="I94" s="303" t="s">
        <v>1455</v>
      </c>
      <c r="J94" s="640" t="s">
        <v>1455</v>
      </c>
      <c r="K94" s="303" t="s">
        <v>1455</v>
      </c>
      <c r="L94" s="6430" t="s">
        <v>2642</v>
      </c>
      <c r="M94" s="6462"/>
      <c r="N94" s="6462"/>
      <c r="O94" s="6462"/>
      <c r="P94" s="6462"/>
      <c r="Q94" s="6462"/>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64" t="s">
        <v>9636</v>
      </c>
      <c r="M95" s="6462"/>
      <c r="N95" s="6462"/>
      <c r="O95" s="6462"/>
      <c r="P95" s="6462"/>
      <c r="Q95" s="6462"/>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65" t="s">
        <v>9637</v>
      </c>
      <c r="M96" s="6462"/>
      <c r="N96" s="6462"/>
      <c r="O96" s="6462"/>
      <c r="P96" s="6462"/>
      <c r="Q96" s="6462"/>
      <c r="R96" s="649" t="s">
        <v>1455</v>
      </c>
    </row>
    <row r="97" spans="1:18" x14ac:dyDescent="0.2">
      <c r="A97" s="282">
        <v>97</v>
      </c>
      <c r="B97" s="320">
        <f t="shared" si="1"/>
        <v>0</v>
      </c>
      <c r="C97" s="2892" t="s">
        <v>10393</v>
      </c>
      <c r="D97" s="318"/>
      <c r="E97" s="318"/>
      <c r="F97" s="319"/>
      <c r="G97" s="303"/>
      <c r="H97" s="303"/>
      <c r="I97" s="303" t="s">
        <v>1455</v>
      </c>
      <c r="J97" s="640" t="s">
        <v>1455</v>
      </c>
      <c r="K97" s="303" t="s">
        <v>1455</v>
      </c>
      <c r="L97" s="6430"/>
      <c r="M97" s="6462"/>
      <c r="N97" s="6462"/>
      <c r="O97" s="6462"/>
      <c r="P97" s="6462"/>
      <c r="Q97" s="6462"/>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64" t="s">
        <v>9638</v>
      </c>
      <c r="M98" s="6462"/>
      <c r="N98" s="6462"/>
      <c r="O98" s="6462"/>
      <c r="P98" s="6462"/>
      <c r="Q98" s="6462"/>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64" t="s">
        <v>9639</v>
      </c>
      <c r="M99" s="6462"/>
      <c r="N99" s="6462"/>
      <c r="O99" s="6462"/>
      <c r="P99" s="6462"/>
      <c r="Q99" s="6462"/>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30" t="s">
        <v>2648</v>
      </c>
      <c r="M100" s="6462"/>
      <c r="N100" s="6462"/>
      <c r="O100" s="6462"/>
      <c r="P100" s="6462"/>
      <c r="Q100" s="6462"/>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63" t="s">
        <v>2650</v>
      </c>
      <c r="M101" s="6462"/>
      <c r="N101" s="6462"/>
      <c r="O101" s="6462"/>
      <c r="P101" s="6462"/>
      <c r="Q101" s="6462"/>
      <c r="R101" s="650"/>
    </row>
    <row r="102" spans="1:18" x14ac:dyDescent="0.2">
      <c r="A102" s="282">
        <v>102</v>
      </c>
      <c r="B102" s="320">
        <f t="shared" si="1"/>
        <v>0</v>
      </c>
      <c r="C102" s="2892" t="s">
        <v>10394</v>
      </c>
      <c r="D102" s="318"/>
      <c r="E102" s="318"/>
      <c r="F102" s="319"/>
      <c r="G102" s="303"/>
      <c r="H102" s="303"/>
      <c r="I102" s="303" t="s">
        <v>1455</v>
      </c>
      <c r="J102" s="303" t="s">
        <v>1455</v>
      </c>
      <c r="K102" s="303" t="s">
        <v>1455</v>
      </c>
      <c r="L102" s="6430"/>
      <c r="M102" s="6462"/>
      <c r="N102" s="6462"/>
      <c r="O102" s="6462"/>
      <c r="P102" s="6462"/>
      <c r="Q102" s="6462"/>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65" t="s">
        <v>9640</v>
      </c>
      <c r="M103" s="6462"/>
      <c r="N103" s="6462"/>
      <c r="O103" s="6462"/>
      <c r="P103" s="6462"/>
      <c r="Q103" s="6462"/>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63" t="s">
        <v>2653</v>
      </c>
      <c r="M104" s="6462"/>
      <c r="N104" s="6462"/>
      <c r="O104" s="6462"/>
      <c r="P104" s="6462"/>
      <c r="Q104" s="6462"/>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63" t="s">
        <v>2655</v>
      </c>
      <c r="M105" s="6462"/>
      <c r="N105" s="6462"/>
      <c r="O105" s="6462"/>
      <c r="P105" s="6462"/>
      <c r="Q105" s="6462"/>
      <c r="R105" s="649" t="s">
        <v>1455</v>
      </c>
    </row>
    <row r="106" spans="1:18" x14ac:dyDescent="0.2">
      <c r="A106" s="282">
        <v>106</v>
      </c>
      <c r="B106" s="320">
        <f t="shared" si="1"/>
        <v>0</v>
      </c>
      <c r="C106" s="2892" t="s">
        <v>10395</v>
      </c>
      <c r="D106" s="318"/>
      <c r="E106" s="318"/>
      <c r="F106" s="319"/>
      <c r="G106" s="303"/>
      <c r="H106" s="303"/>
      <c r="I106" s="303" t="s">
        <v>1455</v>
      </c>
      <c r="J106" s="303" t="s">
        <v>1455</v>
      </c>
      <c r="K106" s="303" t="s">
        <v>1455</v>
      </c>
      <c r="L106" s="6430"/>
      <c r="M106" s="6462"/>
      <c r="N106" s="6462"/>
      <c r="O106" s="6462"/>
      <c r="P106" s="6462"/>
      <c r="Q106" s="6462"/>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30" t="str">
        <f>"Los puntos de vida se incrementan a Presencia·4 ("&amp;Sheele!L27*4&amp;")"</f>
        <v>Los puntos de vida se incrementan a Presencia·4 (100)</v>
      </c>
      <c r="M107" s="6462"/>
      <c r="N107" s="6462"/>
      <c r="O107" s="6462"/>
      <c r="P107" s="6462"/>
      <c r="Q107" s="6462"/>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63" t="s">
        <v>2658</v>
      </c>
      <c r="M108" s="6462"/>
      <c r="N108" s="6462"/>
      <c r="O108" s="6462"/>
      <c r="P108" s="6462"/>
      <c r="Q108" s="6462"/>
      <c r="R108" s="649" t="s">
        <v>1455</v>
      </c>
    </row>
    <row r="109" spans="1:18" ht="13.5" thickBot="1" x14ac:dyDescent="0.25">
      <c r="A109" s="282">
        <v>109</v>
      </c>
      <c r="B109" s="320">
        <f>G109</f>
        <v>0</v>
      </c>
      <c r="C109" s="6468" t="s">
        <v>2659</v>
      </c>
      <c r="D109" s="6469"/>
      <c r="E109" s="6469"/>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70" t="s">
        <v>1548</v>
      </c>
      <c r="M110" s="6470"/>
      <c r="N110" s="6470"/>
      <c r="O110" s="6470"/>
      <c r="P110" s="6470"/>
      <c r="Q110" s="6470"/>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51" t="s">
        <v>2664</v>
      </c>
      <c r="M111" s="6451"/>
      <c r="N111" s="6451"/>
      <c r="O111" s="6451"/>
      <c r="P111" s="6451"/>
      <c r="Q111" s="6451"/>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51" t="s">
        <v>2666</v>
      </c>
      <c r="M112" s="6451"/>
      <c r="N112" s="6451"/>
      <c r="O112" s="6451"/>
      <c r="P112" s="6451"/>
      <c r="Q112" s="6451"/>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51" t="s">
        <v>2668</v>
      </c>
      <c r="M113" s="6451"/>
      <c r="N113" s="6451"/>
      <c r="O113" s="6451"/>
      <c r="P113" s="6451"/>
      <c r="Q113" s="6451"/>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50" t="s">
        <v>9643</v>
      </c>
      <c r="M114" s="6451"/>
      <c r="N114" s="6451"/>
      <c r="O114" s="6451"/>
      <c r="P114" s="6451"/>
      <c r="Q114" s="6451"/>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51" t="s">
        <v>2670</v>
      </c>
      <c r="M115" s="6451"/>
      <c r="N115" s="6451"/>
      <c r="O115" s="6451"/>
      <c r="P115" s="6451"/>
      <c r="Q115" s="6451"/>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51" t="s">
        <v>2672</v>
      </c>
      <c r="M116" s="6451"/>
      <c r="N116" s="6451"/>
      <c r="O116" s="6451"/>
      <c r="P116" s="6451"/>
      <c r="Q116" s="6451"/>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52" t="str">
        <f>"+2 FUE al alcance y +"&amp;Sheele!H15&amp;" al daño de proyectiles de quien esté en contacto con ella."</f>
        <v>+2 FUE al alcance y +10 al daño de proyectiles de quien esté en contacto con ella.</v>
      </c>
      <c r="M117" s="6451"/>
      <c r="N117" s="6451"/>
      <c r="O117" s="6451"/>
      <c r="P117" s="6451"/>
      <c r="Q117" s="6451"/>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52" t="s">
        <v>2675</v>
      </c>
      <c r="M118" s="6451"/>
      <c r="N118" s="6451"/>
      <c r="O118" s="6451"/>
      <c r="P118" s="6451"/>
      <c r="Q118" s="6451"/>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51" t="str">
        <f>"Inmune a ataques físicos. Aquel en contacto RF "&amp;Sheele!L27*2+Sheele!H15&amp;" o sufre [Nv de fracaso] daño."</f>
        <v>Inmune a ataques físicos. Aquel en contacto RF 60 o sufre [Nv de fracaso] daño.</v>
      </c>
      <c r="M119" s="6451"/>
      <c r="N119" s="6451"/>
      <c r="O119" s="6451"/>
      <c r="P119" s="6451"/>
      <c r="Q119" s="6451"/>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54" t="s">
        <v>2678</v>
      </c>
      <c r="M120" s="6455"/>
      <c r="N120" s="6455"/>
      <c r="O120" s="6455"/>
      <c r="P120" s="6455"/>
      <c r="Q120" s="6455"/>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56" t="s">
        <v>1548</v>
      </c>
      <c r="M121" s="6456"/>
      <c r="N121" s="6456"/>
      <c r="O121" s="6456"/>
      <c r="P121" s="6456"/>
      <c r="Q121" s="6456"/>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50" t="s">
        <v>9642</v>
      </c>
      <c r="M122" s="6451"/>
      <c r="N122" s="6451"/>
      <c r="O122" s="6451"/>
      <c r="P122" s="6451"/>
      <c r="Q122" s="6451"/>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51" t="str">
        <f>"CON. Área "&amp;Sheele!L27&amp;"m. Impacto FUE "&amp;Sheele!G15&amp;". Aquellos en contacto son inmunes."</f>
        <v>CON. Área 25m. Impacto FUE 8. Aquellos en contacto son inmunes.</v>
      </c>
      <c r="M123" s="6451"/>
      <c r="N123" s="6451"/>
      <c r="O123" s="6451"/>
      <c r="P123" s="6451"/>
      <c r="Q123" s="6451"/>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50" t="s">
        <v>9646</v>
      </c>
      <c r="M124" s="6451"/>
      <c r="N124" s="6451"/>
      <c r="O124" s="6451"/>
      <c r="P124" s="6451"/>
      <c r="Q124" s="6451"/>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51" t="str">
        <f>"50m. RM o RF "&amp;Sheele!L27*2+Sheele!H15&amp;"- 5*[TA FRI]. Parálisis parcial (completa si se falla por 40+)"</f>
        <v>50m. RM o RF 60- 5*[TA FRI]. Parálisis parcial (completa si se falla por 40+)</v>
      </c>
      <c r="M125" s="6451"/>
      <c r="N125" s="6451"/>
      <c r="O125" s="6451"/>
      <c r="P125" s="6451"/>
      <c r="Q125" s="6451"/>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51" t="s">
        <v>2684</v>
      </c>
      <c r="M126" s="6451"/>
      <c r="N126" s="6451"/>
      <c r="O126" s="6451"/>
      <c r="P126" s="6451"/>
      <c r="Q126" s="6451"/>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50" t="s">
        <v>9647</v>
      </c>
      <c r="M127" s="6451"/>
      <c r="N127" s="6451"/>
      <c r="O127" s="6451"/>
      <c r="P127" s="6451"/>
      <c r="Q127" s="6451"/>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51" t="s">
        <v>2687</v>
      </c>
      <c r="M128" s="6451"/>
      <c r="N128" s="6451"/>
      <c r="O128" s="6451"/>
      <c r="P128" s="6451"/>
      <c r="Q128" s="6451"/>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52" t="s">
        <v>2675</v>
      </c>
      <c r="M129" s="6451"/>
      <c r="N129" s="6451"/>
      <c r="O129" s="6451"/>
      <c r="P129" s="6451"/>
      <c r="Q129" s="6451"/>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51" t="s">
        <v>2689</v>
      </c>
      <c r="M130" s="6451"/>
      <c r="N130" s="6451"/>
      <c r="O130" s="6451"/>
      <c r="P130" s="6451"/>
      <c r="Q130" s="6451"/>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61" t="s">
        <v>9648</v>
      </c>
      <c r="M131" s="6455"/>
      <c r="N131" s="6455"/>
      <c r="O131" s="6455"/>
      <c r="P131" s="6455"/>
      <c r="Q131" s="6455"/>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56" t="s">
        <v>1548</v>
      </c>
      <c r="M132" s="6456"/>
      <c r="N132" s="6456"/>
      <c r="O132" s="6456"/>
      <c r="P132" s="6456"/>
      <c r="Q132" s="6456"/>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50" t="s">
        <v>9649</v>
      </c>
      <c r="M133" s="6451"/>
      <c r="N133" s="6451"/>
      <c r="O133" s="6451"/>
      <c r="P133" s="6451"/>
      <c r="Q133" s="6451"/>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51" t="str">
        <f>"50m. Tira 1d100+ "&amp;Sheele!L27*2+Sheele!H15&amp;" en 'Tabla 76: En llamas' (Core p.234)"</f>
        <v>50m. Tira 1d100+ 60 en 'Tabla 76: En llamas' (Core p.234)</v>
      </c>
      <c r="M134" s="6451"/>
      <c r="N134" s="6451"/>
      <c r="O134" s="6451"/>
      <c r="P134" s="6451"/>
      <c r="Q134" s="6451"/>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50" t="s">
        <v>9650</v>
      </c>
      <c r="M135" s="6451"/>
      <c r="N135" s="6451"/>
      <c r="O135" s="6451"/>
      <c r="P135" s="6451"/>
      <c r="Q135" s="6451"/>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51" t="str">
        <f>"CAL. Área "&amp;Sheele!G16&amp;"*[# ataques sucesivos] m. Daño "&amp;Sheele!L27&amp;"+10*[# ataques sucesivos] "</f>
        <v xml:space="preserve">CAL. Área 6*[# ataques sucesivos] m. Daño 25+10*[# ataques sucesivos] </v>
      </c>
      <c r="M136" s="6451"/>
      <c r="N136" s="6451"/>
      <c r="O136" s="6451"/>
      <c r="P136" s="6451"/>
      <c r="Q136" s="6451"/>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51" t="str">
        <f>"La Sheele controla el fuego de hasta "&amp;Sheele!G15&amp;" intensidades. Puede atacar con él."</f>
        <v>La Sheele controla el fuego de hasta 8 intensidades. Puede atacar con él.</v>
      </c>
      <c r="M137" s="6451"/>
      <c r="N137" s="6451"/>
      <c r="O137" s="6451"/>
      <c r="P137" s="6451"/>
      <c r="Q137" s="6451"/>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52" t="s">
        <v>2675</v>
      </c>
      <c r="M138" s="6451"/>
      <c r="N138" s="6451"/>
      <c r="O138" s="6451"/>
      <c r="P138" s="6451"/>
      <c r="Q138" s="6451"/>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51" t="str">
        <f>"En contacto: Obtiene crítico secundario CAL, y +"&amp;Sheele!H15&amp;" daño."</f>
        <v>En contacto: Obtiene crítico secundario CAL, y +10 daño.</v>
      </c>
      <c r="M139" s="6451"/>
      <c r="N139" s="6451"/>
      <c r="O139" s="6451"/>
      <c r="P139" s="6451"/>
      <c r="Q139" s="6451"/>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51" t="str">
        <f>"A voluntad, solo vulnerable a energía o frío. En contacto: RF "&amp;Sheele!L27*2+Sheele!H15&amp;" o [Nv de fracaso] daño."</f>
        <v>A voluntad, solo vulnerable a energía o frío. En contacto: RF 60 o [Nv de fracaso] daño.</v>
      </c>
      <c r="M140" s="6451"/>
      <c r="N140" s="6451"/>
      <c r="O140" s="6451"/>
      <c r="P140" s="6451"/>
      <c r="Q140" s="6451"/>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52" t="s">
        <v>2699</v>
      </c>
      <c r="M141" s="6451"/>
      <c r="N141" s="6451"/>
      <c r="O141" s="6451"/>
      <c r="P141" s="6451"/>
      <c r="Q141" s="6451"/>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54" t="s">
        <v>2701</v>
      </c>
      <c r="M142" s="6455"/>
      <c r="N142" s="6455"/>
      <c r="O142" s="6455"/>
      <c r="P142" s="6455"/>
      <c r="Q142" s="6455"/>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56" t="s">
        <v>1548</v>
      </c>
      <c r="M143" s="6456"/>
      <c r="N143" s="6456"/>
      <c r="O143" s="6456"/>
      <c r="P143" s="6456"/>
      <c r="Q143" s="6456"/>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50" t="s">
        <v>9666</v>
      </c>
      <c r="M144" s="6451"/>
      <c r="N144" s="6451"/>
      <c r="O144" s="6451"/>
      <c r="P144" s="6451"/>
      <c r="Q144" s="6451"/>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51" t="str">
        <f>"Área 25m. RM "&amp;Sheele!L27*2+Sheele!H15&amp;": -50 turno y x0.5 movimiento. En contacto: Inmune."</f>
        <v>Área 25m. RM 60: -50 turno y x0.5 movimiento. En contacto: Inmune.</v>
      </c>
      <c r="M145" s="6451"/>
      <c r="N145" s="6451"/>
      <c r="O145" s="6451"/>
      <c r="P145" s="6451"/>
      <c r="Q145" s="6451"/>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50" t="s">
        <v>9652</v>
      </c>
      <c r="M146" s="6451"/>
      <c r="N146" s="6451"/>
      <c r="O146" s="6451"/>
      <c r="P146" s="6451"/>
      <c r="Q146" s="6451"/>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51" t="str">
        <f>"Area "&amp;Sheele!L27*2&amp;"m. Construcciones e individuos sobre el suelo control de AGI "&amp;Sheele!E12*2&amp;" o derribados"</f>
        <v>Area 50m. Construcciones e individuos sobre el suelo control de AGI 4 o derribados</v>
      </c>
      <c r="M147" s="6451"/>
      <c r="N147" s="6451"/>
      <c r="O147" s="6451"/>
      <c r="P147" s="6451"/>
      <c r="Q147" s="6451"/>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52" t="s">
        <v>2707</v>
      </c>
      <c r="M148" s="6451"/>
      <c r="N148" s="6451"/>
      <c r="O148" s="6451"/>
      <c r="P148" s="6451"/>
      <c r="Q148" s="6451"/>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50" t="s">
        <v>9653</v>
      </c>
      <c r="M149" s="6451"/>
      <c r="N149" s="6451"/>
      <c r="O149" s="6451"/>
      <c r="P149" s="6451"/>
      <c r="Q149" s="6451"/>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51" t="str">
        <f>"100m. Si &gt;0%, Control FUE "&amp;Sheele!E12+Sheele!E15+Sheele!E16&amp;"-[TA CON]: 10*[Nv de fracaso] daño (*5 si Acumulación)"</f>
        <v>100m. Si &gt;0%, Control FUE 16-[TA CON]: 10*[Nv de fracaso] daño (*5 si Acumulación)</v>
      </c>
      <c r="M150" s="6451"/>
      <c r="N150" s="6451"/>
      <c r="O150" s="6451"/>
      <c r="P150" s="6451"/>
      <c r="Q150" s="6451"/>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52" t="s">
        <v>2675</v>
      </c>
      <c r="M151" s="6451"/>
      <c r="N151" s="6451"/>
      <c r="O151" s="6451"/>
      <c r="P151" s="6451"/>
      <c r="Q151" s="6451"/>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51" t="str">
        <f>"Movimiento subterráneo de Tipo "&amp;Sheele!J19</f>
        <v>Movimiento subterráneo de Tipo 8</v>
      </c>
      <c r="M152" s="6451"/>
      <c r="N152" s="6451"/>
      <c r="O152" s="6451"/>
      <c r="P152" s="6451"/>
      <c r="Q152" s="6451"/>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55" t="s">
        <v>2712</v>
      </c>
      <c r="M153" s="6455"/>
      <c r="N153" s="6455"/>
      <c r="O153" s="6455"/>
      <c r="P153" s="6455"/>
      <c r="Q153" s="6455"/>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56" t="s">
        <v>1548</v>
      </c>
      <c r="M154" s="6456"/>
      <c r="N154" s="6456"/>
      <c r="O154" s="6456"/>
      <c r="P154" s="6456"/>
      <c r="Q154" s="6456"/>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51" t="str">
        <f>"Crea "&amp;Sheele!G15&amp;" proyectiles durante "&amp;Sheele!G16&amp;" asaltos. Máximo "&amp;ROUNDDOWN(Sheele!G11/2,0)&amp;" ataques/ turno. Ataca en ENE."</f>
        <v>Crea 8 proyectiles durante 6 asaltos. Máximo 4 ataques/ turno. Ataca en ENE.</v>
      </c>
      <c r="M155" s="6451"/>
      <c r="N155" s="6451"/>
      <c r="O155" s="6451"/>
      <c r="P155" s="6451"/>
      <c r="Q155" s="6451"/>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51" t="str">
        <f>"ENE. +15 Proy. cada asalto que lo prepare, máximo "&amp;Sheele!G15&amp;"."</f>
        <v>ENE. +15 Proy. cada asalto que lo prepare, máximo 8.</v>
      </c>
      <c r="M156" s="6451"/>
      <c r="N156" s="6451"/>
      <c r="O156" s="6451"/>
      <c r="P156" s="6451"/>
      <c r="Q156" s="6451"/>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51" t="str">
        <f>"5 asaltos. +"&amp;Sheele!H15*2&amp;" a toda acción y al ACT transferible. Después, -50 ata (10/ asalto)"</f>
        <v>5 asaltos. +20 a toda acción y al ACT transferible. Después, -50 ata (10/ asalto)</v>
      </c>
      <c r="M157" s="6451"/>
      <c r="N157" s="6451"/>
      <c r="O157" s="6451"/>
      <c r="P157" s="6451"/>
      <c r="Q157" s="6451"/>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51" t="str">
        <f>"Cura "&amp;Sheele!L27&amp;" PV o elimina penalizadores por el mismo valor. 1 uso/ persona/ día."</f>
        <v>Cura 25 PV o elimina penalizadores por el mismo valor. 1 uso/ persona/ día.</v>
      </c>
      <c r="M158" s="6451"/>
      <c r="N158" s="6451"/>
      <c r="O158" s="6451"/>
      <c r="P158" s="6451"/>
      <c r="Q158" s="6451"/>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51" t="s">
        <v>2717</v>
      </c>
      <c r="M159" s="6451"/>
      <c r="N159" s="6451"/>
      <c r="O159" s="6451"/>
      <c r="P159" s="6451"/>
      <c r="Q159" s="6451"/>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52" t="s">
        <v>2718</v>
      </c>
      <c r="M160" s="6451"/>
      <c r="N160" s="6451"/>
      <c r="O160" s="6451"/>
      <c r="P160" s="6451"/>
      <c r="Q160" s="6451"/>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59" t="s">
        <v>9654</v>
      </c>
      <c r="M161" s="6451"/>
      <c r="N161" s="6451"/>
      <c r="O161" s="6451"/>
      <c r="P161" s="6451"/>
      <c r="Q161" s="6451"/>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52" t="s">
        <v>2675</v>
      </c>
      <c r="M162" s="6451"/>
      <c r="N162" s="6451"/>
      <c r="O162" s="6451"/>
      <c r="P162" s="6451"/>
      <c r="Q162" s="6451"/>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51" t="str">
        <f>"A voluntad. Inmune a ataques físicos. Puede cegar a quien la mire, RM "&amp;Sheele!L27*2+Sheele!H15&amp;". Ver"</f>
        <v>A voluntad. Inmune a ataques físicos. Puede cegar a quien la mire, RM 60. Ver</v>
      </c>
      <c r="M163" s="6451"/>
      <c r="N163" s="6451"/>
      <c r="O163" s="6451"/>
      <c r="P163" s="6451"/>
      <c r="Q163" s="6451"/>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60" t="s">
        <v>9655</v>
      </c>
      <c r="M164" s="6455"/>
      <c r="N164" s="6455"/>
      <c r="O164" s="6455"/>
      <c r="P164" s="6455"/>
      <c r="Q164" s="6455"/>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56" t="s">
        <v>1548</v>
      </c>
      <c r="M165" s="6456"/>
      <c r="N165" s="6456"/>
      <c r="O165" s="6456"/>
      <c r="P165" s="6456"/>
      <c r="Q165" s="6456"/>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57" t="s">
        <v>2723</v>
      </c>
      <c r="M166" s="6458"/>
      <c r="N166" s="6458"/>
      <c r="O166" s="6458"/>
      <c r="P166" s="6458"/>
      <c r="Q166" s="6458"/>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50" t="s">
        <v>9656</v>
      </c>
      <c r="M167" s="6451"/>
      <c r="N167" s="6451"/>
      <c r="O167" s="6451"/>
      <c r="P167" s="6451"/>
      <c r="Q167" s="6451"/>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51" t="str">
        <f>"Defensa. RM "&amp;Sheele!L27*2+Sheele!H15&amp;": -50 a toda acción que se recupera a 10/asalto"</f>
        <v>Defensa. RM 60: -50 a toda acción que se recupera a 10/asalto</v>
      </c>
      <c r="M168" s="6451"/>
      <c r="N168" s="6451"/>
      <c r="O168" s="6451"/>
      <c r="P168" s="6451"/>
      <c r="Q168" s="6451"/>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51" t="s">
        <v>2727</v>
      </c>
      <c r="M169" s="6451"/>
      <c r="N169" s="6451"/>
      <c r="O169" s="6451"/>
      <c r="P169" s="6451"/>
      <c r="Q169" s="6451"/>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51" t="str">
        <f>"Automático 50m. RM "&amp;Sheele!L27*2&amp;": -"&amp;Sheele!H15*2&amp;" a toda acción."</f>
        <v>Automático 50m. RM 50: -20 a toda acción.</v>
      </c>
      <c r="M170" s="6451"/>
      <c r="N170" s="6451"/>
      <c r="O170" s="6451"/>
      <c r="P170" s="6451"/>
      <c r="Q170" s="6451"/>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51" t="str">
        <f>"5 asaltos. +"&amp;Sheele!H15*2&amp;" ATA y al ACT trasferible. Al finalizar, -50 ATA (-10/asalto)"</f>
        <v>5 asaltos. +20 ATA y al ACT trasferible. Al finalizar, -50 ATA (-10/asalto)</v>
      </c>
      <c r="M171" s="6451"/>
      <c r="N171" s="6451"/>
      <c r="O171" s="6451"/>
      <c r="P171" s="6451"/>
      <c r="Q171" s="6451"/>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51" t="str">
        <f>"Objetivo durmiendo. RM "&amp;Sheele!L27*2+Sheele!H15&amp;" o malos sueños. En la Vigilia es más potente. Ver"</f>
        <v>Objetivo durmiendo. RM 60 o malos sueños. En la Vigilia es más potente. Ver</v>
      </c>
      <c r="M172" s="6451"/>
      <c r="N172" s="6451"/>
      <c r="O172" s="6451"/>
      <c r="P172" s="6451"/>
      <c r="Q172" s="6451"/>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50" t="s">
        <v>9657</v>
      </c>
      <c r="M173" s="6451"/>
      <c r="N173" s="6451"/>
      <c r="O173" s="6451"/>
      <c r="P173" s="6451"/>
      <c r="Q173" s="6451"/>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52" t="s">
        <v>2675</v>
      </c>
      <c r="M174" s="6451"/>
      <c r="N174" s="6451"/>
      <c r="O174" s="6451"/>
      <c r="P174" s="6451"/>
      <c r="Q174" s="6451"/>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55" t="str">
        <f>"Puede atacar y defender usando su proyección. Daño base [Presencia]+[Bono Fue]"</f>
        <v>Puede atacar y defender usando su proyección. Daño base [Presencia]+[Bono Fue]</v>
      </c>
      <c r="M175" s="6455"/>
      <c r="N175" s="6455"/>
      <c r="O175" s="6455"/>
      <c r="P175" s="6455"/>
      <c r="Q175" s="6455"/>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56" t="s">
        <v>1548</v>
      </c>
      <c r="M176" s="6456"/>
      <c r="N176" s="6456"/>
      <c r="O176" s="6456"/>
      <c r="P176" s="6456"/>
      <c r="Q176" s="6456"/>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51" t="str">
        <f>"Presa de FUE "&amp;Sheele!G15&amp;". Se puede mantener pagando el coste de zeon."</f>
        <v>Presa de FUE 8. Se puede mantener pagando el coste de zeon.</v>
      </c>
      <c r="M177" s="6451"/>
      <c r="N177" s="6451"/>
      <c r="O177" s="6451"/>
      <c r="P177" s="6451"/>
      <c r="Q177" s="6451"/>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51" t="str">
        <f>"Escudo sobrenatural "&amp;10*Sheele!L27&amp;" PV, que dura máximo "&amp;Sheele!G16&amp;" asaltos."</f>
        <v>Escudo sobrenatural 250 PV, que dura máximo 6 asaltos.</v>
      </c>
      <c r="M178" s="6451"/>
      <c r="N178" s="6451"/>
      <c r="O178" s="6451"/>
      <c r="P178" s="6451"/>
      <c r="Q178" s="6451"/>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51" t="s">
        <v>2736</v>
      </c>
      <c r="M179" s="6451"/>
      <c r="N179" s="6451"/>
      <c r="O179" s="6451"/>
      <c r="P179" s="6451"/>
      <c r="Q179" s="6451"/>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51" t="str">
        <f>"Cura "&amp;Sheele!L27*2&amp;" PV. 1 uso/ persona/ día."</f>
        <v>Cura 50 PV. 1 uso/ persona/ día.</v>
      </c>
      <c r="M180" s="6451"/>
      <c r="N180" s="6451"/>
      <c r="O180" s="6451"/>
      <c r="P180" s="6451"/>
      <c r="Q180" s="6451"/>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50" t="s">
        <v>9659</v>
      </c>
      <c r="M181" s="6451"/>
      <c r="N181" s="6451"/>
      <c r="O181" s="6451"/>
      <c r="P181" s="6451"/>
      <c r="Q181" s="6451"/>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52" t="s">
        <v>2739</v>
      </c>
      <c r="M182" s="6451"/>
      <c r="N182" s="6451"/>
      <c r="O182" s="6451"/>
      <c r="P182" s="6451"/>
      <c r="Q182" s="6451"/>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50" t="s">
        <v>9660</v>
      </c>
      <c r="M183" s="6451"/>
      <c r="N183" s="6451"/>
      <c r="O183" s="6451"/>
      <c r="P183" s="6451"/>
      <c r="Q183" s="6451"/>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52" t="s">
        <v>2675</v>
      </c>
      <c r="M184" s="6451"/>
      <c r="N184" s="6451"/>
      <c r="O184" s="6451"/>
      <c r="P184" s="6451"/>
      <c r="Q184" s="6451"/>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50" t="s">
        <v>9661</v>
      </c>
      <c r="M185" s="6451"/>
      <c r="N185" s="6451"/>
      <c r="O185" s="6451"/>
      <c r="P185" s="6451"/>
      <c r="Q185" s="6451"/>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54" t="s">
        <v>2743</v>
      </c>
      <c r="M186" s="6455"/>
      <c r="N186" s="6455"/>
      <c r="O186" s="6455"/>
      <c r="P186" s="6455"/>
      <c r="Q186" s="6455"/>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56" t="s">
        <v>1548</v>
      </c>
      <c r="M187" s="6456"/>
      <c r="N187" s="6456"/>
      <c r="O187" s="6456"/>
      <c r="P187" s="6456"/>
      <c r="Q187" s="6456"/>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50" t="s">
        <v>2745</v>
      </c>
      <c r="M188" s="6451"/>
      <c r="N188" s="6451"/>
      <c r="O188" s="6451"/>
      <c r="P188" s="6451"/>
      <c r="Q188" s="6451"/>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50" t="s">
        <v>9663</v>
      </c>
      <c r="M189" s="6451"/>
      <c r="N189" s="6451"/>
      <c r="O189" s="6451"/>
      <c r="P189" s="6451"/>
      <c r="Q189" s="6451"/>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51" t="s">
        <v>2748</v>
      </c>
      <c r="M190" s="6451"/>
      <c r="N190" s="6451"/>
      <c r="O190" s="6451"/>
      <c r="P190" s="6451"/>
      <c r="Q190" s="6451"/>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51" t="str">
        <f>"Área 25m. RM "&amp;Sheele!L27*2+Sheele!H15&amp;": -[fracaso] Hab. PER y -0.5*[fracaso] ata. En contacto: Inmune"</f>
        <v>Área 25m. RM 60: -[fracaso] Hab. PER y -0.5*[fracaso] ata. En contacto: Inmune</v>
      </c>
      <c r="M191" s="6451"/>
      <c r="N191" s="6451"/>
      <c r="O191" s="6451"/>
      <c r="P191" s="6451"/>
      <c r="Q191" s="6451"/>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51" t="s">
        <v>2751</v>
      </c>
      <c r="M192" s="6451"/>
      <c r="N192" s="6451"/>
      <c r="O192" s="6451"/>
      <c r="P192" s="6451"/>
      <c r="Q192" s="6451"/>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52" t="s">
        <v>2753</v>
      </c>
      <c r="M193" s="6451"/>
      <c r="N193" s="6451"/>
      <c r="O193" s="6451"/>
      <c r="P193" s="6451"/>
      <c r="Q193" s="6451"/>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51" t="str">
        <f>"Defensa. Crea "&amp;Sheele!G15&amp;" copias. Se desvanece 1/ turno y 1/ defensa. Ver."</f>
        <v>Defensa. Crea 8 copias. Se desvanece 1/ turno y 1/ defensa. Ver.</v>
      </c>
      <c r="M194" s="6451"/>
      <c r="N194" s="6451"/>
      <c r="O194" s="6451"/>
      <c r="P194" s="6451"/>
      <c r="Q194" s="6451"/>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50" t="s">
        <v>9664</v>
      </c>
      <c r="M195" s="6451"/>
      <c r="N195" s="6451"/>
      <c r="O195" s="6451"/>
      <c r="P195" s="6451"/>
      <c r="Q195" s="6451"/>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52" t="s">
        <v>2675</v>
      </c>
      <c r="M196" s="6451"/>
      <c r="N196" s="6451"/>
      <c r="O196" s="6451"/>
      <c r="P196" s="6451"/>
      <c r="Q196" s="6451"/>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53" t="str">
        <f>"A voluntad. Solo vulnerable a destrucción de sortilegios (Base, valor zeonico "&amp;Sheele!J9&amp;")"</f>
        <v>A voluntad. Solo vulnerable a destrucción de sortilegios (Base, valor zeonico 50)</v>
      </c>
      <c r="M197" s="6453"/>
      <c r="N197" s="6453"/>
      <c r="O197" s="6453"/>
      <c r="P197" s="6453"/>
      <c r="Q197" s="6453"/>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24" t="s">
        <v>2758</v>
      </c>
      <c r="C200" s="6425"/>
      <c r="D200" s="6425"/>
      <c r="E200" s="6425"/>
      <c r="F200" s="6425"/>
      <c r="G200" s="6425"/>
      <c r="H200" s="6425"/>
      <c r="I200" s="6425"/>
      <c r="J200" s="6425"/>
      <c r="K200" s="6425"/>
      <c r="L200" s="6425"/>
      <c r="M200" s="6426"/>
    </row>
    <row r="201" spans="1:18" x14ac:dyDescent="0.2">
      <c r="A201" s="282">
        <v>201</v>
      </c>
      <c r="B201" s="6427"/>
      <c r="C201" s="6428"/>
      <c r="D201" s="6428"/>
      <c r="E201" s="6428"/>
      <c r="F201" s="6428"/>
      <c r="G201" s="6428"/>
      <c r="H201" s="6428"/>
      <c r="I201" s="6428"/>
      <c r="J201" s="6428"/>
      <c r="K201" s="6428"/>
      <c r="L201" s="6428"/>
      <c r="M201" s="6429"/>
    </row>
    <row r="202" spans="1:18" x14ac:dyDescent="0.2">
      <c r="A202" s="282">
        <v>202</v>
      </c>
      <c r="B202" s="461"/>
      <c r="C202" s="451">
        <v>1</v>
      </c>
      <c r="D202" s="451">
        <v>2</v>
      </c>
      <c r="E202" s="451">
        <v>3</v>
      </c>
      <c r="F202" s="451">
        <v>4</v>
      </c>
      <c r="G202" s="451">
        <v>5</v>
      </c>
      <c r="H202" s="451">
        <v>6</v>
      </c>
      <c r="I202" s="451">
        <v>7</v>
      </c>
      <c r="J202" s="451">
        <v>8</v>
      </c>
      <c r="K202" s="459" t="s">
        <v>6241</v>
      </c>
      <c r="L202" s="6446" t="s">
        <v>2759</v>
      </c>
      <c r="M202" s="6447"/>
    </row>
    <row r="203" spans="1:18" x14ac:dyDescent="0.2">
      <c r="A203" s="282">
        <v>203</v>
      </c>
      <c r="B203" s="458"/>
      <c r="C203" s="6438" t="s">
        <v>1602</v>
      </c>
      <c r="D203" s="6439"/>
      <c r="E203" s="460" t="str">
        <f t="array" ref="E203:H203">TRANSPOSE(C204:D207)</f>
        <v>Vuelo Místico 10</v>
      </c>
      <c r="F203" s="460" t="str">
        <v>Movimiento Defensivo</v>
      </c>
      <c r="G203" s="460" t="str">
        <v xml:space="preserve"> </v>
      </c>
      <c r="H203" s="460" t="str">
        <v xml:space="preserve"> </v>
      </c>
      <c r="I203" s="460"/>
      <c r="J203" s="2455"/>
      <c r="K203" s="454"/>
      <c r="L203" s="6448"/>
      <c r="M203" s="6449"/>
    </row>
    <row r="204" spans="1:18" x14ac:dyDescent="0.2">
      <c r="A204" s="282">
        <v>204</v>
      </c>
      <c r="B204" s="326"/>
      <c r="C204" s="6434" t="s">
        <v>2760</v>
      </c>
      <c r="D204" s="6435"/>
      <c r="E204" s="6440" t="s">
        <v>2761</v>
      </c>
      <c r="F204" s="6440"/>
      <c r="G204" s="6440"/>
      <c r="H204" s="6440"/>
      <c r="I204" s="6440"/>
      <c r="J204" s="6440"/>
      <c r="K204" s="319" t="s">
        <v>1455</v>
      </c>
      <c r="L204" s="6420">
        <v>10</v>
      </c>
      <c r="M204" s="6421"/>
    </row>
    <row r="205" spans="1:18" x14ac:dyDescent="0.2">
      <c r="A205" s="282">
        <v>205</v>
      </c>
      <c r="B205" s="326"/>
      <c r="C205" s="6434" t="s">
        <v>2762</v>
      </c>
      <c r="D205" s="6435"/>
      <c r="E205" s="6440" t="s">
        <v>2763</v>
      </c>
      <c r="F205" s="6441"/>
      <c r="G205" s="6441"/>
      <c r="H205" s="6441"/>
      <c r="I205" s="6441"/>
      <c r="J205" s="6441"/>
      <c r="K205" s="319" t="s">
        <v>1455</v>
      </c>
      <c r="L205" s="6420"/>
      <c r="M205" s="6421"/>
    </row>
    <row r="206" spans="1:18" x14ac:dyDescent="0.2">
      <c r="A206" s="282">
        <v>206</v>
      </c>
      <c r="B206" s="287"/>
      <c r="C206" s="6436" t="s">
        <v>2764</v>
      </c>
      <c r="D206" s="6437"/>
      <c r="E206" s="6440"/>
      <c r="F206" s="6441"/>
      <c r="G206" s="6441"/>
      <c r="H206" s="6441"/>
      <c r="I206" s="6441"/>
      <c r="J206" s="6441"/>
      <c r="K206" s="319"/>
      <c r="L206" s="6430"/>
      <c r="M206" s="6431"/>
    </row>
    <row r="207" spans="1:18" x14ac:dyDescent="0.2">
      <c r="A207" s="282">
        <v>207</v>
      </c>
      <c r="B207" s="287"/>
      <c r="C207" s="6436" t="s">
        <v>2764</v>
      </c>
      <c r="D207" s="6437"/>
      <c r="E207" s="6440"/>
      <c r="F207" s="6441"/>
      <c r="G207" s="6441"/>
      <c r="H207" s="6441"/>
      <c r="I207" s="6441"/>
      <c r="J207" s="6441"/>
      <c r="K207" s="319"/>
      <c r="L207" s="6430"/>
      <c r="M207" s="6431"/>
    </row>
    <row r="208" spans="1:18" x14ac:dyDescent="0.2">
      <c r="A208" s="282">
        <v>208</v>
      </c>
      <c r="B208" s="458"/>
      <c r="C208" s="6438" t="s">
        <v>1605</v>
      </c>
      <c r="D208" s="6439"/>
      <c r="E208" s="460" t="str">
        <f t="array" ref="E208:H208">TRANSPOSE(C209:D212)</f>
        <v>Vuelo Místico 4</v>
      </c>
      <c r="F208" s="460" t="str">
        <v>Movimiento Acuático</v>
      </c>
      <c r="G208" s="460" t="str">
        <v>Respiración Acuática</v>
      </c>
      <c r="H208" s="460" t="str">
        <v>Resistencia Física</v>
      </c>
      <c r="I208" s="460"/>
      <c r="J208" s="2455"/>
      <c r="K208" s="457"/>
      <c r="L208" s="6432"/>
      <c r="M208" s="6433"/>
    </row>
    <row r="209" spans="1:13" x14ac:dyDescent="0.2">
      <c r="A209" s="282">
        <v>209</v>
      </c>
      <c r="B209" s="326"/>
      <c r="C209" s="6434" t="s">
        <v>2765</v>
      </c>
      <c r="D209" s="6435"/>
      <c r="E209" s="6440" t="s">
        <v>2766</v>
      </c>
      <c r="F209" s="6440"/>
      <c r="G209" s="6440"/>
      <c r="H209" s="6440"/>
      <c r="I209" s="6440"/>
      <c r="J209" s="6440"/>
      <c r="K209" s="319" t="s">
        <v>1455</v>
      </c>
      <c r="L209" s="6420">
        <v>4</v>
      </c>
      <c r="M209" s="6421"/>
    </row>
    <row r="210" spans="1:13" x14ac:dyDescent="0.2">
      <c r="A210" s="282">
        <v>210</v>
      </c>
      <c r="B210" s="326"/>
      <c r="C210" s="6434" t="s">
        <v>2767</v>
      </c>
      <c r="D210" s="6435"/>
      <c r="E210" s="6440" t="s">
        <v>2768</v>
      </c>
      <c r="F210" s="6441"/>
      <c r="G210" s="6441"/>
      <c r="H210" s="6441"/>
      <c r="I210" s="6441"/>
      <c r="J210" s="6441"/>
      <c r="K210" s="319" t="s">
        <v>1455</v>
      </c>
      <c r="L210" s="6420"/>
      <c r="M210" s="6421"/>
    </row>
    <row r="211" spans="1:13" x14ac:dyDescent="0.2">
      <c r="A211" s="282">
        <v>211</v>
      </c>
      <c r="B211" s="287"/>
      <c r="C211" s="6436" t="s">
        <v>2769</v>
      </c>
      <c r="D211" s="6437"/>
      <c r="E211" s="6440" t="s">
        <v>2770</v>
      </c>
      <c r="F211" s="6441"/>
      <c r="G211" s="6441"/>
      <c r="H211" s="6441"/>
      <c r="I211" s="6441"/>
      <c r="J211" s="6441"/>
      <c r="K211" s="319" t="s">
        <v>1455</v>
      </c>
      <c r="L211" s="6420"/>
      <c r="M211" s="6421"/>
    </row>
    <row r="212" spans="1:13" x14ac:dyDescent="0.2">
      <c r="A212" s="282">
        <v>212</v>
      </c>
      <c r="B212" s="287"/>
      <c r="C212" s="6436" t="s">
        <v>2771</v>
      </c>
      <c r="D212" s="6437"/>
      <c r="E212" s="6440" t="s">
        <v>2772</v>
      </c>
      <c r="F212" s="6441"/>
      <c r="G212" s="6441"/>
      <c r="H212" s="6441"/>
      <c r="I212" s="6441"/>
      <c r="J212" s="6441"/>
      <c r="K212" s="319" t="s">
        <v>1455</v>
      </c>
      <c r="L212" s="6420"/>
      <c r="M212" s="6421"/>
    </row>
    <row r="213" spans="1:13" x14ac:dyDescent="0.2">
      <c r="A213" s="282">
        <v>213</v>
      </c>
      <c r="B213" s="458"/>
      <c r="C213" s="6438" t="s">
        <v>1609</v>
      </c>
      <c r="D213" s="6439"/>
      <c r="E213" s="460" t="str">
        <f t="array" ref="E213:H213">TRANSPOSE(C214:D217)</f>
        <v>Vuelo Místico 6</v>
      </c>
      <c r="F213" s="460" t="str">
        <v>Control de Llamas</v>
      </c>
      <c r="G213" s="460" t="str">
        <v xml:space="preserve"> </v>
      </c>
      <c r="H213" s="460" t="str">
        <v xml:space="preserve"> </v>
      </c>
      <c r="I213" s="460"/>
      <c r="J213" s="2455"/>
      <c r="K213" s="457"/>
      <c r="L213" s="6432"/>
      <c r="M213" s="6433"/>
    </row>
    <row r="214" spans="1:13" x14ac:dyDescent="0.2">
      <c r="A214" s="282">
        <v>214</v>
      </c>
      <c r="B214" s="326"/>
      <c r="C214" s="6434" t="s">
        <v>2773</v>
      </c>
      <c r="D214" s="6435"/>
      <c r="E214" s="6440" t="s">
        <v>2774</v>
      </c>
      <c r="F214" s="6440"/>
      <c r="G214" s="6440"/>
      <c r="H214" s="6440"/>
      <c r="I214" s="6440"/>
      <c r="J214" s="6440"/>
      <c r="K214" s="319" t="s">
        <v>1455</v>
      </c>
      <c r="L214" s="6420">
        <v>6</v>
      </c>
      <c r="M214" s="6421"/>
    </row>
    <row r="215" spans="1:13" x14ac:dyDescent="0.2">
      <c r="A215" s="282">
        <v>215</v>
      </c>
      <c r="B215" s="326"/>
      <c r="C215" s="6434" t="s">
        <v>2775</v>
      </c>
      <c r="D215" s="6435"/>
      <c r="E215" s="6440" t="str">
        <f>"Controlar llamas de intensidades no superiores a "&amp;Sheele!G15/2&amp;". Puede atacar con ellas."</f>
        <v>Controlar llamas de intensidades no superiores a 4. Puede atacar con ellas.</v>
      </c>
      <c r="F215" s="6441"/>
      <c r="G215" s="6441"/>
      <c r="H215" s="6441"/>
      <c r="I215" s="6441"/>
      <c r="J215" s="6441"/>
      <c r="K215" s="319" t="s">
        <v>1455</v>
      </c>
      <c r="L215" s="6420"/>
      <c r="M215" s="6421"/>
    </row>
    <row r="216" spans="1:13" x14ac:dyDescent="0.2">
      <c r="A216" s="282">
        <v>216</v>
      </c>
      <c r="B216" s="287"/>
      <c r="C216" s="6436" t="s">
        <v>2764</v>
      </c>
      <c r="D216" s="6437"/>
      <c r="E216" s="6440"/>
      <c r="F216" s="6441"/>
      <c r="G216" s="6441"/>
      <c r="H216" s="6441"/>
      <c r="I216" s="6441"/>
      <c r="J216" s="6441"/>
      <c r="K216" s="319"/>
      <c r="L216" s="6430"/>
      <c r="M216" s="6431"/>
    </row>
    <row r="217" spans="1:13" x14ac:dyDescent="0.2">
      <c r="A217" s="282">
        <v>217</v>
      </c>
      <c r="B217" s="287"/>
      <c r="C217" s="6436" t="s">
        <v>2764</v>
      </c>
      <c r="D217" s="6437"/>
      <c r="E217" s="6440"/>
      <c r="F217" s="6441"/>
      <c r="G217" s="6441"/>
      <c r="H217" s="6441"/>
      <c r="I217" s="6441"/>
      <c r="J217" s="6441"/>
      <c r="K217" s="319"/>
      <c r="L217" s="6430"/>
      <c r="M217" s="6431"/>
    </row>
    <row r="218" spans="1:13" x14ac:dyDescent="0.2">
      <c r="A218" s="282">
        <v>218</v>
      </c>
      <c r="B218" s="458"/>
      <c r="C218" s="6438" t="s">
        <v>1703</v>
      </c>
      <c r="D218" s="6439"/>
      <c r="E218" s="460" t="str">
        <f t="array" ref="E218:H218">TRANSPOSE(C219:D222)</f>
        <v>Vuelo Místico 4</v>
      </c>
      <c r="F218" s="460" t="str">
        <v>Resistencia</v>
      </c>
      <c r="G218" s="460" t="str">
        <v xml:space="preserve"> </v>
      </c>
      <c r="H218" s="460" t="str">
        <v xml:space="preserve"> </v>
      </c>
      <c r="I218" s="460"/>
      <c r="J218" s="2455"/>
      <c r="K218" s="457"/>
      <c r="L218" s="6432"/>
      <c r="M218" s="6433"/>
    </row>
    <row r="219" spans="1:13" x14ac:dyDescent="0.2">
      <c r="A219" s="282">
        <v>219</v>
      </c>
      <c r="B219" s="326"/>
      <c r="C219" s="6434" t="s">
        <v>2765</v>
      </c>
      <c r="D219" s="6435"/>
      <c r="E219" s="6440" t="s">
        <v>2766</v>
      </c>
      <c r="F219" s="6440"/>
      <c r="G219" s="6440"/>
      <c r="H219" s="6440"/>
      <c r="I219" s="6440"/>
      <c r="J219" s="6440"/>
      <c r="K219" s="319" t="s">
        <v>1455</v>
      </c>
      <c r="L219" s="6420">
        <v>4</v>
      </c>
      <c r="M219" s="6421"/>
    </row>
    <row r="220" spans="1:13" x14ac:dyDescent="0.2">
      <c r="A220" s="282">
        <v>220</v>
      </c>
      <c r="B220" s="326"/>
      <c r="C220" s="6434" t="s">
        <v>2721</v>
      </c>
      <c r="D220" s="6435"/>
      <c r="E220" s="6440" t="s">
        <v>2776</v>
      </c>
      <c r="F220" s="6441"/>
      <c r="G220" s="6441"/>
      <c r="H220" s="6441"/>
      <c r="I220" s="6441"/>
      <c r="J220" s="6441"/>
      <c r="K220" s="319" t="s">
        <v>1455</v>
      </c>
      <c r="L220" s="6420"/>
      <c r="M220" s="6421"/>
    </row>
    <row r="221" spans="1:13" x14ac:dyDescent="0.2">
      <c r="A221" s="282">
        <v>221</v>
      </c>
      <c r="B221" s="287"/>
      <c r="C221" s="6436" t="s">
        <v>2764</v>
      </c>
      <c r="D221" s="6437"/>
      <c r="E221" s="6440"/>
      <c r="F221" s="6441"/>
      <c r="G221" s="6441"/>
      <c r="H221" s="6441"/>
      <c r="I221" s="6441"/>
      <c r="J221" s="6441"/>
      <c r="K221" s="319"/>
      <c r="L221" s="6430"/>
      <c r="M221" s="6431"/>
    </row>
    <row r="222" spans="1:13" x14ac:dyDescent="0.2">
      <c r="A222" s="282">
        <v>222</v>
      </c>
      <c r="B222" s="287"/>
      <c r="C222" s="6436" t="s">
        <v>2764</v>
      </c>
      <c r="D222" s="6437"/>
      <c r="E222" s="6440"/>
      <c r="F222" s="6441"/>
      <c r="G222" s="6441"/>
      <c r="H222" s="6441"/>
      <c r="I222" s="6441"/>
      <c r="J222" s="6441"/>
      <c r="K222" s="319"/>
      <c r="L222" s="6430"/>
      <c r="M222" s="6431"/>
    </row>
    <row r="223" spans="1:13" x14ac:dyDescent="0.2">
      <c r="A223" s="282">
        <v>223</v>
      </c>
      <c r="B223" s="458"/>
      <c r="C223" s="6438" t="s">
        <v>1698</v>
      </c>
      <c r="D223" s="6439"/>
      <c r="E223" s="460" t="str">
        <f t="array" ref="E223:H223">TRANSPOSE(C224:D227)</f>
        <v>Vuelo  Místico 6</v>
      </c>
      <c r="F223" s="460" t="str">
        <v>Visión de Luz</v>
      </c>
      <c r="G223" s="460" t="str">
        <v>Luminosa</v>
      </c>
      <c r="H223" s="460" t="str">
        <v xml:space="preserve"> </v>
      </c>
      <c r="I223" s="460"/>
      <c r="J223" s="2455"/>
      <c r="K223" s="457"/>
      <c r="L223" s="6432"/>
      <c r="M223" s="6433"/>
    </row>
    <row r="224" spans="1:13" x14ac:dyDescent="0.2">
      <c r="A224" s="282">
        <v>224</v>
      </c>
      <c r="B224" s="326"/>
      <c r="C224" s="6434" t="s">
        <v>2777</v>
      </c>
      <c r="D224" s="6435"/>
      <c r="E224" s="6440" t="s">
        <v>2774</v>
      </c>
      <c r="F224" s="6440"/>
      <c r="G224" s="6440"/>
      <c r="H224" s="6440"/>
      <c r="I224" s="6440"/>
      <c r="J224" s="6440"/>
      <c r="K224" s="319" t="s">
        <v>1455</v>
      </c>
      <c r="L224" s="6420">
        <v>6</v>
      </c>
      <c r="M224" s="6421"/>
    </row>
    <row r="225" spans="1:13" x14ac:dyDescent="0.2">
      <c r="A225" s="282">
        <v>225</v>
      </c>
      <c r="B225" s="326"/>
      <c r="C225" s="6434" t="s">
        <v>2778</v>
      </c>
      <c r="D225" s="6435"/>
      <c r="E225" s="6440" t="s">
        <v>2779</v>
      </c>
      <c r="F225" s="6441"/>
      <c r="G225" s="6441"/>
      <c r="H225" s="6441"/>
      <c r="I225" s="6441"/>
      <c r="J225" s="6441"/>
      <c r="K225" s="319" t="s">
        <v>1455</v>
      </c>
      <c r="L225" s="6420"/>
      <c r="M225" s="6421"/>
    </row>
    <row r="226" spans="1:13" x14ac:dyDescent="0.2">
      <c r="A226" s="282">
        <v>226</v>
      </c>
      <c r="B226" s="287"/>
      <c r="C226" s="6436" t="s">
        <v>2780</v>
      </c>
      <c r="D226" s="6437"/>
      <c r="E226" s="6440" t="s">
        <v>2781</v>
      </c>
      <c r="F226" s="6441"/>
      <c r="G226" s="6441"/>
      <c r="H226" s="6441"/>
      <c r="I226" s="6441"/>
      <c r="J226" s="6441"/>
      <c r="K226" s="319" t="s">
        <v>1455</v>
      </c>
      <c r="L226" s="6420"/>
      <c r="M226" s="6421"/>
    </row>
    <row r="227" spans="1:13" x14ac:dyDescent="0.2">
      <c r="A227" s="282">
        <v>227</v>
      </c>
      <c r="B227" s="287"/>
      <c r="C227" s="6436" t="s">
        <v>2764</v>
      </c>
      <c r="D227" s="6437"/>
      <c r="E227" s="6440"/>
      <c r="F227" s="6441"/>
      <c r="G227" s="6441"/>
      <c r="H227" s="6441"/>
      <c r="I227" s="6441"/>
      <c r="J227" s="6441"/>
      <c r="K227" s="319"/>
      <c r="L227" s="6430"/>
      <c r="M227" s="6431"/>
    </row>
    <row r="228" spans="1:13" x14ac:dyDescent="0.2">
      <c r="A228" s="282">
        <v>228</v>
      </c>
      <c r="B228" s="458"/>
      <c r="C228" s="6438" t="s">
        <v>1699</v>
      </c>
      <c r="D228" s="6439"/>
      <c r="E228" s="460" t="str">
        <f t="array" ref="E228:H228">TRANSPOSE(C229:D232)</f>
        <v>Vuelo Místico 8</v>
      </c>
      <c r="F228" s="460" t="str">
        <v>Visión oscura</v>
      </c>
      <c r="G228" s="460" t="str">
        <v>Invisible en la Sombra</v>
      </c>
      <c r="H228" s="460" t="str">
        <v xml:space="preserve"> </v>
      </c>
      <c r="I228" s="460"/>
      <c r="J228" s="2455"/>
      <c r="K228" s="457"/>
      <c r="L228" s="6432"/>
      <c r="M228" s="6433"/>
    </row>
    <row r="229" spans="1:13" x14ac:dyDescent="0.2">
      <c r="A229" s="282">
        <v>229</v>
      </c>
      <c r="B229" s="326"/>
      <c r="C229" s="6434" t="s">
        <v>2782</v>
      </c>
      <c r="D229" s="6435"/>
      <c r="E229" s="6440" t="s">
        <v>2783</v>
      </c>
      <c r="F229" s="6440"/>
      <c r="G229" s="6440"/>
      <c r="H229" s="6440"/>
      <c r="I229" s="6440"/>
      <c r="J229" s="6440"/>
      <c r="K229" s="319" t="s">
        <v>1455</v>
      </c>
      <c r="L229" s="6420">
        <v>8</v>
      </c>
      <c r="M229" s="6421"/>
    </row>
    <row r="230" spans="1:13" x14ac:dyDescent="0.2">
      <c r="A230" s="282">
        <v>230</v>
      </c>
      <c r="B230" s="326"/>
      <c r="C230" s="6434" t="s">
        <v>2784</v>
      </c>
      <c r="D230" s="6435"/>
      <c r="E230" s="6440" t="s">
        <v>2785</v>
      </c>
      <c r="F230" s="6441"/>
      <c r="G230" s="6441"/>
      <c r="H230" s="6441"/>
      <c r="I230" s="6441"/>
      <c r="J230" s="6441"/>
      <c r="K230" s="319" t="s">
        <v>1455</v>
      </c>
      <c r="L230" s="6420"/>
      <c r="M230" s="6421"/>
    </row>
    <row r="231" spans="1:13" x14ac:dyDescent="0.2">
      <c r="A231" s="282">
        <v>231</v>
      </c>
      <c r="B231" s="287"/>
      <c r="C231" s="6436" t="s">
        <v>2786</v>
      </c>
      <c r="D231" s="6437"/>
      <c r="E231" s="6440" t="s">
        <v>2787</v>
      </c>
      <c r="F231" s="6441"/>
      <c r="G231" s="6441"/>
      <c r="H231" s="6441"/>
      <c r="I231" s="6441"/>
      <c r="J231" s="6441"/>
      <c r="K231" s="319" t="s">
        <v>1455</v>
      </c>
      <c r="L231" s="6420"/>
      <c r="M231" s="6421"/>
    </row>
    <row r="232" spans="1:13" x14ac:dyDescent="0.2">
      <c r="A232" s="282">
        <v>232</v>
      </c>
      <c r="B232" s="287"/>
      <c r="C232" s="6436" t="s">
        <v>2764</v>
      </c>
      <c r="D232" s="6437"/>
      <c r="E232" s="6440"/>
      <c r="F232" s="6441"/>
      <c r="G232" s="6441"/>
      <c r="H232" s="6441"/>
      <c r="I232" s="6441"/>
      <c r="J232" s="6441"/>
      <c r="K232" s="319"/>
      <c r="L232" s="6430"/>
      <c r="M232" s="6431"/>
    </row>
    <row r="233" spans="1:13" x14ac:dyDescent="0.2">
      <c r="A233" s="282">
        <v>233</v>
      </c>
      <c r="B233" s="458"/>
      <c r="C233" s="6438" t="s">
        <v>2604</v>
      </c>
      <c r="D233" s="6439"/>
      <c r="E233" s="460" t="str">
        <f t="array" ref="E233:H233">TRANSPOSE(C234:D237)</f>
        <v>Vuelo Místico 6</v>
      </c>
      <c r="F233" s="460" t="str">
        <v>Naturaleza Sanadora</v>
      </c>
      <c r="G233" s="460" t="str">
        <v xml:space="preserve"> </v>
      </c>
      <c r="H233" s="460" t="str">
        <v xml:space="preserve"> </v>
      </c>
      <c r="I233" s="460"/>
      <c r="J233" s="2455"/>
      <c r="K233" s="457"/>
      <c r="L233" s="6432"/>
      <c r="M233" s="6433"/>
    </row>
    <row r="234" spans="1:13" x14ac:dyDescent="0.2">
      <c r="A234" s="282">
        <v>234</v>
      </c>
      <c r="B234" s="326"/>
      <c r="C234" s="6434" t="s">
        <v>2773</v>
      </c>
      <c r="D234" s="6435"/>
      <c r="E234" s="6440" t="s">
        <v>2774</v>
      </c>
      <c r="F234" s="6440"/>
      <c r="G234" s="6440"/>
      <c r="H234" s="6440"/>
      <c r="I234" s="6440"/>
      <c r="J234" s="6440"/>
      <c r="K234" s="319" t="s">
        <v>1455</v>
      </c>
      <c r="L234" s="6420">
        <v>6</v>
      </c>
      <c r="M234" s="6421"/>
    </row>
    <row r="235" spans="1:13" x14ac:dyDescent="0.2">
      <c r="A235" s="282">
        <v>235</v>
      </c>
      <c r="B235" s="326"/>
      <c r="C235" s="6434" t="s">
        <v>2788</v>
      </c>
      <c r="D235" s="6435"/>
      <c r="E235" s="6440" t="s">
        <v>2789</v>
      </c>
      <c r="F235" s="6441"/>
      <c r="G235" s="6441"/>
      <c r="H235" s="6441"/>
      <c r="I235" s="6441"/>
      <c r="J235" s="6441"/>
      <c r="K235" s="319" t="s">
        <v>1455</v>
      </c>
      <c r="L235" s="6420"/>
      <c r="M235" s="6421"/>
    </row>
    <row r="236" spans="1:13" x14ac:dyDescent="0.2">
      <c r="A236" s="282">
        <v>236</v>
      </c>
      <c r="B236" s="287"/>
      <c r="C236" s="6436" t="s">
        <v>2764</v>
      </c>
      <c r="D236" s="6437"/>
      <c r="E236" s="6440"/>
      <c r="F236" s="6441"/>
      <c r="G236" s="6441"/>
      <c r="H236" s="6441"/>
      <c r="I236" s="6441"/>
      <c r="J236" s="6441"/>
      <c r="K236" s="319"/>
      <c r="L236" s="6430"/>
      <c r="M236" s="6431"/>
    </row>
    <row r="237" spans="1:13" x14ac:dyDescent="0.2">
      <c r="A237" s="282">
        <v>237</v>
      </c>
      <c r="B237" s="287"/>
      <c r="C237" s="6436" t="s">
        <v>2764</v>
      </c>
      <c r="D237" s="6437"/>
      <c r="E237" s="6440"/>
      <c r="F237" s="6441"/>
      <c r="G237" s="6441"/>
      <c r="H237" s="6441"/>
      <c r="I237" s="6441"/>
      <c r="J237" s="6441"/>
      <c r="K237" s="319"/>
      <c r="L237" s="6430"/>
      <c r="M237" s="6431"/>
    </row>
    <row r="238" spans="1:13" x14ac:dyDescent="0.2">
      <c r="A238" s="282">
        <v>238</v>
      </c>
      <c r="B238" s="458"/>
      <c r="C238" s="6438" t="s">
        <v>1710</v>
      </c>
      <c r="D238" s="6439"/>
      <c r="E238" s="460" t="str">
        <f t="array" ref="E238:H238">TRANSPOSE(C239:D242)</f>
        <v>Vuelo Místico 6</v>
      </c>
      <c r="F238" s="460" t="str">
        <v>La que Todo lo Ve</v>
      </c>
      <c r="G238" s="460" t="str">
        <v>Destellos de Ilusión</v>
      </c>
      <c r="H238" s="460" t="str">
        <v xml:space="preserve"> </v>
      </c>
      <c r="I238" s="460"/>
      <c r="J238" s="2455"/>
      <c r="K238" s="457"/>
      <c r="L238" s="6432"/>
      <c r="M238" s="6433"/>
    </row>
    <row r="239" spans="1:13" x14ac:dyDescent="0.2">
      <c r="A239" s="282">
        <v>239</v>
      </c>
      <c r="B239" s="326"/>
      <c r="C239" s="6434" t="s">
        <v>2773</v>
      </c>
      <c r="D239" s="6435"/>
      <c r="E239" s="6440" t="s">
        <v>2774</v>
      </c>
      <c r="F239" s="6440"/>
      <c r="G239" s="6440"/>
      <c r="H239" s="6440"/>
      <c r="I239" s="6440"/>
      <c r="J239" s="6440"/>
      <c r="K239" s="319" t="s">
        <v>1455</v>
      </c>
      <c r="L239" s="6420">
        <v>6</v>
      </c>
      <c r="M239" s="6421"/>
    </row>
    <row r="240" spans="1:13" x14ac:dyDescent="0.2">
      <c r="A240" s="282">
        <v>240</v>
      </c>
      <c r="B240" s="326"/>
      <c r="C240" s="6434" t="s">
        <v>2790</v>
      </c>
      <c r="D240" s="6435"/>
      <c r="E240" s="6440" t="s">
        <v>2791</v>
      </c>
      <c r="F240" s="6441"/>
      <c r="G240" s="6441"/>
      <c r="H240" s="6441"/>
      <c r="I240" s="6441"/>
      <c r="J240" s="6441"/>
      <c r="K240" s="319" t="s">
        <v>1455</v>
      </c>
      <c r="L240" s="6420"/>
      <c r="M240" s="6421"/>
    </row>
    <row r="241" spans="1:13" x14ac:dyDescent="0.2">
      <c r="A241" s="282">
        <v>241</v>
      </c>
      <c r="B241" s="287"/>
      <c r="C241" s="6436" t="s">
        <v>2792</v>
      </c>
      <c r="D241" s="6437"/>
      <c r="E241" s="6440" t="s">
        <v>2793</v>
      </c>
      <c r="F241" s="6441"/>
      <c r="G241" s="6441"/>
      <c r="H241" s="6441"/>
      <c r="I241" s="6441"/>
      <c r="J241" s="6441"/>
      <c r="K241" s="319" t="s">
        <v>1455</v>
      </c>
      <c r="L241" s="6420"/>
      <c r="M241" s="6421"/>
    </row>
    <row r="242" spans="1:13" ht="13.5" thickBot="1" x14ac:dyDescent="0.25">
      <c r="A242" s="282">
        <v>242</v>
      </c>
      <c r="B242" s="455"/>
      <c r="C242" s="6442" t="s">
        <v>2764</v>
      </c>
      <c r="D242" s="6443"/>
      <c r="E242" s="6444"/>
      <c r="F242" s="6445"/>
      <c r="G242" s="6445"/>
      <c r="H242" s="6445"/>
      <c r="I242" s="6445"/>
      <c r="J242" s="6445"/>
      <c r="K242" s="456"/>
      <c r="L242" s="6422"/>
      <c r="M242" s="6423"/>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80" t="s">
        <v>9295</v>
      </c>
      <c r="V3" s="6481"/>
      <c r="W3" s="6481"/>
      <c r="X3" s="6481"/>
      <c r="Y3" s="6481"/>
      <c r="Z3" s="6481"/>
      <c r="AA3" s="6481"/>
      <c r="AB3" s="6481"/>
      <c r="AC3" s="6481"/>
      <c r="AD3" s="6481"/>
      <c r="AE3" s="6481"/>
      <c r="AF3" s="6481"/>
      <c r="AG3" s="6481"/>
      <c r="AH3" s="6482"/>
      <c r="AJ3" s="6490" t="s">
        <v>8787</v>
      </c>
      <c r="AK3" s="6491"/>
      <c r="AL3" s="6492"/>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83"/>
      <c r="V4" s="6484"/>
      <c r="W4" s="6484"/>
      <c r="X4" s="6484"/>
      <c r="Y4" s="6484"/>
      <c r="Z4" s="6484"/>
      <c r="AA4" s="6484"/>
      <c r="AB4" s="6484"/>
      <c r="AC4" s="6484"/>
      <c r="AD4" s="6484"/>
      <c r="AE4" s="6484"/>
      <c r="AF4" s="6484"/>
      <c r="AG4" s="6484"/>
      <c r="AH4" s="6485"/>
      <c r="AJ4" s="6493"/>
      <c r="AK4" s="6494"/>
      <c r="AL4" s="6495"/>
    </row>
    <row r="5" spans="1:38" ht="12.75" customHeight="1" x14ac:dyDescent="0.2">
      <c r="A5" s="762">
        <v>5</v>
      </c>
      <c r="B5" s="6413"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13"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6"/>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6"/>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7" t="s">
        <v>8722</v>
      </c>
      <c r="V113" s="6488"/>
      <c r="W113" s="6488"/>
      <c r="X113" s="6488"/>
      <c r="Y113" s="6488"/>
      <c r="Z113" s="6488"/>
      <c r="AA113" s="6488"/>
      <c r="AB113" s="6488"/>
      <c r="AC113" s="6488"/>
      <c r="AD113" s="6488"/>
      <c r="AE113" s="6488"/>
      <c r="AF113" s="6488"/>
      <c r="AG113" s="6488"/>
      <c r="AH113" s="6489"/>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5"/>
      <c r="T1" s="2505"/>
      <c r="U1" s="2505"/>
      <c r="V1" s="2505"/>
      <c r="W1" s="2505"/>
      <c r="X1" s="2505"/>
      <c r="Y1" s="2505"/>
      <c r="Z1" s="2505"/>
      <c r="AA1" s="2505"/>
      <c r="AB1" s="2505"/>
      <c r="AC1" s="2505"/>
      <c r="AD1" s="2505"/>
      <c r="AE1" s="2505"/>
      <c r="AF1" s="2505"/>
      <c r="AG1" s="2505"/>
      <c r="AH1" s="2505"/>
      <c r="AI1" s="2505"/>
      <c r="AJ1" s="2505"/>
      <c r="AK1" s="2505"/>
      <c r="AL1" s="2505"/>
      <c r="AM1" s="2505"/>
      <c r="AN1" s="2505"/>
      <c r="AO1" s="2505"/>
      <c r="AP1" s="2505"/>
      <c r="AQ1" s="2505"/>
      <c r="AR1" s="2505"/>
      <c r="AS1" s="2505"/>
      <c r="AT1" s="2505"/>
      <c r="AU1" s="2505"/>
      <c r="AV1" s="2505"/>
      <c r="AW1" s="2505"/>
      <c r="AX1" s="2505"/>
      <c r="AY1" s="2505"/>
      <c r="AZ1" s="2505"/>
      <c r="BA1" s="2505"/>
      <c r="BB1" s="2505"/>
      <c r="BC1" s="2505"/>
      <c r="BD1" s="2505"/>
      <c r="BE1" s="2505"/>
      <c r="BF1" s="2505"/>
      <c r="BG1" s="2505"/>
      <c r="BH1" s="2505"/>
      <c r="BI1" s="2505"/>
      <c r="BJ1" s="2505"/>
      <c r="BK1" s="2505"/>
      <c r="BL1" s="2505"/>
      <c r="BM1" s="2505"/>
      <c r="BN1" s="2505"/>
      <c r="BO1" s="2505"/>
      <c r="BP1" s="2505"/>
      <c r="BQ1" s="2505"/>
      <c r="BR1" s="2505"/>
      <c r="BS1" s="2505"/>
      <c r="BT1" s="2505"/>
      <c r="BU1" s="2505"/>
      <c r="BV1" s="2505"/>
      <c r="BW1" s="2505"/>
      <c r="BX1" s="2505"/>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6"/>
      <c r="BG2" s="393"/>
      <c r="BH2" s="394"/>
      <c r="BI2" s="394"/>
      <c r="BJ2" s="394"/>
      <c r="BK2" s="394"/>
      <c r="BL2" s="394"/>
      <c r="BM2" s="394"/>
      <c r="BN2" s="394"/>
      <c r="BO2" s="394"/>
      <c r="BP2" s="394"/>
      <c r="BQ2" s="394"/>
      <c r="BR2" s="394"/>
      <c r="BS2" s="394"/>
      <c r="BT2" s="394"/>
      <c r="BU2" s="394"/>
      <c r="BV2" s="394"/>
      <c r="BW2" s="395"/>
      <c r="BX2" s="2466"/>
    </row>
    <row r="3" spans="1:76" ht="12.2" customHeight="1" x14ac:dyDescent="0.2">
      <c r="A3" s="392"/>
      <c r="B3" s="279"/>
      <c r="C3" s="6496"/>
      <c r="D3" s="6497"/>
      <c r="E3" s="6497"/>
      <c r="F3" s="6497"/>
      <c r="G3" s="6497"/>
      <c r="H3" s="6497"/>
      <c r="I3" s="396"/>
      <c r="J3" s="396"/>
      <c r="K3" s="396"/>
      <c r="L3" s="396"/>
      <c r="M3" s="396"/>
      <c r="N3" s="396"/>
      <c r="O3" s="396"/>
      <c r="P3" s="396"/>
      <c r="Q3" s="397"/>
      <c r="R3" s="398"/>
      <c r="S3" s="392"/>
      <c r="T3" s="392"/>
      <c r="U3" s="279"/>
      <c r="V3" s="6496"/>
      <c r="W3" s="6497"/>
      <c r="X3" s="6497"/>
      <c r="Y3" s="6497"/>
      <c r="Z3" s="6497"/>
      <c r="AA3" s="6497"/>
      <c r="AB3" s="2506"/>
      <c r="AC3" s="2506"/>
      <c r="AD3" s="2506"/>
      <c r="AE3" s="2506"/>
      <c r="AF3" s="2506"/>
      <c r="AG3" s="2506"/>
      <c r="AH3" s="2506"/>
      <c r="AI3" s="2506"/>
      <c r="AJ3" s="397"/>
      <c r="AK3" s="398"/>
      <c r="AL3" s="392"/>
      <c r="AM3" s="392"/>
      <c r="AN3" s="279"/>
      <c r="AO3" s="6496"/>
      <c r="AP3" s="6497"/>
      <c r="AQ3" s="6497"/>
      <c r="AR3" s="6497"/>
      <c r="AS3" s="6497"/>
      <c r="AT3" s="6497"/>
      <c r="AU3" s="2506"/>
      <c r="AV3" s="2506"/>
      <c r="AW3" s="2506"/>
      <c r="AX3" s="2506"/>
      <c r="AY3" s="2506"/>
      <c r="AZ3" s="2506"/>
      <c r="BA3" s="2506"/>
      <c r="BB3" s="2506"/>
      <c r="BC3" s="397"/>
      <c r="BD3" s="398"/>
      <c r="BE3" s="392"/>
      <c r="BF3" s="2466"/>
      <c r="BG3" s="279"/>
      <c r="BH3" s="6496"/>
      <c r="BI3" s="6497"/>
      <c r="BJ3" s="6497"/>
      <c r="BK3" s="6497"/>
      <c r="BL3" s="6497"/>
      <c r="BM3" s="6497"/>
      <c r="BN3" s="2506"/>
      <c r="BO3" s="2506"/>
      <c r="BP3" s="2506"/>
      <c r="BQ3" s="2506"/>
      <c r="BR3" s="2506"/>
      <c r="BS3" s="2506"/>
      <c r="BT3" s="2506"/>
      <c r="BU3" s="2506"/>
      <c r="BV3" s="397"/>
      <c r="BW3" s="398"/>
      <c r="BX3" s="2466"/>
    </row>
    <row r="4" spans="1:76" ht="12.2" customHeight="1" x14ac:dyDescent="0.2">
      <c r="A4" s="392"/>
      <c r="B4" s="279"/>
      <c r="C4" s="6498"/>
      <c r="D4" s="6499"/>
      <c r="E4" s="6499"/>
      <c r="F4" s="6499"/>
      <c r="G4" s="6499"/>
      <c r="H4" s="6499"/>
      <c r="I4" s="330"/>
      <c r="J4" s="4574" t="s">
        <v>1323</v>
      </c>
      <c r="K4" s="4575"/>
      <c r="L4" s="4353" t="str">
        <f>IF(OR(General!$F$22="",General!$F$22=0),"",General!$F$22)</f>
        <v/>
      </c>
      <c r="M4" s="4353"/>
      <c r="N4" s="4353"/>
      <c r="O4" s="4353"/>
      <c r="P4" s="4353"/>
      <c r="Q4" s="352"/>
      <c r="R4" s="398"/>
      <c r="S4" s="392"/>
      <c r="T4" s="392"/>
      <c r="U4" s="279"/>
      <c r="V4" s="6498"/>
      <c r="W4" s="6499"/>
      <c r="X4" s="6499"/>
      <c r="Y4" s="6499"/>
      <c r="Z4" s="6499"/>
      <c r="AA4" s="6499"/>
      <c r="AB4" s="2507"/>
      <c r="AC4" s="4574" t="s">
        <v>1323</v>
      </c>
      <c r="AD4" s="4575"/>
      <c r="AE4" s="4353" t="str">
        <f>IF(OR(General!$F$22="",General!$F$22=0),"",General!$F$22)</f>
        <v/>
      </c>
      <c r="AF4" s="4353"/>
      <c r="AG4" s="4353"/>
      <c r="AH4" s="4353"/>
      <c r="AI4" s="4353"/>
      <c r="AJ4" s="352"/>
      <c r="AK4" s="398"/>
      <c r="AL4" s="392"/>
      <c r="AM4" s="392"/>
      <c r="AN4" s="279"/>
      <c r="AO4" s="6498"/>
      <c r="AP4" s="6499"/>
      <c r="AQ4" s="6499"/>
      <c r="AR4" s="6499"/>
      <c r="AS4" s="6499"/>
      <c r="AT4" s="6499"/>
      <c r="AU4" s="2507"/>
      <c r="AV4" s="4574" t="s">
        <v>1323</v>
      </c>
      <c r="AW4" s="4575"/>
      <c r="AX4" s="4353" t="str">
        <f>IF(OR(General!$F$22="",General!$F$22=0),"",General!$F$22)</f>
        <v/>
      </c>
      <c r="AY4" s="4353"/>
      <c r="AZ4" s="4353"/>
      <c r="BA4" s="4353"/>
      <c r="BB4" s="4353"/>
      <c r="BC4" s="352"/>
      <c r="BD4" s="398"/>
      <c r="BE4" s="392"/>
      <c r="BF4" s="2466"/>
      <c r="BG4" s="279"/>
      <c r="BH4" s="6498"/>
      <c r="BI4" s="6499"/>
      <c r="BJ4" s="6499"/>
      <c r="BK4" s="6499"/>
      <c r="BL4" s="6499"/>
      <c r="BM4" s="6499"/>
      <c r="BN4" s="2507"/>
      <c r="BO4" s="4574" t="s">
        <v>1323</v>
      </c>
      <c r="BP4" s="4575"/>
      <c r="BQ4" s="4353" t="str">
        <f>IF(OR(General!$F$22="",General!$F$22=0),"",General!$F$22)</f>
        <v/>
      </c>
      <c r="BR4" s="4353"/>
      <c r="BS4" s="4353"/>
      <c r="BT4" s="4353"/>
      <c r="BU4" s="4353"/>
      <c r="BV4" s="352"/>
      <c r="BW4" s="398"/>
      <c r="BX4" s="2466"/>
    </row>
    <row r="5" spans="1:76" ht="12.2" customHeight="1" x14ac:dyDescent="0.2">
      <c r="A5" s="392"/>
      <c r="B5" s="279"/>
      <c r="C5" s="6498"/>
      <c r="D5" s="6499"/>
      <c r="E5" s="6499"/>
      <c r="F5" s="6499"/>
      <c r="G5" s="6499"/>
      <c r="H5" s="6499"/>
      <c r="I5" s="330"/>
      <c r="J5" s="4564" t="s">
        <v>1324</v>
      </c>
      <c r="K5" s="4565"/>
      <c r="L5" s="3184" t="str">
        <f>IF(LEN(PDs!$E$11)&lt;=General!$AO$5,PDs!$E$11,"… /"&amp;RIGHT(PDs!$E$11,General!$AO$5-FIND("/",RIGHT(PDs!$E$11,General!$AO$5))))</f>
        <v/>
      </c>
      <c r="M5" s="3184"/>
      <c r="N5" s="3184"/>
      <c r="O5" s="2250" t="s">
        <v>1325</v>
      </c>
      <c r="P5" s="2251" t="str">
        <f>Principal!$O$6</f>
        <v>0</v>
      </c>
      <c r="Q5" s="399"/>
      <c r="R5" s="398"/>
      <c r="S5" s="392"/>
      <c r="T5" s="392"/>
      <c r="U5" s="279"/>
      <c r="V5" s="6498"/>
      <c r="W5" s="6499"/>
      <c r="X5" s="6499"/>
      <c r="Y5" s="6499"/>
      <c r="Z5" s="6499"/>
      <c r="AA5" s="6499"/>
      <c r="AB5" s="2507"/>
      <c r="AC5" s="4564" t="s">
        <v>1324</v>
      </c>
      <c r="AD5" s="4565"/>
      <c r="AE5" s="3184" t="str">
        <f>$L$5</f>
        <v/>
      </c>
      <c r="AF5" s="3184"/>
      <c r="AG5" s="3184"/>
      <c r="AH5" s="2250" t="s">
        <v>1325</v>
      </c>
      <c r="AI5" s="2251" t="str">
        <f>Principal!$O$6</f>
        <v>0</v>
      </c>
      <c r="AJ5" s="399"/>
      <c r="AK5" s="398"/>
      <c r="AL5" s="392"/>
      <c r="AM5" s="392"/>
      <c r="AN5" s="279"/>
      <c r="AO5" s="6498"/>
      <c r="AP5" s="6499"/>
      <c r="AQ5" s="6499"/>
      <c r="AR5" s="6499"/>
      <c r="AS5" s="6499"/>
      <c r="AT5" s="6499"/>
      <c r="AU5" s="2507"/>
      <c r="AV5" s="4564" t="s">
        <v>1324</v>
      </c>
      <c r="AW5" s="4565"/>
      <c r="AX5" s="3184" t="str">
        <f>$L$5</f>
        <v/>
      </c>
      <c r="AY5" s="3184"/>
      <c r="AZ5" s="3184"/>
      <c r="BA5" s="2250" t="s">
        <v>1325</v>
      </c>
      <c r="BB5" s="2251" t="str">
        <f>Principal!$O$6</f>
        <v>0</v>
      </c>
      <c r="BC5" s="399"/>
      <c r="BD5" s="398"/>
      <c r="BE5" s="392"/>
      <c r="BF5" s="2466"/>
      <c r="BG5" s="279"/>
      <c r="BH5" s="6498"/>
      <c r="BI5" s="6499"/>
      <c r="BJ5" s="6499"/>
      <c r="BK5" s="6499"/>
      <c r="BL5" s="6499"/>
      <c r="BM5" s="6499"/>
      <c r="BN5" s="2507"/>
      <c r="BO5" s="4564" t="s">
        <v>1324</v>
      </c>
      <c r="BP5" s="4565"/>
      <c r="BQ5" s="3184" t="str">
        <f>$L$5</f>
        <v/>
      </c>
      <c r="BR5" s="3184"/>
      <c r="BS5" s="3184"/>
      <c r="BT5" s="2250" t="s">
        <v>1325</v>
      </c>
      <c r="BU5" s="2251" t="str">
        <f>Principal!$O$6</f>
        <v>0</v>
      </c>
      <c r="BV5" s="399"/>
      <c r="BW5" s="398"/>
      <c r="BX5" s="2466"/>
    </row>
    <row r="6" spans="1:76" ht="12.2" customHeight="1" x14ac:dyDescent="0.2">
      <c r="A6" s="392"/>
      <c r="B6" s="279"/>
      <c r="C6" s="6498"/>
      <c r="D6" s="6499"/>
      <c r="E6" s="6499"/>
      <c r="F6" s="6499"/>
      <c r="G6" s="6499"/>
      <c r="H6" s="6499"/>
      <c r="I6" s="330"/>
      <c r="J6" s="4566" t="s">
        <v>6230</v>
      </c>
      <c r="K6" s="4567"/>
      <c r="L6" s="4567"/>
      <c r="M6" s="4567"/>
      <c r="N6" s="4567"/>
      <c r="O6" s="4567"/>
      <c r="P6" s="4567"/>
      <c r="Q6" s="399"/>
      <c r="R6" s="398"/>
      <c r="S6" s="392"/>
      <c r="T6" s="392"/>
      <c r="U6" s="279"/>
      <c r="V6" s="6498"/>
      <c r="W6" s="6499"/>
      <c r="X6" s="6499"/>
      <c r="Y6" s="6499"/>
      <c r="Z6" s="6499"/>
      <c r="AA6" s="6499"/>
      <c r="AB6" s="2507"/>
      <c r="AC6" s="4566" t="s">
        <v>6230</v>
      </c>
      <c r="AD6" s="4567"/>
      <c r="AE6" s="4567"/>
      <c r="AF6" s="4567"/>
      <c r="AG6" s="4567"/>
      <c r="AH6" s="4567"/>
      <c r="AI6" s="4567"/>
      <c r="AJ6" s="399"/>
      <c r="AK6" s="398"/>
      <c r="AL6" s="392"/>
      <c r="AM6" s="392"/>
      <c r="AN6" s="279"/>
      <c r="AO6" s="6498"/>
      <c r="AP6" s="6499"/>
      <c r="AQ6" s="6499"/>
      <c r="AR6" s="6499"/>
      <c r="AS6" s="6499"/>
      <c r="AT6" s="6499"/>
      <c r="AU6" s="2507"/>
      <c r="AV6" s="4566" t="s">
        <v>6230</v>
      </c>
      <c r="AW6" s="4567"/>
      <c r="AX6" s="4567"/>
      <c r="AY6" s="4567"/>
      <c r="AZ6" s="4567"/>
      <c r="BA6" s="4567"/>
      <c r="BB6" s="4567"/>
      <c r="BC6" s="399"/>
      <c r="BD6" s="398"/>
      <c r="BE6" s="392"/>
      <c r="BF6" s="2466"/>
      <c r="BG6" s="279"/>
      <c r="BH6" s="6498"/>
      <c r="BI6" s="6499"/>
      <c r="BJ6" s="6499"/>
      <c r="BK6" s="6499"/>
      <c r="BL6" s="6499"/>
      <c r="BM6" s="6499"/>
      <c r="BN6" s="2507"/>
      <c r="BO6" s="4566" t="s">
        <v>6230</v>
      </c>
      <c r="BP6" s="4567"/>
      <c r="BQ6" s="4567"/>
      <c r="BR6" s="4567"/>
      <c r="BS6" s="4567"/>
      <c r="BT6" s="4567"/>
      <c r="BU6" s="4567"/>
      <c r="BV6" s="399"/>
      <c r="BW6" s="398"/>
      <c r="BX6" s="2466"/>
    </row>
    <row r="7" spans="1:76" ht="12.2" customHeight="1" x14ac:dyDescent="0.2">
      <c r="A7" s="392"/>
      <c r="B7" s="279"/>
      <c r="C7" s="6498"/>
      <c r="D7" s="6499"/>
      <c r="E7" s="6499"/>
      <c r="F7" s="6499"/>
      <c r="G7" s="6499"/>
      <c r="H7" s="6499"/>
      <c r="I7" s="330"/>
      <c r="J7" s="4567"/>
      <c r="K7" s="4567"/>
      <c r="L7" s="4567"/>
      <c r="M7" s="4567"/>
      <c r="N7" s="4567"/>
      <c r="O7" s="4567"/>
      <c r="P7" s="4567"/>
      <c r="Q7" s="399"/>
      <c r="R7" s="398"/>
      <c r="S7" s="392"/>
      <c r="T7" s="392"/>
      <c r="U7" s="279"/>
      <c r="V7" s="6498"/>
      <c r="W7" s="6499"/>
      <c r="X7" s="6499"/>
      <c r="Y7" s="6499"/>
      <c r="Z7" s="6499"/>
      <c r="AA7" s="6499"/>
      <c r="AB7" s="2507"/>
      <c r="AC7" s="4567"/>
      <c r="AD7" s="4567"/>
      <c r="AE7" s="4567"/>
      <c r="AF7" s="4567"/>
      <c r="AG7" s="4567"/>
      <c r="AH7" s="4567"/>
      <c r="AI7" s="4567"/>
      <c r="AJ7" s="399"/>
      <c r="AK7" s="398"/>
      <c r="AL7" s="392"/>
      <c r="AM7" s="392"/>
      <c r="AN7" s="279"/>
      <c r="AO7" s="6498"/>
      <c r="AP7" s="6499"/>
      <c r="AQ7" s="6499"/>
      <c r="AR7" s="6499"/>
      <c r="AS7" s="6499"/>
      <c r="AT7" s="6499"/>
      <c r="AU7" s="2507"/>
      <c r="AV7" s="4567"/>
      <c r="AW7" s="4567"/>
      <c r="AX7" s="4567"/>
      <c r="AY7" s="4567"/>
      <c r="AZ7" s="4567"/>
      <c r="BA7" s="4567"/>
      <c r="BB7" s="4567"/>
      <c r="BC7" s="399"/>
      <c r="BD7" s="398"/>
      <c r="BE7" s="392"/>
      <c r="BF7" s="2466"/>
      <c r="BG7" s="279"/>
      <c r="BH7" s="6498"/>
      <c r="BI7" s="6499"/>
      <c r="BJ7" s="6499"/>
      <c r="BK7" s="6499"/>
      <c r="BL7" s="6499"/>
      <c r="BM7" s="6499"/>
      <c r="BN7" s="2507"/>
      <c r="BO7" s="4567"/>
      <c r="BP7" s="4567"/>
      <c r="BQ7" s="4567"/>
      <c r="BR7" s="4567"/>
      <c r="BS7" s="4567"/>
      <c r="BT7" s="4567"/>
      <c r="BU7" s="4567"/>
      <c r="BV7" s="399"/>
      <c r="BW7" s="398"/>
      <c r="BX7" s="2466"/>
    </row>
    <row r="8" spans="1:76" ht="12.2" customHeight="1" thickBot="1" x14ac:dyDescent="0.25">
      <c r="A8" s="392"/>
      <c r="B8" s="279"/>
      <c r="C8" s="6500"/>
      <c r="D8" s="6501"/>
      <c r="E8" s="6501"/>
      <c r="F8" s="6501"/>
      <c r="G8" s="6501"/>
      <c r="H8" s="6501"/>
      <c r="I8" s="400"/>
      <c r="J8" s="400"/>
      <c r="K8" s="400"/>
      <c r="L8" s="400"/>
      <c r="M8" s="400"/>
      <c r="N8" s="400"/>
      <c r="O8" s="400"/>
      <c r="P8" s="400"/>
      <c r="Q8" s="401"/>
      <c r="R8" s="398"/>
      <c r="S8" s="392"/>
      <c r="T8" s="392"/>
      <c r="U8" s="279"/>
      <c r="V8" s="6500"/>
      <c r="W8" s="6501"/>
      <c r="X8" s="6501"/>
      <c r="Y8" s="6501"/>
      <c r="Z8" s="6501"/>
      <c r="AA8" s="6501"/>
      <c r="AB8" s="2508"/>
      <c r="AC8" s="2508"/>
      <c r="AD8" s="2508"/>
      <c r="AE8" s="2508"/>
      <c r="AF8" s="2508"/>
      <c r="AG8" s="2508"/>
      <c r="AH8" s="2508"/>
      <c r="AI8" s="2508"/>
      <c r="AJ8" s="401"/>
      <c r="AK8" s="398"/>
      <c r="AL8" s="392"/>
      <c r="AM8" s="392"/>
      <c r="AN8" s="279"/>
      <c r="AO8" s="6500"/>
      <c r="AP8" s="6501"/>
      <c r="AQ8" s="6501"/>
      <c r="AR8" s="6501"/>
      <c r="AS8" s="6501"/>
      <c r="AT8" s="6501"/>
      <c r="AU8" s="2508"/>
      <c r="AV8" s="2508"/>
      <c r="AW8" s="2508"/>
      <c r="AX8" s="2508"/>
      <c r="AY8" s="2508"/>
      <c r="AZ8" s="2508"/>
      <c r="BA8" s="2508"/>
      <c r="BB8" s="2508"/>
      <c r="BC8" s="401"/>
      <c r="BD8" s="398"/>
      <c r="BE8" s="392"/>
      <c r="BF8" s="2466"/>
      <c r="BG8" s="279"/>
      <c r="BH8" s="6500"/>
      <c r="BI8" s="6501"/>
      <c r="BJ8" s="6501"/>
      <c r="BK8" s="6501"/>
      <c r="BL8" s="6501"/>
      <c r="BM8" s="6501"/>
      <c r="BN8" s="2508"/>
      <c r="BO8" s="2508"/>
      <c r="BP8" s="2508"/>
      <c r="BQ8" s="2508"/>
      <c r="BR8" s="2508"/>
      <c r="BS8" s="2508"/>
      <c r="BT8" s="2508"/>
      <c r="BU8" s="2508"/>
      <c r="BV8" s="401"/>
      <c r="BW8" s="398"/>
      <c r="BX8" s="2466"/>
    </row>
    <row r="9" spans="1:76" ht="12.2" customHeight="1" x14ac:dyDescent="0.2">
      <c r="A9" s="2505"/>
      <c r="B9" s="279"/>
      <c r="R9" s="398"/>
      <c r="S9" s="2505"/>
      <c r="T9" s="2505"/>
      <c r="U9" s="279"/>
      <c r="AK9" s="398"/>
      <c r="AL9" s="2505"/>
      <c r="AM9" s="2505"/>
      <c r="AN9" s="279"/>
      <c r="BD9" s="398"/>
      <c r="BE9" s="2505"/>
      <c r="BF9" s="2505"/>
      <c r="BG9" s="279"/>
      <c r="BW9" s="398"/>
      <c r="BX9" s="2505"/>
    </row>
    <row r="10" spans="1:76" ht="12.2" customHeight="1" thickBot="1" x14ac:dyDescent="0.25">
      <c r="A10" s="392"/>
      <c r="B10" s="279"/>
      <c r="R10" s="398"/>
      <c r="S10" s="392"/>
      <c r="T10" s="392"/>
      <c r="U10" s="279"/>
      <c r="AK10" s="398"/>
      <c r="AL10" s="392"/>
      <c r="AM10" s="392"/>
      <c r="AN10" s="279"/>
      <c r="BD10" s="398"/>
      <c r="BE10" s="392"/>
      <c r="BF10" s="2466"/>
      <c r="BG10" s="279"/>
      <c r="BW10" s="398"/>
      <c r="BX10" s="2466"/>
    </row>
    <row r="11" spans="1:76" ht="12.2" customHeight="1" x14ac:dyDescent="0.2">
      <c r="A11" s="392"/>
      <c r="B11" s="279"/>
      <c r="C11" s="6526"/>
      <c r="D11" s="6527"/>
      <c r="E11" s="6527"/>
      <c r="F11" s="6527"/>
      <c r="G11" s="6527"/>
      <c r="H11" s="402" t="s">
        <v>1325</v>
      </c>
      <c r="I11" s="403" t="str">
        <f>IF(C11=0,"",VLOOKUP(C11,'Tablas Magia'!$D$6:$Z$680,3,FALSE))</f>
        <v/>
      </c>
      <c r="J11" s="6528" t="s">
        <v>6231</v>
      </c>
      <c r="K11" s="6528"/>
      <c r="L11" s="6528"/>
      <c r="M11" s="6529" t="str">
        <f>IF(C11=0,"",VLOOKUP(C11,'Tablas Magia'!$D$6:$Z$680,2,FALSE))</f>
        <v/>
      </c>
      <c r="N11" s="6529"/>
      <c r="O11" s="6529"/>
      <c r="P11" s="6529"/>
      <c r="Q11" s="6530"/>
      <c r="R11" s="398"/>
      <c r="S11" s="392"/>
      <c r="T11" s="392"/>
      <c r="U11" s="279"/>
      <c r="V11" s="6526"/>
      <c r="W11" s="6527"/>
      <c r="X11" s="6527"/>
      <c r="Y11" s="6527"/>
      <c r="Z11" s="6527"/>
      <c r="AA11" s="402" t="s">
        <v>1325</v>
      </c>
      <c r="AB11" s="403" t="str">
        <f>IF(V11=0,"",VLOOKUP(V11,'Tablas Magia'!$D$6:$Z$680,3,FALSE))</f>
        <v/>
      </c>
      <c r="AC11" s="6528" t="s">
        <v>6231</v>
      </c>
      <c r="AD11" s="6528"/>
      <c r="AE11" s="6528"/>
      <c r="AF11" s="6529" t="str">
        <f>IF(V11=0,"",VLOOKUP(V11,'Tablas Magia'!$D$6:$Z$680,2,FALSE))</f>
        <v/>
      </c>
      <c r="AG11" s="6529"/>
      <c r="AH11" s="6529"/>
      <c r="AI11" s="6529"/>
      <c r="AJ11" s="6530"/>
      <c r="AK11" s="398"/>
      <c r="AL11" s="392"/>
      <c r="AM11" s="392"/>
      <c r="AN11" s="279"/>
      <c r="AO11" s="6526"/>
      <c r="AP11" s="6527"/>
      <c r="AQ11" s="6527"/>
      <c r="AR11" s="6527"/>
      <c r="AS11" s="6527"/>
      <c r="AT11" s="402" t="s">
        <v>1325</v>
      </c>
      <c r="AU11" s="403" t="str">
        <f>IF(AO11=0,"",VLOOKUP(AO11,'Tablas Magia'!$D$6:$Z$680,3,FALSE))</f>
        <v/>
      </c>
      <c r="AV11" s="6528" t="s">
        <v>6231</v>
      </c>
      <c r="AW11" s="6528"/>
      <c r="AX11" s="6528"/>
      <c r="AY11" s="6529" t="str">
        <f>IF(AO11=0,"",VLOOKUP(AO11,'Tablas Magia'!$D$6:$Z$680,2,FALSE))</f>
        <v/>
      </c>
      <c r="AZ11" s="6529"/>
      <c r="BA11" s="6529"/>
      <c r="BB11" s="6529"/>
      <c r="BC11" s="6530"/>
      <c r="BD11" s="398"/>
      <c r="BE11" s="392"/>
      <c r="BF11" s="2466"/>
      <c r="BG11" s="279"/>
      <c r="BH11" s="6526"/>
      <c r="BI11" s="6527"/>
      <c r="BJ11" s="6527"/>
      <c r="BK11" s="6527"/>
      <c r="BL11" s="6527"/>
      <c r="BM11" s="402" t="s">
        <v>1325</v>
      </c>
      <c r="BN11" s="403" t="str">
        <f>IF(BH11=0,"",VLOOKUP(BH11,'Tablas Magia'!$D$6:$Z$680,3,FALSE))</f>
        <v/>
      </c>
      <c r="BO11" s="6528" t="s">
        <v>6231</v>
      </c>
      <c r="BP11" s="6528"/>
      <c r="BQ11" s="6528"/>
      <c r="BR11" s="6529" t="str">
        <f>IF(BH11=0,"",VLOOKUP(BH11,'Tablas Magia'!$D$6:$Z$680,2,FALSE))</f>
        <v/>
      </c>
      <c r="BS11" s="6529"/>
      <c r="BT11" s="6529"/>
      <c r="BU11" s="6529"/>
      <c r="BV11" s="6530"/>
      <c r="BW11" s="398"/>
      <c r="BX11" s="2466"/>
    </row>
    <row r="12" spans="1:76" ht="12.2" customHeight="1" x14ac:dyDescent="0.2">
      <c r="A12" s="392"/>
      <c r="B12" s="279"/>
      <c r="C12" s="6531" t="s">
        <v>6232</v>
      </c>
      <c r="D12" s="6532"/>
      <c r="E12" s="404" t="s">
        <v>6233</v>
      </c>
      <c r="F12" s="404" t="s">
        <v>1508</v>
      </c>
      <c r="G12" s="404" t="s">
        <v>2827</v>
      </c>
      <c r="H12" s="405" t="s">
        <v>1835</v>
      </c>
      <c r="I12" s="6533" t="str">
        <f>IF(C11=0,"",VLOOKUP(C11,'Tablas Magia'!$D$6:$Z$680,5,FALSE))</f>
        <v/>
      </c>
      <c r="J12" s="6533"/>
      <c r="K12" s="6534" t="s">
        <v>6234</v>
      </c>
      <c r="L12" s="6534"/>
      <c r="M12" s="6533" t="str">
        <f>IF(C11=0,"",VLOOKUP(C11,'Tablas Magia'!$D$6:$Z$680,6,FALSE))</f>
        <v/>
      </c>
      <c r="N12" s="6533"/>
      <c r="O12" s="6535" t="s">
        <v>6235</v>
      </c>
      <c r="P12" s="6535"/>
      <c r="Q12" s="406" t="str">
        <f>IF(C11=0,"",VLOOKUP(C11,'Tablas Magia'!$D$6:$Z$680,4,FALSE))</f>
        <v/>
      </c>
      <c r="R12" s="398"/>
      <c r="S12" s="392"/>
      <c r="T12" s="392"/>
      <c r="U12" s="279"/>
      <c r="V12" s="6531" t="s">
        <v>6232</v>
      </c>
      <c r="W12" s="6532"/>
      <c r="X12" s="404" t="s">
        <v>6233</v>
      </c>
      <c r="Y12" s="404" t="s">
        <v>1508</v>
      </c>
      <c r="Z12" s="404" t="s">
        <v>2827</v>
      </c>
      <c r="AA12" s="405" t="s">
        <v>1835</v>
      </c>
      <c r="AB12" s="6533" t="str">
        <f>IF(V11=0,"",VLOOKUP(V11,'Tablas Magia'!$D$6:$Z$680,5,FALSE))</f>
        <v/>
      </c>
      <c r="AC12" s="6533"/>
      <c r="AD12" s="6534" t="s">
        <v>6234</v>
      </c>
      <c r="AE12" s="6534"/>
      <c r="AF12" s="6533" t="str">
        <f>IF(V11=0,"",VLOOKUP(V11,'Tablas Magia'!$D$6:$Z$680,6,FALSE))</f>
        <v/>
      </c>
      <c r="AG12" s="6533"/>
      <c r="AH12" s="6535" t="s">
        <v>6235</v>
      </c>
      <c r="AI12" s="6535"/>
      <c r="AJ12" s="406" t="str">
        <f>IF(V11=0,"",VLOOKUP(V11,'Tablas Magia'!$D$6:$Z$680,4,FALSE))</f>
        <v/>
      </c>
      <c r="AK12" s="398"/>
      <c r="AL12" s="392"/>
      <c r="AM12" s="392"/>
      <c r="AN12" s="279"/>
      <c r="AO12" s="6531" t="s">
        <v>6232</v>
      </c>
      <c r="AP12" s="6532"/>
      <c r="AQ12" s="404" t="s">
        <v>6233</v>
      </c>
      <c r="AR12" s="404" t="s">
        <v>1508</v>
      </c>
      <c r="AS12" s="404" t="s">
        <v>2827</v>
      </c>
      <c r="AT12" s="405" t="s">
        <v>1835</v>
      </c>
      <c r="AU12" s="6533" t="str">
        <f>IF(AO11=0,"",VLOOKUP(AO11,'Tablas Magia'!$D$6:$Z$680,5,FALSE))</f>
        <v/>
      </c>
      <c r="AV12" s="6533"/>
      <c r="AW12" s="6534" t="s">
        <v>6234</v>
      </c>
      <c r="AX12" s="6534"/>
      <c r="AY12" s="6533" t="str">
        <f>IF(AO11=0,"",VLOOKUP(AO11,'Tablas Magia'!$D$6:$Z$680,6,FALSE))</f>
        <v/>
      </c>
      <c r="AZ12" s="6533"/>
      <c r="BA12" s="6535" t="s">
        <v>6235</v>
      </c>
      <c r="BB12" s="6535"/>
      <c r="BC12" s="406" t="str">
        <f>IF(AO11=0,"",VLOOKUP(AO11,'Tablas Magia'!$D$6:$Z$680,4,FALSE))</f>
        <v/>
      </c>
      <c r="BD12" s="398"/>
      <c r="BE12" s="392"/>
      <c r="BF12" s="2466"/>
      <c r="BG12" s="279"/>
      <c r="BH12" s="6531" t="s">
        <v>6232</v>
      </c>
      <c r="BI12" s="6532"/>
      <c r="BJ12" s="404" t="s">
        <v>6233</v>
      </c>
      <c r="BK12" s="404" t="s">
        <v>1508</v>
      </c>
      <c r="BL12" s="404" t="s">
        <v>2827</v>
      </c>
      <c r="BM12" s="405" t="s">
        <v>1835</v>
      </c>
      <c r="BN12" s="6533" t="str">
        <f>IF(BH11=0,"",VLOOKUP(BH11,'Tablas Magia'!$D$6:$Z$680,5,FALSE))</f>
        <v/>
      </c>
      <c r="BO12" s="6533"/>
      <c r="BP12" s="6534" t="s">
        <v>6234</v>
      </c>
      <c r="BQ12" s="6534"/>
      <c r="BR12" s="6533" t="str">
        <f>IF(BH11=0,"",VLOOKUP(BH11,'Tablas Magia'!$D$6:$Z$680,6,FALSE))</f>
        <v/>
      </c>
      <c r="BS12" s="6533"/>
      <c r="BT12" s="6535" t="s">
        <v>6235</v>
      </c>
      <c r="BU12" s="6535"/>
      <c r="BV12" s="406" t="str">
        <f>IF(BH11=0,"",VLOOKUP(BH11,'Tablas Magia'!$D$6:$Z$680,4,FALSE))</f>
        <v/>
      </c>
      <c r="BW12" s="398"/>
      <c r="BX12" s="2466"/>
    </row>
    <row r="13" spans="1:76" ht="12.2" customHeight="1" x14ac:dyDescent="0.2">
      <c r="A13" s="392"/>
      <c r="B13" s="279"/>
      <c r="C13" s="6507" t="s">
        <v>1365</v>
      </c>
      <c r="D13" s="6508"/>
      <c r="E13" s="407" t="str">
        <f>IF(C11=0,"",VLOOKUP(C11,'Tablas Magia'!$D$6:$Z$680,7,FALSE))</f>
        <v/>
      </c>
      <c r="F13" s="407" t="str">
        <f>IF(C11=0,"",VLOOKUP(C11,'Tablas Magia'!$D$6:$Z$680,11,FALSE))</f>
        <v/>
      </c>
      <c r="G13" s="408" t="str">
        <f>IF(C11=0,"",VLOOKUP(C11,'Tablas Magia'!$D$6:$Z$680,15,FALSE))</f>
        <v/>
      </c>
      <c r="H13" s="6509" t="str">
        <f>IF(C11=0,"",VLOOKUP(C11,'Tablas Magia'!$D$6:$Z$680,19,FALSE))</f>
        <v/>
      </c>
      <c r="I13" s="6510"/>
      <c r="J13" s="6510"/>
      <c r="K13" s="6510"/>
      <c r="L13" s="6510"/>
      <c r="M13" s="6510"/>
      <c r="N13" s="6510"/>
      <c r="O13" s="6510"/>
      <c r="P13" s="6510"/>
      <c r="Q13" s="6511"/>
      <c r="R13" s="398"/>
      <c r="S13" s="392"/>
      <c r="T13" s="392"/>
      <c r="U13" s="279"/>
      <c r="V13" s="6507" t="s">
        <v>1365</v>
      </c>
      <c r="W13" s="6508"/>
      <c r="X13" s="407" t="str">
        <f>IF(V11=0,"",VLOOKUP(V11,'Tablas Magia'!$D$6:$Z$680,7,FALSE))</f>
        <v/>
      </c>
      <c r="Y13" s="407" t="str">
        <f>IF(V11=0,"",VLOOKUP(V11,'Tablas Magia'!$D$6:$Z$680,11,FALSE))</f>
        <v/>
      </c>
      <c r="Z13" s="408" t="str">
        <f>IF(V11=0,"",VLOOKUP(V11,'Tablas Magia'!$D$6:$Z$680,15,FALSE))</f>
        <v/>
      </c>
      <c r="AA13" s="6509" t="str">
        <f>IF(V11=0,"",VLOOKUP(V11,'Tablas Magia'!$D$6:$Z$680,19,FALSE))</f>
        <v/>
      </c>
      <c r="AB13" s="6510"/>
      <c r="AC13" s="6510"/>
      <c r="AD13" s="6510"/>
      <c r="AE13" s="6510"/>
      <c r="AF13" s="6510"/>
      <c r="AG13" s="6510"/>
      <c r="AH13" s="6510"/>
      <c r="AI13" s="6510"/>
      <c r="AJ13" s="6511"/>
      <c r="AK13" s="398"/>
      <c r="AL13" s="392"/>
      <c r="AM13" s="392"/>
      <c r="AN13" s="279"/>
      <c r="AO13" s="6507" t="s">
        <v>1365</v>
      </c>
      <c r="AP13" s="6508"/>
      <c r="AQ13" s="407" t="str">
        <f>IF(AO11=0,"",VLOOKUP(AO11,'Tablas Magia'!$D$6:$Z$680,7,FALSE))</f>
        <v/>
      </c>
      <c r="AR13" s="407" t="str">
        <f>IF(AO11=0,"",VLOOKUP(AO11,'Tablas Magia'!$D$6:$Z$680,11,FALSE))</f>
        <v/>
      </c>
      <c r="AS13" s="408" t="str">
        <f>IF(AO11=0,"",VLOOKUP(AO11,'Tablas Magia'!$D$6:$Z$680,15,FALSE))</f>
        <v/>
      </c>
      <c r="AT13" s="6509" t="str">
        <f>IF(AO11=0,"",VLOOKUP(AO11,'Tablas Magia'!$D$6:$Z$680,19,FALSE))</f>
        <v/>
      </c>
      <c r="AU13" s="6510"/>
      <c r="AV13" s="6510"/>
      <c r="AW13" s="6510"/>
      <c r="AX13" s="6510"/>
      <c r="AY13" s="6510"/>
      <c r="AZ13" s="6510"/>
      <c r="BA13" s="6510"/>
      <c r="BB13" s="6510"/>
      <c r="BC13" s="6511"/>
      <c r="BD13" s="398"/>
      <c r="BE13" s="392"/>
      <c r="BF13" s="2466"/>
      <c r="BG13" s="279"/>
      <c r="BH13" s="6507" t="s">
        <v>1365</v>
      </c>
      <c r="BI13" s="6508"/>
      <c r="BJ13" s="407" t="str">
        <f>IF(BH11=0,"",VLOOKUP(BH11,'Tablas Magia'!$D$6:$Z$680,7,FALSE))</f>
        <v/>
      </c>
      <c r="BK13" s="407" t="str">
        <f>IF(BH11=0,"",VLOOKUP(BH11,'Tablas Magia'!$D$6:$Z$680,11,FALSE))</f>
        <v/>
      </c>
      <c r="BL13" s="408" t="str">
        <f>IF(BH11=0,"",VLOOKUP(BH11,'Tablas Magia'!$D$6:$Z$680,15,FALSE))</f>
        <v/>
      </c>
      <c r="BM13" s="6509" t="str">
        <f>IF(BH11=0,"",VLOOKUP(BH11,'Tablas Magia'!$D$6:$Z$680,19,FALSE))</f>
        <v/>
      </c>
      <c r="BN13" s="6510"/>
      <c r="BO13" s="6510"/>
      <c r="BP13" s="6510"/>
      <c r="BQ13" s="6510"/>
      <c r="BR13" s="6510"/>
      <c r="BS13" s="6510"/>
      <c r="BT13" s="6510"/>
      <c r="BU13" s="6510"/>
      <c r="BV13" s="6511"/>
      <c r="BW13" s="398"/>
      <c r="BX13" s="2466"/>
    </row>
    <row r="14" spans="1:76" ht="12.2" customHeight="1" x14ac:dyDescent="0.2">
      <c r="A14" s="392"/>
      <c r="B14" s="279"/>
      <c r="C14" s="6502" t="s">
        <v>3196</v>
      </c>
      <c r="D14" s="6503"/>
      <c r="E14" s="409" t="str">
        <f>IF(C11=0,"",VLOOKUP(C11,'Tablas Magia'!$D$6:$Z$680,8,FALSE))</f>
        <v/>
      </c>
      <c r="F14" s="409" t="str">
        <f>IF(C11=0,"",VLOOKUP(C11,'Tablas Magia'!$D$6:$Z$680,12,FALSE))</f>
        <v/>
      </c>
      <c r="G14" s="410" t="str">
        <f>IF(C11=0,"",VLOOKUP(C11,'Tablas Magia'!$D$6:$Z$680,16,FALSE))</f>
        <v/>
      </c>
      <c r="H14" s="6504" t="str">
        <f>IF(C11=0,"",VLOOKUP(C11,'Tablas Magia'!$D$6:$Z$680,20,FALSE))</f>
        <v/>
      </c>
      <c r="I14" s="6505"/>
      <c r="J14" s="6505"/>
      <c r="K14" s="6505"/>
      <c r="L14" s="6505"/>
      <c r="M14" s="6505"/>
      <c r="N14" s="6505"/>
      <c r="O14" s="6505"/>
      <c r="P14" s="6505"/>
      <c r="Q14" s="6506"/>
      <c r="R14" s="398"/>
      <c r="S14" s="392"/>
      <c r="T14" s="392"/>
      <c r="U14" s="279"/>
      <c r="V14" s="6502" t="s">
        <v>3196</v>
      </c>
      <c r="W14" s="6503"/>
      <c r="X14" s="409" t="str">
        <f>IF(V11=0,"",VLOOKUP(V11,'Tablas Magia'!$D$6:$Z$680,8,FALSE))</f>
        <v/>
      </c>
      <c r="Y14" s="409" t="str">
        <f>IF(V11=0,"",VLOOKUP(V11,'Tablas Magia'!$D$6:$Z$680,12,FALSE))</f>
        <v/>
      </c>
      <c r="Z14" s="410" t="str">
        <f>IF(V11=0,"",VLOOKUP(V11,'Tablas Magia'!$D$6:$Z$680,16,FALSE))</f>
        <v/>
      </c>
      <c r="AA14" s="6504" t="str">
        <f>IF(V11=0,"",VLOOKUP(V11,'Tablas Magia'!$D$6:$Z$680,20,FALSE))</f>
        <v/>
      </c>
      <c r="AB14" s="6505"/>
      <c r="AC14" s="6505"/>
      <c r="AD14" s="6505"/>
      <c r="AE14" s="6505"/>
      <c r="AF14" s="6505"/>
      <c r="AG14" s="6505"/>
      <c r="AH14" s="6505"/>
      <c r="AI14" s="6505"/>
      <c r="AJ14" s="6506"/>
      <c r="AK14" s="398"/>
      <c r="AL14" s="392"/>
      <c r="AM14" s="392"/>
      <c r="AN14" s="279"/>
      <c r="AO14" s="6502" t="s">
        <v>3196</v>
      </c>
      <c r="AP14" s="6503"/>
      <c r="AQ14" s="409" t="str">
        <f>IF(AO11=0,"",VLOOKUP(AO11,'Tablas Magia'!$D$6:$Z$680,8,FALSE))</f>
        <v/>
      </c>
      <c r="AR14" s="409" t="str">
        <f>IF(AO11=0,"",VLOOKUP(AO11,'Tablas Magia'!$D$6:$Z$680,12,FALSE))</f>
        <v/>
      </c>
      <c r="AS14" s="410" t="str">
        <f>IF(AO11=0,"",VLOOKUP(AO11,'Tablas Magia'!$D$6:$Z$680,16,FALSE))</f>
        <v/>
      </c>
      <c r="AT14" s="6504" t="str">
        <f>IF(AO11=0,"",VLOOKUP(AO11,'Tablas Magia'!$D$6:$Z$680,20,FALSE))</f>
        <v/>
      </c>
      <c r="AU14" s="6505"/>
      <c r="AV14" s="6505"/>
      <c r="AW14" s="6505"/>
      <c r="AX14" s="6505"/>
      <c r="AY14" s="6505"/>
      <c r="AZ14" s="6505"/>
      <c r="BA14" s="6505"/>
      <c r="BB14" s="6505"/>
      <c r="BC14" s="6506"/>
      <c r="BD14" s="398"/>
      <c r="BE14" s="392"/>
      <c r="BF14" s="2466"/>
      <c r="BG14" s="279"/>
      <c r="BH14" s="6502" t="s">
        <v>3196</v>
      </c>
      <c r="BI14" s="6503"/>
      <c r="BJ14" s="409" t="str">
        <f>IF(BH11=0,"",VLOOKUP(BH11,'Tablas Magia'!$D$6:$Z$680,8,FALSE))</f>
        <v/>
      </c>
      <c r="BK14" s="409" t="str">
        <f>IF(BH11=0,"",VLOOKUP(BH11,'Tablas Magia'!$D$6:$Z$680,12,FALSE))</f>
        <v/>
      </c>
      <c r="BL14" s="410" t="str">
        <f>IF(BH11=0,"",VLOOKUP(BH11,'Tablas Magia'!$D$6:$Z$680,16,FALSE))</f>
        <v/>
      </c>
      <c r="BM14" s="6504" t="str">
        <f>IF(BH11=0,"",VLOOKUP(BH11,'Tablas Magia'!$D$6:$Z$680,20,FALSE))</f>
        <v/>
      </c>
      <c r="BN14" s="6505"/>
      <c r="BO14" s="6505"/>
      <c r="BP14" s="6505"/>
      <c r="BQ14" s="6505"/>
      <c r="BR14" s="6505"/>
      <c r="BS14" s="6505"/>
      <c r="BT14" s="6505"/>
      <c r="BU14" s="6505"/>
      <c r="BV14" s="6506"/>
      <c r="BW14" s="398"/>
      <c r="BX14" s="2466"/>
    </row>
    <row r="15" spans="1:76" ht="12.2" customHeight="1" x14ac:dyDescent="0.2">
      <c r="A15" s="392"/>
      <c r="B15" s="279"/>
      <c r="C15" s="6507" t="s">
        <v>3197</v>
      </c>
      <c r="D15" s="6508"/>
      <c r="E15" s="407" t="str">
        <f>IF(C11=0,"",VLOOKUP(C11,'Tablas Magia'!$D$6:$Z$680,9,FALSE))</f>
        <v/>
      </c>
      <c r="F15" s="407" t="str">
        <f>IF(C11=0,"",VLOOKUP(C11,'Tablas Magia'!$D$6:$Z$680,13,FALSE))</f>
        <v/>
      </c>
      <c r="G15" s="408" t="str">
        <f>IF(C11=0,"",VLOOKUP(C11,'Tablas Magia'!$D$6:$Z$680,17,FALSE))</f>
        <v/>
      </c>
      <c r="H15" s="6509" t="str">
        <f>IF(C11=0,"",VLOOKUP(C11,'Tablas Magia'!$D$6:$Z$680,21,FALSE))</f>
        <v/>
      </c>
      <c r="I15" s="6510"/>
      <c r="J15" s="6510"/>
      <c r="K15" s="6510"/>
      <c r="L15" s="6510"/>
      <c r="M15" s="6510"/>
      <c r="N15" s="6510"/>
      <c r="O15" s="6510"/>
      <c r="P15" s="6510"/>
      <c r="Q15" s="6511"/>
      <c r="R15" s="398"/>
      <c r="S15" s="392"/>
      <c r="T15" s="392"/>
      <c r="U15" s="279"/>
      <c r="V15" s="6507" t="s">
        <v>3197</v>
      </c>
      <c r="W15" s="6508"/>
      <c r="X15" s="407" t="str">
        <f>IF(V11=0,"",VLOOKUP(V11,'Tablas Magia'!$D$6:$Z$680,9,FALSE))</f>
        <v/>
      </c>
      <c r="Y15" s="407" t="str">
        <f>IF(V11=0,"",VLOOKUP(V11,'Tablas Magia'!$D$6:$Z$680,13,FALSE))</f>
        <v/>
      </c>
      <c r="Z15" s="408" t="str">
        <f>IF(V11=0,"",VLOOKUP(V11,'Tablas Magia'!$D$6:$Z$680,17,FALSE))</f>
        <v/>
      </c>
      <c r="AA15" s="6509" t="str">
        <f>IF(V11=0,"",VLOOKUP(V11,'Tablas Magia'!$D$6:$Z$680,21,FALSE))</f>
        <v/>
      </c>
      <c r="AB15" s="6510"/>
      <c r="AC15" s="6510"/>
      <c r="AD15" s="6510"/>
      <c r="AE15" s="6510"/>
      <c r="AF15" s="6510"/>
      <c r="AG15" s="6510"/>
      <c r="AH15" s="6510"/>
      <c r="AI15" s="6510"/>
      <c r="AJ15" s="6511"/>
      <c r="AK15" s="398"/>
      <c r="AL15" s="392"/>
      <c r="AM15" s="392"/>
      <c r="AN15" s="279"/>
      <c r="AO15" s="6507" t="s">
        <v>3197</v>
      </c>
      <c r="AP15" s="6508"/>
      <c r="AQ15" s="407" t="str">
        <f>IF(AO11=0,"",VLOOKUP(AO11,'Tablas Magia'!$D$6:$Z$680,9,FALSE))</f>
        <v/>
      </c>
      <c r="AR15" s="407" t="str">
        <f>IF(AO11=0,"",VLOOKUP(AO11,'Tablas Magia'!$D$6:$Z$680,13,FALSE))</f>
        <v/>
      </c>
      <c r="AS15" s="408" t="str">
        <f>IF(AO11=0,"",VLOOKUP(AO11,'Tablas Magia'!$D$6:$Z$680,17,FALSE))</f>
        <v/>
      </c>
      <c r="AT15" s="6509" t="str">
        <f>IF(AO11=0,"",VLOOKUP(AO11,'Tablas Magia'!$D$6:$Z$680,21,FALSE))</f>
        <v/>
      </c>
      <c r="AU15" s="6510"/>
      <c r="AV15" s="6510"/>
      <c r="AW15" s="6510"/>
      <c r="AX15" s="6510"/>
      <c r="AY15" s="6510"/>
      <c r="AZ15" s="6510"/>
      <c r="BA15" s="6510"/>
      <c r="BB15" s="6510"/>
      <c r="BC15" s="6511"/>
      <c r="BD15" s="398"/>
      <c r="BE15" s="392"/>
      <c r="BF15" s="2466"/>
      <c r="BG15" s="279"/>
      <c r="BH15" s="6507" t="s">
        <v>3197</v>
      </c>
      <c r="BI15" s="6508"/>
      <c r="BJ15" s="407" t="str">
        <f>IF(BH11=0,"",VLOOKUP(BH11,'Tablas Magia'!$D$6:$Z$680,9,FALSE))</f>
        <v/>
      </c>
      <c r="BK15" s="407" t="str">
        <f>IF(BH11=0,"",VLOOKUP(BH11,'Tablas Magia'!$D$6:$Z$680,13,FALSE))</f>
        <v/>
      </c>
      <c r="BL15" s="408" t="str">
        <f>IF(BH11=0,"",VLOOKUP(BH11,'Tablas Magia'!$D$6:$Z$680,17,FALSE))</f>
        <v/>
      </c>
      <c r="BM15" s="6509" t="str">
        <f>IF(BH11=0,"",VLOOKUP(BH11,'Tablas Magia'!$D$6:$Z$680,21,FALSE))</f>
        <v/>
      </c>
      <c r="BN15" s="6510"/>
      <c r="BO15" s="6510"/>
      <c r="BP15" s="6510"/>
      <c r="BQ15" s="6510"/>
      <c r="BR15" s="6510"/>
      <c r="BS15" s="6510"/>
      <c r="BT15" s="6510"/>
      <c r="BU15" s="6510"/>
      <c r="BV15" s="6511"/>
      <c r="BW15" s="398"/>
      <c r="BX15" s="2466"/>
    </row>
    <row r="16" spans="1:76" ht="12.2" customHeight="1" thickBot="1" x14ac:dyDescent="0.25">
      <c r="A16" s="392"/>
      <c r="B16" s="279"/>
      <c r="C16" s="6512" t="s">
        <v>3198</v>
      </c>
      <c r="D16" s="6513"/>
      <c r="E16" s="411" t="str">
        <f>IF(C11=0,"",VLOOKUP(C11,'Tablas Magia'!$D$6:$Z$680,10,FALSE))</f>
        <v/>
      </c>
      <c r="F16" s="411" t="str">
        <f>IF(C11=0,"",VLOOKUP(C11,'Tablas Magia'!$D$6:$Z$680,14,FALSE))</f>
        <v/>
      </c>
      <c r="G16" s="412" t="str">
        <f>IF(C11=0,"",VLOOKUP(C11,'Tablas Magia'!$D$6:$Z$680,18,FALSE))</f>
        <v/>
      </c>
      <c r="H16" s="6514" t="str">
        <f>IF(C11=0,"",VLOOKUP(C11,'Tablas Magia'!$D$6:$Z$680,22,FALSE))</f>
        <v/>
      </c>
      <c r="I16" s="6515"/>
      <c r="J16" s="6515"/>
      <c r="K16" s="6515"/>
      <c r="L16" s="6515"/>
      <c r="M16" s="6515"/>
      <c r="N16" s="6515"/>
      <c r="O16" s="6515"/>
      <c r="P16" s="6515"/>
      <c r="Q16" s="6516"/>
      <c r="R16" s="398"/>
      <c r="S16" s="392"/>
      <c r="T16" s="392"/>
      <c r="U16" s="279"/>
      <c r="V16" s="6512" t="s">
        <v>3198</v>
      </c>
      <c r="W16" s="6513"/>
      <c r="X16" s="411" t="str">
        <f>IF(V11=0,"",VLOOKUP(V11,'Tablas Magia'!$D$6:$Z$680,10,FALSE))</f>
        <v/>
      </c>
      <c r="Y16" s="411" t="str">
        <f>IF(V11=0,"",VLOOKUP(V11,'Tablas Magia'!$D$6:$Z$680,14,FALSE))</f>
        <v/>
      </c>
      <c r="Z16" s="412" t="str">
        <f>IF(V11=0,"",VLOOKUP(V11,'Tablas Magia'!$D$6:$Z$680,18,FALSE))</f>
        <v/>
      </c>
      <c r="AA16" s="6514" t="str">
        <f>IF(V11=0,"",VLOOKUP(V11,'Tablas Magia'!$D$6:$Z$680,22,FALSE))</f>
        <v/>
      </c>
      <c r="AB16" s="6515"/>
      <c r="AC16" s="6515"/>
      <c r="AD16" s="6515"/>
      <c r="AE16" s="6515"/>
      <c r="AF16" s="6515"/>
      <c r="AG16" s="6515"/>
      <c r="AH16" s="6515"/>
      <c r="AI16" s="6515"/>
      <c r="AJ16" s="6516"/>
      <c r="AK16" s="398"/>
      <c r="AL16" s="392"/>
      <c r="AM16" s="392"/>
      <c r="AN16" s="279"/>
      <c r="AO16" s="6512" t="s">
        <v>3198</v>
      </c>
      <c r="AP16" s="6513"/>
      <c r="AQ16" s="411" t="str">
        <f>IF(AO11=0,"",VLOOKUP(AO11,'Tablas Magia'!$D$6:$Z$680,10,FALSE))</f>
        <v/>
      </c>
      <c r="AR16" s="411" t="str">
        <f>IF(AO11=0,"",VLOOKUP(AO11,'Tablas Magia'!$D$6:$Z$680,14,FALSE))</f>
        <v/>
      </c>
      <c r="AS16" s="412" t="str">
        <f>IF(AO11=0,"",VLOOKUP(AO11,'Tablas Magia'!$D$6:$Z$680,18,FALSE))</f>
        <v/>
      </c>
      <c r="AT16" s="6514" t="str">
        <f>IF(AO11=0,"",VLOOKUP(AO11,'Tablas Magia'!$D$6:$Z$680,22,FALSE))</f>
        <v/>
      </c>
      <c r="AU16" s="6515"/>
      <c r="AV16" s="6515"/>
      <c r="AW16" s="6515"/>
      <c r="AX16" s="6515"/>
      <c r="AY16" s="6515"/>
      <c r="AZ16" s="6515"/>
      <c r="BA16" s="6515"/>
      <c r="BB16" s="6515"/>
      <c r="BC16" s="6516"/>
      <c r="BD16" s="398"/>
      <c r="BE16" s="392"/>
      <c r="BF16" s="2466"/>
      <c r="BG16" s="279"/>
      <c r="BH16" s="6512" t="s">
        <v>3198</v>
      </c>
      <c r="BI16" s="6513"/>
      <c r="BJ16" s="411" t="str">
        <f>IF(BH11=0,"",VLOOKUP(BH11,'Tablas Magia'!$D$6:$Z$680,10,FALSE))</f>
        <v/>
      </c>
      <c r="BK16" s="411" t="str">
        <f>IF(BH11=0,"",VLOOKUP(BH11,'Tablas Magia'!$D$6:$Z$680,14,FALSE))</f>
        <v/>
      </c>
      <c r="BL16" s="412" t="str">
        <f>IF(BH11=0,"",VLOOKUP(BH11,'Tablas Magia'!$D$6:$Z$680,18,FALSE))</f>
        <v/>
      </c>
      <c r="BM16" s="6514" t="str">
        <f>IF(BH11=0,"",VLOOKUP(BH11,'Tablas Magia'!$D$6:$Z$680,22,FALSE))</f>
        <v/>
      </c>
      <c r="BN16" s="6515"/>
      <c r="BO16" s="6515"/>
      <c r="BP16" s="6515"/>
      <c r="BQ16" s="6515"/>
      <c r="BR16" s="6515"/>
      <c r="BS16" s="6515"/>
      <c r="BT16" s="6515"/>
      <c r="BU16" s="6515"/>
      <c r="BV16" s="6516"/>
      <c r="BW16" s="398"/>
      <c r="BX16" s="2466"/>
    </row>
    <row r="17" spans="1:76" ht="12.2" customHeight="1" x14ac:dyDescent="0.2">
      <c r="A17" s="392"/>
      <c r="B17" s="279"/>
      <c r="C17" s="6517" t="str">
        <f>IF(C11=0,"",VLOOKUP(C11,'Tablas Magia'!$D$6:$Z$680,23,FALSE))</f>
        <v/>
      </c>
      <c r="D17" s="6518"/>
      <c r="E17" s="6518"/>
      <c r="F17" s="6518"/>
      <c r="G17" s="6518"/>
      <c r="H17" s="6518"/>
      <c r="I17" s="6518"/>
      <c r="J17" s="6518"/>
      <c r="K17" s="6518"/>
      <c r="L17" s="6518"/>
      <c r="M17" s="6518"/>
      <c r="N17" s="6518"/>
      <c r="O17" s="6518"/>
      <c r="P17" s="6518"/>
      <c r="Q17" s="6519"/>
      <c r="R17" s="398"/>
      <c r="S17" s="392"/>
      <c r="T17" s="392"/>
      <c r="U17" s="279"/>
      <c r="V17" s="6517" t="str">
        <f>IF(V11=0,"",VLOOKUP(V11,'Tablas Magia'!$D$6:$Z$680,23,FALSE))</f>
        <v/>
      </c>
      <c r="W17" s="6518"/>
      <c r="X17" s="6518"/>
      <c r="Y17" s="6518"/>
      <c r="Z17" s="6518"/>
      <c r="AA17" s="6518"/>
      <c r="AB17" s="6518"/>
      <c r="AC17" s="6518"/>
      <c r="AD17" s="6518"/>
      <c r="AE17" s="6518"/>
      <c r="AF17" s="6518"/>
      <c r="AG17" s="6518"/>
      <c r="AH17" s="6518"/>
      <c r="AI17" s="6518"/>
      <c r="AJ17" s="6519"/>
      <c r="AK17" s="398"/>
      <c r="AL17" s="392"/>
      <c r="AM17" s="392"/>
      <c r="AN17" s="279"/>
      <c r="AO17" s="6517" t="str">
        <f>IF(AO11=0,"",VLOOKUP(AO11,'Tablas Magia'!$D$6:$Z$680,23,FALSE))</f>
        <v/>
      </c>
      <c r="AP17" s="6518"/>
      <c r="AQ17" s="6518"/>
      <c r="AR17" s="6518"/>
      <c r="AS17" s="6518"/>
      <c r="AT17" s="6518"/>
      <c r="AU17" s="6518"/>
      <c r="AV17" s="6518"/>
      <c r="AW17" s="6518"/>
      <c r="AX17" s="6518"/>
      <c r="AY17" s="6518"/>
      <c r="AZ17" s="6518"/>
      <c r="BA17" s="6518"/>
      <c r="BB17" s="6518"/>
      <c r="BC17" s="6519"/>
      <c r="BD17" s="398"/>
      <c r="BE17" s="392"/>
      <c r="BF17" s="2466"/>
      <c r="BG17" s="279"/>
      <c r="BH17" s="6517" t="str">
        <f>IF(BH11=0,"",VLOOKUP(BH11,'Tablas Magia'!$D$6:$Z$680,23,FALSE))</f>
        <v/>
      </c>
      <c r="BI17" s="6518"/>
      <c r="BJ17" s="6518"/>
      <c r="BK17" s="6518"/>
      <c r="BL17" s="6518"/>
      <c r="BM17" s="6518"/>
      <c r="BN17" s="6518"/>
      <c r="BO17" s="6518"/>
      <c r="BP17" s="6518"/>
      <c r="BQ17" s="6518"/>
      <c r="BR17" s="6518"/>
      <c r="BS17" s="6518"/>
      <c r="BT17" s="6518"/>
      <c r="BU17" s="6518"/>
      <c r="BV17" s="6519"/>
      <c r="BW17" s="398"/>
      <c r="BX17" s="2466"/>
    </row>
    <row r="18" spans="1:76" ht="12.2" customHeight="1" x14ac:dyDescent="0.2">
      <c r="A18" s="392"/>
      <c r="B18" s="279"/>
      <c r="C18" s="6520"/>
      <c r="D18" s="6521"/>
      <c r="E18" s="6521"/>
      <c r="F18" s="6521"/>
      <c r="G18" s="6521"/>
      <c r="H18" s="6521"/>
      <c r="I18" s="6521"/>
      <c r="J18" s="6521"/>
      <c r="K18" s="6521"/>
      <c r="L18" s="6521"/>
      <c r="M18" s="6521"/>
      <c r="N18" s="6521"/>
      <c r="O18" s="6521"/>
      <c r="P18" s="6521"/>
      <c r="Q18" s="6522"/>
      <c r="R18" s="398"/>
      <c r="S18" s="392"/>
      <c r="T18" s="392"/>
      <c r="U18" s="279"/>
      <c r="V18" s="6520"/>
      <c r="W18" s="6521"/>
      <c r="X18" s="6521"/>
      <c r="Y18" s="6521"/>
      <c r="Z18" s="6521"/>
      <c r="AA18" s="6521"/>
      <c r="AB18" s="6521"/>
      <c r="AC18" s="6521"/>
      <c r="AD18" s="6521"/>
      <c r="AE18" s="6521"/>
      <c r="AF18" s="6521"/>
      <c r="AG18" s="6521"/>
      <c r="AH18" s="6521"/>
      <c r="AI18" s="6521"/>
      <c r="AJ18" s="6522"/>
      <c r="AK18" s="398"/>
      <c r="AL18" s="392"/>
      <c r="AM18" s="392"/>
      <c r="AN18" s="279"/>
      <c r="AO18" s="6520"/>
      <c r="AP18" s="6521"/>
      <c r="AQ18" s="6521"/>
      <c r="AR18" s="6521"/>
      <c r="AS18" s="6521"/>
      <c r="AT18" s="6521"/>
      <c r="AU18" s="6521"/>
      <c r="AV18" s="6521"/>
      <c r="AW18" s="6521"/>
      <c r="AX18" s="6521"/>
      <c r="AY18" s="6521"/>
      <c r="AZ18" s="6521"/>
      <c r="BA18" s="6521"/>
      <c r="BB18" s="6521"/>
      <c r="BC18" s="6522"/>
      <c r="BD18" s="398"/>
      <c r="BE18" s="392"/>
      <c r="BF18" s="2466"/>
      <c r="BG18" s="279"/>
      <c r="BH18" s="6520"/>
      <c r="BI18" s="6521"/>
      <c r="BJ18" s="6521"/>
      <c r="BK18" s="6521"/>
      <c r="BL18" s="6521"/>
      <c r="BM18" s="6521"/>
      <c r="BN18" s="6521"/>
      <c r="BO18" s="6521"/>
      <c r="BP18" s="6521"/>
      <c r="BQ18" s="6521"/>
      <c r="BR18" s="6521"/>
      <c r="BS18" s="6521"/>
      <c r="BT18" s="6521"/>
      <c r="BU18" s="6521"/>
      <c r="BV18" s="6522"/>
      <c r="BW18" s="398"/>
      <c r="BX18" s="2466"/>
    </row>
    <row r="19" spans="1:76" ht="12.2" customHeight="1" x14ac:dyDescent="0.2">
      <c r="A19" s="392"/>
      <c r="B19" s="279"/>
      <c r="C19" s="6520"/>
      <c r="D19" s="6521"/>
      <c r="E19" s="6521"/>
      <c r="F19" s="6521"/>
      <c r="G19" s="6521"/>
      <c r="H19" s="6521"/>
      <c r="I19" s="6521"/>
      <c r="J19" s="6521"/>
      <c r="K19" s="6521"/>
      <c r="L19" s="6521"/>
      <c r="M19" s="6521"/>
      <c r="N19" s="6521"/>
      <c r="O19" s="6521"/>
      <c r="P19" s="6521"/>
      <c r="Q19" s="6522"/>
      <c r="R19" s="398"/>
      <c r="S19" s="392"/>
      <c r="T19" s="392"/>
      <c r="U19" s="279"/>
      <c r="V19" s="6520"/>
      <c r="W19" s="6521"/>
      <c r="X19" s="6521"/>
      <c r="Y19" s="6521"/>
      <c r="Z19" s="6521"/>
      <c r="AA19" s="6521"/>
      <c r="AB19" s="6521"/>
      <c r="AC19" s="6521"/>
      <c r="AD19" s="6521"/>
      <c r="AE19" s="6521"/>
      <c r="AF19" s="6521"/>
      <c r="AG19" s="6521"/>
      <c r="AH19" s="6521"/>
      <c r="AI19" s="6521"/>
      <c r="AJ19" s="6522"/>
      <c r="AK19" s="398"/>
      <c r="AL19" s="392"/>
      <c r="AM19" s="392"/>
      <c r="AN19" s="279"/>
      <c r="AO19" s="6520"/>
      <c r="AP19" s="6521"/>
      <c r="AQ19" s="6521"/>
      <c r="AR19" s="6521"/>
      <c r="AS19" s="6521"/>
      <c r="AT19" s="6521"/>
      <c r="AU19" s="6521"/>
      <c r="AV19" s="6521"/>
      <c r="AW19" s="6521"/>
      <c r="AX19" s="6521"/>
      <c r="AY19" s="6521"/>
      <c r="AZ19" s="6521"/>
      <c r="BA19" s="6521"/>
      <c r="BB19" s="6521"/>
      <c r="BC19" s="6522"/>
      <c r="BD19" s="398"/>
      <c r="BE19" s="392"/>
      <c r="BF19" s="2466"/>
      <c r="BG19" s="279"/>
      <c r="BH19" s="6520"/>
      <c r="BI19" s="6521"/>
      <c r="BJ19" s="6521"/>
      <c r="BK19" s="6521"/>
      <c r="BL19" s="6521"/>
      <c r="BM19" s="6521"/>
      <c r="BN19" s="6521"/>
      <c r="BO19" s="6521"/>
      <c r="BP19" s="6521"/>
      <c r="BQ19" s="6521"/>
      <c r="BR19" s="6521"/>
      <c r="BS19" s="6521"/>
      <c r="BT19" s="6521"/>
      <c r="BU19" s="6521"/>
      <c r="BV19" s="6522"/>
      <c r="BW19" s="398"/>
      <c r="BX19" s="2466"/>
    </row>
    <row r="20" spans="1:76" ht="12.2" customHeight="1" thickBot="1" x14ac:dyDescent="0.25">
      <c r="A20" s="392"/>
      <c r="B20" s="279"/>
      <c r="C20" s="6523"/>
      <c r="D20" s="6524"/>
      <c r="E20" s="6524"/>
      <c r="F20" s="6524"/>
      <c r="G20" s="6524"/>
      <c r="H20" s="6524"/>
      <c r="I20" s="6524"/>
      <c r="J20" s="6524"/>
      <c r="K20" s="6524"/>
      <c r="L20" s="6524"/>
      <c r="M20" s="6524"/>
      <c r="N20" s="6524"/>
      <c r="O20" s="6524"/>
      <c r="P20" s="6524"/>
      <c r="Q20" s="6525"/>
      <c r="R20" s="398"/>
      <c r="S20" s="392"/>
      <c r="T20" s="392"/>
      <c r="U20" s="279"/>
      <c r="V20" s="6523"/>
      <c r="W20" s="6524"/>
      <c r="X20" s="6524"/>
      <c r="Y20" s="6524"/>
      <c r="Z20" s="6524"/>
      <c r="AA20" s="6524"/>
      <c r="AB20" s="6524"/>
      <c r="AC20" s="6524"/>
      <c r="AD20" s="6524"/>
      <c r="AE20" s="6524"/>
      <c r="AF20" s="6524"/>
      <c r="AG20" s="6524"/>
      <c r="AH20" s="6524"/>
      <c r="AI20" s="6524"/>
      <c r="AJ20" s="6525"/>
      <c r="AK20" s="398"/>
      <c r="AL20" s="392"/>
      <c r="AM20" s="392"/>
      <c r="AN20" s="279"/>
      <c r="AO20" s="6523"/>
      <c r="AP20" s="6524"/>
      <c r="AQ20" s="6524"/>
      <c r="AR20" s="6524"/>
      <c r="AS20" s="6524"/>
      <c r="AT20" s="6524"/>
      <c r="AU20" s="6524"/>
      <c r="AV20" s="6524"/>
      <c r="AW20" s="6524"/>
      <c r="AX20" s="6524"/>
      <c r="AY20" s="6524"/>
      <c r="AZ20" s="6524"/>
      <c r="BA20" s="6524"/>
      <c r="BB20" s="6524"/>
      <c r="BC20" s="6525"/>
      <c r="BD20" s="398"/>
      <c r="BE20" s="392"/>
      <c r="BF20" s="2466"/>
      <c r="BG20" s="279"/>
      <c r="BH20" s="6523"/>
      <c r="BI20" s="6524"/>
      <c r="BJ20" s="6524"/>
      <c r="BK20" s="6524"/>
      <c r="BL20" s="6524"/>
      <c r="BM20" s="6524"/>
      <c r="BN20" s="6524"/>
      <c r="BO20" s="6524"/>
      <c r="BP20" s="6524"/>
      <c r="BQ20" s="6524"/>
      <c r="BR20" s="6524"/>
      <c r="BS20" s="6524"/>
      <c r="BT20" s="6524"/>
      <c r="BU20" s="6524"/>
      <c r="BV20" s="6525"/>
      <c r="BW20" s="398"/>
      <c r="BX20" s="2466"/>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6"/>
      <c r="BG21" s="279"/>
      <c r="BH21" s="1701"/>
      <c r="BI21" s="1701"/>
      <c r="BJ21" s="1701"/>
      <c r="BK21" s="1701"/>
      <c r="BL21" s="1701"/>
      <c r="BM21" s="413"/>
      <c r="BN21" s="414"/>
      <c r="BO21" s="415"/>
      <c r="BP21" s="415"/>
      <c r="BQ21" s="415"/>
      <c r="BR21" s="350"/>
      <c r="BS21" s="350"/>
      <c r="BT21" s="350"/>
      <c r="BU21" s="350"/>
      <c r="BV21" s="350"/>
      <c r="BW21" s="398"/>
      <c r="BX21" s="2466"/>
    </row>
    <row r="22" spans="1:76" ht="12.2" customHeight="1" x14ac:dyDescent="0.2">
      <c r="A22" s="392"/>
      <c r="B22" s="279"/>
      <c r="C22" s="6526"/>
      <c r="D22" s="6527"/>
      <c r="E22" s="6527"/>
      <c r="F22" s="6527"/>
      <c r="G22" s="6527"/>
      <c r="H22" s="402" t="s">
        <v>1325</v>
      </c>
      <c r="I22" s="403" t="str">
        <f>IF(C22=0,"",VLOOKUP(C22,'Tablas Magia'!$D$6:$Z$680,3,FALSE))</f>
        <v/>
      </c>
      <c r="J22" s="6528" t="s">
        <v>6231</v>
      </c>
      <c r="K22" s="6528"/>
      <c r="L22" s="6528"/>
      <c r="M22" s="6529" t="str">
        <f>IF(C22=0,"",VLOOKUP(C22,'Tablas Magia'!$D$6:$Z$680,2,FALSE))</f>
        <v/>
      </c>
      <c r="N22" s="6529"/>
      <c r="O22" s="6529"/>
      <c r="P22" s="6529"/>
      <c r="Q22" s="6530"/>
      <c r="R22" s="398"/>
      <c r="S22" s="392"/>
      <c r="T22" s="392"/>
      <c r="U22" s="279"/>
      <c r="V22" s="6526"/>
      <c r="W22" s="6527"/>
      <c r="X22" s="6527"/>
      <c r="Y22" s="6527"/>
      <c r="Z22" s="6527"/>
      <c r="AA22" s="402" t="s">
        <v>1325</v>
      </c>
      <c r="AB22" s="403" t="str">
        <f>IF(V22=0,"",VLOOKUP(V22,'Tablas Magia'!$D$6:$Z$680,3,FALSE))</f>
        <v/>
      </c>
      <c r="AC22" s="6528" t="s">
        <v>6231</v>
      </c>
      <c r="AD22" s="6528"/>
      <c r="AE22" s="6528"/>
      <c r="AF22" s="6529" t="str">
        <f>IF(V22=0,"",VLOOKUP(V22,'Tablas Magia'!$D$6:$Z$680,2,FALSE))</f>
        <v/>
      </c>
      <c r="AG22" s="6529"/>
      <c r="AH22" s="6529"/>
      <c r="AI22" s="6529"/>
      <c r="AJ22" s="6530"/>
      <c r="AK22" s="398"/>
      <c r="AL22" s="392"/>
      <c r="AM22" s="392"/>
      <c r="AN22" s="279"/>
      <c r="AO22" s="6526"/>
      <c r="AP22" s="6527"/>
      <c r="AQ22" s="6527"/>
      <c r="AR22" s="6527"/>
      <c r="AS22" s="6527"/>
      <c r="AT22" s="402" t="s">
        <v>1325</v>
      </c>
      <c r="AU22" s="403" t="str">
        <f>IF(AO22=0,"",VLOOKUP(AO22,'Tablas Magia'!$D$6:$Z$680,3,FALSE))</f>
        <v/>
      </c>
      <c r="AV22" s="6528" t="s">
        <v>6231</v>
      </c>
      <c r="AW22" s="6528"/>
      <c r="AX22" s="6528"/>
      <c r="AY22" s="6529" t="str">
        <f>IF(AO22=0,"",VLOOKUP(AO22,'Tablas Magia'!$D$6:$Z$680,2,FALSE))</f>
        <v/>
      </c>
      <c r="AZ22" s="6529"/>
      <c r="BA22" s="6529"/>
      <c r="BB22" s="6529"/>
      <c r="BC22" s="6530"/>
      <c r="BD22" s="398"/>
      <c r="BE22" s="392"/>
      <c r="BF22" s="2466"/>
      <c r="BG22" s="279"/>
      <c r="BH22" s="6526"/>
      <c r="BI22" s="6527"/>
      <c r="BJ22" s="6527"/>
      <c r="BK22" s="6527"/>
      <c r="BL22" s="6527"/>
      <c r="BM22" s="402" t="s">
        <v>1325</v>
      </c>
      <c r="BN22" s="403" t="str">
        <f>IF(BH22=0,"",VLOOKUP(BH22,'Tablas Magia'!$D$6:$Z$680,3,FALSE))</f>
        <v/>
      </c>
      <c r="BO22" s="6528" t="s">
        <v>6231</v>
      </c>
      <c r="BP22" s="6528"/>
      <c r="BQ22" s="6528"/>
      <c r="BR22" s="6529" t="str">
        <f>IF(BH22=0,"",VLOOKUP(BH22,'Tablas Magia'!$D$6:$Z$680,2,FALSE))</f>
        <v/>
      </c>
      <c r="BS22" s="6529"/>
      <c r="BT22" s="6529"/>
      <c r="BU22" s="6529"/>
      <c r="BV22" s="6530"/>
      <c r="BW22" s="398"/>
      <c r="BX22" s="2466"/>
    </row>
    <row r="23" spans="1:76" ht="12.2" customHeight="1" x14ac:dyDescent="0.2">
      <c r="A23" s="392"/>
      <c r="B23" s="279"/>
      <c r="C23" s="6531" t="s">
        <v>6232</v>
      </c>
      <c r="D23" s="6532"/>
      <c r="E23" s="404" t="s">
        <v>6233</v>
      </c>
      <c r="F23" s="404" t="s">
        <v>1508</v>
      </c>
      <c r="G23" s="404" t="s">
        <v>2827</v>
      </c>
      <c r="H23" s="405" t="s">
        <v>1835</v>
      </c>
      <c r="I23" s="6533" t="str">
        <f>IF(C22=0,"",VLOOKUP(C22,'Tablas Magia'!$D$6:$Z$680,5,FALSE))</f>
        <v/>
      </c>
      <c r="J23" s="6533"/>
      <c r="K23" s="6534" t="s">
        <v>6234</v>
      </c>
      <c r="L23" s="6534"/>
      <c r="M23" s="6533" t="str">
        <f>IF(C22=0,"",VLOOKUP(C22,'Tablas Magia'!$D$6:$Z$680,6,FALSE))</f>
        <v/>
      </c>
      <c r="N23" s="6533"/>
      <c r="O23" s="6535" t="s">
        <v>6235</v>
      </c>
      <c r="P23" s="6535"/>
      <c r="Q23" s="406" t="str">
        <f>IF(C22=0,"",VLOOKUP(C22,'Tablas Magia'!$D$6:$Z$680,4,FALSE))</f>
        <v/>
      </c>
      <c r="R23" s="398"/>
      <c r="S23" s="392"/>
      <c r="T23" s="392"/>
      <c r="U23" s="279"/>
      <c r="V23" s="6531" t="s">
        <v>6232</v>
      </c>
      <c r="W23" s="6532"/>
      <c r="X23" s="404" t="s">
        <v>6233</v>
      </c>
      <c r="Y23" s="404" t="s">
        <v>1508</v>
      </c>
      <c r="Z23" s="404" t="s">
        <v>2827</v>
      </c>
      <c r="AA23" s="405" t="s">
        <v>1835</v>
      </c>
      <c r="AB23" s="6533" t="str">
        <f>IF(V22=0,"",VLOOKUP(V22,'Tablas Magia'!$D$6:$Z$680,5,FALSE))</f>
        <v/>
      </c>
      <c r="AC23" s="6533"/>
      <c r="AD23" s="6534" t="s">
        <v>6234</v>
      </c>
      <c r="AE23" s="6534"/>
      <c r="AF23" s="6533" t="str">
        <f>IF(V22=0,"",VLOOKUP(V22,'Tablas Magia'!$D$6:$Z$680,6,FALSE))</f>
        <v/>
      </c>
      <c r="AG23" s="6533"/>
      <c r="AH23" s="6535" t="s">
        <v>6235</v>
      </c>
      <c r="AI23" s="6535"/>
      <c r="AJ23" s="406" t="str">
        <f>IF(V22=0,"",VLOOKUP(V22,'Tablas Magia'!$D$6:$Z$680,4,FALSE))</f>
        <v/>
      </c>
      <c r="AK23" s="398"/>
      <c r="AL23" s="392"/>
      <c r="AM23" s="392"/>
      <c r="AN23" s="279"/>
      <c r="AO23" s="6531" t="s">
        <v>6232</v>
      </c>
      <c r="AP23" s="6532"/>
      <c r="AQ23" s="404" t="s">
        <v>6233</v>
      </c>
      <c r="AR23" s="404" t="s">
        <v>1508</v>
      </c>
      <c r="AS23" s="404" t="s">
        <v>2827</v>
      </c>
      <c r="AT23" s="405" t="s">
        <v>1835</v>
      </c>
      <c r="AU23" s="6533" t="str">
        <f>IF(AO22=0,"",VLOOKUP(AO22,'Tablas Magia'!$D$6:$Z$680,5,FALSE))</f>
        <v/>
      </c>
      <c r="AV23" s="6533"/>
      <c r="AW23" s="6534" t="s">
        <v>6234</v>
      </c>
      <c r="AX23" s="6534"/>
      <c r="AY23" s="6533" t="str">
        <f>IF(AO22=0,"",VLOOKUP(AO22,'Tablas Magia'!$D$6:$Z$680,6,FALSE))</f>
        <v/>
      </c>
      <c r="AZ23" s="6533"/>
      <c r="BA23" s="6535" t="s">
        <v>6235</v>
      </c>
      <c r="BB23" s="6535"/>
      <c r="BC23" s="406" t="str">
        <f>IF(AO22=0,"",VLOOKUP(AO22,'Tablas Magia'!$D$6:$Z$680,4,FALSE))</f>
        <v/>
      </c>
      <c r="BD23" s="398"/>
      <c r="BE23" s="392"/>
      <c r="BF23" s="2466"/>
      <c r="BG23" s="279"/>
      <c r="BH23" s="6531" t="s">
        <v>6232</v>
      </c>
      <c r="BI23" s="6532"/>
      <c r="BJ23" s="404" t="s">
        <v>6233</v>
      </c>
      <c r="BK23" s="404" t="s">
        <v>1508</v>
      </c>
      <c r="BL23" s="404" t="s">
        <v>2827</v>
      </c>
      <c r="BM23" s="405" t="s">
        <v>1835</v>
      </c>
      <c r="BN23" s="6533" t="str">
        <f>IF(BH22=0,"",VLOOKUP(BH22,'Tablas Magia'!$D$6:$Z$680,5,FALSE))</f>
        <v/>
      </c>
      <c r="BO23" s="6533"/>
      <c r="BP23" s="6534" t="s">
        <v>6234</v>
      </c>
      <c r="BQ23" s="6534"/>
      <c r="BR23" s="6533" t="str">
        <f>IF(BH22=0,"",VLOOKUP(BH22,'Tablas Magia'!$D$6:$Z$680,6,FALSE))</f>
        <v/>
      </c>
      <c r="BS23" s="6533"/>
      <c r="BT23" s="6535" t="s">
        <v>6235</v>
      </c>
      <c r="BU23" s="6535"/>
      <c r="BV23" s="406" t="str">
        <f>IF(BH22=0,"",VLOOKUP(BH22,'Tablas Magia'!$D$6:$Z$680,4,FALSE))</f>
        <v/>
      </c>
      <c r="BW23" s="398"/>
      <c r="BX23" s="2466"/>
    </row>
    <row r="24" spans="1:76" ht="12.2" customHeight="1" x14ac:dyDescent="0.2">
      <c r="A24" s="392"/>
      <c r="B24" s="279"/>
      <c r="C24" s="6507" t="s">
        <v>1365</v>
      </c>
      <c r="D24" s="6508"/>
      <c r="E24" s="407" t="str">
        <f>IF(C22=0,"",VLOOKUP(C22,'Tablas Magia'!$D$6:$Z$680,7,FALSE))</f>
        <v/>
      </c>
      <c r="F24" s="407" t="str">
        <f>IF(C22=0,"",VLOOKUP(C22,'Tablas Magia'!$D$6:$Z$680,11,FALSE))</f>
        <v/>
      </c>
      <c r="G24" s="408" t="str">
        <f>IF(C22=0,"",VLOOKUP(C22,'Tablas Magia'!$D$6:$Z$680,15,FALSE))</f>
        <v/>
      </c>
      <c r="H24" s="6509" t="str">
        <f>IF(C22=0,"",VLOOKUP(C22,'Tablas Magia'!$D$6:$Z$680,19,FALSE))</f>
        <v/>
      </c>
      <c r="I24" s="6510"/>
      <c r="J24" s="6510"/>
      <c r="K24" s="6510"/>
      <c r="L24" s="6510"/>
      <c r="M24" s="6510"/>
      <c r="N24" s="6510"/>
      <c r="O24" s="6510"/>
      <c r="P24" s="6510"/>
      <c r="Q24" s="6511"/>
      <c r="R24" s="398"/>
      <c r="S24" s="392"/>
      <c r="T24" s="392"/>
      <c r="U24" s="279"/>
      <c r="V24" s="6507" t="s">
        <v>1365</v>
      </c>
      <c r="W24" s="6508"/>
      <c r="X24" s="407" t="str">
        <f>IF(V22=0,"",VLOOKUP(V22,'Tablas Magia'!$D$6:$Z$680,7,FALSE))</f>
        <v/>
      </c>
      <c r="Y24" s="407" t="str">
        <f>IF(V22=0,"",VLOOKUP(V22,'Tablas Magia'!$D$6:$Z$680,11,FALSE))</f>
        <v/>
      </c>
      <c r="Z24" s="408" t="str">
        <f>IF(V22=0,"",VLOOKUP(V22,'Tablas Magia'!$D$6:$Z$680,15,FALSE))</f>
        <v/>
      </c>
      <c r="AA24" s="6509" t="str">
        <f>IF(V22=0,"",VLOOKUP(V22,'Tablas Magia'!$D$6:$Z$680,19,FALSE))</f>
        <v/>
      </c>
      <c r="AB24" s="6510"/>
      <c r="AC24" s="6510"/>
      <c r="AD24" s="6510"/>
      <c r="AE24" s="6510"/>
      <c r="AF24" s="6510"/>
      <c r="AG24" s="6510"/>
      <c r="AH24" s="6510"/>
      <c r="AI24" s="6510"/>
      <c r="AJ24" s="6511"/>
      <c r="AK24" s="398"/>
      <c r="AL24" s="392"/>
      <c r="AM24" s="392"/>
      <c r="AN24" s="279"/>
      <c r="AO24" s="6507" t="s">
        <v>1365</v>
      </c>
      <c r="AP24" s="6508"/>
      <c r="AQ24" s="407" t="str">
        <f>IF(AO22=0,"",VLOOKUP(AO22,'Tablas Magia'!$D$6:$Z$680,7,FALSE))</f>
        <v/>
      </c>
      <c r="AR24" s="407" t="str">
        <f>IF(AO22=0,"",VLOOKUP(AO22,'Tablas Magia'!$D$6:$Z$680,11,FALSE))</f>
        <v/>
      </c>
      <c r="AS24" s="408" t="str">
        <f>IF(AO22=0,"",VLOOKUP(AO22,'Tablas Magia'!$D$6:$Z$680,15,FALSE))</f>
        <v/>
      </c>
      <c r="AT24" s="6509" t="str">
        <f>IF(AO22=0,"",VLOOKUP(AO22,'Tablas Magia'!$D$6:$Z$680,19,FALSE))</f>
        <v/>
      </c>
      <c r="AU24" s="6510"/>
      <c r="AV24" s="6510"/>
      <c r="AW24" s="6510"/>
      <c r="AX24" s="6510"/>
      <c r="AY24" s="6510"/>
      <c r="AZ24" s="6510"/>
      <c r="BA24" s="6510"/>
      <c r="BB24" s="6510"/>
      <c r="BC24" s="6511"/>
      <c r="BD24" s="398"/>
      <c r="BE24" s="392"/>
      <c r="BF24" s="2466"/>
      <c r="BG24" s="279"/>
      <c r="BH24" s="6507" t="s">
        <v>1365</v>
      </c>
      <c r="BI24" s="6508"/>
      <c r="BJ24" s="407" t="str">
        <f>IF(BH22=0,"",VLOOKUP(BH22,'Tablas Magia'!$D$6:$Z$680,7,FALSE))</f>
        <v/>
      </c>
      <c r="BK24" s="407" t="str">
        <f>IF(BH22=0,"",VLOOKUP(BH22,'Tablas Magia'!$D$6:$Z$680,11,FALSE))</f>
        <v/>
      </c>
      <c r="BL24" s="408" t="str">
        <f>IF(BH22=0,"",VLOOKUP(BH22,'Tablas Magia'!$D$6:$Z$680,15,FALSE))</f>
        <v/>
      </c>
      <c r="BM24" s="6509" t="str">
        <f>IF(BH22=0,"",VLOOKUP(BH22,'Tablas Magia'!$D$6:$Z$680,19,FALSE))</f>
        <v/>
      </c>
      <c r="BN24" s="6510"/>
      <c r="BO24" s="6510"/>
      <c r="BP24" s="6510"/>
      <c r="BQ24" s="6510"/>
      <c r="BR24" s="6510"/>
      <c r="BS24" s="6510"/>
      <c r="BT24" s="6510"/>
      <c r="BU24" s="6510"/>
      <c r="BV24" s="6511"/>
      <c r="BW24" s="398"/>
      <c r="BX24" s="2466"/>
    </row>
    <row r="25" spans="1:76" ht="12.2" customHeight="1" x14ac:dyDescent="0.2">
      <c r="A25" s="392"/>
      <c r="B25" s="279"/>
      <c r="C25" s="6502" t="s">
        <v>3196</v>
      </c>
      <c r="D25" s="6503"/>
      <c r="E25" s="409" t="str">
        <f>IF(C22=0,"",VLOOKUP(C22,'Tablas Magia'!$D$6:$Z$680,8,FALSE))</f>
        <v/>
      </c>
      <c r="F25" s="409" t="str">
        <f>IF(C22=0,"",VLOOKUP(C22,'Tablas Magia'!$D$6:$Z$680,12,FALSE))</f>
        <v/>
      </c>
      <c r="G25" s="410" t="str">
        <f>IF(C22=0,"",VLOOKUP(C22,'Tablas Magia'!$D$6:$Z$680,16,FALSE))</f>
        <v/>
      </c>
      <c r="H25" s="6504" t="str">
        <f>IF(C22=0,"",VLOOKUP(C22,'Tablas Magia'!$D$6:$Z$680,20,FALSE))</f>
        <v/>
      </c>
      <c r="I25" s="6505"/>
      <c r="J25" s="6505"/>
      <c r="K25" s="6505"/>
      <c r="L25" s="6505"/>
      <c r="M25" s="6505"/>
      <c r="N25" s="6505"/>
      <c r="O25" s="6505"/>
      <c r="P25" s="6505"/>
      <c r="Q25" s="6506"/>
      <c r="R25" s="398"/>
      <c r="S25" s="392"/>
      <c r="T25" s="392"/>
      <c r="U25" s="279"/>
      <c r="V25" s="6502" t="s">
        <v>3196</v>
      </c>
      <c r="W25" s="6503"/>
      <c r="X25" s="409" t="str">
        <f>IF(V22=0,"",VLOOKUP(V22,'Tablas Magia'!$D$6:$Z$680,8,FALSE))</f>
        <v/>
      </c>
      <c r="Y25" s="409" t="str">
        <f>IF(V22=0,"",VLOOKUP(V22,'Tablas Magia'!$D$6:$Z$680,12,FALSE))</f>
        <v/>
      </c>
      <c r="Z25" s="410" t="str">
        <f>IF(V22=0,"",VLOOKUP(V22,'Tablas Magia'!$D$6:$Z$680,16,FALSE))</f>
        <v/>
      </c>
      <c r="AA25" s="6504" t="str">
        <f>IF(V22=0,"",VLOOKUP(V22,'Tablas Magia'!$D$6:$Z$680,20,FALSE))</f>
        <v/>
      </c>
      <c r="AB25" s="6505"/>
      <c r="AC25" s="6505"/>
      <c r="AD25" s="6505"/>
      <c r="AE25" s="6505"/>
      <c r="AF25" s="6505"/>
      <c r="AG25" s="6505"/>
      <c r="AH25" s="6505"/>
      <c r="AI25" s="6505"/>
      <c r="AJ25" s="6506"/>
      <c r="AK25" s="398"/>
      <c r="AL25" s="392"/>
      <c r="AM25" s="392"/>
      <c r="AN25" s="279"/>
      <c r="AO25" s="6502" t="s">
        <v>3196</v>
      </c>
      <c r="AP25" s="6503"/>
      <c r="AQ25" s="409" t="str">
        <f>IF(AO22=0,"",VLOOKUP(AO22,'Tablas Magia'!$D$6:$Z$680,8,FALSE))</f>
        <v/>
      </c>
      <c r="AR25" s="409" t="str">
        <f>IF(AO22=0,"",VLOOKUP(AO22,'Tablas Magia'!$D$6:$Z$680,12,FALSE))</f>
        <v/>
      </c>
      <c r="AS25" s="410" t="str">
        <f>IF(AO22=0,"",VLOOKUP(AO22,'Tablas Magia'!$D$6:$Z$680,16,FALSE))</f>
        <v/>
      </c>
      <c r="AT25" s="6504" t="str">
        <f>IF(AO22=0,"",VLOOKUP(AO22,'Tablas Magia'!$D$6:$Z$680,20,FALSE))</f>
        <v/>
      </c>
      <c r="AU25" s="6505"/>
      <c r="AV25" s="6505"/>
      <c r="AW25" s="6505"/>
      <c r="AX25" s="6505"/>
      <c r="AY25" s="6505"/>
      <c r="AZ25" s="6505"/>
      <c r="BA25" s="6505"/>
      <c r="BB25" s="6505"/>
      <c r="BC25" s="6506"/>
      <c r="BD25" s="398"/>
      <c r="BE25" s="392"/>
      <c r="BF25" s="2466"/>
      <c r="BG25" s="279"/>
      <c r="BH25" s="6502" t="s">
        <v>3196</v>
      </c>
      <c r="BI25" s="6503"/>
      <c r="BJ25" s="409" t="str">
        <f>IF(BH22=0,"",VLOOKUP(BH22,'Tablas Magia'!$D$6:$Z$680,8,FALSE))</f>
        <v/>
      </c>
      <c r="BK25" s="409" t="str">
        <f>IF(BH22=0,"",VLOOKUP(BH22,'Tablas Magia'!$D$6:$Z$680,12,FALSE))</f>
        <v/>
      </c>
      <c r="BL25" s="410" t="str">
        <f>IF(BH22=0,"",VLOOKUP(BH22,'Tablas Magia'!$D$6:$Z$680,16,FALSE))</f>
        <v/>
      </c>
      <c r="BM25" s="6504" t="str">
        <f>IF(BH22=0,"",VLOOKUP(BH22,'Tablas Magia'!$D$6:$Z$680,20,FALSE))</f>
        <v/>
      </c>
      <c r="BN25" s="6505"/>
      <c r="BO25" s="6505"/>
      <c r="BP25" s="6505"/>
      <c r="BQ25" s="6505"/>
      <c r="BR25" s="6505"/>
      <c r="BS25" s="6505"/>
      <c r="BT25" s="6505"/>
      <c r="BU25" s="6505"/>
      <c r="BV25" s="6506"/>
      <c r="BW25" s="398"/>
      <c r="BX25" s="2466"/>
    </row>
    <row r="26" spans="1:76" ht="12.2" customHeight="1" x14ac:dyDescent="0.2">
      <c r="A26" s="392"/>
      <c r="B26" s="279"/>
      <c r="C26" s="6507" t="s">
        <v>3197</v>
      </c>
      <c r="D26" s="6508"/>
      <c r="E26" s="407" t="str">
        <f>IF(C22=0,"",VLOOKUP(C22,'Tablas Magia'!$D$6:$Z$680,9,FALSE))</f>
        <v/>
      </c>
      <c r="F26" s="407" t="str">
        <f>IF(C22=0,"",VLOOKUP(C22,'Tablas Magia'!$D$6:$Z$680,13,FALSE))</f>
        <v/>
      </c>
      <c r="G26" s="408" t="str">
        <f>IF(C22=0,"",VLOOKUP(C22,'Tablas Magia'!$D$6:$Z$680,17,FALSE))</f>
        <v/>
      </c>
      <c r="H26" s="6509" t="str">
        <f>IF(C22=0,"",VLOOKUP(C22,'Tablas Magia'!$D$6:$Z$680,21,FALSE))</f>
        <v/>
      </c>
      <c r="I26" s="6510"/>
      <c r="J26" s="6510"/>
      <c r="K26" s="6510"/>
      <c r="L26" s="6510"/>
      <c r="M26" s="6510"/>
      <c r="N26" s="6510"/>
      <c r="O26" s="6510"/>
      <c r="P26" s="6510"/>
      <c r="Q26" s="6511"/>
      <c r="R26" s="398"/>
      <c r="S26" s="392"/>
      <c r="T26" s="392"/>
      <c r="U26" s="279"/>
      <c r="V26" s="6507" t="s">
        <v>3197</v>
      </c>
      <c r="W26" s="6508"/>
      <c r="X26" s="407" t="str">
        <f>IF(V22=0,"",VLOOKUP(V22,'Tablas Magia'!$D$6:$Z$680,9,FALSE))</f>
        <v/>
      </c>
      <c r="Y26" s="407" t="str">
        <f>IF(V22=0,"",VLOOKUP(V22,'Tablas Magia'!$D$6:$Z$680,13,FALSE))</f>
        <v/>
      </c>
      <c r="Z26" s="408" t="str">
        <f>IF(V22=0,"",VLOOKUP(V22,'Tablas Magia'!$D$6:$Z$680,17,FALSE))</f>
        <v/>
      </c>
      <c r="AA26" s="6509" t="str">
        <f>IF(V22=0,"",VLOOKUP(V22,'Tablas Magia'!$D$6:$Z$680,21,FALSE))</f>
        <v/>
      </c>
      <c r="AB26" s="6510"/>
      <c r="AC26" s="6510"/>
      <c r="AD26" s="6510"/>
      <c r="AE26" s="6510"/>
      <c r="AF26" s="6510"/>
      <c r="AG26" s="6510"/>
      <c r="AH26" s="6510"/>
      <c r="AI26" s="6510"/>
      <c r="AJ26" s="6511"/>
      <c r="AK26" s="398"/>
      <c r="AL26" s="392"/>
      <c r="AM26" s="392"/>
      <c r="AN26" s="279"/>
      <c r="AO26" s="6507" t="s">
        <v>3197</v>
      </c>
      <c r="AP26" s="6508"/>
      <c r="AQ26" s="407" t="str">
        <f>IF(AO22=0,"",VLOOKUP(AO22,'Tablas Magia'!$D$6:$Z$680,9,FALSE))</f>
        <v/>
      </c>
      <c r="AR26" s="407" t="str">
        <f>IF(AO22=0,"",VLOOKUP(AO22,'Tablas Magia'!$D$6:$Z$680,13,FALSE))</f>
        <v/>
      </c>
      <c r="AS26" s="408" t="str">
        <f>IF(AO22=0,"",VLOOKUP(AO22,'Tablas Magia'!$D$6:$Z$680,17,FALSE))</f>
        <v/>
      </c>
      <c r="AT26" s="6509" t="str">
        <f>IF(AO22=0,"",VLOOKUP(AO22,'Tablas Magia'!$D$6:$Z$680,21,FALSE))</f>
        <v/>
      </c>
      <c r="AU26" s="6510"/>
      <c r="AV26" s="6510"/>
      <c r="AW26" s="6510"/>
      <c r="AX26" s="6510"/>
      <c r="AY26" s="6510"/>
      <c r="AZ26" s="6510"/>
      <c r="BA26" s="6510"/>
      <c r="BB26" s="6510"/>
      <c r="BC26" s="6511"/>
      <c r="BD26" s="398"/>
      <c r="BE26" s="392"/>
      <c r="BF26" s="2466"/>
      <c r="BG26" s="279"/>
      <c r="BH26" s="6507" t="s">
        <v>3197</v>
      </c>
      <c r="BI26" s="6508"/>
      <c r="BJ26" s="407" t="str">
        <f>IF(BH22=0,"",VLOOKUP(BH22,'Tablas Magia'!$D$6:$Z$680,9,FALSE))</f>
        <v/>
      </c>
      <c r="BK26" s="407" t="str">
        <f>IF(BH22=0,"",VLOOKUP(BH22,'Tablas Magia'!$D$6:$Z$680,13,FALSE))</f>
        <v/>
      </c>
      <c r="BL26" s="408" t="str">
        <f>IF(BH22=0,"",VLOOKUP(BH22,'Tablas Magia'!$D$6:$Z$680,17,FALSE))</f>
        <v/>
      </c>
      <c r="BM26" s="6509" t="str">
        <f>IF(BH22=0,"",VLOOKUP(BH22,'Tablas Magia'!$D$6:$Z$680,21,FALSE))</f>
        <v/>
      </c>
      <c r="BN26" s="6510"/>
      <c r="BO26" s="6510"/>
      <c r="BP26" s="6510"/>
      <c r="BQ26" s="6510"/>
      <c r="BR26" s="6510"/>
      <c r="BS26" s="6510"/>
      <c r="BT26" s="6510"/>
      <c r="BU26" s="6510"/>
      <c r="BV26" s="6511"/>
      <c r="BW26" s="398"/>
      <c r="BX26" s="2466"/>
    </row>
    <row r="27" spans="1:76" ht="12.2" customHeight="1" thickBot="1" x14ac:dyDescent="0.25">
      <c r="A27" s="392"/>
      <c r="B27" s="279"/>
      <c r="C27" s="6512" t="s">
        <v>3198</v>
      </c>
      <c r="D27" s="6513"/>
      <c r="E27" s="411" t="str">
        <f>IF(C22=0,"",VLOOKUP(C22,'Tablas Magia'!$D$6:$Z$680,10,FALSE))</f>
        <v/>
      </c>
      <c r="F27" s="411" t="str">
        <f>IF(C22=0,"",VLOOKUP(C22,'Tablas Magia'!$D$6:$Z$680,14,FALSE))</f>
        <v/>
      </c>
      <c r="G27" s="412" t="str">
        <f>IF(C22=0,"",VLOOKUP(C22,'Tablas Magia'!$D$6:$Z$680,18,FALSE))</f>
        <v/>
      </c>
      <c r="H27" s="6514" t="str">
        <f>IF(C22=0,"",VLOOKUP(C22,'Tablas Magia'!$D$6:$Z$680,22,FALSE))</f>
        <v/>
      </c>
      <c r="I27" s="6515"/>
      <c r="J27" s="6515"/>
      <c r="K27" s="6515"/>
      <c r="L27" s="6515"/>
      <c r="M27" s="6515"/>
      <c r="N27" s="6515"/>
      <c r="O27" s="6515"/>
      <c r="P27" s="6515"/>
      <c r="Q27" s="6516"/>
      <c r="R27" s="398"/>
      <c r="S27" s="392"/>
      <c r="T27" s="392"/>
      <c r="U27" s="279"/>
      <c r="V27" s="6512" t="s">
        <v>3198</v>
      </c>
      <c r="W27" s="6513"/>
      <c r="X27" s="411" t="str">
        <f>IF(V22=0,"",VLOOKUP(V22,'Tablas Magia'!$D$6:$Z$680,10,FALSE))</f>
        <v/>
      </c>
      <c r="Y27" s="411" t="str">
        <f>IF(V22=0,"",VLOOKUP(V22,'Tablas Magia'!$D$6:$Z$680,14,FALSE))</f>
        <v/>
      </c>
      <c r="Z27" s="412" t="str">
        <f>IF(V22=0,"",VLOOKUP(V22,'Tablas Magia'!$D$6:$Z$680,18,FALSE))</f>
        <v/>
      </c>
      <c r="AA27" s="6514" t="str">
        <f>IF(V22=0,"",VLOOKUP(V22,'Tablas Magia'!$D$6:$Z$680,22,FALSE))</f>
        <v/>
      </c>
      <c r="AB27" s="6515"/>
      <c r="AC27" s="6515"/>
      <c r="AD27" s="6515"/>
      <c r="AE27" s="6515"/>
      <c r="AF27" s="6515"/>
      <c r="AG27" s="6515"/>
      <c r="AH27" s="6515"/>
      <c r="AI27" s="6515"/>
      <c r="AJ27" s="6516"/>
      <c r="AK27" s="398"/>
      <c r="AL27" s="392"/>
      <c r="AM27" s="392"/>
      <c r="AN27" s="279"/>
      <c r="AO27" s="6512" t="s">
        <v>3198</v>
      </c>
      <c r="AP27" s="6513"/>
      <c r="AQ27" s="411" t="str">
        <f>IF(AO22=0,"",VLOOKUP(AO22,'Tablas Magia'!$D$6:$Z$680,10,FALSE))</f>
        <v/>
      </c>
      <c r="AR27" s="411" t="str">
        <f>IF(AO22=0,"",VLOOKUP(AO22,'Tablas Magia'!$D$6:$Z$680,14,FALSE))</f>
        <v/>
      </c>
      <c r="AS27" s="412" t="str">
        <f>IF(AO22=0,"",VLOOKUP(AO22,'Tablas Magia'!$D$6:$Z$680,18,FALSE))</f>
        <v/>
      </c>
      <c r="AT27" s="6514" t="str">
        <f>IF(AO22=0,"",VLOOKUP(AO22,'Tablas Magia'!$D$6:$Z$680,22,FALSE))</f>
        <v/>
      </c>
      <c r="AU27" s="6515"/>
      <c r="AV27" s="6515"/>
      <c r="AW27" s="6515"/>
      <c r="AX27" s="6515"/>
      <c r="AY27" s="6515"/>
      <c r="AZ27" s="6515"/>
      <c r="BA27" s="6515"/>
      <c r="BB27" s="6515"/>
      <c r="BC27" s="6516"/>
      <c r="BD27" s="398"/>
      <c r="BE27" s="392"/>
      <c r="BF27" s="2466"/>
      <c r="BG27" s="279"/>
      <c r="BH27" s="6512" t="s">
        <v>3198</v>
      </c>
      <c r="BI27" s="6513"/>
      <c r="BJ27" s="411" t="str">
        <f>IF(BH22=0,"",VLOOKUP(BH22,'Tablas Magia'!$D$6:$Z$680,10,FALSE))</f>
        <v/>
      </c>
      <c r="BK27" s="411" t="str">
        <f>IF(BH22=0,"",VLOOKUP(BH22,'Tablas Magia'!$D$6:$Z$680,14,FALSE))</f>
        <v/>
      </c>
      <c r="BL27" s="412" t="str">
        <f>IF(BH22=0,"",VLOOKUP(BH22,'Tablas Magia'!$D$6:$Z$680,18,FALSE))</f>
        <v/>
      </c>
      <c r="BM27" s="6514" t="str">
        <f>IF(BH22=0,"",VLOOKUP(BH22,'Tablas Magia'!$D$6:$Z$680,22,FALSE))</f>
        <v/>
      </c>
      <c r="BN27" s="6515"/>
      <c r="BO27" s="6515"/>
      <c r="BP27" s="6515"/>
      <c r="BQ27" s="6515"/>
      <c r="BR27" s="6515"/>
      <c r="BS27" s="6515"/>
      <c r="BT27" s="6515"/>
      <c r="BU27" s="6515"/>
      <c r="BV27" s="6516"/>
      <c r="BW27" s="398"/>
      <c r="BX27" s="2466"/>
    </row>
    <row r="28" spans="1:76" ht="12.2" customHeight="1" x14ac:dyDescent="0.2">
      <c r="A28" s="392"/>
      <c r="B28" s="279"/>
      <c r="C28" s="6517" t="str">
        <f>IF(C22=0,"",VLOOKUP(C22,'Tablas Magia'!$D$6:$Z$680,23,FALSE))</f>
        <v/>
      </c>
      <c r="D28" s="6518"/>
      <c r="E28" s="6518"/>
      <c r="F28" s="6518"/>
      <c r="G28" s="6518"/>
      <c r="H28" s="6518"/>
      <c r="I28" s="6518"/>
      <c r="J28" s="6518"/>
      <c r="K28" s="6518"/>
      <c r="L28" s="6518"/>
      <c r="M28" s="6518"/>
      <c r="N28" s="6518"/>
      <c r="O28" s="6518"/>
      <c r="P28" s="6518"/>
      <c r="Q28" s="6519"/>
      <c r="R28" s="398"/>
      <c r="S28" s="392"/>
      <c r="T28" s="392"/>
      <c r="U28" s="279"/>
      <c r="V28" s="6517" t="str">
        <f>IF(V22=0,"",VLOOKUP(V22,'Tablas Magia'!$D$6:$Z$680,23,FALSE))</f>
        <v/>
      </c>
      <c r="W28" s="6518"/>
      <c r="X28" s="6518"/>
      <c r="Y28" s="6518"/>
      <c r="Z28" s="6518"/>
      <c r="AA28" s="6518"/>
      <c r="AB28" s="6518"/>
      <c r="AC28" s="6518"/>
      <c r="AD28" s="6518"/>
      <c r="AE28" s="6518"/>
      <c r="AF28" s="6518"/>
      <c r="AG28" s="6518"/>
      <c r="AH28" s="6518"/>
      <c r="AI28" s="6518"/>
      <c r="AJ28" s="6519"/>
      <c r="AK28" s="398"/>
      <c r="AL28" s="392"/>
      <c r="AM28" s="392"/>
      <c r="AN28" s="279"/>
      <c r="AO28" s="6517" t="str">
        <f>IF(AO22=0,"",VLOOKUP(AO22,'Tablas Magia'!$D$6:$Z$680,23,FALSE))</f>
        <v/>
      </c>
      <c r="AP28" s="6518"/>
      <c r="AQ28" s="6518"/>
      <c r="AR28" s="6518"/>
      <c r="AS28" s="6518"/>
      <c r="AT28" s="6518"/>
      <c r="AU28" s="6518"/>
      <c r="AV28" s="6518"/>
      <c r="AW28" s="6518"/>
      <c r="AX28" s="6518"/>
      <c r="AY28" s="6518"/>
      <c r="AZ28" s="6518"/>
      <c r="BA28" s="6518"/>
      <c r="BB28" s="6518"/>
      <c r="BC28" s="6519"/>
      <c r="BD28" s="398"/>
      <c r="BE28" s="392"/>
      <c r="BF28" s="2466"/>
      <c r="BG28" s="279"/>
      <c r="BH28" s="6517" t="str">
        <f>IF(BH22=0,"",VLOOKUP(BH22,'Tablas Magia'!$D$6:$Z$680,23,FALSE))</f>
        <v/>
      </c>
      <c r="BI28" s="6518"/>
      <c r="BJ28" s="6518"/>
      <c r="BK28" s="6518"/>
      <c r="BL28" s="6518"/>
      <c r="BM28" s="6518"/>
      <c r="BN28" s="6518"/>
      <c r="BO28" s="6518"/>
      <c r="BP28" s="6518"/>
      <c r="BQ28" s="6518"/>
      <c r="BR28" s="6518"/>
      <c r="BS28" s="6518"/>
      <c r="BT28" s="6518"/>
      <c r="BU28" s="6518"/>
      <c r="BV28" s="6519"/>
      <c r="BW28" s="398"/>
      <c r="BX28" s="2466"/>
    </row>
    <row r="29" spans="1:76" ht="12.2" customHeight="1" x14ac:dyDescent="0.2">
      <c r="A29" s="392"/>
      <c r="B29" s="279"/>
      <c r="C29" s="6520"/>
      <c r="D29" s="6521"/>
      <c r="E29" s="6521"/>
      <c r="F29" s="6521"/>
      <c r="G29" s="6521"/>
      <c r="H29" s="6521"/>
      <c r="I29" s="6521"/>
      <c r="J29" s="6521"/>
      <c r="K29" s="6521"/>
      <c r="L29" s="6521"/>
      <c r="M29" s="6521"/>
      <c r="N29" s="6521"/>
      <c r="O29" s="6521"/>
      <c r="P29" s="6521"/>
      <c r="Q29" s="6522"/>
      <c r="R29" s="398"/>
      <c r="S29" s="392"/>
      <c r="T29" s="392"/>
      <c r="U29" s="279"/>
      <c r="V29" s="6520"/>
      <c r="W29" s="6521"/>
      <c r="X29" s="6521"/>
      <c r="Y29" s="6521"/>
      <c r="Z29" s="6521"/>
      <c r="AA29" s="6521"/>
      <c r="AB29" s="6521"/>
      <c r="AC29" s="6521"/>
      <c r="AD29" s="6521"/>
      <c r="AE29" s="6521"/>
      <c r="AF29" s="6521"/>
      <c r="AG29" s="6521"/>
      <c r="AH29" s="6521"/>
      <c r="AI29" s="6521"/>
      <c r="AJ29" s="6522"/>
      <c r="AK29" s="398"/>
      <c r="AL29" s="392"/>
      <c r="AM29" s="392"/>
      <c r="AN29" s="279"/>
      <c r="AO29" s="6520"/>
      <c r="AP29" s="6521"/>
      <c r="AQ29" s="6521"/>
      <c r="AR29" s="6521"/>
      <c r="AS29" s="6521"/>
      <c r="AT29" s="6521"/>
      <c r="AU29" s="6521"/>
      <c r="AV29" s="6521"/>
      <c r="AW29" s="6521"/>
      <c r="AX29" s="6521"/>
      <c r="AY29" s="6521"/>
      <c r="AZ29" s="6521"/>
      <c r="BA29" s="6521"/>
      <c r="BB29" s="6521"/>
      <c r="BC29" s="6522"/>
      <c r="BD29" s="398"/>
      <c r="BE29" s="392"/>
      <c r="BF29" s="2466"/>
      <c r="BG29" s="279"/>
      <c r="BH29" s="6520"/>
      <c r="BI29" s="6521"/>
      <c r="BJ29" s="6521"/>
      <c r="BK29" s="6521"/>
      <c r="BL29" s="6521"/>
      <c r="BM29" s="6521"/>
      <c r="BN29" s="6521"/>
      <c r="BO29" s="6521"/>
      <c r="BP29" s="6521"/>
      <c r="BQ29" s="6521"/>
      <c r="BR29" s="6521"/>
      <c r="BS29" s="6521"/>
      <c r="BT29" s="6521"/>
      <c r="BU29" s="6521"/>
      <c r="BV29" s="6522"/>
      <c r="BW29" s="398"/>
      <c r="BX29" s="2466"/>
    </row>
    <row r="30" spans="1:76" ht="12.2" customHeight="1" x14ac:dyDescent="0.2">
      <c r="A30" s="392"/>
      <c r="B30" s="279"/>
      <c r="C30" s="6520"/>
      <c r="D30" s="6521"/>
      <c r="E30" s="6521"/>
      <c r="F30" s="6521"/>
      <c r="G30" s="6521"/>
      <c r="H30" s="6521"/>
      <c r="I30" s="6521"/>
      <c r="J30" s="6521"/>
      <c r="K30" s="6521"/>
      <c r="L30" s="6521"/>
      <c r="M30" s="6521"/>
      <c r="N30" s="6521"/>
      <c r="O30" s="6521"/>
      <c r="P30" s="6521"/>
      <c r="Q30" s="6522"/>
      <c r="R30" s="398"/>
      <c r="S30" s="392"/>
      <c r="T30" s="392"/>
      <c r="U30" s="279"/>
      <c r="V30" s="6520"/>
      <c r="W30" s="6521"/>
      <c r="X30" s="6521"/>
      <c r="Y30" s="6521"/>
      <c r="Z30" s="6521"/>
      <c r="AA30" s="6521"/>
      <c r="AB30" s="6521"/>
      <c r="AC30" s="6521"/>
      <c r="AD30" s="6521"/>
      <c r="AE30" s="6521"/>
      <c r="AF30" s="6521"/>
      <c r="AG30" s="6521"/>
      <c r="AH30" s="6521"/>
      <c r="AI30" s="6521"/>
      <c r="AJ30" s="6522"/>
      <c r="AK30" s="398"/>
      <c r="AL30" s="392"/>
      <c r="AM30" s="392"/>
      <c r="AN30" s="279"/>
      <c r="AO30" s="6520"/>
      <c r="AP30" s="6521"/>
      <c r="AQ30" s="6521"/>
      <c r="AR30" s="6521"/>
      <c r="AS30" s="6521"/>
      <c r="AT30" s="6521"/>
      <c r="AU30" s="6521"/>
      <c r="AV30" s="6521"/>
      <c r="AW30" s="6521"/>
      <c r="AX30" s="6521"/>
      <c r="AY30" s="6521"/>
      <c r="AZ30" s="6521"/>
      <c r="BA30" s="6521"/>
      <c r="BB30" s="6521"/>
      <c r="BC30" s="6522"/>
      <c r="BD30" s="398"/>
      <c r="BE30" s="392"/>
      <c r="BF30" s="2466"/>
      <c r="BG30" s="279"/>
      <c r="BH30" s="6520"/>
      <c r="BI30" s="6521"/>
      <c r="BJ30" s="6521"/>
      <c r="BK30" s="6521"/>
      <c r="BL30" s="6521"/>
      <c r="BM30" s="6521"/>
      <c r="BN30" s="6521"/>
      <c r="BO30" s="6521"/>
      <c r="BP30" s="6521"/>
      <c r="BQ30" s="6521"/>
      <c r="BR30" s="6521"/>
      <c r="BS30" s="6521"/>
      <c r="BT30" s="6521"/>
      <c r="BU30" s="6521"/>
      <c r="BV30" s="6522"/>
      <c r="BW30" s="398"/>
      <c r="BX30" s="2466"/>
    </row>
    <row r="31" spans="1:76" ht="12.2" customHeight="1" thickBot="1" x14ac:dyDescent="0.25">
      <c r="A31" s="392"/>
      <c r="B31" s="279"/>
      <c r="C31" s="6523"/>
      <c r="D31" s="6524"/>
      <c r="E31" s="6524"/>
      <c r="F31" s="6524"/>
      <c r="G31" s="6524"/>
      <c r="H31" s="6524"/>
      <c r="I31" s="6524"/>
      <c r="J31" s="6524"/>
      <c r="K31" s="6524"/>
      <c r="L31" s="6524"/>
      <c r="M31" s="6524"/>
      <c r="N31" s="6524"/>
      <c r="O31" s="6524"/>
      <c r="P31" s="6524"/>
      <c r="Q31" s="6525"/>
      <c r="R31" s="398"/>
      <c r="S31" s="392"/>
      <c r="T31" s="392"/>
      <c r="U31" s="279"/>
      <c r="V31" s="6523"/>
      <c r="W31" s="6524"/>
      <c r="X31" s="6524"/>
      <c r="Y31" s="6524"/>
      <c r="Z31" s="6524"/>
      <c r="AA31" s="6524"/>
      <c r="AB31" s="6524"/>
      <c r="AC31" s="6524"/>
      <c r="AD31" s="6524"/>
      <c r="AE31" s="6524"/>
      <c r="AF31" s="6524"/>
      <c r="AG31" s="6524"/>
      <c r="AH31" s="6524"/>
      <c r="AI31" s="6524"/>
      <c r="AJ31" s="6525"/>
      <c r="AK31" s="398"/>
      <c r="AL31" s="392"/>
      <c r="AM31" s="392"/>
      <c r="AN31" s="279"/>
      <c r="AO31" s="6523"/>
      <c r="AP31" s="6524"/>
      <c r="AQ31" s="6524"/>
      <c r="AR31" s="6524"/>
      <c r="AS31" s="6524"/>
      <c r="AT31" s="6524"/>
      <c r="AU31" s="6524"/>
      <c r="AV31" s="6524"/>
      <c r="AW31" s="6524"/>
      <c r="AX31" s="6524"/>
      <c r="AY31" s="6524"/>
      <c r="AZ31" s="6524"/>
      <c r="BA31" s="6524"/>
      <c r="BB31" s="6524"/>
      <c r="BC31" s="6525"/>
      <c r="BD31" s="398"/>
      <c r="BE31" s="392"/>
      <c r="BF31" s="2466"/>
      <c r="BG31" s="279"/>
      <c r="BH31" s="6523"/>
      <c r="BI31" s="6524"/>
      <c r="BJ31" s="6524"/>
      <c r="BK31" s="6524"/>
      <c r="BL31" s="6524"/>
      <c r="BM31" s="6524"/>
      <c r="BN31" s="6524"/>
      <c r="BO31" s="6524"/>
      <c r="BP31" s="6524"/>
      <c r="BQ31" s="6524"/>
      <c r="BR31" s="6524"/>
      <c r="BS31" s="6524"/>
      <c r="BT31" s="6524"/>
      <c r="BU31" s="6524"/>
      <c r="BV31" s="6525"/>
      <c r="BW31" s="398"/>
      <c r="BX31" s="2466"/>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6"/>
      <c r="BG32" s="279"/>
      <c r="BH32" s="415"/>
      <c r="BI32" s="415"/>
      <c r="BJ32" s="416"/>
      <c r="BK32" s="416"/>
      <c r="BL32" s="416"/>
      <c r="BM32" s="415"/>
      <c r="BN32" s="350"/>
      <c r="BO32" s="350"/>
      <c r="BP32" s="415"/>
      <c r="BQ32" s="415"/>
      <c r="BR32" s="350"/>
      <c r="BS32" s="350"/>
      <c r="BT32" s="417"/>
      <c r="BU32" s="417"/>
      <c r="BV32" s="350"/>
      <c r="BW32" s="398"/>
      <c r="BX32" s="2466"/>
    </row>
    <row r="33" spans="1:76" ht="12.2" customHeight="1" x14ac:dyDescent="0.2">
      <c r="A33" s="392"/>
      <c r="B33" s="279"/>
      <c r="C33" s="6526"/>
      <c r="D33" s="6527"/>
      <c r="E33" s="6527"/>
      <c r="F33" s="6527"/>
      <c r="G33" s="6527"/>
      <c r="H33" s="402" t="s">
        <v>1325</v>
      </c>
      <c r="I33" s="403" t="str">
        <f>IF(C33=0,"",VLOOKUP(C33,'Tablas Magia'!$D$6:$Z$680,3,FALSE))</f>
        <v/>
      </c>
      <c r="J33" s="6528" t="s">
        <v>6231</v>
      </c>
      <c r="K33" s="6528"/>
      <c r="L33" s="6528"/>
      <c r="M33" s="6529" t="str">
        <f>IF(C33=0,"",VLOOKUP(C33,'Tablas Magia'!$D$6:$Z$680,2,FALSE))</f>
        <v/>
      </c>
      <c r="N33" s="6529"/>
      <c r="O33" s="6529"/>
      <c r="P33" s="6529"/>
      <c r="Q33" s="6530"/>
      <c r="R33" s="398"/>
      <c r="S33" s="392"/>
      <c r="T33" s="392"/>
      <c r="U33" s="279"/>
      <c r="V33" s="6526"/>
      <c r="W33" s="6527"/>
      <c r="X33" s="6527"/>
      <c r="Y33" s="6527"/>
      <c r="Z33" s="6527"/>
      <c r="AA33" s="402" t="s">
        <v>1325</v>
      </c>
      <c r="AB33" s="403" t="str">
        <f>IF(V33=0,"",VLOOKUP(V33,'Tablas Magia'!$D$6:$Z$680,3,FALSE))</f>
        <v/>
      </c>
      <c r="AC33" s="6528" t="s">
        <v>6231</v>
      </c>
      <c r="AD33" s="6528"/>
      <c r="AE33" s="6528"/>
      <c r="AF33" s="6529" t="str">
        <f>IF(V33=0,"",VLOOKUP(V33,'Tablas Magia'!$D$6:$Z$680,2,FALSE))</f>
        <v/>
      </c>
      <c r="AG33" s="6529"/>
      <c r="AH33" s="6529"/>
      <c r="AI33" s="6529"/>
      <c r="AJ33" s="6530"/>
      <c r="AK33" s="398"/>
      <c r="AL33" s="392"/>
      <c r="AM33" s="392"/>
      <c r="AN33" s="279"/>
      <c r="AO33" s="6526"/>
      <c r="AP33" s="6527"/>
      <c r="AQ33" s="6527"/>
      <c r="AR33" s="6527"/>
      <c r="AS33" s="6527"/>
      <c r="AT33" s="402" t="s">
        <v>1325</v>
      </c>
      <c r="AU33" s="403" t="str">
        <f>IF(AO33=0,"",VLOOKUP(AO33,'Tablas Magia'!$D$6:$Z$680,3,FALSE))</f>
        <v/>
      </c>
      <c r="AV33" s="6528" t="s">
        <v>6231</v>
      </c>
      <c r="AW33" s="6528"/>
      <c r="AX33" s="6528"/>
      <c r="AY33" s="6529" t="str">
        <f>IF(AO33=0,"",VLOOKUP(AO33,'Tablas Magia'!$D$6:$Z$680,2,FALSE))</f>
        <v/>
      </c>
      <c r="AZ33" s="6529"/>
      <c r="BA33" s="6529"/>
      <c r="BB33" s="6529"/>
      <c r="BC33" s="6530"/>
      <c r="BD33" s="398"/>
      <c r="BE33" s="392"/>
      <c r="BF33" s="2466"/>
      <c r="BG33" s="279"/>
      <c r="BH33" s="6526"/>
      <c r="BI33" s="6527"/>
      <c r="BJ33" s="6527"/>
      <c r="BK33" s="6527"/>
      <c r="BL33" s="6527"/>
      <c r="BM33" s="402" t="s">
        <v>1325</v>
      </c>
      <c r="BN33" s="403" t="str">
        <f>IF(BH33=0,"",VLOOKUP(BH33,'Tablas Magia'!$D$6:$Z$680,3,FALSE))</f>
        <v/>
      </c>
      <c r="BO33" s="6528" t="s">
        <v>6231</v>
      </c>
      <c r="BP33" s="6528"/>
      <c r="BQ33" s="6528"/>
      <c r="BR33" s="6529" t="str">
        <f>IF(BH33=0,"",VLOOKUP(BH33,'Tablas Magia'!$D$6:$Z$680,2,FALSE))</f>
        <v/>
      </c>
      <c r="BS33" s="6529"/>
      <c r="BT33" s="6529"/>
      <c r="BU33" s="6529"/>
      <c r="BV33" s="6530"/>
      <c r="BW33" s="398"/>
      <c r="BX33" s="2466"/>
    </row>
    <row r="34" spans="1:76" ht="12.2" customHeight="1" x14ac:dyDescent="0.2">
      <c r="A34" s="392"/>
      <c r="B34" s="279"/>
      <c r="C34" s="6531" t="s">
        <v>6232</v>
      </c>
      <c r="D34" s="6532"/>
      <c r="E34" s="404" t="s">
        <v>6233</v>
      </c>
      <c r="F34" s="404" t="s">
        <v>1508</v>
      </c>
      <c r="G34" s="404" t="s">
        <v>2827</v>
      </c>
      <c r="H34" s="405" t="s">
        <v>1835</v>
      </c>
      <c r="I34" s="6533" t="str">
        <f>IF(C33=0,"",VLOOKUP(C33,'Tablas Magia'!$D$6:$Z$680,5,FALSE))</f>
        <v/>
      </c>
      <c r="J34" s="6533"/>
      <c r="K34" s="6534" t="s">
        <v>6234</v>
      </c>
      <c r="L34" s="6534"/>
      <c r="M34" s="6533" t="str">
        <f>IF(C33=0,"",VLOOKUP(C33,'Tablas Magia'!$D$6:$Z$680,6,FALSE))</f>
        <v/>
      </c>
      <c r="N34" s="6533"/>
      <c r="O34" s="6535" t="s">
        <v>6235</v>
      </c>
      <c r="P34" s="6535"/>
      <c r="Q34" s="406" t="str">
        <f>IF(C33=0,"",VLOOKUP(C33,'Tablas Magia'!$D$6:$Z$680,4,FALSE))</f>
        <v/>
      </c>
      <c r="R34" s="398"/>
      <c r="S34" s="392"/>
      <c r="T34" s="392"/>
      <c r="U34" s="279"/>
      <c r="V34" s="6531" t="s">
        <v>6232</v>
      </c>
      <c r="W34" s="6532"/>
      <c r="X34" s="404" t="s">
        <v>6233</v>
      </c>
      <c r="Y34" s="404" t="s">
        <v>1508</v>
      </c>
      <c r="Z34" s="404" t="s">
        <v>2827</v>
      </c>
      <c r="AA34" s="405" t="s">
        <v>1835</v>
      </c>
      <c r="AB34" s="6533" t="str">
        <f>IF(V33=0,"",VLOOKUP(V33,'Tablas Magia'!$D$6:$Z$680,5,FALSE))</f>
        <v/>
      </c>
      <c r="AC34" s="6533"/>
      <c r="AD34" s="6534" t="s">
        <v>6234</v>
      </c>
      <c r="AE34" s="6534"/>
      <c r="AF34" s="6533" t="str">
        <f>IF(V33=0,"",VLOOKUP(V33,'Tablas Magia'!$D$6:$Z$680,6,FALSE))</f>
        <v/>
      </c>
      <c r="AG34" s="6533"/>
      <c r="AH34" s="6535" t="s">
        <v>6235</v>
      </c>
      <c r="AI34" s="6535"/>
      <c r="AJ34" s="406" t="str">
        <f>IF(V33=0,"",VLOOKUP(V33,'Tablas Magia'!$D$6:$Z$680,4,FALSE))</f>
        <v/>
      </c>
      <c r="AK34" s="398"/>
      <c r="AL34" s="392"/>
      <c r="AM34" s="392"/>
      <c r="AN34" s="279"/>
      <c r="AO34" s="6531" t="s">
        <v>6232</v>
      </c>
      <c r="AP34" s="6532"/>
      <c r="AQ34" s="404" t="s">
        <v>6233</v>
      </c>
      <c r="AR34" s="404" t="s">
        <v>1508</v>
      </c>
      <c r="AS34" s="404" t="s">
        <v>2827</v>
      </c>
      <c r="AT34" s="405" t="s">
        <v>1835</v>
      </c>
      <c r="AU34" s="6533" t="str">
        <f>IF(AO33=0,"",VLOOKUP(AO33,'Tablas Magia'!$D$6:$Z$680,5,FALSE))</f>
        <v/>
      </c>
      <c r="AV34" s="6533"/>
      <c r="AW34" s="6534" t="s">
        <v>6234</v>
      </c>
      <c r="AX34" s="6534"/>
      <c r="AY34" s="6533" t="str">
        <f>IF(AO33=0,"",VLOOKUP(AO33,'Tablas Magia'!$D$6:$Z$680,6,FALSE))</f>
        <v/>
      </c>
      <c r="AZ34" s="6533"/>
      <c r="BA34" s="6535" t="s">
        <v>6235</v>
      </c>
      <c r="BB34" s="6535"/>
      <c r="BC34" s="406" t="str">
        <f>IF(AO33=0,"",VLOOKUP(AO33,'Tablas Magia'!$D$6:$Z$680,4,FALSE))</f>
        <v/>
      </c>
      <c r="BD34" s="398"/>
      <c r="BE34" s="392"/>
      <c r="BF34" s="2466"/>
      <c r="BG34" s="279"/>
      <c r="BH34" s="6531" t="s">
        <v>6232</v>
      </c>
      <c r="BI34" s="6532"/>
      <c r="BJ34" s="404" t="s">
        <v>6233</v>
      </c>
      <c r="BK34" s="404" t="s">
        <v>1508</v>
      </c>
      <c r="BL34" s="404" t="s">
        <v>2827</v>
      </c>
      <c r="BM34" s="405" t="s">
        <v>1835</v>
      </c>
      <c r="BN34" s="6533" t="str">
        <f>IF(BH33=0,"",VLOOKUP(BH33,'Tablas Magia'!$D$6:$Z$680,5,FALSE))</f>
        <v/>
      </c>
      <c r="BO34" s="6533"/>
      <c r="BP34" s="6534" t="s">
        <v>6234</v>
      </c>
      <c r="BQ34" s="6534"/>
      <c r="BR34" s="6533" t="str">
        <f>IF(BH33=0,"",VLOOKUP(BH33,'Tablas Magia'!$D$6:$Z$680,6,FALSE))</f>
        <v/>
      </c>
      <c r="BS34" s="6533"/>
      <c r="BT34" s="6535" t="s">
        <v>6235</v>
      </c>
      <c r="BU34" s="6535"/>
      <c r="BV34" s="406" t="str">
        <f>IF(BH33=0,"",VLOOKUP(BH33,'Tablas Magia'!$D$6:$Z$680,4,FALSE))</f>
        <v/>
      </c>
      <c r="BW34" s="398"/>
      <c r="BX34" s="2466"/>
    </row>
    <row r="35" spans="1:76" ht="12.2" customHeight="1" x14ac:dyDescent="0.2">
      <c r="A35" s="392"/>
      <c r="B35" s="279"/>
      <c r="C35" s="6507" t="s">
        <v>1365</v>
      </c>
      <c r="D35" s="6508"/>
      <c r="E35" s="407" t="str">
        <f>IF(C33=0,"",VLOOKUP(C33,'Tablas Magia'!$D$6:$Z$680,7,FALSE))</f>
        <v/>
      </c>
      <c r="F35" s="407" t="str">
        <f>IF(C33=0,"",VLOOKUP(C33,'Tablas Magia'!$D$6:$Z$680,11,FALSE))</f>
        <v/>
      </c>
      <c r="G35" s="408" t="str">
        <f>IF(C33=0,"",VLOOKUP(C33,'Tablas Magia'!$D$6:$Z$680,15,FALSE))</f>
        <v/>
      </c>
      <c r="H35" s="6509" t="str">
        <f>IF(C33=0,"",VLOOKUP(C33,'Tablas Magia'!$D$6:$Z$680,19,FALSE))</f>
        <v/>
      </c>
      <c r="I35" s="6510"/>
      <c r="J35" s="6510"/>
      <c r="K35" s="6510"/>
      <c r="L35" s="6510"/>
      <c r="M35" s="6510"/>
      <c r="N35" s="6510"/>
      <c r="O35" s="6510"/>
      <c r="P35" s="6510"/>
      <c r="Q35" s="6511"/>
      <c r="R35" s="398"/>
      <c r="S35" s="392"/>
      <c r="T35" s="392"/>
      <c r="U35" s="279"/>
      <c r="V35" s="6507" t="s">
        <v>1365</v>
      </c>
      <c r="W35" s="6508"/>
      <c r="X35" s="407" t="str">
        <f>IF(V33=0,"",VLOOKUP(V33,'Tablas Magia'!$D$6:$Z$680,7,FALSE))</f>
        <v/>
      </c>
      <c r="Y35" s="407" t="str">
        <f>IF(V33=0,"",VLOOKUP(V33,'Tablas Magia'!$D$6:$Z$680,11,FALSE))</f>
        <v/>
      </c>
      <c r="Z35" s="408" t="str">
        <f>IF(V33=0,"",VLOOKUP(V33,'Tablas Magia'!$D$6:$Z$680,15,FALSE))</f>
        <v/>
      </c>
      <c r="AA35" s="6509" t="str">
        <f>IF(V33=0,"",VLOOKUP(V33,'Tablas Magia'!$D$6:$Z$680,19,FALSE))</f>
        <v/>
      </c>
      <c r="AB35" s="6510"/>
      <c r="AC35" s="6510"/>
      <c r="AD35" s="6510"/>
      <c r="AE35" s="6510"/>
      <c r="AF35" s="6510"/>
      <c r="AG35" s="6510"/>
      <c r="AH35" s="6510"/>
      <c r="AI35" s="6510"/>
      <c r="AJ35" s="6511"/>
      <c r="AK35" s="398"/>
      <c r="AL35" s="392"/>
      <c r="AM35" s="392"/>
      <c r="AN35" s="279"/>
      <c r="AO35" s="6507" t="s">
        <v>1365</v>
      </c>
      <c r="AP35" s="6508"/>
      <c r="AQ35" s="407" t="str">
        <f>IF(AO33=0,"",VLOOKUP(AO33,'Tablas Magia'!$D$6:$Z$680,7,FALSE))</f>
        <v/>
      </c>
      <c r="AR35" s="407" t="str">
        <f>IF(AO33=0,"",VLOOKUP(AO33,'Tablas Magia'!$D$6:$Z$680,11,FALSE))</f>
        <v/>
      </c>
      <c r="AS35" s="408" t="str">
        <f>IF(AO33=0,"",VLOOKUP(AO33,'Tablas Magia'!$D$6:$Z$680,15,FALSE))</f>
        <v/>
      </c>
      <c r="AT35" s="6509" t="str">
        <f>IF(AO33=0,"",VLOOKUP(AO33,'Tablas Magia'!$D$6:$Z$680,19,FALSE))</f>
        <v/>
      </c>
      <c r="AU35" s="6510"/>
      <c r="AV35" s="6510"/>
      <c r="AW35" s="6510"/>
      <c r="AX35" s="6510"/>
      <c r="AY35" s="6510"/>
      <c r="AZ35" s="6510"/>
      <c r="BA35" s="6510"/>
      <c r="BB35" s="6510"/>
      <c r="BC35" s="6511"/>
      <c r="BD35" s="398"/>
      <c r="BE35" s="392"/>
      <c r="BF35" s="2466"/>
      <c r="BG35" s="279"/>
      <c r="BH35" s="6507" t="s">
        <v>1365</v>
      </c>
      <c r="BI35" s="6508"/>
      <c r="BJ35" s="407" t="str">
        <f>IF(BH33=0,"",VLOOKUP(BH33,'Tablas Magia'!$D$6:$Z$680,7,FALSE))</f>
        <v/>
      </c>
      <c r="BK35" s="407" t="str">
        <f>IF(BH33=0,"",VLOOKUP(BH33,'Tablas Magia'!$D$6:$Z$680,11,FALSE))</f>
        <v/>
      </c>
      <c r="BL35" s="408" t="str">
        <f>IF(BH33=0,"",VLOOKUP(BH33,'Tablas Magia'!$D$6:$Z$680,15,FALSE))</f>
        <v/>
      </c>
      <c r="BM35" s="6509" t="str">
        <f>IF(BH33=0,"",VLOOKUP(BH33,'Tablas Magia'!$D$6:$Z$680,19,FALSE))</f>
        <v/>
      </c>
      <c r="BN35" s="6510"/>
      <c r="BO35" s="6510"/>
      <c r="BP35" s="6510"/>
      <c r="BQ35" s="6510"/>
      <c r="BR35" s="6510"/>
      <c r="BS35" s="6510"/>
      <c r="BT35" s="6510"/>
      <c r="BU35" s="6510"/>
      <c r="BV35" s="6511"/>
      <c r="BW35" s="398"/>
      <c r="BX35" s="2466"/>
    </row>
    <row r="36" spans="1:76" ht="12.2" customHeight="1" x14ac:dyDescent="0.2">
      <c r="A36" s="392"/>
      <c r="B36" s="279"/>
      <c r="C36" s="6502" t="s">
        <v>3196</v>
      </c>
      <c r="D36" s="6503"/>
      <c r="E36" s="409" t="str">
        <f>IF(C33=0,"",VLOOKUP(C33,'Tablas Magia'!$D$6:$Z$680,8,FALSE))</f>
        <v/>
      </c>
      <c r="F36" s="409" t="str">
        <f>IF(C33=0,"",VLOOKUP(C33,'Tablas Magia'!$D$6:$Z$680,12,FALSE))</f>
        <v/>
      </c>
      <c r="G36" s="410" t="str">
        <f>IF(C33=0,"",VLOOKUP(C33,'Tablas Magia'!$D$6:$Z$680,16,FALSE))</f>
        <v/>
      </c>
      <c r="H36" s="6504" t="str">
        <f>IF(C33=0,"",VLOOKUP(C33,'Tablas Magia'!$D$6:$Z$680,20,FALSE))</f>
        <v/>
      </c>
      <c r="I36" s="6505"/>
      <c r="J36" s="6505"/>
      <c r="K36" s="6505"/>
      <c r="L36" s="6505"/>
      <c r="M36" s="6505"/>
      <c r="N36" s="6505"/>
      <c r="O36" s="6505"/>
      <c r="P36" s="6505"/>
      <c r="Q36" s="6506"/>
      <c r="R36" s="398"/>
      <c r="S36" s="392"/>
      <c r="T36" s="392"/>
      <c r="U36" s="279"/>
      <c r="V36" s="6502" t="s">
        <v>3196</v>
      </c>
      <c r="W36" s="6503"/>
      <c r="X36" s="409" t="str">
        <f>IF(V33=0,"",VLOOKUP(V33,'Tablas Magia'!$D$6:$Z$680,8,FALSE))</f>
        <v/>
      </c>
      <c r="Y36" s="409" t="str">
        <f>IF(V33=0,"",VLOOKUP(V33,'Tablas Magia'!$D$6:$Z$680,12,FALSE))</f>
        <v/>
      </c>
      <c r="Z36" s="410" t="str">
        <f>IF(V33=0,"",VLOOKUP(V33,'Tablas Magia'!$D$6:$Z$680,16,FALSE))</f>
        <v/>
      </c>
      <c r="AA36" s="6504" t="str">
        <f>IF(V33=0,"",VLOOKUP(V33,'Tablas Magia'!$D$6:$Z$680,20,FALSE))</f>
        <v/>
      </c>
      <c r="AB36" s="6505"/>
      <c r="AC36" s="6505"/>
      <c r="AD36" s="6505"/>
      <c r="AE36" s="6505"/>
      <c r="AF36" s="6505"/>
      <c r="AG36" s="6505"/>
      <c r="AH36" s="6505"/>
      <c r="AI36" s="6505"/>
      <c r="AJ36" s="6506"/>
      <c r="AK36" s="398"/>
      <c r="AL36" s="392"/>
      <c r="AM36" s="392"/>
      <c r="AN36" s="279"/>
      <c r="AO36" s="6502" t="s">
        <v>3196</v>
      </c>
      <c r="AP36" s="6503"/>
      <c r="AQ36" s="409" t="str">
        <f>IF(AO33=0,"",VLOOKUP(AO33,'Tablas Magia'!$D$6:$Z$680,8,FALSE))</f>
        <v/>
      </c>
      <c r="AR36" s="409" t="str">
        <f>IF(AO33=0,"",VLOOKUP(AO33,'Tablas Magia'!$D$6:$Z$680,12,FALSE))</f>
        <v/>
      </c>
      <c r="AS36" s="410" t="str">
        <f>IF(AO33=0,"",VLOOKUP(AO33,'Tablas Magia'!$D$6:$Z$680,16,FALSE))</f>
        <v/>
      </c>
      <c r="AT36" s="6504" t="str">
        <f>IF(AO33=0,"",VLOOKUP(AO33,'Tablas Magia'!$D$6:$Z$680,20,FALSE))</f>
        <v/>
      </c>
      <c r="AU36" s="6505"/>
      <c r="AV36" s="6505"/>
      <c r="AW36" s="6505"/>
      <c r="AX36" s="6505"/>
      <c r="AY36" s="6505"/>
      <c r="AZ36" s="6505"/>
      <c r="BA36" s="6505"/>
      <c r="BB36" s="6505"/>
      <c r="BC36" s="6506"/>
      <c r="BD36" s="398"/>
      <c r="BE36" s="392"/>
      <c r="BF36" s="2466"/>
      <c r="BG36" s="279"/>
      <c r="BH36" s="6502" t="s">
        <v>3196</v>
      </c>
      <c r="BI36" s="6503"/>
      <c r="BJ36" s="409" t="str">
        <f>IF(BH33=0,"",VLOOKUP(BH33,'Tablas Magia'!$D$6:$Z$680,8,FALSE))</f>
        <v/>
      </c>
      <c r="BK36" s="409" t="str">
        <f>IF(BH33=0,"",VLOOKUP(BH33,'Tablas Magia'!$D$6:$Z$680,12,FALSE))</f>
        <v/>
      </c>
      <c r="BL36" s="410" t="str">
        <f>IF(BH33=0,"",VLOOKUP(BH33,'Tablas Magia'!$D$6:$Z$680,16,FALSE))</f>
        <v/>
      </c>
      <c r="BM36" s="6504" t="str">
        <f>IF(BH33=0,"",VLOOKUP(BH33,'Tablas Magia'!$D$6:$Z$680,20,FALSE))</f>
        <v/>
      </c>
      <c r="BN36" s="6505"/>
      <c r="BO36" s="6505"/>
      <c r="BP36" s="6505"/>
      <c r="BQ36" s="6505"/>
      <c r="BR36" s="6505"/>
      <c r="BS36" s="6505"/>
      <c r="BT36" s="6505"/>
      <c r="BU36" s="6505"/>
      <c r="BV36" s="6506"/>
      <c r="BW36" s="398"/>
      <c r="BX36" s="2466"/>
    </row>
    <row r="37" spans="1:76" ht="12.2" customHeight="1" x14ac:dyDescent="0.2">
      <c r="A37" s="392"/>
      <c r="B37" s="279"/>
      <c r="C37" s="6507" t="s">
        <v>3197</v>
      </c>
      <c r="D37" s="6508"/>
      <c r="E37" s="407" t="str">
        <f>IF(C33=0,"",VLOOKUP(C33,'Tablas Magia'!$D$6:$Z$680,9,FALSE))</f>
        <v/>
      </c>
      <c r="F37" s="407" t="str">
        <f>IF(C33=0,"",VLOOKUP(C33,'Tablas Magia'!$D$6:$Z$680,13,FALSE))</f>
        <v/>
      </c>
      <c r="G37" s="408" t="str">
        <f>IF(C33=0,"",VLOOKUP(C33,'Tablas Magia'!$D$6:$Z$680,17,FALSE))</f>
        <v/>
      </c>
      <c r="H37" s="6509" t="str">
        <f>IF(C33=0,"",VLOOKUP(C33,'Tablas Magia'!$D$6:$Z$680,21,FALSE))</f>
        <v/>
      </c>
      <c r="I37" s="6510"/>
      <c r="J37" s="6510"/>
      <c r="K37" s="6510"/>
      <c r="L37" s="6510"/>
      <c r="M37" s="6510"/>
      <c r="N37" s="6510"/>
      <c r="O37" s="6510"/>
      <c r="P37" s="6510"/>
      <c r="Q37" s="6511"/>
      <c r="R37" s="398"/>
      <c r="S37" s="392"/>
      <c r="T37" s="392"/>
      <c r="U37" s="279"/>
      <c r="V37" s="6507" t="s">
        <v>3197</v>
      </c>
      <c r="W37" s="6508"/>
      <c r="X37" s="407" t="str">
        <f>IF(V33=0,"",VLOOKUP(V33,'Tablas Magia'!$D$6:$Z$680,9,FALSE))</f>
        <v/>
      </c>
      <c r="Y37" s="407" t="str">
        <f>IF(V33=0,"",VLOOKUP(V33,'Tablas Magia'!$D$6:$Z$680,13,FALSE))</f>
        <v/>
      </c>
      <c r="Z37" s="408" t="str">
        <f>IF(V33=0,"",VLOOKUP(V33,'Tablas Magia'!$D$6:$Z$680,17,FALSE))</f>
        <v/>
      </c>
      <c r="AA37" s="6509" t="str">
        <f>IF(V33=0,"",VLOOKUP(V33,'Tablas Magia'!$D$6:$Z$680,21,FALSE))</f>
        <v/>
      </c>
      <c r="AB37" s="6510"/>
      <c r="AC37" s="6510"/>
      <c r="AD37" s="6510"/>
      <c r="AE37" s="6510"/>
      <c r="AF37" s="6510"/>
      <c r="AG37" s="6510"/>
      <c r="AH37" s="6510"/>
      <c r="AI37" s="6510"/>
      <c r="AJ37" s="6511"/>
      <c r="AK37" s="398"/>
      <c r="AL37" s="392"/>
      <c r="AM37" s="392"/>
      <c r="AN37" s="279"/>
      <c r="AO37" s="6507" t="s">
        <v>3197</v>
      </c>
      <c r="AP37" s="6508"/>
      <c r="AQ37" s="407" t="str">
        <f>IF(AO33=0,"",VLOOKUP(AO33,'Tablas Magia'!$D$6:$Z$680,9,FALSE))</f>
        <v/>
      </c>
      <c r="AR37" s="407" t="str">
        <f>IF(AO33=0,"",VLOOKUP(AO33,'Tablas Magia'!$D$6:$Z$680,13,FALSE))</f>
        <v/>
      </c>
      <c r="AS37" s="408" t="str">
        <f>IF(AO33=0,"",VLOOKUP(AO33,'Tablas Magia'!$D$6:$Z$680,17,FALSE))</f>
        <v/>
      </c>
      <c r="AT37" s="6509" t="str">
        <f>IF(AO33=0,"",VLOOKUP(AO33,'Tablas Magia'!$D$6:$Z$680,21,FALSE))</f>
        <v/>
      </c>
      <c r="AU37" s="6510"/>
      <c r="AV37" s="6510"/>
      <c r="AW37" s="6510"/>
      <c r="AX37" s="6510"/>
      <c r="AY37" s="6510"/>
      <c r="AZ37" s="6510"/>
      <c r="BA37" s="6510"/>
      <c r="BB37" s="6510"/>
      <c r="BC37" s="6511"/>
      <c r="BD37" s="398"/>
      <c r="BE37" s="392"/>
      <c r="BF37" s="2466"/>
      <c r="BG37" s="279"/>
      <c r="BH37" s="6507" t="s">
        <v>3197</v>
      </c>
      <c r="BI37" s="6508"/>
      <c r="BJ37" s="407" t="str">
        <f>IF(BH33=0,"",VLOOKUP(BH33,'Tablas Magia'!$D$6:$Z$680,9,FALSE))</f>
        <v/>
      </c>
      <c r="BK37" s="407" t="str">
        <f>IF(BH33=0,"",VLOOKUP(BH33,'Tablas Magia'!$D$6:$Z$680,13,FALSE))</f>
        <v/>
      </c>
      <c r="BL37" s="408" t="str">
        <f>IF(BH33=0,"",VLOOKUP(BH33,'Tablas Magia'!$D$6:$Z$680,17,FALSE))</f>
        <v/>
      </c>
      <c r="BM37" s="6509" t="str">
        <f>IF(BH33=0,"",VLOOKUP(BH33,'Tablas Magia'!$D$6:$Z$680,21,FALSE))</f>
        <v/>
      </c>
      <c r="BN37" s="6510"/>
      <c r="BO37" s="6510"/>
      <c r="BP37" s="6510"/>
      <c r="BQ37" s="6510"/>
      <c r="BR37" s="6510"/>
      <c r="BS37" s="6510"/>
      <c r="BT37" s="6510"/>
      <c r="BU37" s="6510"/>
      <c r="BV37" s="6511"/>
      <c r="BW37" s="398"/>
      <c r="BX37" s="2466"/>
    </row>
    <row r="38" spans="1:76" ht="12.2" customHeight="1" thickBot="1" x14ac:dyDescent="0.25">
      <c r="A38" s="392"/>
      <c r="B38" s="279"/>
      <c r="C38" s="6512" t="s">
        <v>3198</v>
      </c>
      <c r="D38" s="6513"/>
      <c r="E38" s="411" t="str">
        <f>IF(C33=0,"",VLOOKUP(C33,'Tablas Magia'!$D$6:$Z$680,10,FALSE))</f>
        <v/>
      </c>
      <c r="F38" s="411" t="str">
        <f>IF(C33=0,"",VLOOKUP(C33,'Tablas Magia'!$D$6:$Z$680,14,FALSE))</f>
        <v/>
      </c>
      <c r="G38" s="412" t="str">
        <f>IF(C33=0,"",VLOOKUP(C33,'Tablas Magia'!$D$6:$Z$680,18,FALSE))</f>
        <v/>
      </c>
      <c r="H38" s="6514" t="str">
        <f>IF(C33=0,"",VLOOKUP(C33,'Tablas Magia'!$D$6:$Z$680,22,FALSE))</f>
        <v/>
      </c>
      <c r="I38" s="6515"/>
      <c r="J38" s="6515"/>
      <c r="K38" s="6515"/>
      <c r="L38" s="6515"/>
      <c r="M38" s="6515"/>
      <c r="N38" s="6515"/>
      <c r="O38" s="6515"/>
      <c r="P38" s="6515"/>
      <c r="Q38" s="6516"/>
      <c r="R38" s="398"/>
      <c r="S38" s="392"/>
      <c r="T38" s="392"/>
      <c r="U38" s="279"/>
      <c r="V38" s="6512" t="s">
        <v>3198</v>
      </c>
      <c r="W38" s="6513"/>
      <c r="X38" s="411" t="str">
        <f>IF(V33=0,"",VLOOKUP(V33,'Tablas Magia'!$D$6:$Z$680,10,FALSE))</f>
        <v/>
      </c>
      <c r="Y38" s="411" t="str">
        <f>IF(V33=0,"",VLOOKUP(V33,'Tablas Magia'!$D$6:$Z$680,14,FALSE))</f>
        <v/>
      </c>
      <c r="Z38" s="412" t="str">
        <f>IF(V33=0,"",VLOOKUP(V33,'Tablas Magia'!$D$6:$Z$680,18,FALSE))</f>
        <v/>
      </c>
      <c r="AA38" s="6514" t="str">
        <f>IF(V33=0,"",VLOOKUP(V33,'Tablas Magia'!$D$6:$Z$680,22,FALSE))</f>
        <v/>
      </c>
      <c r="AB38" s="6515"/>
      <c r="AC38" s="6515"/>
      <c r="AD38" s="6515"/>
      <c r="AE38" s="6515"/>
      <c r="AF38" s="6515"/>
      <c r="AG38" s="6515"/>
      <c r="AH38" s="6515"/>
      <c r="AI38" s="6515"/>
      <c r="AJ38" s="6516"/>
      <c r="AK38" s="398"/>
      <c r="AL38" s="392"/>
      <c r="AM38" s="392"/>
      <c r="AN38" s="279"/>
      <c r="AO38" s="6512" t="s">
        <v>3198</v>
      </c>
      <c r="AP38" s="6513"/>
      <c r="AQ38" s="411" t="str">
        <f>IF(AO33=0,"",VLOOKUP(AO33,'Tablas Magia'!$D$6:$Z$680,10,FALSE))</f>
        <v/>
      </c>
      <c r="AR38" s="411" t="str">
        <f>IF(AO33=0,"",VLOOKUP(AO33,'Tablas Magia'!$D$6:$Z$680,14,FALSE))</f>
        <v/>
      </c>
      <c r="AS38" s="412" t="str">
        <f>IF(AO33=0,"",VLOOKUP(AO33,'Tablas Magia'!$D$6:$Z$680,18,FALSE))</f>
        <v/>
      </c>
      <c r="AT38" s="6514" t="str">
        <f>IF(AO33=0,"",VLOOKUP(AO33,'Tablas Magia'!$D$6:$Z$680,22,FALSE))</f>
        <v/>
      </c>
      <c r="AU38" s="6515"/>
      <c r="AV38" s="6515"/>
      <c r="AW38" s="6515"/>
      <c r="AX38" s="6515"/>
      <c r="AY38" s="6515"/>
      <c r="AZ38" s="6515"/>
      <c r="BA38" s="6515"/>
      <c r="BB38" s="6515"/>
      <c r="BC38" s="6516"/>
      <c r="BD38" s="398"/>
      <c r="BE38" s="392"/>
      <c r="BF38" s="2466"/>
      <c r="BG38" s="279"/>
      <c r="BH38" s="6512" t="s">
        <v>3198</v>
      </c>
      <c r="BI38" s="6513"/>
      <c r="BJ38" s="411" t="str">
        <f>IF(BH33=0,"",VLOOKUP(BH33,'Tablas Magia'!$D$6:$Z$680,10,FALSE))</f>
        <v/>
      </c>
      <c r="BK38" s="411" t="str">
        <f>IF(BH33=0,"",VLOOKUP(BH33,'Tablas Magia'!$D$6:$Z$680,14,FALSE))</f>
        <v/>
      </c>
      <c r="BL38" s="412" t="str">
        <f>IF(BH33=0,"",VLOOKUP(BH33,'Tablas Magia'!$D$6:$Z$680,18,FALSE))</f>
        <v/>
      </c>
      <c r="BM38" s="6514" t="str">
        <f>IF(BH33=0,"",VLOOKUP(BH33,'Tablas Magia'!$D$6:$Z$680,22,FALSE))</f>
        <v/>
      </c>
      <c r="BN38" s="6515"/>
      <c r="BO38" s="6515"/>
      <c r="BP38" s="6515"/>
      <c r="BQ38" s="6515"/>
      <c r="BR38" s="6515"/>
      <c r="BS38" s="6515"/>
      <c r="BT38" s="6515"/>
      <c r="BU38" s="6515"/>
      <c r="BV38" s="6516"/>
      <c r="BW38" s="398"/>
      <c r="BX38" s="2466"/>
    </row>
    <row r="39" spans="1:76" ht="12.2" customHeight="1" x14ac:dyDescent="0.2">
      <c r="A39" s="392"/>
      <c r="B39" s="279"/>
      <c r="C39" s="6517" t="str">
        <f>IF(C33=0,"",VLOOKUP(C33,'Tablas Magia'!$D$6:$Z$680,23,FALSE))</f>
        <v/>
      </c>
      <c r="D39" s="6518"/>
      <c r="E39" s="6518"/>
      <c r="F39" s="6518"/>
      <c r="G39" s="6518"/>
      <c r="H39" s="6518"/>
      <c r="I39" s="6518"/>
      <c r="J39" s="6518"/>
      <c r="K39" s="6518"/>
      <c r="L39" s="6518"/>
      <c r="M39" s="6518"/>
      <c r="N39" s="6518"/>
      <c r="O39" s="6518"/>
      <c r="P39" s="6518"/>
      <c r="Q39" s="6519"/>
      <c r="R39" s="398"/>
      <c r="S39" s="392"/>
      <c r="T39" s="392"/>
      <c r="U39" s="279"/>
      <c r="V39" s="6517" t="str">
        <f>IF(V33=0,"",VLOOKUP(V33,'Tablas Magia'!$D$6:$Z$680,23,FALSE))</f>
        <v/>
      </c>
      <c r="W39" s="6518"/>
      <c r="X39" s="6518"/>
      <c r="Y39" s="6518"/>
      <c r="Z39" s="6518"/>
      <c r="AA39" s="6518"/>
      <c r="AB39" s="6518"/>
      <c r="AC39" s="6518"/>
      <c r="AD39" s="6518"/>
      <c r="AE39" s="6518"/>
      <c r="AF39" s="6518"/>
      <c r="AG39" s="6518"/>
      <c r="AH39" s="6518"/>
      <c r="AI39" s="6518"/>
      <c r="AJ39" s="6519"/>
      <c r="AK39" s="398"/>
      <c r="AL39" s="392"/>
      <c r="AM39" s="392"/>
      <c r="AN39" s="279"/>
      <c r="AO39" s="6517" t="str">
        <f>IF(AO33=0,"",VLOOKUP(AO33,'Tablas Magia'!$D$6:$Z$680,23,FALSE))</f>
        <v/>
      </c>
      <c r="AP39" s="6518"/>
      <c r="AQ39" s="6518"/>
      <c r="AR39" s="6518"/>
      <c r="AS39" s="6518"/>
      <c r="AT39" s="6518"/>
      <c r="AU39" s="6518"/>
      <c r="AV39" s="6518"/>
      <c r="AW39" s="6518"/>
      <c r="AX39" s="6518"/>
      <c r="AY39" s="6518"/>
      <c r="AZ39" s="6518"/>
      <c r="BA39" s="6518"/>
      <c r="BB39" s="6518"/>
      <c r="BC39" s="6519"/>
      <c r="BD39" s="398"/>
      <c r="BE39" s="392"/>
      <c r="BF39" s="2466"/>
      <c r="BG39" s="279"/>
      <c r="BH39" s="6517" t="str">
        <f>IF(BH33=0,"",VLOOKUP(BH33,'Tablas Magia'!$D$6:$Z$680,23,FALSE))</f>
        <v/>
      </c>
      <c r="BI39" s="6518"/>
      <c r="BJ39" s="6518"/>
      <c r="BK39" s="6518"/>
      <c r="BL39" s="6518"/>
      <c r="BM39" s="6518"/>
      <c r="BN39" s="6518"/>
      <c r="BO39" s="6518"/>
      <c r="BP39" s="6518"/>
      <c r="BQ39" s="6518"/>
      <c r="BR39" s="6518"/>
      <c r="BS39" s="6518"/>
      <c r="BT39" s="6518"/>
      <c r="BU39" s="6518"/>
      <c r="BV39" s="6519"/>
      <c r="BW39" s="398"/>
      <c r="BX39" s="2466"/>
    </row>
    <row r="40" spans="1:76" ht="12.2" customHeight="1" x14ac:dyDescent="0.2">
      <c r="A40" s="392"/>
      <c r="B40" s="279"/>
      <c r="C40" s="6520"/>
      <c r="D40" s="6521"/>
      <c r="E40" s="6521"/>
      <c r="F40" s="6521"/>
      <c r="G40" s="6521"/>
      <c r="H40" s="6521"/>
      <c r="I40" s="6521"/>
      <c r="J40" s="6521"/>
      <c r="K40" s="6521"/>
      <c r="L40" s="6521"/>
      <c r="M40" s="6521"/>
      <c r="N40" s="6521"/>
      <c r="O40" s="6521"/>
      <c r="P40" s="6521"/>
      <c r="Q40" s="6522"/>
      <c r="R40" s="398"/>
      <c r="S40" s="392"/>
      <c r="T40" s="392"/>
      <c r="U40" s="279"/>
      <c r="V40" s="6520"/>
      <c r="W40" s="6521"/>
      <c r="X40" s="6521"/>
      <c r="Y40" s="6521"/>
      <c r="Z40" s="6521"/>
      <c r="AA40" s="6521"/>
      <c r="AB40" s="6521"/>
      <c r="AC40" s="6521"/>
      <c r="AD40" s="6521"/>
      <c r="AE40" s="6521"/>
      <c r="AF40" s="6521"/>
      <c r="AG40" s="6521"/>
      <c r="AH40" s="6521"/>
      <c r="AI40" s="6521"/>
      <c r="AJ40" s="6522"/>
      <c r="AK40" s="398"/>
      <c r="AL40" s="392"/>
      <c r="AM40" s="392"/>
      <c r="AN40" s="279"/>
      <c r="AO40" s="6520"/>
      <c r="AP40" s="6521"/>
      <c r="AQ40" s="6521"/>
      <c r="AR40" s="6521"/>
      <c r="AS40" s="6521"/>
      <c r="AT40" s="6521"/>
      <c r="AU40" s="6521"/>
      <c r="AV40" s="6521"/>
      <c r="AW40" s="6521"/>
      <c r="AX40" s="6521"/>
      <c r="AY40" s="6521"/>
      <c r="AZ40" s="6521"/>
      <c r="BA40" s="6521"/>
      <c r="BB40" s="6521"/>
      <c r="BC40" s="6522"/>
      <c r="BD40" s="398"/>
      <c r="BE40" s="392"/>
      <c r="BF40" s="2466"/>
      <c r="BG40" s="279"/>
      <c r="BH40" s="6520"/>
      <c r="BI40" s="6521"/>
      <c r="BJ40" s="6521"/>
      <c r="BK40" s="6521"/>
      <c r="BL40" s="6521"/>
      <c r="BM40" s="6521"/>
      <c r="BN40" s="6521"/>
      <c r="BO40" s="6521"/>
      <c r="BP40" s="6521"/>
      <c r="BQ40" s="6521"/>
      <c r="BR40" s="6521"/>
      <c r="BS40" s="6521"/>
      <c r="BT40" s="6521"/>
      <c r="BU40" s="6521"/>
      <c r="BV40" s="6522"/>
      <c r="BW40" s="398"/>
      <c r="BX40" s="2466"/>
    </row>
    <row r="41" spans="1:76" ht="12.2" customHeight="1" x14ac:dyDescent="0.2">
      <c r="A41" s="392"/>
      <c r="B41" s="279"/>
      <c r="C41" s="6520"/>
      <c r="D41" s="6521"/>
      <c r="E41" s="6521"/>
      <c r="F41" s="6521"/>
      <c r="G41" s="6521"/>
      <c r="H41" s="6521"/>
      <c r="I41" s="6521"/>
      <c r="J41" s="6521"/>
      <c r="K41" s="6521"/>
      <c r="L41" s="6521"/>
      <c r="M41" s="6521"/>
      <c r="N41" s="6521"/>
      <c r="O41" s="6521"/>
      <c r="P41" s="6521"/>
      <c r="Q41" s="6522"/>
      <c r="R41" s="398"/>
      <c r="S41" s="392"/>
      <c r="T41" s="392"/>
      <c r="U41" s="279"/>
      <c r="V41" s="6520"/>
      <c r="W41" s="6521"/>
      <c r="X41" s="6521"/>
      <c r="Y41" s="6521"/>
      <c r="Z41" s="6521"/>
      <c r="AA41" s="6521"/>
      <c r="AB41" s="6521"/>
      <c r="AC41" s="6521"/>
      <c r="AD41" s="6521"/>
      <c r="AE41" s="6521"/>
      <c r="AF41" s="6521"/>
      <c r="AG41" s="6521"/>
      <c r="AH41" s="6521"/>
      <c r="AI41" s="6521"/>
      <c r="AJ41" s="6522"/>
      <c r="AK41" s="398"/>
      <c r="AL41" s="392"/>
      <c r="AM41" s="392"/>
      <c r="AN41" s="279"/>
      <c r="AO41" s="6520"/>
      <c r="AP41" s="6521"/>
      <c r="AQ41" s="6521"/>
      <c r="AR41" s="6521"/>
      <c r="AS41" s="6521"/>
      <c r="AT41" s="6521"/>
      <c r="AU41" s="6521"/>
      <c r="AV41" s="6521"/>
      <c r="AW41" s="6521"/>
      <c r="AX41" s="6521"/>
      <c r="AY41" s="6521"/>
      <c r="AZ41" s="6521"/>
      <c r="BA41" s="6521"/>
      <c r="BB41" s="6521"/>
      <c r="BC41" s="6522"/>
      <c r="BD41" s="398"/>
      <c r="BE41" s="392"/>
      <c r="BF41" s="2466"/>
      <c r="BG41" s="279"/>
      <c r="BH41" s="6520"/>
      <c r="BI41" s="6521"/>
      <c r="BJ41" s="6521"/>
      <c r="BK41" s="6521"/>
      <c r="BL41" s="6521"/>
      <c r="BM41" s="6521"/>
      <c r="BN41" s="6521"/>
      <c r="BO41" s="6521"/>
      <c r="BP41" s="6521"/>
      <c r="BQ41" s="6521"/>
      <c r="BR41" s="6521"/>
      <c r="BS41" s="6521"/>
      <c r="BT41" s="6521"/>
      <c r="BU41" s="6521"/>
      <c r="BV41" s="6522"/>
      <c r="BW41" s="398"/>
      <c r="BX41" s="2466"/>
    </row>
    <row r="42" spans="1:76" ht="12.2" customHeight="1" thickBot="1" x14ac:dyDescent="0.25">
      <c r="A42" s="392"/>
      <c r="B42" s="279"/>
      <c r="C42" s="6523"/>
      <c r="D42" s="6524"/>
      <c r="E42" s="6524"/>
      <c r="F42" s="6524"/>
      <c r="G42" s="6524"/>
      <c r="H42" s="6524"/>
      <c r="I42" s="6524"/>
      <c r="J42" s="6524"/>
      <c r="K42" s="6524"/>
      <c r="L42" s="6524"/>
      <c r="M42" s="6524"/>
      <c r="N42" s="6524"/>
      <c r="O42" s="6524"/>
      <c r="P42" s="6524"/>
      <c r="Q42" s="6525"/>
      <c r="R42" s="398"/>
      <c r="S42" s="392"/>
      <c r="T42" s="392"/>
      <c r="U42" s="279"/>
      <c r="V42" s="6523"/>
      <c r="W42" s="6524"/>
      <c r="X42" s="6524"/>
      <c r="Y42" s="6524"/>
      <c r="Z42" s="6524"/>
      <c r="AA42" s="6524"/>
      <c r="AB42" s="6524"/>
      <c r="AC42" s="6524"/>
      <c r="AD42" s="6524"/>
      <c r="AE42" s="6524"/>
      <c r="AF42" s="6524"/>
      <c r="AG42" s="6524"/>
      <c r="AH42" s="6524"/>
      <c r="AI42" s="6524"/>
      <c r="AJ42" s="6525"/>
      <c r="AK42" s="398"/>
      <c r="AL42" s="392"/>
      <c r="AM42" s="392"/>
      <c r="AN42" s="279"/>
      <c r="AO42" s="6523"/>
      <c r="AP42" s="6524"/>
      <c r="AQ42" s="6524"/>
      <c r="AR42" s="6524"/>
      <c r="AS42" s="6524"/>
      <c r="AT42" s="6524"/>
      <c r="AU42" s="6524"/>
      <c r="AV42" s="6524"/>
      <c r="AW42" s="6524"/>
      <c r="AX42" s="6524"/>
      <c r="AY42" s="6524"/>
      <c r="AZ42" s="6524"/>
      <c r="BA42" s="6524"/>
      <c r="BB42" s="6524"/>
      <c r="BC42" s="6525"/>
      <c r="BD42" s="398"/>
      <c r="BE42" s="392"/>
      <c r="BF42" s="2466"/>
      <c r="BG42" s="279"/>
      <c r="BH42" s="6523"/>
      <c r="BI42" s="6524"/>
      <c r="BJ42" s="6524"/>
      <c r="BK42" s="6524"/>
      <c r="BL42" s="6524"/>
      <c r="BM42" s="6524"/>
      <c r="BN42" s="6524"/>
      <c r="BO42" s="6524"/>
      <c r="BP42" s="6524"/>
      <c r="BQ42" s="6524"/>
      <c r="BR42" s="6524"/>
      <c r="BS42" s="6524"/>
      <c r="BT42" s="6524"/>
      <c r="BU42" s="6524"/>
      <c r="BV42" s="6525"/>
      <c r="BW42" s="398"/>
      <c r="BX42" s="2466"/>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6"/>
      <c r="BG43" s="279"/>
      <c r="BH43" s="418"/>
      <c r="BI43" s="418"/>
      <c r="BJ43" s="419"/>
      <c r="BK43" s="419"/>
      <c r="BL43" s="419"/>
      <c r="BM43" s="419"/>
      <c r="BN43" s="419"/>
      <c r="BO43" s="419"/>
      <c r="BP43" s="419"/>
      <c r="BQ43" s="419"/>
      <c r="BR43" s="419"/>
      <c r="BS43" s="419"/>
      <c r="BT43" s="419"/>
      <c r="BU43" s="419"/>
      <c r="BV43" s="419"/>
      <c r="BW43" s="398"/>
      <c r="BX43" s="2466"/>
    </row>
    <row r="44" spans="1:76" ht="12.2" customHeight="1" x14ac:dyDescent="0.2">
      <c r="A44" s="392"/>
      <c r="B44" s="279"/>
      <c r="C44" s="6526"/>
      <c r="D44" s="6527"/>
      <c r="E44" s="6527"/>
      <c r="F44" s="6527"/>
      <c r="G44" s="6527"/>
      <c r="H44" s="402" t="s">
        <v>1325</v>
      </c>
      <c r="I44" s="403" t="str">
        <f>IF(C44=0,"",VLOOKUP(C44,'Tablas Magia'!$D$6:$Z$680,3,FALSE))</f>
        <v/>
      </c>
      <c r="J44" s="6528" t="s">
        <v>6231</v>
      </c>
      <c r="K44" s="6528"/>
      <c r="L44" s="6528"/>
      <c r="M44" s="6529" t="str">
        <f>IF(C44=0,"",VLOOKUP(C44,'Tablas Magia'!$D$6:$Z$680,2,FALSE))</f>
        <v/>
      </c>
      <c r="N44" s="6529"/>
      <c r="O44" s="6529"/>
      <c r="P44" s="6529"/>
      <c r="Q44" s="6530"/>
      <c r="R44" s="398"/>
      <c r="S44" s="392"/>
      <c r="T44" s="392"/>
      <c r="U44" s="279"/>
      <c r="V44" s="6526"/>
      <c r="W44" s="6527"/>
      <c r="X44" s="6527"/>
      <c r="Y44" s="6527"/>
      <c r="Z44" s="6527"/>
      <c r="AA44" s="402" t="s">
        <v>1325</v>
      </c>
      <c r="AB44" s="403" t="str">
        <f>IF(V44=0,"",VLOOKUP(V44,'Tablas Magia'!$D$6:$Z$680,3,FALSE))</f>
        <v/>
      </c>
      <c r="AC44" s="6528" t="s">
        <v>6231</v>
      </c>
      <c r="AD44" s="6528"/>
      <c r="AE44" s="6528"/>
      <c r="AF44" s="6529" t="str">
        <f>IF(V44=0,"",VLOOKUP(V44,'Tablas Magia'!$D$6:$Z$680,2,FALSE))</f>
        <v/>
      </c>
      <c r="AG44" s="6529"/>
      <c r="AH44" s="6529"/>
      <c r="AI44" s="6529"/>
      <c r="AJ44" s="6530"/>
      <c r="AK44" s="398"/>
      <c r="AL44" s="392"/>
      <c r="AM44" s="392"/>
      <c r="AN44" s="279"/>
      <c r="AO44" s="6526"/>
      <c r="AP44" s="6527"/>
      <c r="AQ44" s="6527"/>
      <c r="AR44" s="6527"/>
      <c r="AS44" s="6527"/>
      <c r="AT44" s="402" t="s">
        <v>1325</v>
      </c>
      <c r="AU44" s="403" t="str">
        <f>IF(AO44=0,"",VLOOKUP(AO44,'Tablas Magia'!$D$6:$Z$680,3,FALSE))</f>
        <v/>
      </c>
      <c r="AV44" s="6528" t="s">
        <v>6231</v>
      </c>
      <c r="AW44" s="6528"/>
      <c r="AX44" s="6528"/>
      <c r="AY44" s="6529" t="str">
        <f>IF(AO44=0,"",VLOOKUP(AO44,'Tablas Magia'!$D$6:$Z$680,2,FALSE))</f>
        <v/>
      </c>
      <c r="AZ44" s="6529"/>
      <c r="BA44" s="6529"/>
      <c r="BB44" s="6529"/>
      <c r="BC44" s="6530"/>
      <c r="BD44" s="398"/>
      <c r="BE44" s="392"/>
      <c r="BF44" s="2466"/>
      <c r="BG44" s="279"/>
      <c r="BH44" s="6526"/>
      <c r="BI44" s="6527"/>
      <c r="BJ44" s="6527"/>
      <c r="BK44" s="6527"/>
      <c r="BL44" s="6527"/>
      <c r="BM44" s="402" t="s">
        <v>1325</v>
      </c>
      <c r="BN44" s="403" t="str">
        <f>IF(BH44=0,"",VLOOKUP(BH44,'Tablas Magia'!$D$6:$Z$680,3,FALSE))</f>
        <v/>
      </c>
      <c r="BO44" s="6528" t="s">
        <v>6231</v>
      </c>
      <c r="BP44" s="6528"/>
      <c r="BQ44" s="6528"/>
      <c r="BR44" s="6529" t="str">
        <f>IF(BH44=0,"",VLOOKUP(BH44,'Tablas Magia'!$D$6:$Z$680,2,FALSE))</f>
        <v/>
      </c>
      <c r="BS44" s="6529"/>
      <c r="BT44" s="6529"/>
      <c r="BU44" s="6529"/>
      <c r="BV44" s="6530"/>
      <c r="BW44" s="398"/>
      <c r="BX44" s="2466"/>
    </row>
    <row r="45" spans="1:76" ht="12.2" customHeight="1" x14ac:dyDescent="0.2">
      <c r="A45" s="392"/>
      <c r="B45" s="279"/>
      <c r="C45" s="6531" t="s">
        <v>6232</v>
      </c>
      <c r="D45" s="6532"/>
      <c r="E45" s="404" t="s">
        <v>6233</v>
      </c>
      <c r="F45" s="404" t="s">
        <v>1508</v>
      </c>
      <c r="G45" s="404" t="s">
        <v>2827</v>
      </c>
      <c r="H45" s="405" t="s">
        <v>1835</v>
      </c>
      <c r="I45" s="6533" t="str">
        <f>IF(C44=0,"",VLOOKUP(C44,'Tablas Magia'!$D$6:$Z$680,5,FALSE))</f>
        <v/>
      </c>
      <c r="J45" s="6533"/>
      <c r="K45" s="6534" t="s">
        <v>6234</v>
      </c>
      <c r="L45" s="6534"/>
      <c r="M45" s="6533" t="str">
        <f>IF(C44=0,"",VLOOKUP(C44,'Tablas Magia'!$D$6:$Z$680,6,FALSE))</f>
        <v/>
      </c>
      <c r="N45" s="6533"/>
      <c r="O45" s="6535" t="s">
        <v>6235</v>
      </c>
      <c r="P45" s="6535"/>
      <c r="Q45" s="406" t="str">
        <f>IF(C44=0,"",VLOOKUP(C44,'Tablas Magia'!$D$6:$Z$680,4,FALSE))</f>
        <v/>
      </c>
      <c r="R45" s="398"/>
      <c r="S45" s="392"/>
      <c r="T45" s="392"/>
      <c r="U45" s="279"/>
      <c r="V45" s="6531" t="s">
        <v>6232</v>
      </c>
      <c r="W45" s="6532"/>
      <c r="X45" s="404" t="s">
        <v>6233</v>
      </c>
      <c r="Y45" s="404" t="s">
        <v>1508</v>
      </c>
      <c r="Z45" s="404" t="s">
        <v>2827</v>
      </c>
      <c r="AA45" s="405" t="s">
        <v>1835</v>
      </c>
      <c r="AB45" s="6533" t="str">
        <f>IF(V44=0,"",VLOOKUP(V44,'Tablas Magia'!$D$6:$Z$680,5,FALSE))</f>
        <v/>
      </c>
      <c r="AC45" s="6533"/>
      <c r="AD45" s="6534" t="s">
        <v>6234</v>
      </c>
      <c r="AE45" s="6534"/>
      <c r="AF45" s="6533" t="str">
        <f>IF(V44=0,"",VLOOKUP(V44,'Tablas Magia'!$D$6:$Z$680,6,FALSE))</f>
        <v/>
      </c>
      <c r="AG45" s="6533"/>
      <c r="AH45" s="6535" t="s">
        <v>6235</v>
      </c>
      <c r="AI45" s="6535"/>
      <c r="AJ45" s="406" t="str">
        <f>IF(V44=0,"",VLOOKUP(V44,'Tablas Magia'!$D$6:$Z$680,4,FALSE))</f>
        <v/>
      </c>
      <c r="AK45" s="398"/>
      <c r="AL45" s="392"/>
      <c r="AM45" s="392"/>
      <c r="AN45" s="279"/>
      <c r="AO45" s="6531" t="s">
        <v>6232</v>
      </c>
      <c r="AP45" s="6532"/>
      <c r="AQ45" s="404" t="s">
        <v>6233</v>
      </c>
      <c r="AR45" s="404" t="s">
        <v>1508</v>
      </c>
      <c r="AS45" s="404" t="s">
        <v>2827</v>
      </c>
      <c r="AT45" s="405" t="s">
        <v>1835</v>
      </c>
      <c r="AU45" s="6533" t="str">
        <f>IF(AO44=0,"",VLOOKUP(AO44,'Tablas Magia'!$D$6:$Z$680,5,FALSE))</f>
        <v/>
      </c>
      <c r="AV45" s="6533"/>
      <c r="AW45" s="6534" t="s">
        <v>6234</v>
      </c>
      <c r="AX45" s="6534"/>
      <c r="AY45" s="6533" t="str">
        <f>IF(AO44=0,"",VLOOKUP(AO44,'Tablas Magia'!$D$6:$Z$680,6,FALSE))</f>
        <v/>
      </c>
      <c r="AZ45" s="6533"/>
      <c r="BA45" s="6535" t="s">
        <v>6235</v>
      </c>
      <c r="BB45" s="6535"/>
      <c r="BC45" s="406" t="str">
        <f>IF(AO44=0,"",VLOOKUP(AO44,'Tablas Magia'!$D$6:$Z$680,4,FALSE))</f>
        <v/>
      </c>
      <c r="BD45" s="398"/>
      <c r="BE45" s="392"/>
      <c r="BF45" s="2466"/>
      <c r="BG45" s="279"/>
      <c r="BH45" s="6531" t="s">
        <v>6232</v>
      </c>
      <c r="BI45" s="6532"/>
      <c r="BJ45" s="404" t="s">
        <v>6233</v>
      </c>
      <c r="BK45" s="404" t="s">
        <v>1508</v>
      </c>
      <c r="BL45" s="404" t="s">
        <v>2827</v>
      </c>
      <c r="BM45" s="405" t="s">
        <v>1835</v>
      </c>
      <c r="BN45" s="6533" t="str">
        <f>IF(BH44=0,"",VLOOKUP(BH44,'Tablas Magia'!$D$6:$Z$680,5,FALSE))</f>
        <v/>
      </c>
      <c r="BO45" s="6533"/>
      <c r="BP45" s="6534" t="s">
        <v>6234</v>
      </c>
      <c r="BQ45" s="6534"/>
      <c r="BR45" s="6533" t="str">
        <f>IF(BH44=0,"",VLOOKUP(BH44,'Tablas Magia'!$D$6:$Z$680,6,FALSE))</f>
        <v/>
      </c>
      <c r="BS45" s="6533"/>
      <c r="BT45" s="6535" t="s">
        <v>6235</v>
      </c>
      <c r="BU45" s="6535"/>
      <c r="BV45" s="406" t="str">
        <f>IF(BH44=0,"",VLOOKUP(BH44,'Tablas Magia'!$D$6:$Z$680,4,FALSE))</f>
        <v/>
      </c>
      <c r="BW45" s="398"/>
      <c r="BX45" s="2466"/>
    </row>
    <row r="46" spans="1:76" ht="12.2" customHeight="1" x14ac:dyDescent="0.2">
      <c r="A46" s="392"/>
      <c r="B46" s="279"/>
      <c r="C46" s="6507" t="s">
        <v>1365</v>
      </c>
      <c r="D46" s="6508"/>
      <c r="E46" s="407" t="str">
        <f>IF(C44=0,"",VLOOKUP(C44,'Tablas Magia'!$D$6:$Z$680,7,FALSE))</f>
        <v/>
      </c>
      <c r="F46" s="407" t="str">
        <f>IF(C44=0,"",VLOOKUP(C44,'Tablas Magia'!$D$6:$Z$680,11,FALSE))</f>
        <v/>
      </c>
      <c r="G46" s="408" t="str">
        <f>IF(C44=0,"",VLOOKUP(C44,'Tablas Magia'!$D$6:$Z$680,15,FALSE))</f>
        <v/>
      </c>
      <c r="H46" s="6509" t="str">
        <f>IF(C44=0,"",VLOOKUP(C44,'Tablas Magia'!$D$6:$Z$680,19,FALSE))</f>
        <v/>
      </c>
      <c r="I46" s="6510"/>
      <c r="J46" s="6510"/>
      <c r="K46" s="6510"/>
      <c r="L46" s="6510"/>
      <c r="M46" s="6510"/>
      <c r="N46" s="6510"/>
      <c r="O46" s="6510"/>
      <c r="P46" s="6510"/>
      <c r="Q46" s="6511"/>
      <c r="R46" s="398"/>
      <c r="S46" s="392"/>
      <c r="T46" s="392"/>
      <c r="U46" s="279"/>
      <c r="V46" s="6507" t="s">
        <v>1365</v>
      </c>
      <c r="W46" s="6508"/>
      <c r="X46" s="407" t="str">
        <f>IF(V44=0,"",VLOOKUP(V44,'Tablas Magia'!$D$6:$Z$680,7,FALSE))</f>
        <v/>
      </c>
      <c r="Y46" s="407" t="str">
        <f>IF(V44=0,"",VLOOKUP(V44,'Tablas Magia'!$D$6:$Z$680,11,FALSE))</f>
        <v/>
      </c>
      <c r="Z46" s="408" t="str">
        <f>IF(V44=0,"",VLOOKUP(V44,'Tablas Magia'!$D$6:$Z$680,15,FALSE))</f>
        <v/>
      </c>
      <c r="AA46" s="6509" t="str">
        <f>IF(V44=0,"",VLOOKUP(V44,'Tablas Magia'!$D$6:$Z$680,19,FALSE))</f>
        <v/>
      </c>
      <c r="AB46" s="6510"/>
      <c r="AC46" s="6510"/>
      <c r="AD46" s="6510"/>
      <c r="AE46" s="6510"/>
      <c r="AF46" s="6510"/>
      <c r="AG46" s="6510"/>
      <c r="AH46" s="6510"/>
      <c r="AI46" s="6510"/>
      <c r="AJ46" s="6511"/>
      <c r="AK46" s="398"/>
      <c r="AL46" s="392"/>
      <c r="AM46" s="392"/>
      <c r="AN46" s="279"/>
      <c r="AO46" s="6507" t="s">
        <v>1365</v>
      </c>
      <c r="AP46" s="6508"/>
      <c r="AQ46" s="407" t="str">
        <f>IF(AO44=0,"",VLOOKUP(AO44,'Tablas Magia'!$D$6:$Z$680,7,FALSE))</f>
        <v/>
      </c>
      <c r="AR46" s="407" t="str">
        <f>IF(AO44=0,"",VLOOKUP(AO44,'Tablas Magia'!$D$6:$Z$680,11,FALSE))</f>
        <v/>
      </c>
      <c r="AS46" s="408" t="str">
        <f>IF(AO44=0,"",VLOOKUP(AO44,'Tablas Magia'!$D$6:$Z$680,15,FALSE))</f>
        <v/>
      </c>
      <c r="AT46" s="6509" t="str">
        <f>IF(AO44=0,"",VLOOKUP(AO44,'Tablas Magia'!$D$6:$Z$680,19,FALSE))</f>
        <v/>
      </c>
      <c r="AU46" s="6510"/>
      <c r="AV46" s="6510"/>
      <c r="AW46" s="6510"/>
      <c r="AX46" s="6510"/>
      <c r="AY46" s="6510"/>
      <c r="AZ46" s="6510"/>
      <c r="BA46" s="6510"/>
      <c r="BB46" s="6510"/>
      <c r="BC46" s="6511"/>
      <c r="BD46" s="398"/>
      <c r="BE46" s="392"/>
      <c r="BF46" s="2466"/>
      <c r="BG46" s="279"/>
      <c r="BH46" s="6507" t="s">
        <v>1365</v>
      </c>
      <c r="BI46" s="6508"/>
      <c r="BJ46" s="407" t="str">
        <f>IF(BH44=0,"",VLOOKUP(BH44,'Tablas Magia'!$D$6:$Z$680,7,FALSE))</f>
        <v/>
      </c>
      <c r="BK46" s="407" t="str">
        <f>IF(BH44=0,"",VLOOKUP(BH44,'Tablas Magia'!$D$6:$Z$680,11,FALSE))</f>
        <v/>
      </c>
      <c r="BL46" s="408" t="str">
        <f>IF(BH44=0,"",VLOOKUP(BH44,'Tablas Magia'!$D$6:$Z$680,15,FALSE))</f>
        <v/>
      </c>
      <c r="BM46" s="6509" t="str">
        <f>IF(BH44=0,"",VLOOKUP(BH44,'Tablas Magia'!$D$6:$Z$680,19,FALSE))</f>
        <v/>
      </c>
      <c r="BN46" s="6510"/>
      <c r="BO46" s="6510"/>
      <c r="BP46" s="6510"/>
      <c r="BQ46" s="6510"/>
      <c r="BR46" s="6510"/>
      <c r="BS46" s="6510"/>
      <c r="BT46" s="6510"/>
      <c r="BU46" s="6510"/>
      <c r="BV46" s="6511"/>
      <c r="BW46" s="398"/>
      <c r="BX46" s="2466"/>
    </row>
    <row r="47" spans="1:76" ht="12.2" customHeight="1" x14ac:dyDescent="0.2">
      <c r="A47" s="392"/>
      <c r="B47" s="279"/>
      <c r="C47" s="6502" t="s">
        <v>3196</v>
      </c>
      <c r="D47" s="6503"/>
      <c r="E47" s="409" t="str">
        <f>IF(C44=0,"",VLOOKUP(C44,'Tablas Magia'!$D$6:$Z$680,8,FALSE))</f>
        <v/>
      </c>
      <c r="F47" s="409" t="str">
        <f>IF(C44=0,"",VLOOKUP(C44,'Tablas Magia'!$D$6:$Z$680,12,FALSE))</f>
        <v/>
      </c>
      <c r="G47" s="410" t="str">
        <f>IF(C44=0,"",VLOOKUP(C44,'Tablas Magia'!$D$6:$Z$680,16,FALSE))</f>
        <v/>
      </c>
      <c r="H47" s="6504" t="str">
        <f>IF(C44=0,"",VLOOKUP(C44,'Tablas Magia'!$D$6:$Z$680,20,FALSE))</f>
        <v/>
      </c>
      <c r="I47" s="6505"/>
      <c r="J47" s="6505"/>
      <c r="K47" s="6505"/>
      <c r="L47" s="6505"/>
      <c r="M47" s="6505"/>
      <c r="N47" s="6505"/>
      <c r="O47" s="6505"/>
      <c r="P47" s="6505"/>
      <c r="Q47" s="6506"/>
      <c r="R47" s="398"/>
      <c r="S47" s="392"/>
      <c r="T47" s="392"/>
      <c r="U47" s="279"/>
      <c r="V47" s="6502" t="s">
        <v>3196</v>
      </c>
      <c r="W47" s="6503"/>
      <c r="X47" s="409" t="str">
        <f>IF(V44=0,"",VLOOKUP(V44,'Tablas Magia'!$D$6:$Z$680,8,FALSE))</f>
        <v/>
      </c>
      <c r="Y47" s="409" t="str">
        <f>IF(V44=0,"",VLOOKUP(V44,'Tablas Magia'!$D$6:$Z$680,12,FALSE))</f>
        <v/>
      </c>
      <c r="Z47" s="410" t="str">
        <f>IF(V44=0,"",VLOOKUP(V44,'Tablas Magia'!$D$6:$Z$680,16,FALSE))</f>
        <v/>
      </c>
      <c r="AA47" s="6504" t="str">
        <f>IF(V44=0,"",VLOOKUP(V44,'Tablas Magia'!$D$6:$Z$680,20,FALSE))</f>
        <v/>
      </c>
      <c r="AB47" s="6505"/>
      <c r="AC47" s="6505"/>
      <c r="AD47" s="6505"/>
      <c r="AE47" s="6505"/>
      <c r="AF47" s="6505"/>
      <c r="AG47" s="6505"/>
      <c r="AH47" s="6505"/>
      <c r="AI47" s="6505"/>
      <c r="AJ47" s="6506"/>
      <c r="AK47" s="398"/>
      <c r="AL47" s="392"/>
      <c r="AM47" s="392"/>
      <c r="AN47" s="279"/>
      <c r="AO47" s="6502" t="s">
        <v>3196</v>
      </c>
      <c r="AP47" s="6503"/>
      <c r="AQ47" s="409" t="str">
        <f>IF(AO44=0,"",VLOOKUP(AO44,'Tablas Magia'!$D$6:$Z$680,8,FALSE))</f>
        <v/>
      </c>
      <c r="AR47" s="409" t="str">
        <f>IF(AO44=0,"",VLOOKUP(AO44,'Tablas Magia'!$D$6:$Z$680,12,FALSE))</f>
        <v/>
      </c>
      <c r="AS47" s="410" t="str">
        <f>IF(AO44=0,"",VLOOKUP(AO44,'Tablas Magia'!$D$6:$Z$680,16,FALSE))</f>
        <v/>
      </c>
      <c r="AT47" s="6504" t="str">
        <f>IF(AO44=0,"",VLOOKUP(AO44,'Tablas Magia'!$D$6:$Z$680,20,FALSE))</f>
        <v/>
      </c>
      <c r="AU47" s="6505"/>
      <c r="AV47" s="6505"/>
      <c r="AW47" s="6505"/>
      <c r="AX47" s="6505"/>
      <c r="AY47" s="6505"/>
      <c r="AZ47" s="6505"/>
      <c r="BA47" s="6505"/>
      <c r="BB47" s="6505"/>
      <c r="BC47" s="6506"/>
      <c r="BD47" s="398"/>
      <c r="BE47" s="392"/>
      <c r="BF47" s="2466"/>
      <c r="BG47" s="279"/>
      <c r="BH47" s="6502" t="s">
        <v>3196</v>
      </c>
      <c r="BI47" s="6503"/>
      <c r="BJ47" s="409" t="str">
        <f>IF(BH44=0,"",VLOOKUP(BH44,'Tablas Magia'!$D$6:$Z$680,8,FALSE))</f>
        <v/>
      </c>
      <c r="BK47" s="409" t="str">
        <f>IF(BH44=0,"",VLOOKUP(BH44,'Tablas Magia'!$D$6:$Z$680,12,FALSE))</f>
        <v/>
      </c>
      <c r="BL47" s="410" t="str">
        <f>IF(BH44=0,"",VLOOKUP(BH44,'Tablas Magia'!$D$6:$Z$680,16,FALSE))</f>
        <v/>
      </c>
      <c r="BM47" s="6504" t="str">
        <f>IF(BH44=0,"",VLOOKUP(BH44,'Tablas Magia'!$D$6:$Z$680,20,FALSE))</f>
        <v/>
      </c>
      <c r="BN47" s="6505"/>
      <c r="BO47" s="6505"/>
      <c r="BP47" s="6505"/>
      <c r="BQ47" s="6505"/>
      <c r="BR47" s="6505"/>
      <c r="BS47" s="6505"/>
      <c r="BT47" s="6505"/>
      <c r="BU47" s="6505"/>
      <c r="BV47" s="6506"/>
      <c r="BW47" s="398"/>
      <c r="BX47" s="2466"/>
    </row>
    <row r="48" spans="1:76" ht="12.2" customHeight="1" x14ac:dyDescent="0.2">
      <c r="A48" s="392"/>
      <c r="B48" s="279"/>
      <c r="C48" s="6507" t="s">
        <v>3197</v>
      </c>
      <c r="D48" s="6508"/>
      <c r="E48" s="407" t="str">
        <f>IF(C44=0,"",VLOOKUP(C44,'Tablas Magia'!$D$6:$Z$680,9,FALSE))</f>
        <v/>
      </c>
      <c r="F48" s="407" t="str">
        <f>IF(C44=0,"",VLOOKUP(C44,'Tablas Magia'!$D$6:$Z$680,13,FALSE))</f>
        <v/>
      </c>
      <c r="G48" s="408" t="str">
        <f>IF(C44=0,"",VLOOKUP(C44,'Tablas Magia'!$D$6:$Z$680,17,FALSE))</f>
        <v/>
      </c>
      <c r="H48" s="6509" t="str">
        <f>IF(C44=0,"",VLOOKUP(C44,'Tablas Magia'!$D$6:$Z$680,21,FALSE))</f>
        <v/>
      </c>
      <c r="I48" s="6510"/>
      <c r="J48" s="6510"/>
      <c r="K48" s="6510"/>
      <c r="L48" s="6510"/>
      <c r="M48" s="6510"/>
      <c r="N48" s="6510"/>
      <c r="O48" s="6510"/>
      <c r="P48" s="6510"/>
      <c r="Q48" s="6511"/>
      <c r="R48" s="398"/>
      <c r="S48" s="392"/>
      <c r="T48" s="392"/>
      <c r="U48" s="279"/>
      <c r="V48" s="6507" t="s">
        <v>3197</v>
      </c>
      <c r="W48" s="6508"/>
      <c r="X48" s="407" t="str">
        <f>IF(V44=0,"",VLOOKUP(V44,'Tablas Magia'!$D$6:$Z$680,9,FALSE))</f>
        <v/>
      </c>
      <c r="Y48" s="407" t="str">
        <f>IF(V44=0,"",VLOOKUP(V44,'Tablas Magia'!$D$6:$Z$680,13,FALSE))</f>
        <v/>
      </c>
      <c r="Z48" s="408" t="str">
        <f>IF(V44=0,"",VLOOKUP(V44,'Tablas Magia'!$D$6:$Z$680,17,FALSE))</f>
        <v/>
      </c>
      <c r="AA48" s="6509" t="str">
        <f>IF(V44=0,"",VLOOKUP(V44,'Tablas Magia'!$D$6:$Z$680,21,FALSE))</f>
        <v/>
      </c>
      <c r="AB48" s="6510"/>
      <c r="AC48" s="6510"/>
      <c r="AD48" s="6510"/>
      <c r="AE48" s="6510"/>
      <c r="AF48" s="6510"/>
      <c r="AG48" s="6510"/>
      <c r="AH48" s="6510"/>
      <c r="AI48" s="6510"/>
      <c r="AJ48" s="6511"/>
      <c r="AK48" s="398"/>
      <c r="AL48" s="392"/>
      <c r="AM48" s="392"/>
      <c r="AN48" s="279"/>
      <c r="AO48" s="6507" t="s">
        <v>3197</v>
      </c>
      <c r="AP48" s="6508"/>
      <c r="AQ48" s="407" t="str">
        <f>IF(AO44=0,"",VLOOKUP(AO44,'Tablas Magia'!$D$6:$Z$680,9,FALSE))</f>
        <v/>
      </c>
      <c r="AR48" s="407" t="str">
        <f>IF(AO44=0,"",VLOOKUP(AO44,'Tablas Magia'!$D$6:$Z$680,13,FALSE))</f>
        <v/>
      </c>
      <c r="AS48" s="408" t="str">
        <f>IF(AO44=0,"",VLOOKUP(AO44,'Tablas Magia'!$D$6:$Z$680,17,FALSE))</f>
        <v/>
      </c>
      <c r="AT48" s="6509" t="str">
        <f>IF(AO44=0,"",VLOOKUP(AO44,'Tablas Magia'!$D$6:$Z$680,21,FALSE))</f>
        <v/>
      </c>
      <c r="AU48" s="6510"/>
      <c r="AV48" s="6510"/>
      <c r="AW48" s="6510"/>
      <c r="AX48" s="6510"/>
      <c r="AY48" s="6510"/>
      <c r="AZ48" s="6510"/>
      <c r="BA48" s="6510"/>
      <c r="BB48" s="6510"/>
      <c r="BC48" s="6511"/>
      <c r="BD48" s="398"/>
      <c r="BE48" s="392"/>
      <c r="BF48" s="2466"/>
      <c r="BG48" s="279"/>
      <c r="BH48" s="6507" t="s">
        <v>3197</v>
      </c>
      <c r="BI48" s="6508"/>
      <c r="BJ48" s="407" t="str">
        <f>IF(BH44=0,"",VLOOKUP(BH44,'Tablas Magia'!$D$6:$Z$680,9,FALSE))</f>
        <v/>
      </c>
      <c r="BK48" s="407" t="str">
        <f>IF(BH44=0,"",VLOOKUP(BH44,'Tablas Magia'!$D$6:$Z$680,13,FALSE))</f>
        <v/>
      </c>
      <c r="BL48" s="408" t="str">
        <f>IF(BH44=0,"",VLOOKUP(BH44,'Tablas Magia'!$D$6:$Z$680,17,FALSE))</f>
        <v/>
      </c>
      <c r="BM48" s="6509" t="str">
        <f>IF(BH44=0,"",VLOOKUP(BH44,'Tablas Magia'!$D$6:$Z$680,21,FALSE))</f>
        <v/>
      </c>
      <c r="BN48" s="6510"/>
      <c r="BO48" s="6510"/>
      <c r="BP48" s="6510"/>
      <c r="BQ48" s="6510"/>
      <c r="BR48" s="6510"/>
      <c r="BS48" s="6510"/>
      <c r="BT48" s="6510"/>
      <c r="BU48" s="6510"/>
      <c r="BV48" s="6511"/>
      <c r="BW48" s="398"/>
      <c r="BX48" s="2466"/>
    </row>
    <row r="49" spans="1:76" ht="12.2" customHeight="1" thickBot="1" x14ac:dyDescent="0.25">
      <c r="A49" s="392"/>
      <c r="B49" s="279"/>
      <c r="C49" s="6512" t="s">
        <v>3198</v>
      </c>
      <c r="D49" s="6513"/>
      <c r="E49" s="411" t="str">
        <f>IF(C44=0,"",VLOOKUP(C44,'Tablas Magia'!$D$6:$Z$680,10,FALSE))</f>
        <v/>
      </c>
      <c r="F49" s="411" t="str">
        <f>IF(C44=0,"",VLOOKUP(C44,'Tablas Magia'!$D$6:$Z$680,14,FALSE))</f>
        <v/>
      </c>
      <c r="G49" s="412" t="str">
        <f>IF(C44=0,"",VLOOKUP(C44,'Tablas Magia'!$D$6:$Z$680,18,FALSE))</f>
        <v/>
      </c>
      <c r="H49" s="6514" t="str">
        <f>IF(C44=0,"",VLOOKUP(C44,'Tablas Magia'!$D$6:$Z$680,22,FALSE))</f>
        <v/>
      </c>
      <c r="I49" s="6515"/>
      <c r="J49" s="6515"/>
      <c r="K49" s="6515"/>
      <c r="L49" s="6515"/>
      <c r="M49" s="6515"/>
      <c r="N49" s="6515"/>
      <c r="O49" s="6515"/>
      <c r="P49" s="6515"/>
      <c r="Q49" s="6516"/>
      <c r="R49" s="398"/>
      <c r="S49" s="392"/>
      <c r="T49" s="392"/>
      <c r="U49" s="279"/>
      <c r="V49" s="6512" t="s">
        <v>3198</v>
      </c>
      <c r="W49" s="6513"/>
      <c r="X49" s="411" t="str">
        <f>IF(V44=0,"",VLOOKUP(V44,'Tablas Magia'!$D$6:$Z$680,10,FALSE))</f>
        <v/>
      </c>
      <c r="Y49" s="411" t="str">
        <f>IF(V44=0,"",VLOOKUP(V44,'Tablas Magia'!$D$6:$Z$680,14,FALSE))</f>
        <v/>
      </c>
      <c r="Z49" s="412" t="str">
        <f>IF(V44=0,"",VLOOKUP(V44,'Tablas Magia'!$D$6:$Z$680,18,FALSE))</f>
        <v/>
      </c>
      <c r="AA49" s="6514" t="str">
        <f>IF(V44=0,"",VLOOKUP(V44,'Tablas Magia'!$D$6:$Z$680,22,FALSE))</f>
        <v/>
      </c>
      <c r="AB49" s="6515"/>
      <c r="AC49" s="6515"/>
      <c r="AD49" s="6515"/>
      <c r="AE49" s="6515"/>
      <c r="AF49" s="6515"/>
      <c r="AG49" s="6515"/>
      <c r="AH49" s="6515"/>
      <c r="AI49" s="6515"/>
      <c r="AJ49" s="6516"/>
      <c r="AK49" s="398"/>
      <c r="AL49" s="392"/>
      <c r="AM49" s="392"/>
      <c r="AN49" s="279"/>
      <c r="AO49" s="6512" t="s">
        <v>3198</v>
      </c>
      <c r="AP49" s="6513"/>
      <c r="AQ49" s="411" t="str">
        <f>IF(AO44=0,"",VLOOKUP(AO44,'Tablas Magia'!$D$6:$Z$680,10,FALSE))</f>
        <v/>
      </c>
      <c r="AR49" s="411" t="str">
        <f>IF(AO44=0,"",VLOOKUP(AO44,'Tablas Magia'!$D$6:$Z$680,14,FALSE))</f>
        <v/>
      </c>
      <c r="AS49" s="412" t="str">
        <f>IF(AO44=0,"",VLOOKUP(AO44,'Tablas Magia'!$D$6:$Z$680,18,FALSE))</f>
        <v/>
      </c>
      <c r="AT49" s="6514" t="str">
        <f>IF(AO44=0,"",VLOOKUP(AO44,'Tablas Magia'!$D$6:$Z$680,22,FALSE))</f>
        <v/>
      </c>
      <c r="AU49" s="6515"/>
      <c r="AV49" s="6515"/>
      <c r="AW49" s="6515"/>
      <c r="AX49" s="6515"/>
      <c r="AY49" s="6515"/>
      <c r="AZ49" s="6515"/>
      <c r="BA49" s="6515"/>
      <c r="BB49" s="6515"/>
      <c r="BC49" s="6516"/>
      <c r="BD49" s="398"/>
      <c r="BE49" s="392"/>
      <c r="BF49" s="2466"/>
      <c r="BG49" s="279"/>
      <c r="BH49" s="6512" t="s">
        <v>3198</v>
      </c>
      <c r="BI49" s="6513"/>
      <c r="BJ49" s="411" t="str">
        <f>IF(BH44=0,"",VLOOKUP(BH44,'Tablas Magia'!$D$6:$Z$680,10,FALSE))</f>
        <v/>
      </c>
      <c r="BK49" s="411" t="str">
        <f>IF(BH44=0,"",VLOOKUP(BH44,'Tablas Magia'!$D$6:$Z$680,14,FALSE))</f>
        <v/>
      </c>
      <c r="BL49" s="412" t="str">
        <f>IF(BH44=0,"",VLOOKUP(BH44,'Tablas Magia'!$D$6:$Z$680,18,FALSE))</f>
        <v/>
      </c>
      <c r="BM49" s="6514" t="str">
        <f>IF(BH44=0,"",VLOOKUP(BH44,'Tablas Magia'!$D$6:$Z$680,22,FALSE))</f>
        <v/>
      </c>
      <c r="BN49" s="6515"/>
      <c r="BO49" s="6515"/>
      <c r="BP49" s="6515"/>
      <c r="BQ49" s="6515"/>
      <c r="BR49" s="6515"/>
      <c r="BS49" s="6515"/>
      <c r="BT49" s="6515"/>
      <c r="BU49" s="6515"/>
      <c r="BV49" s="6516"/>
      <c r="BW49" s="398"/>
      <c r="BX49" s="2466"/>
    </row>
    <row r="50" spans="1:76" ht="12.2" customHeight="1" x14ac:dyDescent="0.2">
      <c r="A50" s="392"/>
      <c r="B50" s="279"/>
      <c r="C50" s="6517" t="str">
        <f>IF(C44=0,"",VLOOKUP(C44,'Tablas Magia'!$D$6:$Z$680,23,FALSE))</f>
        <v/>
      </c>
      <c r="D50" s="6518"/>
      <c r="E50" s="6518"/>
      <c r="F50" s="6518"/>
      <c r="G50" s="6518"/>
      <c r="H50" s="6518"/>
      <c r="I50" s="6518"/>
      <c r="J50" s="6518"/>
      <c r="K50" s="6518"/>
      <c r="L50" s="6518"/>
      <c r="M50" s="6518"/>
      <c r="N50" s="6518"/>
      <c r="O50" s="6518"/>
      <c r="P50" s="6518"/>
      <c r="Q50" s="6519"/>
      <c r="R50" s="398"/>
      <c r="S50" s="392"/>
      <c r="T50" s="392"/>
      <c r="U50" s="279"/>
      <c r="V50" s="6517" t="str">
        <f>IF(V44=0,"",VLOOKUP(V44,'Tablas Magia'!$D$6:$Z$680,23,FALSE))</f>
        <v/>
      </c>
      <c r="W50" s="6518"/>
      <c r="X50" s="6518"/>
      <c r="Y50" s="6518"/>
      <c r="Z50" s="6518"/>
      <c r="AA50" s="6518"/>
      <c r="AB50" s="6518"/>
      <c r="AC50" s="6518"/>
      <c r="AD50" s="6518"/>
      <c r="AE50" s="6518"/>
      <c r="AF50" s="6518"/>
      <c r="AG50" s="6518"/>
      <c r="AH50" s="6518"/>
      <c r="AI50" s="6518"/>
      <c r="AJ50" s="6519"/>
      <c r="AK50" s="398"/>
      <c r="AL50" s="392"/>
      <c r="AM50" s="392"/>
      <c r="AN50" s="279"/>
      <c r="AO50" s="6517" t="str">
        <f>IF(AO44=0,"",VLOOKUP(AO44,'Tablas Magia'!$D$6:$Z$680,23,FALSE))</f>
        <v/>
      </c>
      <c r="AP50" s="6518"/>
      <c r="AQ50" s="6518"/>
      <c r="AR50" s="6518"/>
      <c r="AS50" s="6518"/>
      <c r="AT50" s="6518"/>
      <c r="AU50" s="6518"/>
      <c r="AV50" s="6518"/>
      <c r="AW50" s="6518"/>
      <c r="AX50" s="6518"/>
      <c r="AY50" s="6518"/>
      <c r="AZ50" s="6518"/>
      <c r="BA50" s="6518"/>
      <c r="BB50" s="6518"/>
      <c r="BC50" s="6519"/>
      <c r="BD50" s="398"/>
      <c r="BE50" s="392"/>
      <c r="BF50" s="2466"/>
      <c r="BG50" s="279"/>
      <c r="BH50" s="6517" t="str">
        <f>IF(BH44=0,"",VLOOKUP(BH44,'Tablas Magia'!$D$6:$Z$680,23,FALSE))</f>
        <v/>
      </c>
      <c r="BI50" s="6518"/>
      <c r="BJ50" s="6518"/>
      <c r="BK50" s="6518"/>
      <c r="BL50" s="6518"/>
      <c r="BM50" s="6518"/>
      <c r="BN50" s="6518"/>
      <c r="BO50" s="6518"/>
      <c r="BP50" s="6518"/>
      <c r="BQ50" s="6518"/>
      <c r="BR50" s="6518"/>
      <c r="BS50" s="6518"/>
      <c r="BT50" s="6518"/>
      <c r="BU50" s="6518"/>
      <c r="BV50" s="6519"/>
      <c r="BW50" s="398"/>
      <c r="BX50" s="2466"/>
    </row>
    <row r="51" spans="1:76" ht="12.2" customHeight="1" x14ac:dyDescent="0.2">
      <c r="A51" s="392"/>
      <c r="B51" s="279"/>
      <c r="C51" s="6520"/>
      <c r="D51" s="6521"/>
      <c r="E51" s="6521"/>
      <c r="F51" s="6521"/>
      <c r="G51" s="6521"/>
      <c r="H51" s="6521"/>
      <c r="I51" s="6521"/>
      <c r="J51" s="6521"/>
      <c r="K51" s="6521"/>
      <c r="L51" s="6521"/>
      <c r="M51" s="6521"/>
      <c r="N51" s="6521"/>
      <c r="O51" s="6521"/>
      <c r="P51" s="6521"/>
      <c r="Q51" s="6522"/>
      <c r="R51" s="398"/>
      <c r="S51" s="392"/>
      <c r="T51" s="392"/>
      <c r="U51" s="279"/>
      <c r="V51" s="6520"/>
      <c r="W51" s="6521"/>
      <c r="X51" s="6521"/>
      <c r="Y51" s="6521"/>
      <c r="Z51" s="6521"/>
      <c r="AA51" s="6521"/>
      <c r="AB51" s="6521"/>
      <c r="AC51" s="6521"/>
      <c r="AD51" s="6521"/>
      <c r="AE51" s="6521"/>
      <c r="AF51" s="6521"/>
      <c r="AG51" s="6521"/>
      <c r="AH51" s="6521"/>
      <c r="AI51" s="6521"/>
      <c r="AJ51" s="6522"/>
      <c r="AK51" s="398"/>
      <c r="AL51" s="392"/>
      <c r="AM51" s="392"/>
      <c r="AN51" s="279"/>
      <c r="AO51" s="6520"/>
      <c r="AP51" s="6521"/>
      <c r="AQ51" s="6521"/>
      <c r="AR51" s="6521"/>
      <c r="AS51" s="6521"/>
      <c r="AT51" s="6521"/>
      <c r="AU51" s="6521"/>
      <c r="AV51" s="6521"/>
      <c r="AW51" s="6521"/>
      <c r="AX51" s="6521"/>
      <c r="AY51" s="6521"/>
      <c r="AZ51" s="6521"/>
      <c r="BA51" s="6521"/>
      <c r="BB51" s="6521"/>
      <c r="BC51" s="6522"/>
      <c r="BD51" s="398"/>
      <c r="BE51" s="392"/>
      <c r="BF51" s="2466"/>
      <c r="BG51" s="279"/>
      <c r="BH51" s="6520"/>
      <c r="BI51" s="6521"/>
      <c r="BJ51" s="6521"/>
      <c r="BK51" s="6521"/>
      <c r="BL51" s="6521"/>
      <c r="BM51" s="6521"/>
      <c r="BN51" s="6521"/>
      <c r="BO51" s="6521"/>
      <c r="BP51" s="6521"/>
      <c r="BQ51" s="6521"/>
      <c r="BR51" s="6521"/>
      <c r="BS51" s="6521"/>
      <c r="BT51" s="6521"/>
      <c r="BU51" s="6521"/>
      <c r="BV51" s="6522"/>
      <c r="BW51" s="398"/>
      <c r="BX51" s="2466"/>
    </row>
    <row r="52" spans="1:76" ht="12.2" customHeight="1" x14ac:dyDescent="0.2">
      <c r="A52" s="392"/>
      <c r="B52" s="279"/>
      <c r="C52" s="6520"/>
      <c r="D52" s="6521"/>
      <c r="E52" s="6521"/>
      <c r="F52" s="6521"/>
      <c r="G52" s="6521"/>
      <c r="H52" s="6521"/>
      <c r="I52" s="6521"/>
      <c r="J52" s="6521"/>
      <c r="K52" s="6521"/>
      <c r="L52" s="6521"/>
      <c r="M52" s="6521"/>
      <c r="N52" s="6521"/>
      <c r="O52" s="6521"/>
      <c r="P52" s="6521"/>
      <c r="Q52" s="6522"/>
      <c r="R52" s="398"/>
      <c r="S52" s="392"/>
      <c r="T52" s="392"/>
      <c r="U52" s="279"/>
      <c r="V52" s="6520"/>
      <c r="W52" s="6521"/>
      <c r="X52" s="6521"/>
      <c r="Y52" s="6521"/>
      <c r="Z52" s="6521"/>
      <c r="AA52" s="6521"/>
      <c r="AB52" s="6521"/>
      <c r="AC52" s="6521"/>
      <c r="AD52" s="6521"/>
      <c r="AE52" s="6521"/>
      <c r="AF52" s="6521"/>
      <c r="AG52" s="6521"/>
      <c r="AH52" s="6521"/>
      <c r="AI52" s="6521"/>
      <c r="AJ52" s="6522"/>
      <c r="AK52" s="398"/>
      <c r="AL52" s="392"/>
      <c r="AM52" s="392"/>
      <c r="AN52" s="279"/>
      <c r="AO52" s="6520"/>
      <c r="AP52" s="6521"/>
      <c r="AQ52" s="6521"/>
      <c r="AR52" s="6521"/>
      <c r="AS52" s="6521"/>
      <c r="AT52" s="6521"/>
      <c r="AU52" s="6521"/>
      <c r="AV52" s="6521"/>
      <c r="AW52" s="6521"/>
      <c r="AX52" s="6521"/>
      <c r="AY52" s="6521"/>
      <c r="AZ52" s="6521"/>
      <c r="BA52" s="6521"/>
      <c r="BB52" s="6521"/>
      <c r="BC52" s="6522"/>
      <c r="BD52" s="398"/>
      <c r="BE52" s="392"/>
      <c r="BF52" s="2466"/>
      <c r="BG52" s="279"/>
      <c r="BH52" s="6520"/>
      <c r="BI52" s="6521"/>
      <c r="BJ52" s="6521"/>
      <c r="BK52" s="6521"/>
      <c r="BL52" s="6521"/>
      <c r="BM52" s="6521"/>
      <c r="BN52" s="6521"/>
      <c r="BO52" s="6521"/>
      <c r="BP52" s="6521"/>
      <c r="BQ52" s="6521"/>
      <c r="BR52" s="6521"/>
      <c r="BS52" s="6521"/>
      <c r="BT52" s="6521"/>
      <c r="BU52" s="6521"/>
      <c r="BV52" s="6522"/>
      <c r="BW52" s="398"/>
      <c r="BX52" s="2466"/>
    </row>
    <row r="53" spans="1:76" ht="12.2" customHeight="1" thickBot="1" x14ac:dyDescent="0.25">
      <c r="A53" s="392"/>
      <c r="B53" s="279"/>
      <c r="C53" s="6523"/>
      <c r="D53" s="6524"/>
      <c r="E53" s="6524"/>
      <c r="F53" s="6524"/>
      <c r="G53" s="6524"/>
      <c r="H53" s="6524"/>
      <c r="I53" s="6524"/>
      <c r="J53" s="6524"/>
      <c r="K53" s="6524"/>
      <c r="L53" s="6524"/>
      <c r="M53" s="6524"/>
      <c r="N53" s="6524"/>
      <c r="O53" s="6524"/>
      <c r="P53" s="6524"/>
      <c r="Q53" s="6525"/>
      <c r="R53" s="398"/>
      <c r="S53" s="392"/>
      <c r="T53" s="392"/>
      <c r="U53" s="279"/>
      <c r="V53" s="6523"/>
      <c r="W53" s="6524"/>
      <c r="X53" s="6524"/>
      <c r="Y53" s="6524"/>
      <c r="Z53" s="6524"/>
      <c r="AA53" s="6524"/>
      <c r="AB53" s="6524"/>
      <c r="AC53" s="6524"/>
      <c r="AD53" s="6524"/>
      <c r="AE53" s="6524"/>
      <c r="AF53" s="6524"/>
      <c r="AG53" s="6524"/>
      <c r="AH53" s="6524"/>
      <c r="AI53" s="6524"/>
      <c r="AJ53" s="6525"/>
      <c r="AK53" s="398"/>
      <c r="AL53" s="392"/>
      <c r="AM53" s="392"/>
      <c r="AN53" s="279"/>
      <c r="AO53" s="6523"/>
      <c r="AP53" s="6524"/>
      <c r="AQ53" s="6524"/>
      <c r="AR53" s="6524"/>
      <c r="AS53" s="6524"/>
      <c r="AT53" s="6524"/>
      <c r="AU53" s="6524"/>
      <c r="AV53" s="6524"/>
      <c r="AW53" s="6524"/>
      <c r="AX53" s="6524"/>
      <c r="AY53" s="6524"/>
      <c r="AZ53" s="6524"/>
      <c r="BA53" s="6524"/>
      <c r="BB53" s="6524"/>
      <c r="BC53" s="6525"/>
      <c r="BD53" s="398"/>
      <c r="BE53" s="392"/>
      <c r="BF53" s="2466"/>
      <c r="BG53" s="279"/>
      <c r="BH53" s="6523"/>
      <c r="BI53" s="6524"/>
      <c r="BJ53" s="6524"/>
      <c r="BK53" s="6524"/>
      <c r="BL53" s="6524"/>
      <c r="BM53" s="6524"/>
      <c r="BN53" s="6524"/>
      <c r="BO53" s="6524"/>
      <c r="BP53" s="6524"/>
      <c r="BQ53" s="6524"/>
      <c r="BR53" s="6524"/>
      <c r="BS53" s="6524"/>
      <c r="BT53" s="6524"/>
      <c r="BU53" s="6524"/>
      <c r="BV53" s="6525"/>
      <c r="BW53" s="398"/>
      <c r="BX53" s="2466"/>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6"/>
      <c r="BG54" s="279"/>
      <c r="BH54" s="418"/>
      <c r="BI54" s="418"/>
      <c r="BJ54" s="409"/>
      <c r="BK54" s="409"/>
      <c r="BL54" s="409"/>
      <c r="BM54" s="419"/>
      <c r="BN54" s="419"/>
      <c r="BO54" s="419"/>
      <c r="BP54" s="419"/>
      <c r="BQ54" s="419"/>
      <c r="BR54" s="419"/>
      <c r="BS54" s="419"/>
      <c r="BT54" s="419"/>
      <c r="BU54" s="419"/>
      <c r="BV54" s="419"/>
      <c r="BW54" s="398"/>
      <c r="BX54" s="2466"/>
    </row>
    <row r="55" spans="1:76" ht="12.2" customHeight="1" x14ac:dyDescent="0.2">
      <c r="A55" s="392"/>
      <c r="B55" s="279"/>
      <c r="C55" s="6526"/>
      <c r="D55" s="6527"/>
      <c r="E55" s="6527"/>
      <c r="F55" s="6527"/>
      <c r="G55" s="6527"/>
      <c r="H55" s="402" t="s">
        <v>1325</v>
      </c>
      <c r="I55" s="403" t="str">
        <f>IF(C55=0,"",VLOOKUP(C55,'Tablas Magia'!$D$6:$Z$680,3,FALSE))</f>
        <v/>
      </c>
      <c r="J55" s="6528" t="s">
        <v>6231</v>
      </c>
      <c r="K55" s="6528"/>
      <c r="L55" s="6528"/>
      <c r="M55" s="6529" t="str">
        <f>IF(C55=0,"",VLOOKUP(C55,'Tablas Magia'!$D$6:$Z$680,2,FALSE))</f>
        <v/>
      </c>
      <c r="N55" s="6529"/>
      <c r="O55" s="6529"/>
      <c r="P55" s="6529"/>
      <c r="Q55" s="6530"/>
      <c r="R55" s="398"/>
      <c r="S55" s="392"/>
      <c r="T55" s="392"/>
      <c r="U55" s="279"/>
      <c r="V55" s="6526"/>
      <c r="W55" s="6527"/>
      <c r="X55" s="6527"/>
      <c r="Y55" s="6527"/>
      <c r="Z55" s="6527"/>
      <c r="AA55" s="402" t="s">
        <v>1325</v>
      </c>
      <c r="AB55" s="403" t="str">
        <f>IF(V55=0,"",VLOOKUP(V55,'Tablas Magia'!$D$6:$Z$680,3,FALSE))</f>
        <v/>
      </c>
      <c r="AC55" s="6528" t="s">
        <v>6231</v>
      </c>
      <c r="AD55" s="6528"/>
      <c r="AE55" s="6528"/>
      <c r="AF55" s="6529" t="str">
        <f>IF(V55=0,"",VLOOKUP(V55,'Tablas Magia'!$D$6:$Z$680,2,FALSE))</f>
        <v/>
      </c>
      <c r="AG55" s="6529"/>
      <c r="AH55" s="6529"/>
      <c r="AI55" s="6529"/>
      <c r="AJ55" s="6530"/>
      <c r="AK55" s="398"/>
      <c r="AL55" s="392"/>
      <c r="AM55" s="392"/>
      <c r="AN55" s="279"/>
      <c r="AO55" s="6526"/>
      <c r="AP55" s="6527"/>
      <c r="AQ55" s="6527"/>
      <c r="AR55" s="6527"/>
      <c r="AS55" s="6527"/>
      <c r="AT55" s="402" t="s">
        <v>1325</v>
      </c>
      <c r="AU55" s="403" t="str">
        <f>IF(AO55=0,"",VLOOKUP(AO55,'Tablas Magia'!$D$6:$Z$680,3,FALSE))</f>
        <v/>
      </c>
      <c r="AV55" s="6528" t="s">
        <v>6231</v>
      </c>
      <c r="AW55" s="6528"/>
      <c r="AX55" s="6528"/>
      <c r="AY55" s="6529" t="str">
        <f>IF(AO55=0,"",VLOOKUP(AO55,'Tablas Magia'!$D$6:$Z$680,2,FALSE))</f>
        <v/>
      </c>
      <c r="AZ55" s="6529"/>
      <c r="BA55" s="6529"/>
      <c r="BB55" s="6529"/>
      <c r="BC55" s="6530"/>
      <c r="BD55" s="398"/>
      <c r="BE55" s="392"/>
      <c r="BF55" s="2466"/>
      <c r="BG55" s="279"/>
      <c r="BH55" s="6526"/>
      <c r="BI55" s="6527"/>
      <c r="BJ55" s="6527"/>
      <c r="BK55" s="6527"/>
      <c r="BL55" s="6527"/>
      <c r="BM55" s="402" t="s">
        <v>1325</v>
      </c>
      <c r="BN55" s="403" t="str">
        <f>IF(BH55=0,"",VLOOKUP(BH55,'Tablas Magia'!$D$6:$Z$680,3,FALSE))</f>
        <v/>
      </c>
      <c r="BO55" s="6528" t="s">
        <v>6231</v>
      </c>
      <c r="BP55" s="6528"/>
      <c r="BQ55" s="6528"/>
      <c r="BR55" s="6529" t="str">
        <f>IF(BH55=0,"",VLOOKUP(BH55,'Tablas Magia'!$D$6:$Z$680,2,FALSE))</f>
        <v/>
      </c>
      <c r="BS55" s="6529"/>
      <c r="BT55" s="6529"/>
      <c r="BU55" s="6529"/>
      <c r="BV55" s="6530"/>
      <c r="BW55" s="398"/>
      <c r="BX55" s="2466"/>
    </row>
    <row r="56" spans="1:76" ht="12.2" customHeight="1" x14ac:dyDescent="0.2">
      <c r="A56" s="392"/>
      <c r="B56" s="279"/>
      <c r="C56" s="6531" t="s">
        <v>6232</v>
      </c>
      <c r="D56" s="6532"/>
      <c r="E56" s="404" t="s">
        <v>6233</v>
      </c>
      <c r="F56" s="404" t="s">
        <v>1508</v>
      </c>
      <c r="G56" s="404" t="s">
        <v>2827</v>
      </c>
      <c r="H56" s="405" t="s">
        <v>1835</v>
      </c>
      <c r="I56" s="6533" t="str">
        <f>IF(C55=0,"",VLOOKUP(C55,'Tablas Magia'!$D$6:$Z$680,5,FALSE))</f>
        <v/>
      </c>
      <c r="J56" s="6533"/>
      <c r="K56" s="6534" t="s">
        <v>6234</v>
      </c>
      <c r="L56" s="6534"/>
      <c r="M56" s="6533" t="str">
        <f>IF(C55=0,"",VLOOKUP(C55,'Tablas Magia'!$D$6:$Z$680,6,FALSE))</f>
        <v/>
      </c>
      <c r="N56" s="6533"/>
      <c r="O56" s="6535" t="s">
        <v>6235</v>
      </c>
      <c r="P56" s="6535"/>
      <c r="Q56" s="406" t="str">
        <f>IF(C55=0,"",VLOOKUP(C55,'Tablas Magia'!$D$6:$Z$680,4,FALSE))</f>
        <v/>
      </c>
      <c r="R56" s="398"/>
      <c r="S56" s="392"/>
      <c r="T56" s="392"/>
      <c r="U56" s="279"/>
      <c r="V56" s="6531" t="s">
        <v>6232</v>
      </c>
      <c r="W56" s="6532"/>
      <c r="X56" s="404" t="s">
        <v>6233</v>
      </c>
      <c r="Y56" s="404" t="s">
        <v>1508</v>
      </c>
      <c r="Z56" s="404" t="s">
        <v>2827</v>
      </c>
      <c r="AA56" s="405" t="s">
        <v>1835</v>
      </c>
      <c r="AB56" s="6533" t="str">
        <f>IF(V55=0,"",VLOOKUP(V55,'Tablas Magia'!$D$6:$Z$680,5,FALSE))</f>
        <v/>
      </c>
      <c r="AC56" s="6533"/>
      <c r="AD56" s="6534" t="s">
        <v>6234</v>
      </c>
      <c r="AE56" s="6534"/>
      <c r="AF56" s="6533" t="str">
        <f>IF(V55=0,"",VLOOKUP(V55,'Tablas Magia'!$D$6:$Z$680,6,FALSE))</f>
        <v/>
      </c>
      <c r="AG56" s="6533"/>
      <c r="AH56" s="6535" t="s">
        <v>6235</v>
      </c>
      <c r="AI56" s="6535"/>
      <c r="AJ56" s="406" t="str">
        <f>IF(V55=0,"",VLOOKUP(V55,'Tablas Magia'!$D$6:$Z$680,4,FALSE))</f>
        <v/>
      </c>
      <c r="AK56" s="398"/>
      <c r="AL56" s="392"/>
      <c r="AM56" s="392"/>
      <c r="AN56" s="279"/>
      <c r="AO56" s="6531" t="s">
        <v>6232</v>
      </c>
      <c r="AP56" s="6532"/>
      <c r="AQ56" s="404" t="s">
        <v>6233</v>
      </c>
      <c r="AR56" s="404" t="s">
        <v>1508</v>
      </c>
      <c r="AS56" s="404" t="s">
        <v>2827</v>
      </c>
      <c r="AT56" s="405" t="s">
        <v>1835</v>
      </c>
      <c r="AU56" s="6533" t="str">
        <f>IF(AO55=0,"",VLOOKUP(AO55,'Tablas Magia'!$D$6:$Z$680,5,FALSE))</f>
        <v/>
      </c>
      <c r="AV56" s="6533"/>
      <c r="AW56" s="6534" t="s">
        <v>6234</v>
      </c>
      <c r="AX56" s="6534"/>
      <c r="AY56" s="6533" t="str">
        <f>IF(AO55=0,"",VLOOKUP(AO55,'Tablas Magia'!$D$6:$Z$680,6,FALSE))</f>
        <v/>
      </c>
      <c r="AZ56" s="6533"/>
      <c r="BA56" s="6535" t="s">
        <v>6235</v>
      </c>
      <c r="BB56" s="6535"/>
      <c r="BC56" s="406" t="str">
        <f>IF(AO55=0,"",VLOOKUP(AO55,'Tablas Magia'!$D$6:$Z$680,4,FALSE))</f>
        <v/>
      </c>
      <c r="BD56" s="398"/>
      <c r="BE56" s="392"/>
      <c r="BF56" s="2466"/>
      <c r="BG56" s="279"/>
      <c r="BH56" s="6531" t="s">
        <v>6232</v>
      </c>
      <c r="BI56" s="6532"/>
      <c r="BJ56" s="404" t="s">
        <v>6233</v>
      </c>
      <c r="BK56" s="404" t="s">
        <v>1508</v>
      </c>
      <c r="BL56" s="404" t="s">
        <v>2827</v>
      </c>
      <c r="BM56" s="405" t="s">
        <v>1835</v>
      </c>
      <c r="BN56" s="6533" t="str">
        <f>IF(BH55=0,"",VLOOKUP(BH55,'Tablas Magia'!$D$6:$Z$680,5,FALSE))</f>
        <v/>
      </c>
      <c r="BO56" s="6533"/>
      <c r="BP56" s="6534" t="s">
        <v>6234</v>
      </c>
      <c r="BQ56" s="6534"/>
      <c r="BR56" s="6533" t="str">
        <f>IF(BH55=0,"",VLOOKUP(BH55,'Tablas Magia'!$D$6:$Z$680,6,FALSE))</f>
        <v/>
      </c>
      <c r="BS56" s="6533"/>
      <c r="BT56" s="6535" t="s">
        <v>6235</v>
      </c>
      <c r="BU56" s="6535"/>
      <c r="BV56" s="406" t="str">
        <f>IF(BH55=0,"",VLOOKUP(BH55,'Tablas Magia'!$D$6:$Z$680,4,FALSE))</f>
        <v/>
      </c>
      <c r="BW56" s="398"/>
      <c r="BX56" s="2466"/>
    </row>
    <row r="57" spans="1:76" ht="12.2" customHeight="1" x14ac:dyDescent="0.2">
      <c r="A57" s="392"/>
      <c r="B57" s="279"/>
      <c r="C57" s="6507" t="s">
        <v>1365</v>
      </c>
      <c r="D57" s="6508"/>
      <c r="E57" s="407" t="str">
        <f>IF(C55=0,"",VLOOKUP(C55,'Tablas Magia'!$D$6:$Z$680,7,FALSE))</f>
        <v/>
      </c>
      <c r="F57" s="407" t="str">
        <f>IF(C55=0,"",VLOOKUP(C55,'Tablas Magia'!$D$6:$Z$680,11,FALSE))</f>
        <v/>
      </c>
      <c r="G57" s="408" t="str">
        <f>IF(C55=0,"",VLOOKUP(C55,'Tablas Magia'!$D$6:$Z$680,15,FALSE))</f>
        <v/>
      </c>
      <c r="H57" s="6509" t="str">
        <f>IF(C55=0,"",VLOOKUP(C55,'Tablas Magia'!$D$6:$Z$680,19,FALSE))</f>
        <v/>
      </c>
      <c r="I57" s="6510"/>
      <c r="J57" s="6510"/>
      <c r="K57" s="6510"/>
      <c r="L57" s="6510"/>
      <c r="M57" s="6510"/>
      <c r="N57" s="6510"/>
      <c r="O57" s="6510"/>
      <c r="P57" s="6510"/>
      <c r="Q57" s="6511"/>
      <c r="R57" s="398"/>
      <c r="S57" s="392"/>
      <c r="T57" s="392"/>
      <c r="U57" s="279"/>
      <c r="V57" s="6507" t="s">
        <v>1365</v>
      </c>
      <c r="W57" s="6508"/>
      <c r="X57" s="407" t="str">
        <f>IF(V55=0,"",VLOOKUP(V55,'Tablas Magia'!$D$6:$Z$680,7,FALSE))</f>
        <v/>
      </c>
      <c r="Y57" s="407" t="str">
        <f>IF(V55=0,"",VLOOKUP(V55,'Tablas Magia'!$D$6:$Z$680,11,FALSE))</f>
        <v/>
      </c>
      <c r="Z57" s="408" t="str">
        <f>IF(V55=0,"",VLOOKUP(V55,'Tablas Magia'!$D$6:$Z$680,15,FALSE))</f>
        <v/>
      </c>
      <c r="AA57" s="6509" t="str">
        <f>IF(V55=0,"",VLOOKUP(V55,'Tablas Magia'!$D$6:$Z$680,19,FALSE))</f>
        <v/>
      </c>
      <c r="AB57" s="6510"/>
      <c r="AC57" s="6510"/>
      <c r="AD57" s="6510"/>
      <c r="AE57" s="6510"/>
      <c r="AF57" s="6510"/>
      <c r="AG57" s="6510"/>
      <c r="AH57" s="6510"/>
      <c r="AI57" s="6510"/>
      <c r="AJ57" s="6511"/>
      <c r="AK57" s="398"/>
      <c r="AL57" s="392"/>
      <c r="AM57" s="392"/>
      <c r="AN57" s="279"/>
      <c r="AO57" s="6507" t="s">
        <v>1365</v>
      </c>
      <c r="AP57" s="6508"/>
      <c r="AQ57" s="407" t="str">
        <f>IF(AO55=0,"",VLOOKUP(AO55,'Tablas Magia'!$D$6:$Z$680,7,FALSE))</f>
        <v/>
      </c>
      <c r="AR57" s="407" t="str">
        <f>IF(AO55=0,"",VLOOKUP(AO55,'Tablas Magia'!$D$6:$Z$680,11,FALSE))</f>
        <v/>
      </c>
      <c r="AS57" s="408" t="str">
        <f>IF(AO55=0,"",VLOOKUP(AO55,'Tablas Magia'!$D$6:$Z$680,15,FALSE))</f>
        <v/>
      </c>
      <c r="AT57" s="6509" t="str">
        <f>IF(AO55=0,"",VLOOKUP(AO55,'Tablas Magia'!$D$6:$Z$680,19,FALSE))</f>
        <v/>
      </c>
      <c r="AU57" s="6510"/>
      <c r="AV57" s="6510"/>
      <c r="AW57" s="6510"/>
      <c r="AX57" s="6510"/>
      <c r="AY57" s="6510"/>
      <c r="AZ57" s="6510"/>
      <c r="BA57" s="6510"/>
      <c r="BB57" s="6510"/>
      <c r="BC57" s="6511"/>
      <c r="BD57" s="398"/>
      <c r="BE57" s="392"/>
      <c r="BF57" s="2466"/>
      <c r="BG57" s="279"/>
      <c r="BH57" s="6507" t="s">
        <v>1365</v>
      </c>
      <c r="BI57" s="6508"/>
      <c r="BJ57" s="407" t="str">
        <f>IF(BH55=0,"",VLOOKUP(BH55,'Tablas Magia'!$D$6:$Z$680,7,FALSE))</f>
        <v/>
      </c>
      <c r="BK57" s="407" t="str">
        <f>IF(BH55=0,"",VLOOKUP(BH55,'Tablas Magia'!$D$6:$Z$680,11,FALSE))</f>
        <v/>
      </c>
      <c r="BL57" s="408" t="str">
        <f>IF(BH55=0,"",VLOOKUP(BH55,'Tablas Magia'!$D$6:$Z$680,15,FALSE))</f>
        <v/>
      </c>
      <c r="BM57" s="6509" t="str">
        <f>IF(BH55=0,"",VLOOKUP(BH55,'Tablas Magia'!$D$6:$Z$680,19,FALSE))</f>
        <v/>
      </c>
      <c r="BN57" s="6510"/>
      <c r="BO57" s="6510"/>
      <c r="BP57" s="6510"/>
      <c r="BQ57" s="6510"/>
      <c r="BR57" s="6510"/>
      <c r="BS57" s="6510"/>
      <c r="BT57" s="6510"/>
      <c r="BU57" s="6510"/>
      <c r="BV57" s="6511"/>
      <c r="BW57" s="398"/>
      <c r="BX57" s="2466"/>
    </row>
    <row r="58" spans="1:76" ht="12.2" customHeight="1" x14ac:dyDescent="0.2">
      <c r="A58" s="392"/>
      <c r="B58" s="279"/>
      <c r="C58" s="6502" t="s">
        <v>3196</v>
      </c>
      <c r="D58" s="6503"/>
      <c r="E58" s="409" t="str">
        <f>IF(C55=0,"",VLOOKUP(C55,'Tablas Magia'!$D$6:$Z$680,8,FALSE))</f>
        <v/>
      </c>
      <c r="F58" s="409" t="str">
        <f>IF(C55=0,"",VLOOKUP(C55,'Tablas Magia'!$D$6:$Z$680,12,FALSE))</f>
        <v/>
      </c>
      <c r="G58" s="410" t="str">
        <f>IF(C55=0,"",VLOOKUP(C55,'Tablas Magia'!$D$6:$Z$680,16,FALSE))</f>
        <v/>
      </c>
      <c r="H58" s="6504" t="str">
        <f>IF(C55=0,"",VLOOKUP(C55,'Tablas Magia'!$D$6:$Z$680,20,FALSE))</f>
        <v/>
      </c>
      <c r="I58" s="6505"/>
      <c r="J58" s="6505"/>
      <c r="K58" s="6505"/>
      <c r="L58" s="6505"/>
      <c r="M58" s="6505"/>
      <c r="N58" s="6505"/>
      <c r="O58" s="6505"/>
      <c r="P58" s="6505"/>
      <c r="Q58" s="6506"/>
      <c r="R58" s="398"/>
      <c r="S58" s="392"/>
      <c r="T58" s="392"/>
      <c r="U58" s="279"/>
      <c r="V58" s="6502" t="s">
        <v>3196</v>
      </c>
      <c r="W58" s="6503"/>
      <c r="X58" s="409" t="str">
        <f>IF(V55=0,"",VLOOKUP(V55,'Tablas Magia'!$D$6:$Z$680,8,FALSE))</f>
        <v/>
      </c>
      <c r="Y58" s="409" t="str">
        <f>IF(V55=0,"",VLOOKUP(V55,'Tablas Magia'!$D$6:$Z$680,12,FALSE))</f>
        <v/>
      </c>
      <c r="Z58" s="410" t="str">
        <f>IF(V55=0,"",VLOOKUP(V55,'Tablas Magia'!$D$6:$Z$680,16,FALSE))</f>
        <v/>
      </c>
      <c r="AA58" s="6504" t="str">
        <f>IF(V55=0,"",VLOOKUP(V55,'Tablas Magia'!$D$6:$Z$680,20,FALSE))</f>
        <v/>
      </c>
      <c r="AB58" s="6505"/>
      <c r="AC58" s="6505"/>
      <c r="AD58" s="6505"/>
      <c r="AE58" s="6505"/>
      <c r="AF58" s="6505"/>
      <c r="AG58" s="6505"/>
      <c r="AH58" s="6505"/>
      <c r="AI58" s="6505"/>
      <c r="AJ58" s="6506"/>
      <c r="AK58" s="398"/>
      <c r="AL58" s="392"/>
      <c r="AM58" s="392"/>
      <c r="AN58" s="279"/>
      <c r="AO58" s="6502" t="s">
        <v>3196</v>
      </c>
      <c r="AP58" s="6503"/>
      <c r="AQ58" s="409" t="str">
        <f>IF(AO55=0,"",VLOOKUP(AO55,'Tablas Magia'!$D$6:$Z$680,8,FALSE))</f>
        <v/>
      </c>
      <c r="AR58" s="409" t="str">
        <f>IF(AO55=0,"",VLOOKUP(AO55,'Tablas Magia'!$D$6:$Z$680,12,FALSE))</f>
        <v/>
      </c>
      <c r="AS58" s="410" t="str">
        <f>IF(AO55=0,"",VLOOKUP(AO55,'Tablas Magia'!$D$6:$Z$680,16,FALSE))</f>
        <v/>
      </c>
      <c r="AT58" s="6504" t="str">
        <f>IF(AO55=0,"",VLOOKUP(AO55,'Tablas Magia'!$D$6:$Z$680,20,FALSE))</f>
        <v/>
      </c>
      <c r="AU58" s="6505"/>
      <c r="AV58" s="6505"/>
      <c r="AW58" s="6505"/>
      <c r="AX58" s="6505"/>
      <c r="AY58" s="6505"/>
      <c r="AZ58" s="6505"/>
      <c r="BA58" s="6505"/>
      <c r="BB58" s="6505"/>
      <c r="BC58" s="6506"/>
      <c r="BD58" s="398"/>
      <c r="BE58" s="392"/>
      <c r="BF58" s="2466"/>
      <c r="BG58" s="279"/>
      <c r="BH58" s="6502" t="s">
        <v>3196</v>
      </c>
      <c r="BI58" s="6503"/>
      <c r="BJ58" s="409" t="str">
        <f>IF(BH55=0,"",VLOOKUP(BH55,'Tablas Magia'!$D$6:$Z$680,8,FALSE))</f>
        <v/>
      </c>
      <c r="BK58" s="409" t="str">
        <f>IF(BH55=0,"",VLOOKUP(BH55,'Tablas Magia'!$D$6:$Z$680,12,FALSE))</f>
        <v/>
      </c>
      <c r="BL58" s="410" t="str">
        <f>IF(BH55=0,"",VLOOKUP(BH55,'Tablas Magia'!$D$6:$Z$680,16,FALSE))</f>
        <v/>
      </c>
      <c r="BM58" s="6504" t="str">
        <f>IF(BH55=0,"",VLOOKUP(BH55,'Tablas Magia'!$D$6:$Z$680,20,FALSE))</f>
        <v/>
      </c>
      <c r="BN58" s="6505"/>
      <c r="BO58" s="6505"/>
      <c r="BP58" s="6505"/>
      <c r="BQ58" s="6505"/>
      <c r="BR58" s="6505"/>
      <c r="BS58" s="6505"/>
      <c r="BT58" s="6505"/>
      <c r="BU58" s="6505"/>
      <c r="BV58" s="6506"/>
      <c r="BW58" s="398"/>
      <c r="BX58" s="2466"/>
    </row>
    <row r="59" spans="1:76" ht="12.2" customHeight="1" x14ac:dyDescent="0.2">
      <c r="A59" s="392"/>
      <c r="B59" s="279"/>
      <c r="C59" s="6507" t="s">
        <v>3197</v>
      </c>
      <c r="D59" s="6508"/>
      <c r="E59" s="407" t="str">
        <f>IF(C55=0,"",VLOOKUP(C55,'Tablas Magia'!$D$6:$Z$680,9,FALSE))</f>
        <v/>
      </c>
      <c r="F59" s="407" t="str">
        <f>IF(C55=0,"",VLOOKUP(C55,'Tablas Magia'!$D$6:$Z$680,13,FALSE))</f>
        <v/>
      </c>
      <c r="G59" s="408" t="str">
        <f>IF(C55=0,"",VLOOKUP(C55,'Tablas Magia'!$D$6:$Z$680,17,FALSE))</f>
        <v/>
      </c>
      <c r="H59" s="6509" t="str">
        <f>IF(C55=0,"",VLOOKUP(C55,'Tablas Magia'!$D$6:$Z$680,21,FALSE))</f>
        <v/>
      </c>
      <c r="I59" s="6510"/>
      <c r="J59" s="6510"/>
      <c r="K59" s="6510"/>
      <c r="L59" s="6510"/>
      <c r="M59" s="6510"/>
      <c r="N59" s="6510"/>
      <c r="O59" s="6510"/>
      <c r="P59" s="6510"/>
      <c r="Q59" s="6511"/>
      <c r="R59" s="398"/>
      <c r="S59" s="392"/>
      <c r="T59" s="392"/>
      <c r="U59" s="279"/>
      <c r="V59" s="6507" t="s">
        <v>3197</v>
      </c>
      <c r="W59" s="6508"/>
      <c r="X59" s="407" t="str">
        <f>IF(V55=0,"",VLOOKUP(V55,'Tablas Magia'!$D$6:$Z$680,9,FALSE))</f>
        <v/>
      </c>
      <c r="Y59" s="407" t="str">
        <f>IF(V55=0,"",VLOOKUP(V55,'Tablas Magia'!$D$6:$Z$680,13,FALSE))</f>
        <v/>
      </c>
      <c r="Z59" s="408" t="str">
        <f>IF(V55=0,"",VLOOKUP(V55,'Tablas Magia'!$D$6:$Z$680,17,FALSE))</f>
        <v/>
      </c>
      <c r="AA59" s="6509" t="str">
        <f>IF(V55=0,"",VLOOKUP(V55,'Tablas Magia'!$D$6:$Z$680,21,FALSE))</f>
        <v/>
      </c>
      <c r="AB59" s="6510"/>
      <c r="AC59" s="6510"/>
      <c r="AD59" s="6510"/>
      <c r="AE59" s="6510"/>
      <c r="AF59" s="6510"/>
      <c r="AG59" s="6510"/>
      <c r="AH59" s="6510"/>
      <c r="AI59" s="6510"/>
      <c r="AJ59" s="6511"/>
      <c r="AK59" s="398"/>
      <c r="AL59" s="392"/>
      <c r="AM59" s="392"/>
      <c r="AN59" s="279"/>
      <c r="AO59" s="6507" t="s">
        <v>3197</v>
      </c>
      <c r="AP59" s="6508"/>
      <c r="AQ59" s="407" t="str">
        <f>IF(AO55=0,"",VLOOKUP(AO55,'Tablas Magia'!$D$6:$Z$680,9,FALSE))</f>
        <v/>
      </c>
      <c r="AR59" s="407" t="str">
        <f>IF(AO55=0,"",VLOOKUP(AO55,'Tablas Magia'!$D$6:$Z$680,13,FALSE))</f>
        <v/>
      </c>
      <c r="AS59" s="408" t="str">
        <f>IF(AO55=0,"",VLOOKUP(AO55,'Tablas Magia'!$D$6:$Z$680,17,FALSE))</f>
        <v/>
      </c>
      <c r="AT59" s="6509" t="str">
        <f>IF(AO55=0,"",VLOOKUP(AO55,'Tablas Magia'!$D$6:$Z$680,21,FALSE))</f>
        <v/>
      </c>
      <c r="AU59" s="6510"/>
      <c r="AV59" s="6510"/>
      <c r="AW59" s="6510"/>
      <c r="AX59" s="6510"/>
      <c r="AY59" s="6510"/>
      <c r="AZ59" s="6510"/>
      <c r="BA59" s="6510"/>
      <c r="BB59" s="6510"/>
      <c r="BC59" s="6511"/>
      <c r="BD59" s="398"/>
      <c r="BE59" s="392"/>
      <c r="BF59" s="2466"/>
      <c r="BG59" s="279"/>
      <c r="BH59" s="6507" t="s">
        <v>3197</v>
      </c>
      <c r="BI59" s="6508"/>
      <c r="BJ59" s="407" t="str">
        <f>IF(BH55=0,"",VLOOKUP(BH55,'Tablas Magia'!$D$6:$Z$680,9,FALSE))</f>
        <v/>
      </c>
      <c r="BK59" s="407" t="str">
        <f>IF(BH55=0,"",VLOOKUP(BH55,'Tablas Magia'!$D$6:$Z$680,13,FALSE))</f>
        <v/>
      </c>
      <c r="BL59" s="408" t="str">
        <f>IF(BH55=0,"",VLOOKUP(BH55,'Tablas Magia'!$D$6:$Z$680,17,FALSE))</f>
        <v/>
      </c>
      <c r="BM59" s="6509" t="str">
        <f>IF(BH55=0,"",VLOOKUP(BH55,'Tablas Magia'!$D$6:$Z$680,21,FALSE))</f>
        <v/>
      </c>
      <c r="BN59" s="6510"/>
      <c r="BO59" s="6510"/>
      <c r="BP59" s="6510"/>
      <c r="BQ59" s="6510"/>
      <c r="BR59" s="6510"/>
      <c r="BS59" s="6510"/>
      <c r="BT59" s="6510"/>
      <c r="BU59" s="6510"/>
      <c r="BV59" s="6511"/>
      <c r="BW59" s="398"/>
      <c r="BX59" s="2466"/>
    </row>
    <row r="60" spans="1:76" ht="12.2" customHeight="1" thickBot="1" x14ac:dyDescent="0.25">
      <c r="A60" s="392"/>
      <c r="B60" s="279"/>
      <c r="C60" s="6512" t="s">
        <v>3198</v>
      </c>
      <c r="D60" s="6513"/>
      <c r="E60" s="411" t="str">
        <f>IF(C55=0,"",VLOOKUP(C55,'Tablas Magia'!$D$6:$Z$680,10,FALSE))</f>
        <v/>
      </c>
      <c r="F60" s="411" t="str">
        <f>IF(C55=0,"",VLOOKUP(C55,'Tablas Magia'!$D$6:$Z$680,14,FALSE))</f>
        <v/>
      </c>
      <c r="G60" s="412" t="str">
        <f>IF(C55=0,"",VLOOKUP(C55,'Tablas Magia'!$D$6:$Z$680,18,FALSE))</f>
        <v/>
      </c>
      <c r="H60" s="6514" t="str">
        <f>IF(C55=0,"",VLOOKUP(C55,'Tablas Magia'!$D$6:$Z$680,22,FALSE))</f>
        <v/>
      </c>
      <c r="I60" s="6515"/>
      <c r="J60" s="6515"/>
      <c r="K60" s="6515"/>
      <c r="L60" s="6515"/>
      <c r="M60" s="6515"/>
      <c r="N60" s="6515"/>
      <c r="O60" s="6515"/>
      <c r="P60" s="6515"/>
      <c r="Q60" s="6516"/>
      <c r="R60" s="398"/>
      <c r="S60" s="392"/>
      <c r="T60" s="392"/>
      <c r="U60" s="279"/>
      <c r="V60" s="6512" t="s">
        <v>3198</v>
      </c>
      <c r="W60" s="6513"/>
      <c r="X60" s="411" t="str">
        <f>IF(V55=0,"",VLOOKUP(V55,'Tablas Magia'!$D$6:$Z$680,10,FALSE))</f>
        <v/>
      </c>
      <c r="Y60" s="411" t="str">
        <f>IF(V55=0,"",VLOOKUP(V55,'Tablas Magia'!$D$6:$Z$680,14,FALSE))</f>
        <v/>
      </c>
      <c r="Z60" s="412" t="str">
        <f>IF(V55=0,"",VLOOKUP(V55,'Tablas Magia'!$D$6:$Z$680,18,FALSE))</f>
        <v/>
      </c>
      <c r="AA60" s="6514" t="str">
        <f>IF(V55=0,"",VLOOKUP(V55,'Tablas Magia'!$D$6:$Z$680,22,FALSE))</f>
        <v/>
      </c>
      <c r="AB60" s="6515"/>
      <c r="AC60" s="6515"/>
      <c r="AD60" s="6515"/>
      <c r="AE60" s="6515"/>
      <c r="AF60" s="6515"/>
      <c r="AG60" s="6515"/>
      <c r="AH60" s="6515"/>
      <c r="AI60" s="6515"/>
      <c r="AJ60" s="6516"/>
      <c r="AK60" s="398"/>
      <c r="AL60" s="392"/>
      <c r="AM60" s="392"/>
      <c r="AN60" s="279"/>
      <c r="AO60" s="6512" t="s">
        <v>3198</v>
      </c>
      <c r="AP60" s="6513"/>
      <c r="AQ60" s="411" t="str">
        <f>IF(AO55=0,"",VLOOKUP(AO55,'Tablas Magia'!$D$6:$Z$680,10,FALSE))</f>
        <v/>
      </c>
      <c r="AR60" s="411" t="str">
        <f>IF(AO55=0,"",VLOOKUP(AO55,'Tablas Magia'!$D$6:$Z$680,14,FALSE))</f>
        <v/>
      </c>
      <c r="AS60" s="412" t="str">
        <f>IF(AO55=0,"",VLOOKUP(AO55,'Tablas Magia'!$D$6:$Z$680,18,FALSE))</f>
        <v/>
      </c>
      <c r="AT60" s="6514" t="str">
        <f>IF(AO55=0,"",VLOOKUP(AO55,'Tablas Magia'!$D$6:$Z$680,22,FALSE))</f>
        <v/>
      </c>
      <c r="AU60" s="6515"/>
      <c r="AV60" s="6515"/>
      <c r="AW60" s="6515"/>
      <c r="AX60" s="6515"/>
      <c r="AY60" s="6515"/>
      <c r="AZ60" s="6515"/>
      <c r="BA60" s="6515"/>
      <c r="BB60" s="6515"/>
      <c r="BC60" s="6516"/>
      <c r="BD60" s="398"/>
      <c r="BE60" s="392"/>
      <c r="BF60" s="2466"/>
      <c r="BG60" s="279"/>
      <c r="BH60" s="6512" t="s">
        <v>3198</v>
      </c>
      <c r="BI60" s="6513"/>
      <c r="BJ60" s="411" t="str">
        <f>IF(BH55=0,"",VLOOKUP(BH55,'Tablas Magia'!$D$6:$Z$680,10,FALSE))</f>
        <v/>
      </c>
      <c r="BK60" s="411" t="str">
        <f>IF(BH55=0,"",VLOOKUP(BH55,'Tablas Magia'!$D$6:$Z$680,14,FALSE))</f>
        <v/>
      </c>
      <c r="BL60" s="412" t="str">
        <f>IF(BH55=0,"",VLOOKUP(BH55,'Tablas Magia'!$D$6:$Z$680,18,FALSE))</f>
        <v/>
      </c>
      <c r="BM60" s="6514" t="str">
        <f>IF(BH55=0,"",VLOOKUP(BH55,'Tablas Magia'!$D$6:$Z$680,22,FALSE))</f>
        <v/>
      </c>
      <c r="BN60" s="6515"/>
      <c r="BO60" s="6515"/>
      <c r="BP60" s="6515"/>
      <c r="BQ60" s="6515"/>
      <c r="BR60" s="6515"/>
      <c r="BS60" s="6515"/>
      <c r="BT60" s="6515"/>
      <c r="BU60" s="6515"/>
      <c r="BV60" s="6516"/>
      <c r="BW60" s="398"/>
      <c r="BX60" s="2466"/>
    </row>
    <row r="61" spans="1:76" ht="12.2" customHeight="1" x14ac:dyDescent="0.2">
      <c r="A61" s="392"/>
      <c r="B61" s="279"/>
      <c r="C61" s="6517" t="str">
        <f>IF(C55=0,"",VLOOKUP(C55,'Tablas Magia'!$D$6:$Z$680,23,FALSE))</f>
        <v/>
      </c>
      <c r="D61" s="6518"/>
      <c r="E61" s="6518"/>
      <c r="F61" s="6518"/>
      <c r="G61" s="6518"/>
      <c r="H61" s="6518"/>
      <c r="I61" s="6518"/>
      <c r="J61" s="6518"/>
      <c r="K61" s="6518"/>
      <c r="L61" s="6518"/>
      <c r="M61" s="6518"/>
      <c r="N61" s="6518"/>
      <c r="O61" s="6518"/>
      <c r="P61" s="6518"/>
      <c r="Q61" s="6519"/>
      <c r="R61" s="398"/>
      <c r="S61" s="392"/>
      <c r="T61" s="392"/>
      <c r="U61" s="279"/>
      <c r="V61" s="6517" t="str">
        <f>IF(V55=0,"",VLOOKUP(V55,'Tablas Magia'!$D$6:$Z$680,23,FALSE))</f>
        <v/>
      </c>
      <c r="W61" s="6518"/>
      <c r="X61" s="6518"/>
      <c r="Y61" s="6518"/>
      <c r="Z61" s="6518"/>
      <c r="AA61" s="6518"/>
      <c r="AB61" s="6518"/>
      <c r="AC61" s="6518"/>
      <c r="AD61" s="6518"/>
      <c r="AE61" s="6518"/>
      <c r="AF61" s="6518"/>
      <c r="AG61" s="6518"/>
      <c r="AH61" s="6518"/>
      <c r="AI61" s="6518"/>
      <c r="AJ61" s="6519"/>
      <c r="AK61" s="398"/>
      <c r="AL61" s="392"/>
      <c r="AM61" s="392"/>
      <c r="AN61" s="279"/>
      <c r="AO61" s="6517" t="str">
        <f>IF(AO55=0,"",VLOOKUP(AO55,'Tablas Magia'!$D$6:$Z$680,23,FALSE))</f>
        <v/>
      </c>
      <c r="AP61" s="6518"/>
      <c r="AQ61" s="6518"/>
      <c r="AR61" s="6518"/>
      <c r="AS61" s="6518"/>
      <c r="AT61" s="6518"/>
      <c r="AU61" s="6518"/>
      <c r="AV61" s="6518"/>
      <c r="AW61" s="6518"/>
      <c r="AX61" s="6518"/>
      <c r="AY61" s="6518"/>
      <c r="AZ61" s="6518"/>
      <c r="BA61" s="6518"/>
      <c r="BB61" s="6518"/>
      <c r="BC61" s="6519"/>
      <c r="BD61" s="398"/>
      <c r="BE61" s="392"/>
      <c r="BF61" s="2466"/>
      <c r="BG61" s="279"/>
      <c r="BH61" s="6517" t="str">
        <f>IF(BH55=0,"",VLOOKUP(BH55,'Tablas Magia'!$D$6:$Z$680,23,FALSE))</f>
        <v/>
      </c>
      <c r="BI61" s="6518"/>
      <c r="BJ61" s="6518"/>
      <c r="BK61" s="6518"/>
      <c r="BL61" s="6518"/>
      <c r="BM61" s="6518"/>
      <c r="BN61" s="6518"/>
      <c r="BO61" s="6518"/>
      <c r="BP61" s="6518"/>
      <c r="BQ61" s="6518"/>
      <c r="BR61" s="6518"/>
      <c r="BS61" s="6518"/>
      <c r="BT61" s="6518"/>
      <c r="BU61" s="6518"/>
      <c r="BV61" s="6519"/>
      <c r="BW61" s="398"/>
      <c r="BX61" s="2466"/>
    </row>
    <row r="62" spans="1:76" ht="12.2" customHeight="1" x14ac:dyDescent="0.2">
      <c r="A62" s="392"/>
      <c r="B62" s="279"/>
      <c r="C62" s="6520"/>
      <c r="D62" s="6521"/>
      <c r="E62" s="6521"/>
      <c r="F62" s="6521"/>
      <c r="G62" s="6521"/>
      <c r="H62" s="6521"/>
      <c r="I62" s="6521"/>
      <c r="J62" s="6521"/>
      <c r="K62" s="6521"/>
      <c r="L62" s="6521"/>
      <c r="M62" s="6521"/>
      <c r="N62" s="6521"/>
      <c r="O62" s="6521"/>
      <c r="P62" s="6521"/>
      <c r="Q62" s="6522"/>
      <c r="R62" s="398"/>
      <c r="S62" s="392"/>
      <c r="T62" s="392"/>
      <c r="U62" s="279"/>
      <c r="V62" s="6520"/>
      <c r="W62" s="6521"/>
      <c r="X62" s="6521"/>
      <c r="Y62" s="6521"/>
      <c r="Z62" s="6521"/>
      <c r="AA62" s="6521"/>
      <c r="AB62" s="6521"/>
      <c r="AC62" s="6521"/>
      <c r="AD62" s="6521"/>
      <c r="AE62" s="6521"/>
      <c r="AF62" s="6521"/>
      <c r="AG62" s="6521"/>
      <c r="AH62" s="6521"/>
      <c r="AI62" s="6521"/>
      <c r="AJ62" s="6522"/>
      <c r="AK62" s="398"/>
      <c r="AL62" s="392"/>
      <c r="AM62" s="392"/>
      <c r="AN62" s="279"/>
      <c r="AO62" s="6520"/>
      <c r="AP62" s="6521"/>
      <c r="AQ62" s="6521"/>
      <c r="AR62" s="6521"/>
      <c r="AS62" s="6521"/>
      <c r="AT62" s="6521"/>
      <c r="AU62" s="6521"/>
      <c r="AV62" s="6521"/>
      <c r="AW62" s="6521"/>
      <c r="AX62" s="6521"/>
      <c r="AY62" s="6521"/>
      <c r="AZ62" s="6521"/>
      <c r="BA62" s="6521"/>
      <c r="BB62" s="6521"/>
      <c r="BC62" s="6522"/>
      <c r="BD62" s="398"/>
      <c r="BE62" s="392"/>
      <c r="BF62" s="2466"/>
      <c r="BG62" s="279"/>
      <c r="BH62" s="6520"/>
      <c r="BI62" s="6521"/>
      <c r="BJ62" s="6521"/>
      <c r="BK62" s="6521"/>
      <c r="BL62" s="6521"/>
      <c r="BM62" s="6521"/>
      <c r="BN62" s="6521"/>
      <c r="BO62" s="6521"/>
      <c r="BP62" s="6521"/>
      <c r="BQ62" s="6521"/>
      <c r="BR62" s="6521"/>
      <c r="BS62" s="6521"/>
      <c r="BT62" s="6521"/>
      <c r="BU62" s="6521"/>
      <c r="BV62" s="6522"/>
      <c r="BW62" s="398"/>
      <c r="BX62" s="2466"/>
    </row>
    <row r="63" spans="1:76" ht="12.2" customHeight="1" x14ac:dyDescent="0.2">
      <c r="A63" s="392"/>
      <c r="B63" s="279"/>
      <c r="C63" s="6520"/>
      <c r="D63" s="6521"/>
      <c r="E63" s="6521"/>
      <c r="F63" s="6521"/>
      <c r="G63" s="6521"/>
      <c r="H63" s="6521"/>
      <c r="I63" s="6521"/>
      <c r="J63" s="6521"/>
      <c r="K63" s="6521"/>
      <c r="L63" s="6521"/>
      <c r="M63" s="6521"/>
      <c r="N63" s="6521"/>
      <c r="O63" s="6521"/>
      <c r="P63" s="6521"/>
      <c r="Q63" s="6522"/>
      <c r="R63" s="398"/>
      <c r="S63" s="392"/>
      <c r="T63" s="392"/>
      <c r="U63" s="279"/>
      <c r="V63" s="6520"/>
      <c r="W63" s="6521"/>
      <c r="X63" s="6521"/>
      <c r="Y63" s="6521"/>
      <c r="Z63" s="6521"/>
      <c r="AA63" s="6521"/>
      <c r="AB63" s="6521"/>
      <c r="AC63" s="6521"/>
      <c r="AD63" s="6521"/>
      <c r="AE63" s="6521"/>
      <c r="AF63" s="6521"/>
      <c r="AG63" s="6521"/>
      <c r="AH63" s="6521"/>
      <c r="AI63" s="6521"/>
      <c r="AJ63" s="6522"/>
      <c r="AK63" s="398"/>
      <c r="AL63" s="392"/>
      <c r="AM63" s="392"/>
      <c r="AN63" s="279"/>
      <c r="AO63" s="6520"/>
      <c r="AP63" s="6521"/>
      <c r="AQ63" s="6521"/>
      <c r="AR63" s="6521"/>
      <c r="AS63" s="6521"/>
      <c r="AT63" s="6521"/>
      <c r="AU63" s="6521"/>
      <c r="AV63" s="6521"/>
      <c r="AW63" s="6521"/>
      <c r="AX63" s="6521"/>
      <c r="AY63" s="6521"/>
      <c r="AZ63" s="6521"/>
      <c r="BA63" s="6521"/>
      <c r="BB63" s="6521"/>
      <c r="BC63" s="6522"/>
      <c r="BD63" s="398"/>
      <c r="BE63" s="392"/>
      <c r="BF63" s="2466"/>
      <c r="BG63" s="279"/>
      <c r="BH63" s="6520"/>
      <c r="BI63" s="6521"/>
      <c r="BJ63" s="6521"/>
      <c r="BK63" s="6521"/>
      <c r="BL63" s="6521"/>
      <c r="BM63" s="6521"/>
      <c r="BN63" s="6521"/>
      <c r="BO63" s="6521"/>
      <c r="BP63" s="6521"/>
      <c r="BQ63" s="6521"/>
      <c r="BR63" s="6521"/>
      <c r="BS63" s="6521"/>
      <c r="BT63" s="6521"/>
      <c r="BU63" s="6521"/>
      <c r="BV63" s="6522"/>
      <c r="BW63" s="398"/>
      <c r="BX63" s="2466"/>
    </row>
    <row r="64" spans="1:76" ht="12.2" customHeight="1" thickBot="1" x14ac:dyDescent="0.25">
      <c r="A64" s="392"/>
      <c r="B64" s="279"/>
      <c r="C64" s="6523"/>
      <c r="D64" s="6524"/>
      <c r="E64" s="6524"/>
      <c r="F64" s="6524"/>
      <c r="G64" s="6524"/>
      <c r="H64" s="6524"/>
      <c r="I64" s="6524"/>
      <c r="J64" s="6524"/>
      <c r="K64" s="6524"/>
      <c r="L64" s="6524"/>
      <c r="M64" s="6524"/>
      <c r="N64" s="6524"/>
      <c r="O64" s="6524"/>
      <c r="P64" s="6524"/>
      <c r="Q64" s="6525"/>
      <c r="R64" s="398"/>
      <c r="S64" s="392"/>
      <c r="T64" s="392"/>
      <c r="U64" s="279"/>
      <c r="V64" s="6523"/>
      <c r="W64" s="6524"/>
      <c r="X64" s="6524"/>
      <c r="Y64" s="6524"/>
      <c r="Z64" s="6524"/>
      <c r="AA64" s="6524"/>
      <c r="AB64" s="6524"/>
      <c r="AC64" s="6524"/>
      <c r="AD64" s="6524"/>
      <c r="AE64" s="6524"/>
      <c r="AF64" s="6524"/>
      <c r="AG64" s="6524"/>
      <c r="AH64" s="6524"/>
      <c r="AI64" s="6524"/>
      <c r="AJ64" s="6525"/>
      <c r="AK64" s="398"/>
      <c r="AL64" s="392"/>
      <c r="AM64" s="392"/>
      <c r="AN64" s="279"/>
      <c r="AO64" s="6523"/>
      <c r="AP64" s="6524"/>
      <c r="AQ64" s="6524"/>
      <c r="AR64" s="6524"/>
      <c r="AS64" s="6524"/>
      <c r="AT64" s="6524"/>
      <c r="AU64" s="6524"/>
      <c r="AV64" s="6524"/>
      <c r="AW64" s="6524"/>
      <c r="AX64" s="6524"/>
      <c r="AY64" s="6524"/>
      <c r="AZ64" s="6524"/>
      <c r="BA64" s="6524"/>
      <c r="BB64" s="6524"/>
      <c r="BC64" s="6525"/>
      <c r="BD64" s="398"/>
      <c r="BE64" s="392"/>
      <c r="BF64" s="2466"/>
      <c r="BG64" s="279"/>
      <c r="BH64" s="6523"/>
      <c r="BI64" s="6524"/>
      <c r="BJ64" s="6524"/>
      <c r="BK64" s="6524"/>
      <c r="BL64" s="6524"/>
      <c r="BM64" s="6524"/>
      <c r="BN64" s="6524"/>
      <c r="BO64" s="6524"/>
      <c r="BP64" s="6524"/>
      <c r="BQ64" s="6524"/>
      <c r="BR64" s="6524"/>
      <c r="BS64" s="6524"/>
      <c r="BT64" s="6524"/>
      <c r="BU64" s="6524"/>
      <c r="BV64" s="6525"/>
      <c r="BW64" s="398"/>
      <c r="BX64" s="2466"/>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6"/>
      <c r="BG65" s="279"/>
      <c r="BH65" s="418"/>
      <c r="BI65" s="418"/>
      <c r="BJ65" s="409"/>
      <c r="BK65" s="409"/>
      <c r="BL65" s="409"/>
      <c r="BM65" s="419"/>
      <c r="BN65" s="419"/>
      <c r="BO65" s="419"/>
      <c r="BP65" s="419"/>
      <c r="BQ65" s="419"/>
      <c r="BR65" s="419"/>
      <c r="BS65" s="419"/>
      <c r="BT65" s="419"/>
      <c r="BU65" s="419"/>
      <c r="BV65" s="419"/>
      <c r="BW65" s="398"/>
      <c r="BX65" s="2466"/>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6"/>
      <c r="BG66" s="280"/>
      <c r="BH66" s="420"/>
      <c r="BI66" s="420"/>
      <c r="BJ66" s="420"/>
      <c r="BK66" s="420"/>
      <c r="BL66" s="420"/>
      <c r="BM66" s="420"/>
      <c r="BN66" s="420"/>
      <c r="BO66" s="420"/>
      <c r="BP66" s="420"/>
      <c r="BQ66" s="420"/>
      <c r="BR66" s="420"/>
      <c r="BS66" s="420"/>
      <c r="BT66" s="420"/>
      <c r="BU66" s="420"/>
      <c r="BV66" s="420"/>
      <c r="BW66" s="421"/>
      <c r="BX66" s="2466"/>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5"/>
      <c r="B1" s="2505"/>
      <c r="C1" s="2505"/>
      <c r="D1" s="2505"/>
      <c r="E1" s="2505"/>
      <c r="F1" s="2505"/>
      <c r="G1" s="2505"/>
      <c r="H1" s="2505"/>
      <c r="I1" s="2505"/>
      <c r="J1" s="2505"/>
      <c r="K1" s="2505"/>
      <c r="L1" s="2505"/>
      <c r="M1" s="2505"/>
      <c r="N1" s="2505"/>
      <c r="O1" s="2505"/>
      <c r="P1" s="2505"/>
      <c r="Q1" s="2505"/>
      <c r="R1" s="2505"/>
      <c r="S1" s="2505"/>
      <c r="T1" s="2466"/>
      <c r="U1" s="798"/>
      <c r="V1" s="2466"/>
      <c r="W1" s="2466"/>
      <c r="X1" s="2466"/>
      <c r="Y1" s="2466"/>
      <c r="Z1" s="2466"/>
      <c r="AA1" s="2466"/>
      <c r="AB1" s="2466"/>
      <c r="AC1" s="2466"/>
      <c r="AD1" s="2466"/>
      <c r="AE1" s="2466"/>
      <c r="AF1" s="2466"/>
      <c r="AG1" s="2466"/>
      <c r="AH1" s="2466"/>
      <c r="AI1" s="2466"/>
      <c r="AJ1" s="2466"/>
      <c r="AK1" s="2466"/>
      <c r="AL1" s="1420"/>
    </row>
    <row r="2" spans="1:38" ht="17.25" customHeight="1" thickBot="1" x14ac:dyDescent="0.25">
      <c r="A2" s="2505"/>
      <c r="B2" s="799"/>
      <c r="C2" s="394"/>
      <c r="D2" s="394"/>
      <c r="E2" s="394"/>
      <c r="F2" s="394"/>
      <c r="G2" s="394"/>
      <c r="H2" s="394"/>
      <c r="I2" s="394"/>
      <c r="J2" s="394"/>
      <c r="K2" s="394"/>
      <c r="L2" s="394"/>
      <c r="M2" s="394"/>
      <c r="N2" s="394"/>
      <c r="O2" s="394"/>
      <c r="P2" s="394"/>
      <c r="Q2" s="394"/>
      <c r="R2" s="395"/>
      <c r="S2" s="1420"/>
      <c r="T2" s="2466"/>
      <c r="U2" s="1081"/>
      <c r="V2" s="394"/>
      <c r="W2" s="394"/>
      <c r="X2" s="394"/>
      <c r="Y2" s="394"/>
      <c r="Z2" s="394"/>
      <c r="AA2" s="394"/>
      <c r="AB2" s="394"/>
      <c r="AC2" s="394"/>
      <c r="AD2" s="394"/>
      <c r="AE2" s="394"/>
      <c r="AF2" s="394"/>
      <c r="AG2" s="394"/>
      <c r="AH2" s="394"/>
      <c r="AI2" s="394"/>
      <c r="AJ2" s="394"/>
      <c r="AK2" s="395"/>
      <c r="AL2" s="1420"/>
    </row>
    <row r="3" spans="1:38" ht="12" customHeight="1" x14ac:dyDescent="0.2">
      <c r="A3" s="2505"/>
      <c r="B3" s="800"/>
      <c r="C3" s="6496"/>
      <c r="D3" s="6497"/>
      <c r="E3" s="6497"/>
      <c r="F3" s="6497"/>
      <c r="G3" s="6497"/>
      <c r="H3" s="6497"/>
      <c r="I3" s="2509"/>
      <c r="J3" s="2509"/>
      <c r="K3" s="2509"/>
      <c r="L3" s="2509"/>
      <c r="M3" s="2509"/>
      <c r="N3" s="2509"/>
      <c r="O3" s="2509"/>
      <c r="P3" s="2509"/>
      <c r="Q3" s="397"/>
      <c r="R3" s="398"/>
      <c r="S3" s="1420"/>
      <c r="T3" s="2466"/>
      <c r="U3" s="1082"/>
      <c r="V3" s="6496"/>
      <c r="W3" s="6497"/>
      <c r="X3" s="6497"/>
      <c r="Y3" s="6497"/>
      <c r="Z3" s="6497"/>
      <c r="AA3" s="6497"/>
      <c r="AB3" s="2467"/>
      <c r="AC3" s="2467"/>
      <c r="AD3" s="2467"/>
      <c r="AE3" s="2467"/>
      <c r="AF3" s="2467"/>
      <c r="AG3" s="2467"/>
      <c r="AH3" s="2467"/>
      <c r="AI3" s="2467"/>
      <c r="AJ3" s="397"/>
      <c r="AK3" s="398"/>
      <c r="AL3" s="1420"/>
    </row>
    <row r="4" spans="1:38" s="805" customFormat="1" ht="12" customHeight="1" x14ac:dyDescent="0.2">
      <c r="A4" s="2505"/>
      <c r="B4" s="1717"/>
      <c r="C4" s="6498"/>
      <c r="D4" s="6499"/>
      <c r="E4" s="6499"/>
      <c r="F4" s="6499"/>
      <c r="G4" s="6499"/>
      <c r="H4" s="6499"/>
      <c r="I4" s="2480"/>
      <c r="J4" s="6536" t="s">
        <v>10042</v>
      </c>
      <c r="K4" s="6536"/>
      <c r="L4" s="6536"/>
      <c r="M4" s="6536"/>
      <c r="N4" s="6536"/>
      <c r="O4" s="6536"/>
      <c r="P4" s="6536"/>
      <c r="Q4" s="352"/>
      <c r="R4" s="804"/>
      <c r="S4" s="1718"/>
      <c r="T4" s="803"/>
      <c r="U4" s="1717"/>
      <c r="V4" s="6498"/>
      <c r="W4" s="6499"/>
      <c r="X4" s="6499"/>
      <c r="Y4" s="6499"/>
      <c r="Z4" s="6499"/>
      <c r="AA4" s="6499"/>
      <c r="AB4" s="2468"/>
      <c r="AC4" s="6547" t="s">
        <v>10042</v>
      </c>
      <c r="AD4" s="6548"/>
      <c r="AE4" s="6548"/>
      <c r="AF4" s="6548"/>
      <c r="AG4" s="6548"/>
      <c r="AH4" s="6548"/>
      <c r="AI4" s="6548"/>
      <c r="AJ4" s="352"/>
      <c r="AK4" s="804"/>
      <c r="AL4" s="1718"/>
    </row>
    <row r="5" spans="1:38" ht="12" customHeight="1" x14ac:dyDescent="0.2">
      <c r="A5" s="2505"/>
      <c r="B5" s="800"/>
      <c r="C5" s="6498"/>
      <c r="D5" s="6499"/>
      <c r="E5" s="6499"/>
      <c r="F5" s="6499"/>
      <c r="G5" s="6499"/>
      <c r="H5" s="6499"/>
      <c r="I5" s="2480"/>
      <c r="J5" s="6536"/>
      <c r="K5" s="6536"/>
      <c r="L5" s="6536"/>
      <c r="M5" s="6536"/>
      <c r="N5" s="6536"/>
      <c r="O5" s="6536"/>
      <c r="P5" s="6536"/>
      <c r="Q5" s="399"/>
      <c r="R5" s="398"/>
      <c r="S5" s="1420"/>
      <c r="T5" s="2466"/>
      <c r="U5" s="1082"/>
      <c r="V5" s="6498"/>
      <c r="W5" s="6499"/>
      <c r="X5" s="6499"/>
      <c r="Y5" s="6499"/>
      <c r="Z5" s="6499"/>
      <c r="AA5" s="6499"/>
      <c r="AB5" s="2468"/>
      <c r="AC5" s="6548"/>
      <c r="AD5" s="6548"/>
      <c r="AE5" s="6548"/>
      <c r="AF5" s="6548"/>
      <c r="AG5" s="6548"/>
      <c r="AH5" s="6548"/>
      <c r="AI5" s="6548"/>
      <c r="AJ5" s="399"/>
      <c r="AK5" s="398"/>
      <c r="AL5" s="1420"/>
    </row>
    <row r="6" spans="1:38" ht="12" customHeight="1" x14ac:dyDescent="0.2">
      <c r="A6" s="2505"/>
      <c r="B6" s="800"/>
      <c r="C6" s="6498"/>
      <c r="D6" s="6499"/>
      <c r="E6" s="6499"/>
      <c r="F6" s="6499"/>
      <c r="G6" s="6499"/>
      <c r="H6" s="6499"/>
      <c r="I6" s="2481" t="s">
        <v>7039</v>
      </c>
      <c r="J6" s="6566"/>
      <c r="K6" s="6566"/>
      <c r="L6" s="6566"/>
      <c r="M6" s="2480"/>
      <c r="N6" s="2482"/>
      <c r="O6" s="2483" t="s">
        <v>8731</v>
      </c>
      <c r="P6" s="2484">
        <f>IFERROR(VLOOKUP($J$6,Místicos!$C$15:$H$25,6,FALSE),0)</f>
        <v>0</v>
      </c>
      <c r="Q6" s="399"/>
      <c r="R6" s="398"/>
      <c r="S6" s="1420"/>
      <c r="T6" s="2466"/>
      <c r="U6" s="1082"/>
      <c r="V6" s="6498"/>
      <c r="W6" s="6499"/>
      <c r="X6" s="6499"/>
      <c r="Y6" s="6499"/>
      <c r="Z6" s="6499"/>
      <c r="AA6" s="6499"/>
      <c r="AB6" s="2259" t="s">
        <v>7039</v>
      </c>
      <c r="AC6" s="6546" t="str">
        <f>IF($J$6="","",$J$6)</f>
        <v/>
      </c>
      <c r="AD6" s="6546"/>
      <c r="AE6" s="6546"/>
      <c r="AF6" s="2255"/>
      <c r="AG6" s="2255"/>
      <c r="AH6" s="2256" t="str">
        <f>$O$6</f>
        <v>Nivel de vía aprendido</v>
      </c>
      <c r="AI6" s="2257">
        <f>$P$6</f>
        <v>0</v>
      </c>
      <c r="AJ6" s="399"/>
      <c r="AK6" s="398"/>
      <c r="AL6" s="1420"/>
    </row>
    <row r="7" spans="1:38" ht="12" customHeight="1" x14ac:dyDescent="0.2">
      <c r="A7" s="2505"/>
      <c r="B7" s="800"/>
      <c r="C7" s="6498"/>
      <c r="D7" s="6499"/>
      <c r="E7" s="6499"/>
      <c r="F7" s="6499"/>
      <c r="G7" s="6499"/>
      <c r="H7" s="6499"/>
      <c r="I7" s="2485" t="s">
        <v>7040</v>
      </c>
      <c r="J7" s="6566"/>
      <c r="K7" s="6566"/>
      <c r="L7" s="6566"/>
      <c r="M7" s="2480"/>
      <c r="N7" s="2482"/>
      <c r="O7" s="2483" t="s">
        <v>8735</v>
      </c>
      <c r="P7" s="2258" t="s">
        <v>2583</v>
      </c>
      <c r="Q7" s="399"/>
      <c r="R7" s="398"/>
      <c r="S7" s="1420"/>
      <c r="T7" s="2466"/>
      <c r="U7" s="1082"/>
      <c r="V7" s="6498"/>
      <c r="W7" s="6499"/>
      <c r="X7" s="6499"/>
      <c r="Y7" s="6499"/>
      <c r="Z7" s="6499"/>
      <c r="AA7" s="6499"/>
      <c r="AB7" s="2260" t="s">
        <v>7040</v>
      </c>
      <c r="AC7" s="6546" t="str">
        <f>IF(OR($J$8="",$J$8=0),"",$J$8)</f>
        <v/>
      </c>
      <c r="AD7" s="6546"/>
      <c r="AE7" s="6546"/>
      <c r="AF7" s="2255"/>
      <c r="AG7" s="2255"/>
      <c r="AH7" s="2255"/>
      <c r="AI7" s="2255"/>
      <c r="AJ7" s="399"/>
      <c r="AK7" s="398"/>
      <c r="AL7" s="1420"/>
    </row>
    <row r="8" spans="1:38" ht="12" customHeight="1" thickBot="1" x14ac:dyDescent="0.25">
      <c r="A8" s="2505"/>
      <c r="B8" s="800"/>
      <c r="C8" s="6500"/>
      <c r="D8" s="6501"/>
      <c r="E8" s="6501"/>
      <c r="F8" s="6501"/>
      <c r="G8" s="6501"/>
      <c r="H8" s="6501"/>
      <c r="I8" s="2510"/>
      <c r="J8" s="6565" t="str">
        <f>IF(J7&lt;&gt;"",J7,IFERROR(VLOOKUP(J6,Místicos!$C$15:$F$25,3,0),""))</f>
        <v/>
      </c>
      <c r="K8" s="6565"/>
      <c r="L8" s="6565"/>
      <c r="M8" s="2510"/>
      <c r="N8" s="2510"/>
      <c r="O8" s="2510"/>
      <c r="P8" s="2510"/>
      <c r="Q8" s="401"/>
      <c r="R8" s="398"/>
      <c r="S8" s="1420"/>
      <c r="T8" s="2466"/>
      <c r="U8" s="1082"/>
      <c r="V8" s="6500"/>
      <c r="W8" s="6501"/>
      <c r="X8" s="6501"/>
      <c r="Y8" s="6501"/>
      <c r="Z8" s="6501"/>
      <c r="AA8" s="6501"/>
      <c r="AB8" s="2469"/>
      <c r="AC8" s="2469"/>
      <c r="AD8" s="2469"/>
      <c r="AE8" s="2469"/>
      <c r="AF8" s="2469"/>
      <c r="AG8" s="2469"/>
      <c r="AH8" s="2469"/>
      <c r="AI8" s="2469"/>
      <c r="AJ8" s="401"/>
      <c r="AK8" s="398"/>
      <c r="AL8" s="1420"/>
    </row>
    <row r="9" spans="1:38" ht="12" customHeight="1" x14ac:dyDescent="0.2">
      <c r="A9" s="2505"/>
      <c r="B9" s="800"/>
      <c r="C9" s="2486"/>
      <c r="D9" s="2486"/>
      <c r="E9" s="2486"/>
      <c r="F9" s="2486"/>
      <c r="G9" s="2486"/>
      <c r="H9" s="2486"/>
      <c r="I9" s="2486"/>
      <c r="J9" s="2486"/>
      <c r="K9" s="2486"/>
      <c r="L9" s="2486"/>
      <c r="M9" s="2486"/>
      <c r="N9" s="2486"/>
      <c r="O9" s="2486"/>
      <c r="P9" s="2486"/>
      <c r="Q9" s="2486"/>
      <c r="R9" s="398"/>
      <c r="S9" s="1420"/>
      <c r="T9" s="2466"/>
      <c r="U9" s="1082"/>
      <c r="AK9" s="398"/>
      <c r="AL9" s="1420"/>
    </row>
    <row r="10" spans="1:38" ht="12" customHeight="1" thickBot="1" x14ac:dyDescent="0.25">
      <c r="A10" s="2505"/>
      <c r="B10" s="808"/>
      <c r="C10" s="6555" t="str">
        <f>"Conjuros de nivel "&amp;B11&amp;"-"&amp;B55</f>
        <v>Conjuros de nivel 2-10</v>
      </c>
      <c r="D10" s="6555"/>
      <c r="E10" s="6555"/>
      <c r="F10" s="6555"/>
      <c r="G10" s="6555"/>
      <c r="H10" s="6555"/>
      <c r="I10" s="6555"/>
      <c r="J10" s="6555"/>
      <c r="K10" s="6555"/>
      <c r="L10" s="6555"/>
      <c r="M10" s="6555"/>
      <c r="N10" s="6555"/>
      <c r="O10" s="6555"/>
      <c r="P10" s="6555"/>
      <c r="Q10" s="6555"/>
      <c r="R10" s="806"/>
      <c r="S10" s="1420"/>
      <c r="T10" s="392"/>
      <c r="U10" s="808"/>
      <c r="V10" s="6555" t="str">
        <f>"Conjuros de nivel "&amp;U11&amp;"-"&amp;U55</f>
        <v>Conjuros de nivel 12-20</v>
      </c>
      <c r="W10" s="6555"/>
      <c r="X10" s="6555"/>
      <c r="Y10" s="6555"/>
      <c r="Z10" s="6555"/>
      <c r="AA10" s="6555"/>
      <c r="AB10" s="6555"/>
      <c r="AC10" s="6555"/>
      <c r="AD10" s="6555"/>
      <c r="AE10" s="6555"/>
      <c r="AF10" s="6555"/>
      <c r="AG10" s="6555"/>
      <c r="AH10" s="6555"/>
      <c r="AI10" s="6555"/>
      <c r="AJ10" s="6555"/>
      <c r="AK10" s="807"/>
      <c r="AL10" s="392"/>
    </row>
    <row r="11" spans="1:38" ht="12" customHeight="1" x14ac:dyDescent="0.2">
      <c r="A11" s="2505"/>
      <c r="B11" s="800">
        <v>2</v>
      </c>
      <c r="C11" s="6559" t="str">
        <f>IFERROR(VLOOKUP($J$6&amp;B11,'Tablas Magia'!$B$6:$D$680,3,FALSE),IFERROR(VLOOKUP($J$8&amp;B11,'Tablas Magia'!$B$6:$D$680,3,FALSE),IFERROR(VLOOKUP($J$6&amp;B11,Místicos!$AD$12:$AJ$50,4,FALSE),"Libre Acceso 1-"&amp;ROUNDUP(B11/10,0)*10)))</f>
        <v>Libre Acceso 1-10</v>
      </c>
      <c r="D11" s="6560"/>
      <c r="E11" s="6560"/>
      <c r="F11" s="6560"/>
      <c r="G11" s="6561"/>
      <c r="H11" s="402" t="s">
        <v>1325</v>
      </c>
      <c r="I11" s="403">
        <f>B11</f>
        <v>2</v>
      </c>
      <c r="J11" s="6544" t="s">
        <v>6231</v>
      </c>
      <c r="K11" s="6544"/>
      <c r="L11" s="6544"/>
      <c r="M11" s="6529" t="e">
        <f>IF(C11=0,"",VLOOKUP(C11,'Tablas Magia'!$D$6:$Z$680,2,FALSE))</f>
        <v>#N/A</v>
      </c>
      <c r="N11" s="6529"/>
      <c r="O11" s="1705"/>
      <c r="P11" s="6550" t="str">
        <f>IFERROR(IF(M11="Libre Acceso","Aprendido",IF(IFERROR(VLOOKUP(M11,Místicos!$C$15:$H$25,6,0)&gt;=I11,FALSE),"Aprendido",IF(IFERROR(VLOOKUP(M11,Místicos!$E$15:$H$25,4,0)&gt;=I11,FALSE),"Aprendido",""))),"")</f>
        <v/>
      </c>
      <c r="Q11" s="6551"/>
      <c r="R11" s="398"/>
      <c r="S11" s="1420"/>
      <c r="T11" s="392"/>
      <c r="U11" s="800">
        <f>B55+2</f>
        <v>12</v>
      </c>
      <c r="V11" s="6559" t="str">
        <f>IFERROR(VLOOKUP($J$6&amp;U11,'Tablas Magia'!$B$6:$D$680,3,FALSE),IFERROR(VLOOKUP($J$8&amp;U11,'Tablas Magia'!$B$6:$D$680,3,FALSE),IFERROR(VLOOKUP($J$6&amp;U11,Místicos!$AD$12:$AJ$50,4,FALSE),"Libre Acceso 1-"&amp;ROUNDUP(U11/10,0)*10)))</f>
        <v>Libre Acceso 1-20</v>
      </c>
      <c r="W11" s="6560"/>
      <c r="X11" s="6560"/>
      <c r="Y11" s="6560"/>
      <c r="Z11" s="6561"/>
      <c r="AA11" s="402" t="s">
        <v>1325</v>
      </c>
      <c r="AB11" s="403">
        <f>U11</f>
        <v>12</v>
      </c>
      <c r="AC11" s="6544" t="s">
        <v>6231</v>
      </c>
      <c r="AD11" s="6544"/>
      <c r="AE11" s="6544"/>
      <c r="AF11" s="6529" t="e">
        <f>IF(V11=0,"",VLOOKUP(V11,'Tablas Magia'!$D$6:$Z$680,2,FALSE))</f>
        <v>#N/A</v>
      </c>
      <c r="AG11" s="6529"/>
      <c r="AH11" s="1705"/>
      <c r="AI11" s="6550" t="str">
        <f>IFERROR(IF(AF11="Libre Acceso","Aprendido",IF(IFERROR(VLOOKUP(AF11,Místicos!$C$15:$H$25,6,0)&gt;=AB11,FALSE),"Aprendido",IF(IFERROR(VLOOKUP(AF11,Místicos!$E$15:$H$25,4,0)&gt;=AB11,FALSE),"Aprendido",""))),"")</f>
        <v/>
      </c>
      <c r="AJ11" s="6551"/>
      <c r="AK11" s="398"/>
      <c r="AL11" s="392"/>
    </row>
    <row r="12" spans="1:38" ht="12" customHeight="1" x14ac:dyDescent="0.2">
      <c r="A12" s="2505"/>
      <c r="B12" s="800"/>
      <c r="C12" s="6531" t="s">
        <v>6232</v>
      </c>
      <c r="D12" s="6545"/>
      <c r="E12" s="2487" t="s">
        <v>6233</v>
      </c>
      <c r="F12" s="2487" t="s">
        <v>1508</v>
      </c>
      <c r="G12" s="2487" t="s">
        <v>2827</v>
      </c>
      <c r="H12" s="2488" t="s">
        <v>1835</v>
      </c>
      <c r="I12" s="6553" t="e">
        <f>IF(C11=0,"",VLOOKUP(C11,'Tablas Magia'!$D$6:$Z$680,5,FALSE))</f>
        <v>#N/A</v>
      </c>
      <c r="J12" s="6553"/>
      <c r="K12" s="6556" t="s">
        <v>6234</v>
      </c>
      <c r="L12" s="6556"/>
      <c r="M12" s="6553" t="e">
        <f>IF(C11=0,"",VLOOKUP(C11,'Tablas Magia'!$D$6:$Z$680,6,FALSE))</f>
        <v>#N/A</v>
      </c>
      <c r="N12" s="6553"/>
      <c r="O12" s="6554" t="s">
        <v>6235</v>
      </c>
      <c r="P12" s="6554"/>
      <c r="Q12" s="2489" t="e">
        <f>IF(C11=0,"",VLOOKUP(C11,'Tablas Magia'!$D$6:$Z$680,4,FALSE))</f>
        <v>#N/A</v>
      </c>
      <c r="R12" s="398"/>
      <c r="S12" s="392"/>
      <c r="T12" s="392"/>
      <c r="U12" s="800"/>
      <c r="V12" s="6531" t="s">
        <v>6232</v>
      </c>
      <c r="W12" s="6562"/>
      <c r="X12" s="1714" t="s">
        <v>6233</v>
      </c>
      <c r="Y12" s="1714" t="s">
        <v>1508</v>
      </c>
      <c r="Z12" s="1714" t="s">
        <v>2827</v>
      </c>
      <c r="AA12" s="1715" t="s">
        <v>1835</v>
      </c>
      <c r="AB12" s="6549" t="e">
        <f>IF(V11=0,"",VLOOKUP(V11,'Tablas Magia'!$D$6:$Z$680,5,FALSE))</f>
        <v>#N/A</v>
      </c>
      <c r="AC12" s="6549"/>
      <c r="AD12" s="6563" t="s">
        <v>6234</v>
      </c>
      <c r="AE12" s="6563"/>
      <c r="AF12" s="6549" t="e">
        <f>IF(V11=0,"",VLOOKUP(V11,'Tablas Magia'!$D$6:$Z$680,6,FALSE))</f>
        <v>#N/A</v>
      </c>
      <c r="AG12" s="6549"/>
      <c r="AH12" s="6564" t="s">
        <v>6235</v>
      </c>
      <c r="AI12" s="6564"/>
      <c r="AJ12" s="1716" t="e">
        <f>IF(V11=0,"",VLOOKUP(V11,'Tablas Magia'!$D$6:$Z$680,4,FALSE))</f>
        <v>#N/A</v>
      </c>
      <c r="AK12" s="398"/>
      <c r="AL12" s="392"/>
    </row>
    <row r="13" spans="1:38" ht="12" customHeight="1" x14ac:dyDescent="0.2">
      <c r="A13" s="2505"/>
      <c r="B13" s="800"/>
      <c r="C13" s="6507" t="s">
        <v>1365</v>
      </c>
      <c r="D13" s="6508"/>
      <c r="E13" s="2490" t="e">
        <f>IF(C11=0,"",VLOOKUP(C11,'Tablas Magia'!$D$6:$Z$680,7,FALSE))</f>
        <v>#N/A</v>
      </c>
      <c r="F13" s="2490" t="e">
        <f>IF(C11=0,"",VLOOKUP(C11,'Tablas Magia'!$D$6:$Z$680,11,FALSE))</f>
        <v>#N/A</v>
      </c>
      <c r="G13" s="408" t="e">
        <f>IF(C11=0,"",VLOOKUP(C11,'Tablas Magia'!$D$6:$Z$680,15,FALSE))</f>
        <v>#N/A</v>
      </c>
      <c r="H13" s="6509" t="e">
        <f>IF(C11=0,"",VLOOKUP(C11,'Tablas Magia'!$D$6:$Z$680,19,FALSE))</f>
        <v>#N/A</v>
      </c>
      <c r="I13" s="6552"/>
      <c r="J13" s="6552"/>
      <c r="K13" s="6552"/>
      <c r="L13" s="6552"/>
      <c r="M13" s="6552"/>
      <c r="N13" s="6552"/>
      <c r="O13" s="6552"/>
      <c r="P13" s="6552"/>
      <c r="Q13" s="6511"/>
      <c r="R13" s="398"/>
      <c r="S13" s="392"/>
      <c r="T13" s="392"/>
      <c r="U13" s="800"/>
      <c r="V13" s="6557" t="s">
        <v>1365</v>
      </c>
      <c r="W13" s="6558"/>
      <c r="X13" s="407" t="e">
        <f>IF(V11=0,"",VLOOKUP(V11,'Tablas Magia'!$D$6:$Z$680,7,FALSE))</f>
        <v>#N/A</v>
      </c>
      <c r="Y13" s="407" t="e">
        <f>IF(V11=0,"",VLOOKUP(V11,'Tablas Magia'!$D$6:$Z$680,11,FALSE))</f>
        <v>#N/A</v>
      </c>
      <c r="Z13" s="408" t="e">
        <f>IF(V11=0,"",VLOOKUP(V11,'Tablas Magia'!$D$6:$Z$680,15,FALSE))</f>
        <v>#N/A</v>
      </c>
      <c r="AA13" s="6539" t="e">
        <f>IF(V11=0,"",VLOOKUP(V11,'Tablas Magia'!$D$6:$Z$680,19,FALSE))</f>
        <v>#N/A</v>
      </c>
      <c r="AB13" s="6540"/>
      <c r="AC13" s="6540"/>
      <c r="AD13" s="6540"/>
      <c r="AE13" s="6540"/>
      <c r="AF13" s="6540"/>
      <c r="AG13" s="6540"/>
      <c r="AH13" s="6540"/>
      <c r="AI13" s="6540"/>
      <c r="AJ13" s="6541"/>
      <c r="AK13" s="398"/>
      <c r="AL13" s="392"/>
    </row>
    <row r="14" spans="1:38" ht="12" customHeight="1" x14ac:dyDescent="0.2">
      <c r="A14" s="2505"/>
      <c r="B14" s="800"/>
      <c r="C14" s="6502" t="s">
        <v>3196</v>
      </c>
      <c r="D14" s="6503"/>
      <c r="E14" s="2491" t="e">
        <f>IF(C11=0,"",VLOOKUP(C11,'Tablas Magia'!$D$6:$Z$680,8,FALSE))</f>
        <v>#N/A</v>
      </c>
      <c r="F14" s="2491" t="e">
        <f>IF(C11=0,"",VLOOKUP(C11,'Tablas Magia'!$D$6:$Z$680,12,FALSE))</f>
        <v>#N/A</v>
      </c>
      <c r="G14" s="410" t="e">
        <f>IF(C11=0,"",VLOOKUP(C11,'Tablas Magia'!$D$6:$Z$680,16,FALSE))</f>
        <v>#N/A</v>
      </c>
      <c r="H14" s="6504" t="e">
        <f>IF(C11=0,"",VLOOKUP(C11,'Tablas Magia'!$D$6:$Z$680,20,FALSE))</f>
        <v>#N/A</v>
      </c>
      <c r="I14" s="6542"/>
      <c r="J14" s="6542"/>
      <c r="K14" s="6542"/>
      <c r="L14" s="6542"/>
      <c r="M14" s="6542"/>
      <c r="N14" s="6542"/>
      <c r="O14" s="6542"/>
      <c r="P14" s="6542"/>
      <c r="Q14" s="6506"/>
      <c r="R14" s="398"/>
      <c r="S14" s="392"/>
      <c r="T14" s="392"/>
      <c r="U14" s="800"/>
      <c r="V14" s="6502" t="s">
        <v>3196</v>
      </c>
      <c r="W14" s="6503"/>
      <c r="X14" s="409" t="e">
        <f>IF(V11=0,"",VLOOKUP(V11,'Tablas Magia'!$D$6:$Z$680,8,FALSE))</f>
        <v>#N/A</v>
      </c>
      <c r="Y14" s="409" t="e">
        <f>IF(V11=0,"",VLOOKUP(V11,'Tablas Magia'!$D$6:$Z$680,12,FALSE))</f>
        <v>#N/A</v>
      </c>
      <c r="Z14" s="410" t="e">
        <f>IF(V11=0,"",VLOOKUP(V11,'Tablas Magia'!$D$6:$Z$680,16,FALSE))</f>
        <v>#N/A</v>
      </c>
      <c r="AA14" s="6504" t="e">
        <f>IF(V11=0,"",VLOOKUP(V11,'Tablas Magia'!$D$6:$Z$680,20,FALSE))</f>
        <v>#N/A</v>
      </c>
      <c r="AB14" s="6505"/>
      <c r="AC14" s="6505"/>
      <c r="AD14" s="6505"/>
      <c r="AE14" s="6505"/>
      <c r="AF14" s="6505"/>
      <c r="AG14" s="6505"/>
      <c r="AH14" s="6505"/>
      <c r="AI14" s="6505"/>
      <c r="AJ14" s="6506"/>
      <c r="AK14" s="398"/>
      <c r="AL14" s="392"/>
    </row>
    <row r="15" spans="1:38" ht="12" customHeight="1" x14ac:dyDescent="0.2">
      <c r="A15" s="2505"/>
      <c r="B15" s="800"/>
      <c r="C15" s="6507" t="s">
        <v>3197</v>
      </c>
      <c r="D15" s="6508"/>
      <c r="E15" s="2490" t="e">
        <f>IF(C11=0,"",VLOOKUP(C11,'Tablas Magia'!$D$6:$Z$680,9,FALSE))</f>
        <v>#N/A</v>
      </c>
      <c r="F15" s="2490" t="e">
        <f>IF(C11=0,"",VLOOKUP(C11,'Tablas Magia'!$D$6:$Z$680,13,FALSE))</f>
        <v>#N/A</v>
      </c>
      <c r="G15" s="408" t="e">
        <f>IF(C11=0,"",VLOOKUP(C11,'Tablas Magia'!$D$6:$Z$680,17,FALSE))</f>
        <v>#N/A</v>
      </c>
      <c r="H15" s="6509" t="e">
        <f>IF(C11=0,"",VLOOKUP(C11,'Tablas Magia'!$D$6:$Z$680,21,FALSE))</f>
        <v>#N/A</v>
      </c>
      <c r="I15" s="6552"/>
      <c r="J15" s="6552"/>
      <c r="K15" s="6552"/>
      <c r="L15" s="6552"/>
      <c r="M15" s="6552"/>
      <c r="N15" s="6552"/>
      <c r="O15" s="6552"/>
      <c r="P15" s="6552"/>
      <c r="Q15" s="6511"/>
      <c r="R15" s="398"/>
      <c r="S15" s="392"/>
      <c r="T15" s="392"/>
      <c r="U15" s="800"/>
      <c r="V15" s="6507" t="s">
        <v>3197</v>
      </c>
      <c r="W15" s="6508"/>
      <c r="X15" s="407" t="e">
        <f>IF(V11=0,"",VLOOKUP(V11,'Tablas Magia'!$D$6:$Z$680,9,FALSE))</f>
        <v>#N/A</v>
      </c>
      <c r="Y15" s="407" t="e">
        <f>IF(V11=0,"",VLOOKUP(V11,'Tablas Magia'!$D$6:$Z$680,13,FALSE))</f>
        <v>#N/A</v>
      </c>
      <c r="Z15" s="408" t="e">
        <f>IF(V11=0,"",VLOOKUP(V11,'Tablas Magia'!$D$6:$Z$680,17,FALSE))</f>
        <v>#N/A</v>
      </c>
      <c r="AA15" s="6509" t="e">
        <f>IF(V11=0,"",VLOOKUP(V11,'Tablas Magia'!$D$6:$Z$680,21,FALSE))</f>
        <v>#N/A</v>
      </c>
      <c r="AB15" s="6510"/>
      <c r="AC15" s="6510"/>
      <c r="AD15" s="6510"/>
      <c r="AE15" s="6510"/>
      <c r="AF15" s="6510"/>
      <c r="AG15" s="6510"/>
      <c r="AH15" s="6510"/>
      <c r="AI15" s="6510"/>
      <c r="AJ15" s="6511"/>
      <c r="AK15" s="398"/>
      <c r="AL15" s="392"/>
    </row>
    <row r="16" spans="1:38" ht="12" customHeight="1" thickBot="1" x14ac:dyDescent="0.25">
      <c r="A16" s="2505"/>
      <c r="B16" s="800"/>
      <c r="C16" s="6512" t="s">
        <v>3198</v>
      </c>
      <c r="D16" s="6513"/>
      <c r="E16" s="411" t="e">
        <f>IF(C11=0,"",VLOOKUP(C11,'Tablas Magia'!$D$6:$Z$680,10,FALSE))</f>
        <v>#N/A</v>
      </c>
      <c r="F16" s="411" t="e">
        <f>IF(C11=0,"",VLOOKUP(C11,'Tablas Magia'!$D$6:$Z$680,14,FALSE))</f>
        <v>#N/A</v>
      </c>
      <c r="G16" s="412" t="e">
        <f>IF(C11=0,"",VLOOKUP(C11,'Tablas Magia'!$D$6:$Z$680,18,FALSE))</f>
        <v>#N/A</v>
      </c>
      <c r="H16" s="6514" t="e">
        <f>IF(C11=0,"",VLOOKUP(C11,'Tablas Magia'!$D$6:$Z$680,22,FALSE))</f>
        <v>#N/A</v>
      </c>
      <c r="I16" s="6515"/>
      <c r="J16" s="6515"/>
      <c r="K16" s="6515"/>
      <c r="L16" s="6515"/>
      <c r="M16" s="6515"/>
      <c r="N16" s="6515"/>
      <c r="O16" s="6515"/>
      <c r="P16" s="6515"/>
      <c r="Q16" s="6516"/>
      <c r="R16" s="398"/>
      <c r="S16" s="392"/>
      <c r="T16" s="392"/>
      <c r="U16" s="800"/>
      <c r="V16" s="6512" t="s">
        <v>3198</v>
      </c>
      <c r="W16" s="6513"/>
      <c r="X16" s="411" t="e">
        <f>IF(V11=0,"",VLOOKUP(V11,'Tablas Magia'!$D$6:$Z$680,10,FALSE))</f>
        <v>#N/A</v>
      </c>
      <c r="Y16" s="411" t="e">
        <f>IF(V11=0,"",VLOOKUP(V11,'Tablas Magia'!$D$6:$Z$680,14,FALSE))</f>
        <v>#N/A</v>
      </c>
      <c r="Z16" s="412" t="e">
        <f>IF(V11=0,"",VLOOKUP(V11,'Tablas Magia'!$D$6:$Z$680,18,FALSE))</f>
        <v>#N/A</v>
      </c>
      <c r="AA16" s="6514" t="e">
        <f>IF(V11=0,"",VLOOKUP(V11,'Tablas Magia'!$D$6:$Z$680,22,FALSE))</f>
        <v>#N/A</v>
      </c>
      <c r="AB16" s="6515"/>
      <c r="AC16" s="6515"/>
      <c r="AD16" s="6515"/>
      <c r="AE16" s="6515"/>
      <c r="AF16" s="6515"/>
      <c r="AG16" s="6515"/>
      <c r="AH16" s="6515"/>
      <c r="AI16" s="6515"/>
      <c r="AJ16" s="6516"/>
      <c r="AK16" s="398"/>
      <c r="AL16" s="392"/>
    </row>
    <row r="17" spans="1:38" ht="12" customHeight="1" x14ac:dyDescent="0.2">
      <c r="A17" s="2505"/>
      <c r="B17" s="800"/>
      <c r="C17" s="6517" t="e">
        <f>IF(C11=0,"",VLOOKUP(C11,'Tablas Magia'!$D$6:$Z$680,23,FALSE))</f>
        <v>#N/A</v>
      </c>
      <c r="D17" s="6518"/>
      <c r="E17" s="6518"/>
      <c r="F17" s="6518"/>
      <c r="G17" s="6518"/>
      <c r="H17" s="6518"/>
      <c r="I17" s="6518"/>
      <c r="J17" s="6518"/>
      <c r="K17" s="6518"/>
      <c r="L17" s="6518"/>
      <c r="M17" s="6518"/>
      <c r="N17" s="6518"/>
      <c r="O17" s="6518"/>
      <c r="P17" s="6518"/>
      <c r="Q17" s="6519"/>
      <c r="R17" s="398"/>
      <c r="S17" s="392"/>
      <c r="T17" s="392"/>
      <c r="U17" s="800"/>
      <c r="V17" s="6517" t="e">
        <f>IF(V11=0,"",VLOOKUP(V11,'Tablas Magia'!$D$6:$Z$680,23,FALSE))</f>
        <v>#N/A</v>
      </c>
      <c r="W17" s="6518"/>
      <c r="X17" s="6518"/>
      <c r="Y17" s="6518"/>
      <c r="Z17" s="6518"/>
      <c r="AA17" s="6518"/>
      <c r="AB17" s="6518"/>
      <c r="AC17" s="6518"/>
      <c r="AD17" s="6518"/>
      <c r="AE17" s="6518"/>
      <c r="AF17" s="6518"/>
      <c r="AG17" s="6518"/>
      <c r="AH17" s="6518"/>
      <c r="AI17" s="6518"/>
      <c r="AJ17" s="6519"/>
      <c r="AK17" s="398"/>
      <c r="AL17" s="392"/>
    </row>
    <row r="18" spans="1:38" ht="12" customHeight="1" x14ac:dyDescent="0.2">
      <c r="A18" s="2505"/>
      <c r="B18" s="800"/>
      <c r="C18" s="6520"/>
      <c r="D18" s="6543"/>
      <c r="E18" s="6543"/>
      <c r="F18" s="6543"/>
      <c r="G18" s="6543"/>
      <c r="H18" s="6543"/>
      <c r="I18" s="6543"/>
      <c r="J18" s="6543"/>
      <c r="K18" s="6543"/>
      <c r="L18" s="6543"/>
      <c r="M18" s="6543"/>
      <c r="N18" s="6543"/>
      <c r="O18" s="6543"/>
      <c r="P18" s="6543"/>
      <c r="Q18" s="6522"/>
      <c r="R18" s="398"/>
      <c r="S18" s="392"/>
      <c r="T18" s="392"/>
      <c r="U18" s="800"/>
      <c r="V18" s="6520"/>
      <c r="W18" s="6521"/>
      <c r="X18" s="6521"/>
      <c r="Y18" s="6521"/>
      <c r="Z18" s="6521"/>
      <c r="AA18" s="6521"/>
      <c r="AB18" s="6521"/>
      <c r="AC18" s="6521"/>
      <c r="AD18" s="6521"/>
      <c r="AE18" s="6521"/>
      <c r="AF18" s="6521"/>
      <c r="AG18" s="6521"/>
      <c r="AH18" s="6521"/>
      <c r="AI18" s="6521"/>
      <c r="AJ18" s="6522"/>
      <c r="AK18" s="398"/>
      <c r="AL18" s="392"/>
    </row>
    <row r="19" spans="1:38" ht="12" customHeight="1" x14ac:dyDescent="0.2">
      <c r="A19" s="2505"/>
      <c r="B19" s="800"/>
      <c r="C19" s="6520"/>
      <c r="D19" s="6543"/>
      <c r="E19" s="6543"/>
      <c r="F19" s="6543"/>
      <c r="G19" s="6543"/>
      <c r="H19" s="6543"/>
      <c r="I19" s="6543"/>
      <c r="J19" s="6543"/>
      <c r="K19" s="6543"/>
      <c r="L19" s="6543"/>
      <c r="M19" s="6543"/>
      <c r="N19" s="6543"/>
      <c r="O19" s="6543"/>
      <c r="P19" s="6543"/>
      <c r="Q19" s="6522"/>
      <c r="R19" s="398"/>
      <c r="S19" s="392"/>
      <c r="T19" s="392"/>
      <c r="U19" s="800"/>
      <c r="V19" s="6520"/>
      <c r="W19" s="6521"/>
      <c r="X19" s="6521"/>
      <c r="Y19" s="6521"/>
      <c r="Z19" s="6521"/>
      <c r="AA19" s="6521"/>
      <c r="AB19" s="6521"/>
      <c r="AC19" s="6521"/>
      <c r="AD19" s="6521"/>
      <c r="AE19" s="6521"/>
      <c r="AF19" s="6521"/>
      <c r="AG19" s="6521"/>
      <c r="AH19" s="6521"/>
      <c r="AI19" s="6521"/>
      <c r="AJ19" s="6522"/>
      <c r="AK19" s="398"/>
      <c r="AL19" s="392"/>
    </row>
    <row r="20" spans="1:38" ht="12" customHeight="1" thickBot="1" x14ac:dyDescent="0.25">
      <c r="A20" s="2505"/>
      <c r="B20" s="800"/>
      <c r="C20" s="6523"/>
      <c r="D20" s="6524"/>
      <c r="E20" s="6524"/>
      <c r="F20" s="6524"/>
      <c r="G20" s="6524"/>
      <c r="H20" s="6524"/>
      <c r="I20" s="6524"/>
      <c r="J20" s="6524"/>
      <c r="K20" s="6524"/>
      <c r="L20" s="6524"/>
      <c r="M20" s="6524"/>
      <c r="N20" s="6524"/>
      <c r="O20" s="6524"/>
      <c r="P20" s="6524"/>
      <c r="Q20" s="6525"/>
      <c r="R20" s="398"/>
      <c r="S20" s="392"/>
      <c r="T20" s="392"/>
      <c r="U20" s="800"/>
      <c r="V20" s="6523"/>
      <c r="W20" s="6524"/>
      <c r="X20" s="6524"/>
      <c r="Y20" s="6524"/>
      <c r="Z20" s="6524"/>
      <c r="AA20" s="6524"/>
      <c r="AB20" s="6524"/>
      <c r="AC20" s="6524"/>
      <c r="AD20" s="6524"/>
      <c r="AE20" s="6524"/>
      <c r="AF20" s="6524"/>
      <c r="AG20" s="6524"/>
      <c r="AH20" s="6524"/>
      <c r="AI20" s="6524"/>
      <c r="AJ20" s="6525"/>
      <c r="AK20" s="398"/>
      <c r="AL20" s="392"/>
    </row>
    <row r="21" spans="1:38" ht="12" customHeight="1" thickBot="1" x14ac:dyDescent="0.25">
      <c r="A21" s="2505"/>
      <c r="B21" s="800"/>
      <c r="C21" s="2492"/>
      <c r="D21" s="2492"/>
      <c r="E21" s="2492"/>
      <c r="F21" s="2492"/>
      <c r="G21" s="2492"/>
      <c r="H21" s="2493"/>
      <c r="I21" s="2494"/>
      <c r="J21" s="2495"/>
      <c r="K21" s="2495"/>
      <c r="L21" s="2495"/>
      <c r="M21" s="2496"/>
      <c r="N21" s="2496"/>
      <c r="O21" s="2496"/>
      <c r="P21" s="2496"/>
      <c r="Q21" s="2496"/>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5"/>
      <c r="B22" s="800">
        <f>B11+2</f>
        <v>4</v>
      </c>
      <c r="C22" s="6559" t="str">
        <f>IFERROR(VLOOKUP($J$6&amp;B22,'Tablas Magia'!$B$6:$D$680,3,FALSE),IFERROR(VLOOKUP($J$8&amp;B22,'Tablas Magia'!$B$6:$D$680,3,FALSE),IFERROR(VLOOKUP($J$6&amp;B22,Místicos!$AD$12:$AJ$50,4,FALSE),"Libre Acceso 1-"&amp;ROUNDUP(B22/10,0)*10)))</f>
        <v>Libre Acceso 1-10</v>
      </c>
      <c r="D22" s="6560"/>
      <c r="E22" s="6560"/>
      <c r="F22" s="6560"/>
      <c r="G22" s="6561"/>
      <c r="H22" s="402" t="s">
        <v>1325</v>
      </c>
      <c r="I22" s="403">
        <f>B22</f>
        <v>4</v>
      </c>
      <c r="J22" s="6544" t="s">
        <v>6231</v>
      </c>
      <c r="K22" s="6544"/>
      <c r="L22" s="6544"/>
      <c r="M22" s="6529" t="e">
        <f>IF(C22=0,"",VLOOKUP(C22,'Tablas Magia'!$D$6:$Z$680,2,FALSE))</f>
        <v>#N/A</v>
      </c>
      <c r="N22" s="6529"/>
      <c r="O22" s="1705"/>
      <c r="P22" s="6550" t="str">
        <f>IFERROR(IF(M22="Libre Acceso","Aprendido",IF(IFERROR(VLOOKUP(M22,Místicos!$C$15:$H$25,6,0)&gt;=I22,FALSE),"Aprendido",IF(IFERROR(VLOOKUP(M22,Místicos!$E$15:$H$25,4,0)&gt;=I22,FALSE),"Aprendido",""))),"")</f>
        <v/>
      </c>
      <c r="Q22" s="6551"/>
      <c r="R22" s="398"/>
      <c r="S22" s="392"/>
      <c r="T22" s="392"/>
      <c r="U22" s="800">
        <f>U11+2</f>
        <v>14</v>
      </c>
      <c r="V22" s="6559" t="str">
        <f>IFERROR(VLOOKUP($J$6&amp;U22,'Tablas Magia'!$B$6:$D$680,3,FALSE),IFERROR(VLOOKUP($J$8&amp;U22,'Tablas Magia'!$B$6:$D$680,3,FALSE),IFERROR(VLOOKUP($J$6&amp;U22,Místicos!$AD$12:$AJ$50,4,FALSE),"Libre Acceso 1-"&amp;ROUNDUP(U22/10,0)*10)))</f>
        <v>Libre Acceso 1-20</v>
      </c>
      <c r="W22" s="6560"/>
      <c r="X22" s="6560"/>
      <c r="Y22" s="6560"/>
      <c r="Z22" s="6561"/>
      <c r="AA22" s="402" t="s">
        <v>1325</v>
      </c>
      <c r="AB22" s="403">
        <f>U22</f>
        <v>14</v>
      </c>
      <c r="AC22" s="6544" t="s">
        <v>6231</v>
      </c>
      <c r="AD22" s="6544"/>
      <c r="AE22" s="6544"/>
      <c r="AF22" s="6529" t="e">
        <f>IF(V22=0,"",VLOOKUP(V22,'Tablas Magia'!$D$6:$Z$680,2,FALSE))</f>
        <v>#N/A</v>
      </c>
      <c r="AG22" s="6529"/>
      <c r="AH22" s="1705"/>
      <c r="AI22" s="6550" t="str">
        <f>IFERROR(IF(AF22="Libre Acceso","Aprendido",IF(IFERROR(VLOOKUP(AF22,Místicos!$C$15:$H$25,6,0)&gt;=AB22,FALSE),"Aprendido",IF(IFERROR(VLOOKUP(AF22,Místicos!$E$15:$H$25,4,0)&gt;=AB22,FALSE),"Aprendido",""))),"")</f>
        <v/>
      </c>
      <c r="AJ22" s="6551"/>
      <c r="AK22" s="398"/>
      <c r="AL22" s="392"/>
    </row>
    <row r="23" spans="1:38" ht="12" customHeight="1" x14ac:dyDescent="0.2">
      <c r="A23" s="2505"/>
      <c r="B23" s="800"/>
      <c r="C23" s="6531" t="s">
        <v>6232</v>
      </c>
      <c r="D23" s="6545"/>
      <c r="E23" s="2487" t="s">
        <v>6233</v>
      </c>
      <c r="F23" s="2487" t="s">
        <v>1508</v>
      </c>
      <c r="G23" s="2487" t="s">
        <v>2827</v>
      </c>
      <c r="H23" s="2488" t="s">
        <v>1835</v>
      </c>
      <c r="I23" s="6553" t="e">
        <f>IF(C22=0,"",VLOOKUP(C22,'Tablas Magia'!$D$6:$Z$680,5,FALSE))</f>
        <v>#N/A</v>
      </c>
      <c r="J23" s="6553"/>
      <c r="K23" s="6556" t="s">
        <v>6234</v>
      </c>
      <c r="L23" s="6556"/>
      <c r="M23" s="6553" t="e">
        <f>IF(C22=0,"",VLOOKUP(C22,'Tablas Magia'!$D$6:$Z$680,6,FALSE))</f>
        <v>#N/A</v>
      </c>
      <c r="N23" s="6553"/>
      <c r="O23" s="6554" t="s">
        <v>6235</v>
      </c>
      <c r="P23" s="6554"/>
      <c r="Q23" s="2489" t="e">
        <f>IF(C22=0,"",VLOOKUP(C22,'Tablas Magia'!$D$6:$Z$680,4,FALSE))</f>
        <v>#N/A</v>
      </c>
      <c r="R23" s="398"/>
      <c r="S23" s="392"/>
      <c r="T23" s="392"/>
      <c r="U23" s="800"/>
      <c r="V23" s="6531" t="s">
        <v>6232</v>
      </c>
      <c r="W23" s="6562"/>
      <c r="X23" s="1714" t="s">
        <v>6233</v>
      </c>
      <c r="Y23" s="1714" t="s">
        <v>1508</v>
      </c>
      <c r="Z23" s="1714" t="s">
        <v>2827</v>
      </c>
      <c r="AA23" s="1715" t="s">
        <v>1835</v>
      </c>
      <c r="AB23" s="6549" t="e">
        <f>IF(V22=0,"",VLOOKUP(V22,'Tablas Magia'!$D$6:$Z$680,5,FALSE))</f>
        <v>#N/A</v>
      </c>
      <c r="AC23" s="6549"/>
      <c r="AD23" s="6563" t="s">
        <v>6234</v>
      </c>
      <c r="AE23" s="6563"/>
      <c r="AF23" s="6549" t="e">
        <f>IF(V22=0,"",VLOOKUP(V22,'Tablas Magia'!$D$6:$Z$680,6,FALSE))</f>
        <v>#N/A</v>
      </c>
      <c r="AG23" s="6549"/>
      <c r="AH23" s="6564" t="s">
        <v>6235</v>
      </c>
      <c r="AI23" s="6564"/>
      <c r="AJ23" s="1716" t="e">
        <f>IF(V22=0,"",VLOOKUP(V22,'Tablas Magia'!$D$6:$Z$680,4,FALSE))</f>
        <v>#N/A</v>
      </c>
      <c r="AK23" s="398"/>
      <c r="AL23" s="392"/>
    </row>
    <row r="24" spans="1:38" ht="12" customHeight="1" x14ac:dyDescent="0.2">
      <c r="A24" s="2505"/>
      <c r="B24" s="800"/>
      <c r="C24" s="6557" t="s">
        <v>1365</v>
      </c>
      <c r="D24" s="6558"/>
      <c r="E24" s="2490" t="e">
        <f>IF(C22=0,"",VLOOKUP(C22,'Tablas Magia'!$D$6:$Z$680,7,FALSE))</f>
        <v>#N/A</v>
      </c>
      <c r="F24" s="2490" t="e">
        <f>IF(C22=0,"",VLOOKUP(C22,'Tablas Magia'!$D$6:$Z$680,11,FALSE))</f>
        <v>#N/A</v>
      </c>
      <c r="G24" s="408" t="e">
        <f>IF(C22=0,"",VLOOKUP(C22,'Tablas Magia'!$D$6:$Z$680,15,FALSE))</f>
        <v>#N/A</v>
      </c>
      <c r="H24" s="6539" t="e">
        <f>IF(C22=0,"",VLOOKUP(C22,'Tablas Magia'!$D$6:$Z$680,19,FALSE))</f>
        <v>#N/A</v>
      </c>
      <c r="I24" s="6540"/>
      <c r="J24" s="6540"/>
      <c r="K24" s="6540"/>
      <c r="L24" s="6540"/>
      <c r="M24" s="6540"/>
      <c r="N24" s="6540"/>
      <c r="O24" s="6540"/>
      <c r="P24" s="6540"/>
      <c r="Q24" s="6541"/>
      <c r="R24" s="398"/>
      <c r="S24" s="392"/>
      <c r="T24" s="392"/>
      <c r="U24" s="800"/>
      <c r="V24" s="6507" t="s">
        <v>1365</v>
      </c>
      <c r="W24" s="6508"/>
      <c r="X24" s="407" t="e">
        <f>IF(V22=0,"",VLOOKUP(V22,'Tablas Magia'!$D$6:$Z$680,7,FALSE))</f>
        <v>#N/A</v>
      </c>
      <c r="Y24" s="407" t="e">
        <f>IF(V22=0,"",VLOOKUP(V22,'Tablas Magia'!$D$6:$Z$680,11,FALSE))</f>
        <v>#N/A</v>
      </c>
      <c r="Z24" s="408" t="e">
        <f>IF(V22=0,"",VLOOKUP(V22,'Tablas Magia'!$D$6:$Z$680,15,FALSE))</f>
        <v>#N/A</v>
      </c>
      <c r="AA24" s="6509" t="e">
        <f>IF(V22=0,"",VLOOKUP(V22,'Tablas Magia'!$D$6:$Z$680,19,FALSE))</f>
        <v>#N/A</v>
      </c>
      <c r="AB24" s="6510"/>
      <c r="AC24" s="6510"/>
      <c r="AD24" s="6510"/>
      <c r="AE24" s="6510"/>
      <c r="AF24" s="6510"/>
      <c r="AG24" s="6510"/>
      <c r="AH24" s="6510"/>
      <c r="AI24" s="6510"/>
      <c r="AJ24" s="6511"/>
      <c r="AK24" s="398"/>
      <c r="AL24" s="392"/>
    </row>
    <row r="25" spans="1:38" ht="12" customHeight="1" x14ac:dyDescent="0.2">
      <c r="A25" s="2505"/>
      <c r="B25" s="800"/>
      <c r="C25" s="6502" t="s">
        <v>3196</v>
      </c>
      <c r="D25" s="6503"/>
      <c r="E25" s="2491" t="e">
        <f>IF(C22=0,"",VLOOKUP(C22,'Tablas Magia'!$D$6:$Z$680,8,FALSE))</f>
        <v>#N/A</v>
      </c>
      <c r="F25" s="2491" t="e">
        <f>IF(C22=0,"",VLOOKUP(C22,'Tablas Magia'!$D$6:$Z$680,12,FALSE))</f>
        <v>#N/A</v>
      </c>
      <c r="G25" s="410" t="e">
        <f>IF(C22=0,"",VLOOKUP(C22,'Tablas Magia'!$D$6:$Z$680,16,FALSE))</f>
        <v>#N/A</v>
      </c>
      <c r="H25" s="6504" t="e">
        <f>IF(C22=0,"",VLOOKUP(C22,'Tablas Magia'!$D$6:$Z$680,20,FALSE))</f>
        <v>#N/A</v>
      </c>
      <c r="I25" s="6542"/>
      <c r="J25" s="6542"/>
      <c r="K25" s="6542"/>
      <c r="L25" s="6542"/>
      <c r="M25" s="6542"/>
      <c r="N25" s="6542"/>
      <c r="O25" s="6542"/>
      <c r="P25" s="6542"/>
      <c r="Q25" s="6506"/>
      <c r="R25" s="398"/>
      <c r="S25" s="392"/>
      <c r="T25" s="392"/>
      <c r="U25" s="800"/>
      <c r="V25" s="6502" t="s">
        <v>3196</v>
      </c>
      <c r="W25" s="6503"/>
      <c r="X25" s="409" t="e">
        <f>IF(V22=0,"",VLOOKUP(V22,'Tablas Magia'!$D$6:$Z$680,8,FALSE))</f>
        <v>#N/A</v>
      </c>
      <c r="Y25" s="409" t="e">
        <f>IF(V22=0,"",VLOOKUP(V22,'Tablas Magia'!$D$6:$Z$680,12,FALSE))</f>
        <v>#N/A</v>
      </c>
      <c r="Z25" s="410" t="e">
        <f>IF(V22=0,"",VLOOKUP(V22,'Tablas Magia'!$D$6:$Z$680,16,FALSE))</f>
        <v>#N/A</v>
      </c>
      <c r="AA25" s="6504" t="e">
        <f>IF(V22=0,"",VLOOKUP(V22,'Tablas Magia'!$D$6:$Z$680,20,FALSE))</f>
        <v>#N/A</v>
      </c>
      <c r="AB25" s="6505"/>
      <c r="AC25" s="6505"/>
      <c r="AD25" s="6505"/>
      <c r="AE25" s="6505"/>
      <c r="AF25" s="6505"/>
      <c r="AG25" s="6505"/>
      <c r="AH25" s="6505"/>
      <c r="AI25" s="6505"/>
      <c r="AJ25" s="6506"/>
      <c r="AK25" s="398"/>
      <c r="AL25" s="392"/>
    </row>
    <row r="26" spans="1:38" ht="12" customHeight="1" x14ac:dyDescent="0.2">
      <c r="A26" s="2505"/>
      <c r="B26" s="800"/>
      <c r="C26" s="6507" t="s">
        <v>3197</v>
      </c>
      <c r="D26" s="6508"/>
      <c r="E26" s="2490" t="e">
        <f>IF(C22=0,"",VLOOKUP(C22,'Tablas Magia'!$D$6:$Z$680,9,FALSE))</f>
        <v>#N/A</v>
      </c>
      <c r="F26" s="2490" t="e">
        <f>IF(C22=0,"",VLOOKUP(C22,'Tablas Magia'!$D$6:$Z$680,13,FALSE))</f>
        <v>#N/A</v>
      </c>
      <c r="G26" s="408" t="e">
        <f>IF(C22=0,"",VLOOKUP(C22,'Tablas Magia'!$D$6:$Z$680,17,FALSE))</f>
        <v>#N/A</v>
      </c>
      <c r="H26" s="6509" t="e">
        <f>IF(C22=0,"",VLOOKUP(C22,'Tablas Magia'!$D$6:$Z$680,21,FALSE))</f>
        <v>#N/A</v>
      </c>
      <c r="I26" s="6552"/>
      <c r="J26" s="6552"/>
      <c r="K26" s="6552"/>
      <c r="L26" s="6552"/>
      <c r="M26" s="6552"/>
      <c r="N26" s="6552"/>
      <c r="O26" s="6552"/>
      <c r="P26" s="6552"/>
      <c r="Q26" s="6511"/>
      <c r="R26" s="398"/>
      <c r="S26" s="392"/>
      <c r="T26" s="392"/>
      <c r="U26" s="800"/>
      <c r="V26" s="6507" t="s">
        <v>3197</v>
      </c>
      <c r="W26" s="6508"/>
      <c r="X26" s="407" t="e">
        <f>IF(V22=0,"",VLOOKUP(V22,'Tablas Magia'!$D$6:$Z$680,9,FALSE))</f>
        <v>#N/A</v>
      </c>
      <c r="Y26" s="407" t="e">
        <f>IF(V22=0,"",VLOOKUP(V22,'Tablas Magia'!$D$6:$Z$680,13,FALSE))</f>
        <v>#N/A</v>
      </c>
      <c r="Z26" s="408" t="e">
        <f>IF(V22=0,"",VLOOKUP(V22,'Tablas Magia'!$D$6:$Z$680,17,FALSE))</f>
        <v>#N/A</v>
      </c>
      <c r="AA26" s="6509" t="e">
        <f>IF(V22=0,"",VLOOKUP(V22,'Tablas Magia'!$D$6:$Z$680,21,FALSE))</f>
        <v>#N/A</v>
      </c>
      <c r="AB26" s="6510"/>
      <c r="AC26" s="6510"/>
      <c r="AD26" s="6510"/>
      <c r="AE26" s="6510"/>
      <c r="AF26" s="6510"/>
      <c r="AG26" s="6510"/>
      <c r="AH26" s="6510"/>
      <c r="AI26" s="6510"/>
      <c r="AJ26" s="6511"/>
      <c r="AK26" s="398"/>
      <c r="AL26" s="392"/>
    </row>
    <row r="27" spans="1:38" ht="12" customHeight="1" thickBot="1" x14ac:dyDescent="0.25">
      <c r="A27" s="2505"/>
      <c r="B27" s="800"/>
      <c r="C27" s="6512" t="s">
        <v>3198</v>
      </c>
      <c r="D27" s="6513"/>
      <c r="E27" s="411" t="e">
        <f>IF(C22=0,"",VLOOKUP(C22,'Tablas Magia'!$D$6:$Z$680,10,FALSE))</f>
        <v>#N/A</v>
      </c>
      <c r="F27" s="411" t="e">
        <f>IF(C22=0,"",VLOOKUP(C22,'Tablas Magia'!$D$6:$Z$680,14,FALSE))</f>
        <v>#N/A</v>
      </c>
      <c r="G27" s="412" t="e">
        <f>IF(C22=0,"",VLOOKUP(C22,'Tablas Magia'!$D$6:$Z$680,18,FALSE))</f>
        <v>#N/A</v>
      </c>
      <c r="H27" s="6514" t="e">
        <f>IF(C22=0,"",VLOOKUP(C22,'Tablas Magia'!$D$6:$Z$680,22,FALSE))</f>
        <v>#N/A</v>
      </c>
      <c r="I27" s="6515"/>
      <c r="J27" s="6515"/>
      <c r="K27" s="6515"/>
      <c r="L27" s="6515"/>
      <c r="M27" s="6515"/>
      <c r="N27" s="6515"/>
      <c r="O27" s="6515"/>
      <c r="P27" s="6515"/>
      <c r="Q27" s="6516"/>
      <c r="R27" s="398"/>
      <c r="S27" s="392"/>
      <c r="T27" s="392"/>
      <c r="U27" s="800"/>
      <c r="V27" s="6512" t="s">
        <v>3198</v>
      </c>
      <c r="W27" s="6513"/>
      <c r="X27" s="411" t="e">
        <f>IF(V22=0,"",VLOOKUP(V22,'Tablas Magia'!$D$6:$Z$680,10,FALSE))</f>
        <v>#N/A</v>
      </c>
      <c r="Y27" s="411" t="e">
        <f>IF(V22=0,"",VLOOKUP(V22,'Tablas Magia'!$D$6:$Z$680,14,FALSE))</f>
        <v>#N/A</v>
      </c>
      <c r="Z27" s="412" t="e">
        <f>IF(V22=0,"",VLOOKUP(V22,'Tablas Magia'!$D$6:$Z$680,18,FALSE))</f>
        <v>#N/A</v>
      </c>
      <c r="AA27" s="6514" t="e">
        <f>IF(V22=0,"",VLOOKUP(V22,'Tablas Magia'!$D$6:$Z$680,22,FALSE))</f>
        <v>#N/A</v>
      </c>
      <c r="AB27" s="6515"/>
      <c r="AC27" s="6515"/>
      <c r="AD27" s="6515"/>
      <c r="AE27" s="6515"/>
      <c r="AF27" s="6515"/>
      <c r="AG27" s="6515"/>
      <c r="AH27" s="6515"/>
      <c r="AI27" s="6515"/>
      <c r="AJ27" s="6516"/>
      <c r="AK27" s="398"/>
      <c r="AL27" s="392"/>
    </row>
    <row r="28" spans="1:38" ht="12" customHeight="1" x14ac:dyDescent="0.2">
      <c r="A28" s="2505"/>
      <c r="B28" s="800"/>
      <c r="C28" s="6517" t="e">
        <f>IF(C22=0,"",VLOOKUP(C22,'Tablas Magia'!$D$6:$Z$680,23,FALSE))</f>
        <v>#N/A</v>
      </c>
      <c r="D28" s="6518"/>
      <c r="E28" s="6518"/>
      <c r="F28" s="6518"/>
      <c r="G28" s="6518"/>
      <c r="H28" s="6518"/>
      <c r="I28" s="6518"/>
      <c r="J28" s="6518"/>
      <c r="K28" s="6518"/>
      <c r="L28" s="6518"/>
      <c r="M28" s="6518"/>
      <c r="N28" s="6518"/>
      <c r="O28" s="6518"/>
      <c r="P28" s="6518"/>
      <c r="Q28" s="6519"/>
      <c r="R28" s="398"/>
      <c r="S28" s="392"/>
      <c r="T28" s="392"/>
      <c r="U28" s="800"/>
      <c r="V28" s="6517" t="e">
        <f>IF(V22=0,"",VLOOKUP(V22,'Tablas Magia'!$D$6:$Z$680,23,FALSE))</f>
        <v>#N/A</v>
      </c>
      <c r="W28" s="6518"/>
      <c r="X28" s="6518"/>
      <c r="Y28" s="6518"/>
      <c r="Z28" s="6518"/>
      <c r="AA28" s="6518"/>
      <c r="AB28" s="6518"/>
      <c r="AC28" s="6518"/>
      <c r="AD28" s="6518"/>
      <c r="AE28" s="6518"/>
      <c r="AF28" s="6518"/>
      <c r="AG28" s="6518"/>
      <c r="AH28" s="6518"/>
      <c r="AI28" s="6518"/>
      <c r="AJ28" s="6519"/>
      <c r="AK28" s="398"/>
      <c r="AL28" s="392"/>
    </row>
    <row r="29" spans="1:38" ht="12" customHeight="1" x14ac:dyDescent="0.2">
      <c r="A29" s="2505"/>
      <c r="B29" s="800"/>
      <c r="C29" s="6520"/>
      <c r="D29" s="6543"/>
      <c r="E29" s="6543"/>
      <c r="F29" s="6543"/>
      <c r="G29" s="6543"/>
      <c r="H29" s="6543"/>
      <c r="I29" s="6543"/>
      <c r="J29" s="6543"/>
      <c r="K29" s="6543"/>
      <c r="L29" s="6543"/>
      <c r="M29" s="6543"/>
      <c r="N29" s="6543"/>
      <c r="O29" s="6543"/>
      <c r="P29" s="6543"/>
      <c r="Q29" s="6522"/>
      <c r="R29" s="398"/>
      <c r="S29" s="392"/>
      <c r="T29" s="392"/>
      <c r="U29" s="800"/>
      <c r="V29" s="6520"/>
      <c r="W29" s="6521"/>
      <c r="X29" s="6521"/>
      <c r="Y29" s="6521"/>
      <c r="Z29" s="6521"/>
      <c r="AA29" s="6521"/>
      <c r="AB29" s="6521"/>
      <c r="AC29" s="6521"/>
      <c r="AD29" s="6521"/>
      <c r="AE29" s="6521"/>
      <c r="AF29" s="6521"/>
      <c r="AG29" s="6521"/>
      <c r="AH29" s="6521"/>
      <c r="AI29" s="6521"/>
      <c r="AJ29" s="6522"/>
      <c r="AK29" s="398"/>
      <c r="AL29" s="392"/>
    </row>
    <row r="30" spans="1:38" ht="12" customHeight="1" x14ac:dyDescent="0.2">
      <c r="A30" s="2505"/>
      <c r="B30" s="800"/>
      <c r="C30" s="6520"/>
      <c r="D30" s="6543"/>
      <c r="E30" s="6543"/>
      <c r="F30" s="6543"/>
      <c r="G30" s="6543"/>
      <c r="H30" s="6543"/>
      <c r="I30" s="6543"/>
      <c r="J30" s="6543"/>
      <c r="K30" s="6543"/>
      <c r="L30" s="6543"/>
      <c r="M30" s="6543"/>
      <c r="N30" s="6543"/>
      <c r="O30" s="6543"/>
      <c r="P30" s="6543"/>
      <c r="Q30" s="6522"/>
      <c r="R30" s="398"/>
      <c r="S30" s="392"/>
      <c r="T30" s="392"/>
      <c r="U30" s="800"/>
      <c r="V30" s="6520"/>
      <c r="W30" s="6521"/>
      <c r="X30" s="6521"/>
      <c r="Y30" s="6521"/>
      <c r="Z30" s="6521"/>
      <c r="AA30" s="6521"/>
      <c r="AB30" s="6521"/>
      <c r="AC30" s="6521"/>
      <c r="AD30" s="6521"/>
      <c r="AE30" s="6521"/>
      <c r="AF30" s="6521"/>
      <c r="AG30" s="6521"/>
      <c r="AH30" s="6521"/>
      <c r="AI30" s="6521"/>
      <c r="AJ30" s="6522"/>
      <c r="AK30" s="398"/>
      <c r="AL30" s="392"/>
    </row>
    <row r="31" spans="1:38" ht="12" customHeight="1" thickBot="1" x14ac:dyDescent="0.25">
      <c r="A31" s="2505"/>
      <c r="B31" s="800"/>
      <c r="C31" s="6523"/>
      <c r="D31" s="6524"/>
      <c r="E31" s="6524"/>
      <c r="F31" s="6524"/>
      <c r="G31" s="6524"/>
      <c r="H31" s="6524"/>
      <c r="I31" s="6524"/>
      <c r="J31" s="6524"/>
      <c r="K31" s="6524"/>
      <c r="L31" s="6524"/>
      <c r="M31" s="6524"/>
      <c r="N31" s="6524"/>
      <c r="O31" s="6524"/>
      <c r="P31" s="6524"/>
      <c r="Q31" s="6525"/>
      <c r="R31" s="398"/>
      <c r="S31" s="392"/>
      <c r="T31" s="392"/>
      <c r="U31" s="800"/>
      <c r="V31" s="6523"/>
      <c r="W31" s="6524"/>
      <c r="X31" s="6524"/>
      <c r="Y31" s="6524"/>
      <c r="Z31" s="6524"/>
      <c r="AA31" s="6524"/>
      <c r="AB31" s="6524"/>
      <c r="AC31" s="6524"/>
      <c r="AD31" s="6524"/>
      <c r="AE31" s="6524"/>
      <c r="AF31" s="6524"/>
      <c r="AG31" s="6524"/>
      <c r="AH31" s="6524"/>
      <c r="AI31" s="6524"/>
      <c r="AJ31" s="6525"/>
      <c r="AK31" s="398"/>
      <c r="AL31" s="392"/>
    </row>
    <row r="32" spans="1:38" ht="12" customHeight="1" thickBot="1" x14ac:dyDescent="0.25">
      <c r="A32" s="2505"/>
      <c r="B32" s="800"/>
      <c r="C32" s="2495"/>
      <c r="D32" s="2495"/>
      <c r="E32" s="2497"/>
      <c r="F32" s="2497"/>
      <c r="G32" s="2497"/>
      <c r="H32" s="2495"/>
      <c r="I32" s="2496"/>
      <c r="J32" s="2496"/>
      <c r="K32" s="2495"/>
      <c r="L32" s="2495"/>
      <c r="M32" s="2496"/>
      <c r="N32" s="2496"/>
      <c r="O32" s="2498"/>
      <c r="P32" s="2498"/>
      <c r="Q32" s="2496"/>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5"/>
      <c r="B33" s="800">
        <f>B22+2</f>
        <v>6</v>
      </c>
      <c r="C33" s="6559" t="str">
        <f>IFERROR(VLOOKUP($J$6&amp;B33,'Tablas Magia'!$B$6:$D$680,3,FALSE),IFERROR(VLOOKUP($J$8&amp;B33,'Tablas Magia'!$B$6:$D$680,3,FALSE),IFERROR(VLOOKUP($J$6&amp;B33,Místicos!$AD$12:$AJ$50,4,FALSE),"Libre Acceso 1-"&amp;ROUNDUP(B33/10,0)*10)))</f>
        <v>Libre Acceso 1-10</v>
      </c>
      <c r="D33" s="6560"/>
      <c r="E33" s="6560"/>
      <c r="F33" s="6560"/>
      <c r="G33" s="6561"/>
      <c r="H33" s="402" t="s">
        <v>1325</v>
      </c>
      <c r="I33" s="403">
        <f>B33</f>
        <v>6</v>
      </c>
      <c r="J33" s="6544" t="s">
        <v>6231</v>
      </c>
      <c r="K33" s="6544"/>
      <c r="L33" s="6544"/>
      <c r="M33" s="6529" t="e">
        <f>IF(C33=0,"",VLOOKUP(C33,'Tablas Magia'!$D$6:$Z$680,2,FALSE))</f>
        <v>#N/A</v>
      </c>
      <c r="N33" s="6529"/>
      <c r="O33" s="1705"/>
      <c r="P33" s="6550" t="str">
        <f>IFERROR(IF(M33="Libre Acceso","Aprendido",IF(IFERROR(VLOOKUP(M33,Místicos!$C$15:$H$25,6,0)&gt;=I33,FALSE),"Aprendido",IF(IFERROR(VLOOKUP(M33,Místicos!$E$15:$H$25,4,0)&gt;=I33,FALSE),"Aprendido",""))),"")</f>
        <v/>
      </c>
      <c r="Q33" s="6551"/>
      <c r="R33" s="398"/>
      <c r="S33" s="392"/>
      <c r="T33" s="392"/>
      <c r="U33" s="800">
        <f>U22+2</f>
        <v>16</v>
      </c>
      <c r="V33" s="6559" t="str">
        <f>IFERROR(VLOOKUP($J$6&amp;U33,'Tablas Magia'!$B$6:$D$680,3,FALSE),IFERROR(VLOOKUP($J$8&amp;U33,'Tablas Magia'!$B$6:$D$680,3,FALSE),IFERROR(VLOOKUP($J$6&amp;U33,Místicos!$AD$12:$AJ$50,4,FALSE),"Libre Acceso 1-"&amp;ROUNDUP(U33/10,0)*10)))</f>
        <v>Libre Acceso 1-20</v>
      </c>
      <c r="W33" s="6560"/>
      <c r="X33" s="6560"/>
      <c r="Y33" s="6560"/>
      <c r="Z33" s="6561"/>
      <c r="AA33" s="402" t="s">
        <v>1325</v>
      </c>
      <c r="AB33" s="403">
        <f>U33</f>
        <v>16</v>
      </c>
      <c r="AC33" s="6544" t="s">
        <v>6231</v>
      </c>
      <c r="AD33" s="6544"/>
      <c r="AE33" s="6544"/>
      <c r="AF33" s="6529" t="e">
        <f>IF(V33=0,"",VLOOKUP(V33,'Tablas Magia'!$D$6:$Z$680,2,FALSE))</f>
        <v>#N/A</v>
      </c>
      <c r="AG33" s="6529"/>
      <c r="AH33" s="1705"/>
      <c r="AI33" s="6550" t="str">
        <f>IFERROR(IF(AF33="Libre Acceso","Aprendido",IF(IFERROR(VLOOKUP(AF33,Místicos!$C$15:$H$25,6,0)&gt;=AB33,FALSE),"Aprendido",IF(IFERROR(VLOOKUP(AF33,Místicos!$E$15:$H$25,4,0)&gt;=AB33,FALSE),"Aprendido",""))),"")</f>
        <v/>
      </c>
      <c r="AJ33" s="6551"/>
      <c r="AK33" s="398"/>
      <c r="AL33" s="392"/>
    </row>
    <row r="34" spans="1:38" ht="12" customHeight="1" x14ac:dyDescent="0.2">
      <c r="A34" s="2505"/>
      <c r="B34" s="800"/>
      <c r="C34" s="6531" t="s">
        <v>6232</v>
      </c>
      <c r="D34" s="6545"/>
      <c r="E34" s="2487" t="s">
        <v>6233</v>
      </c>
      <c r="F34" s="2487" t="s">
        <v>1508</v>
      </c>
      <c r="G34" s="2487" t="s">
        <v>2827</v>
      </c>
      <c r="H34" s="2488" t="s">
        <v>1835</v>
      </c>
      <c r="I34" s="6553" t="e">
        <f>IF(C33=0,"",VLOOKUP(C33,'Tablas Magia'!$D$6:$Z$680,5,FALSE))</f>
        <v>#N/A</v>
      </c>
      <c r="J34" s="6553"/>
      <c r="K34" s="6556" t="s">
        <v>6234</v>
      </c>
      <c r="L34" s="6556"/>
      <c r="M34" s="6553" t="e">
        <f>IF(C33=0,"",VLOOKUP(C33,'Tablas Magia'!$D$6:$Z$680,6,FALSE))</f>
        <v>#N/A</v>
      </c>
      <c r="N34" s="6553"/>
      <c r="O34" s="6554" t="s">
        <v>6235</v>
      </c>
      <c r="P34" s="6554"/>
      <c r="Q34" s="2489" t="e">
        <f>IF(C33=0,"",VLOOKUP(C33,'Tablas Magia'!$D$6:$Z$680,4,FALSE))</f>
        <v>#N/A</v>
      </c>
      <c r="R34" s="398"/>
      <c r="S34" s="392"/>
      <c r="T34" s="392"/>
      <c r="U34" s="800"/>
      <c r="V34" s="6531" t="s">
        <v>6232</v>
      </c>
      <c r="W34" s="6562"/>
      <c r="X34" s="1714" t="s">
        <v>6233</v>
      </c>
      <c r="Y34" s="1714" t="s">
        <v>1508</v>
      </c>
      <c r="Z34" s="1714" t="s">
        <v>2827</v>
      </c>
      <c r="AA34" s="1715" t="s">
        <v>1835</v>
      </c>
      <c r="AB34" s="6549" t="e">
        <f>IF(V33=0,"",VLOOKUP(V33,'Tablas Magia'!$D$6:$Z$680,5,FALSE))</f>
        <v>#N/A</v>
      </c>
      <c r="AC34" s="6549"/>
      <c r="AD34" s="6563" t="s">
        <v>6234</v>
      </c>
      <c r="AE34" s="6563"/>
      <c r="AF34" s="6549" t="e">
        <f>IF(V33=0,"",VLOOKUP(V33,'Tablas Magia'!$D$6:$Z$680,6,FALSE))</f>
        <v>#N/A</v>
      </c>
      <c r="AG34" s="6549"/>
      <c r="AH34" s="6564" t="s">
        <v>6235</v>
      </c>
      <c r="AI34" s="6564"/>
      <c r="AJ34" s="1716" t="e">
        <f>IF(V33=0,"",VLOOKUP(V33,'Tablas Magia'!$D$6:$Z$680,4,FALSE))</f>
        <v>#N/A</v>
      </c>
      <c r="AK34" s="398"/>
      <c r="AL34" s="392"/>
    </row>
    <row r="35" spans="1:38" ht="12" customHeight="1" x14ac:dyDescent="0.2">
      <c r="A35" s="2505"/>
      <c r="B35" s="800"/>
      <c r="C35" s="6557" t="s">
        <v>1365</v>
      </c>
      <c r="D35" s="6558"/>
      <c r="E35" s="2490" t="e">
        <f>IF(C33=0,"",VLOOKUP(C33,'Tablas Magia'!$D$6:$Z$680,7,FALSE))</f>
        <v>#N/A</v>
      </c>
      <c r="F35" s="2490" t="e">
        <f>IF(C33=0,"",VLOOKUP(C33,'Tablas Magia'!$D$6:$Z$680,11,FALSE))</f>
        <v>#N/A</v>
      </c>
      <c r="G35" s="408" t="e">
        <f>IF(C33=0,"",VLOOKUP(C33,'Tablas Magia'!$D$6:$Z$680,15,FALSE))</f>
        <v>#N/A</v>
      </c>
      <c r="H35" s="6539" t="e">
        <f>IF(C33=0,"",VLOOKUP(C33,'Tablas Magia'!$D$6:$Z$680,19,FALSE))</f>
        <v>#N/A</v>
      </c>
      <c r="I35" s="6540"/>
      <c r="J35" s="6540"/>
      <c r="K35" s="6540"/>
      <c r="L35" s="6540"/>
      <c r="M35" s="6540"/>
      <c r="N35" s="6540"/>
      <c r="O35" s="6540"/>
      <c r="P35" s="6540"/>
      <c r="Q35" s="6541"/>
      <c r="R35" s="398"/>
      <c r="S35" s="392"/>
      <c r="T35" s="392"/>
      <c r="U35" s="800"/>
      <c r="V35" s="6507" t="s">
        <v>1365</v>
      </c>
      <c r="W35" s="6508"/>
      <c r="X35" s="407" t="e">
        <f>IF(V33=0,"",VLOOKUP(V33,'Tablas Magia'!$D$6:$Z$680,7,FALSE))</f>
        <v>#N/A</v>
      </c>
      <c r="Y35" s="407" t="e">
        <f>IF(V33=0,"",VLOOKUP(V33,'Tablas Magia'!$D$6:$Z$680,11,FALSE))</f>
        <v>#N/A</v>
      </c>
      <c r="Z35" s="408" t="e">
        <f>IF(V33=0,"",VLOOKUP(V33,'Tablas Magia'!$D$6:$Z$680,15,FALSE))</f>
        <v>#N/A</v>
      </c>
      <c r="AA35" s="6509" t="e">
        <f>IF(V33=0,"",VLOOKUP(V33,'Tablas Magia'!$D$6:$Z$680,19,FALSE))</f>
        <v>#N/A</v>
      </c>
      <c r="AB35" s="6510"/>
      <c r="AC35" s="6510"/>
      <c r="AD35" s="6510"/>
      <c r="AE35" s="6510"/>
      <c r="AF35" s="6510"/>
      <c r="AG35" s="6510"/>
      <c r="AH35" s="6510"/>
      <c r="AI35" s="6510"/>
      <c r="AJ35" s="6511"/>
      <c r="AK35" s="398"/>
      <c r="AL35" s="392"/>
    </row>
    <row r="36" spans="1:38" ht="12" customHeight="1" x14ac:dyDescent="0.2">
      <c r="A36" s="2505"/>
      <c r="B36" s="800"/>
      <c r="C36" s="6502" t="s">
        <v>3196</v>
      </c>
      <c r="D36" s="6503"/>
      <c r="E36" s="2491" t="e">
        <f>IF(C33=0,"",VLOOKUP(C33,'Tablas Magia'!$D$6:$Z$680,8,FALSE))</f>
        <v>#N/A</v>
      </c>
      <c r="F36" s="2491" t="e">
        <f>IF(C33=0,"",VLOOKUP(C33,'Tablas Magia'!$D$6:$Z$680,12,FALSE))</f>
        <v>#N/A</v>
      </c>
      <c r="G36" s="410" t="e">
        <f>IF(C33=0,"",VLOOKUP(C33,'Tablas Magia'!$D$6:$Z$680,16,FALSE))</f>
        <v>#N/A</v>
      </c>
      <c r="H36" s="6504" t="e">
        <f>IF(C33=0,"",VLOOKUP(C33,'Tablas Magia'!$D$6:$Z$680,20,FALSE))</f>
        <v>#N/A</v>
      </c>
      <c r="I36" s="6542"/>
      <c r="J36" s="6542"/>
      <c r="K36" s="6542"/>
      <c r="L36" s="6542"/>
      <c r="M36" s="6542"/>
      <c r="N36" s="6542"/>
      <c r="O36" s="6542"/>
      <c r="P36" s="6542"/>
      <c r="Q36" s="6506"/>
      <c r="R36" s="398"/>
      <c r="S36" s="392"/>
      <c r="T36" s="392"/>
      <c r="U36" s="800"/>
      <c r="V36" s="6502" t="s">
        <v>3196</v>
      </c>
      <c r="W36" s="6503"/>
      <c r="X36" s="409" t="e">
        <f>IF(V33=0,"",VLOOKUP(V33,'Tablas Magia'!$D$6:$Z$680,8,FALSE))</f>
        <v>#N/A</v>
      </c>
      <c r="Y36" s="409" t="e">
        <f>IF(V33=0,"",VLOOKUP(V33,'Tablas Magia'!$D$6:$Z$680,12,FALSE))</f>
        <v>#N/A</v>
      </c>
      <c r="Z36" s="410" t="e">
        <f>IF(V33=0,"",VLOOKUP(V33,'Tablas Magia'!$D$6:$Z$680,16,FALSE))</f>
        <v>#N/A</v>
      </c>
      <c r="AA36" s="6504" t="e">
        <f>IF(V33=0,"",VLOOKUP(V33,'Tablas Magia'!$D$6:$Z$680,20,FALSE))</f>
        <v>#N/A</v>
      </c>
      <c r="AB36" s="6505"/>
      <c r="AC36" s="6505"/>
      <c r="AD36" s="6505"/>
      <c r="AE36" s="6505"/>
      <c r="AF36" s="6505"/>
      <c r="AG36" s="6505"/>
      <c r="AH36" s="6505"/>
      <c r="AI36" s="6505"/>
      <c r="AJ36" s="6506"/>
      <c r="AK36" s="398"/>
      <c r="AL36" s="392"/>
    </row>
    <row r="37" spans="1:38" ht="12" customHeight="1" x14ac:dyDescent="0.2">
      <c r="A37" s="2505"/>
      <c r="B37" s="800"/>
      <c r="C37" s="6507" t="s">
        <v>3197</v>
      </c>
      <c r="D37" s="6508"/>
      <c r="E37" s="2490" t="e">
        <f>IF(C33=0,"",VLOOKUP(C33,'Tablas Magia'!$D$6:$Z$680,9,FALSE))</f>
        <v>#N/A</v>
      </c>
      <c r="F37" s="2490" t="e">
        <f>IF(C33=0,"",VLOOKUP(C33,'Tablas Magia'!$D$6:$Z$680,13,FALSE))</f>
        <v>#N/A</v>
      </c>
      <c r="G37" s="408" t="e">
        <f>IF(C33=0,"",VLOOKUP(C33,'Tablas Magia'!$D$6:$Z$680,17,FALSE))</f>
        <v>#N/A</v>
      </c>
      <c r="H37" s="6509" t="e">
        <f>IF(C33=0,"",VLOOKUP(C33,'Tablas Magia'!$D$6:$Z$680,21,FALSE))</f>
        <v>#N/A</v>
      </c>
      <c r="I37" s="6552"/>
      <c r="J37" s="6552"/>
      <c r="K37" s="6552"/>
      <c r="L37" s="6552"/>
      <c r="M37" s="6552"/>
      <c r="N37" s="6552"/>
      <c r="O37" s="6552"/>
      <c r="P37" s="6552"/>
      <c r="Q37" s="6511"/>
      <c r="R37" s="398"/>
      <c r="S37" s="392"/>
      <c r="T37" s="392"/>
      <c r="U37" s="800"/>
      <c r="V37" s="6507" t="s">
        <v>3197</v>
      </c>
      <c r="W37" s="6508"/>
      <c r="X37" s="407" t="e">
        <f>IF(V33=0,"",VLOOKUP(V33,'Tablas Magia'!$D$6:$Z$680,9,FALSE))</f>
        <v>#N/A</v>
      </c>
      <c r="Y37" s="407" t="e">
        <f>IF(V33=0,"",VLOOKUP(V33,'Tablas Magia'!$D$6:$Z$680,13,FALSE))</f>
        <v>#N/A</v>
      </c>
      <c r="Z37" s="408" t="e">
        <f>IF(V33=0,"",VLOOKUP(V33,'Tablas Magia'!$D$6:$Z$680,17,FALSE))</f>
        <v>#N/A</v>
      </c>
      <c r="AA37" s="6509" t="e">
        <f>IF(V33=0,"",VLOOKUP(V33,'Tablas Magia'!$D$6:$Z$680,21,FALSE))</f>
        <v>#N/A</v>
      </c>
      <c r="AB37" s="6510"/>
      <c r="AC37" s="6510"/>
      <c r="AD37" s="6510"/>
      <c r="AE37" s="6510"/>
      <c r="AF37" s="6510"/>
      <c r="AG37" s="6510"/>
      <c r="AH37" s="6510"/>
      <c r="AI37" s="6510"/>
      <c r="AJ37" s="6511"/>
      <c r="AK37" s="398"/>
      <c r="AL37" s="392"/>
    </row>
    <row r="38" spans="1:38" ht="12" customHeight="1" thickBot="1" x14ac:dyDescent="0.25">
      <c r="A38" s="2505"/>
      <c r="B38" s="800"/>
      <c r="C38" s="6512" t="s">
        <v>3198</v>
      </c>
      <c r="D38" s="6513"/>
      <c r="E38" s="411" t="e">
        <f>IF(C33=0,"",VLOOKUP(C33,'Tablas Magia'!$D$6:$Z$680,10,FALSE))</f>
        <v>#N/A</v>
      </c>
      <c r="F38" s="411" t="e">
        <f>IF(C33=0,"",VLOOKUP(C33,'Tablas Magia'!$D$6:$Z$680,14,FALSE))</f>
        <v>#N/A</v>
      </c>
      <c r="G38" s="412" t="e">
        <f>IF(C33=0,"",VLOOKUP(C33,'Tablas Magia'!$D$6:$Z$680,18,FALSE))</f>
        <v>#N/A</v>
      </c>
      <c r="H38" s="6514" t="e">
        <f>IF(C33=0,"",VLOOKUP(C33,'Tablas Magia'!$D$6:$Z$680,22,FALSE))</f>
        <v>#N/A</v>
      </c>
      <c r="I38" s="6515"/>
      <c r="J38" s="6515"/>
      <c r="K38" s="6515"/>
      <c r="L38" s="6515"/>
      <c r="M38" s="6515"/>
      <c r="N38" s="6515"/>
      <c r="O38" s="6515"/>
      <c r="P38" s="6515"/>
      <c r="Q38" s="6516"/>
      <c r="R38" s="398"/>
      <c r="S38" s="392"/>
      <c r="T38" s="392"/>
      <c r="U38" s="800"/>
      <c r="V38" s="6512" t="s">
        <v>3198</v>
      </c>
      <c r="W38" s="6513"/>
      <c r="X38" s="411" t="e">
        <f>IF(V33=0,"",VLOOKUP(V33,'Tablas Magia'!$D$6:$Z$680,10,FALSE))</f>
        <v>#N/A</v>
      </c>
      <c r="Y38" s="411" t="e">
        <f>IF(V33=0,"",VLOOKUP(V33,'Tablas Magia'!$D$6:$Z$680,14,FALSE))</f>
        <v>#N/A</v>
      </c>
      <c r="Z38" s="412" t="e">
        <f>IF(V33=0,"",VLOOKUP(V33,'Tablas Magia'!$D$6:$Z$680,18,FALSE))</f>
        <v>#N/A</v>
      </c>
      <c r="AA38" s="6514" t="e">
        <f>IF(V33=0,"",VLOOKUP(V33,'Tablas Magia'!$D$6:$Z$680,22,FALSE))</f>
        <v>#N/A</v>
      </c>
      <c r="AB38" s="6515"/>
      <c r="AC38" s="6515"/>
      <c r="AD38" s="6515"/>
      <c r="AE38" s="6515"/>
      <c r="AF38" s="6515"/>
      <c r="AG38" s="6515"/>
      <c r="AH38" s="6515"/>
      <c r="AI38" s="6515"/>
      <c r="AJ38" s="6516"/>
      <c r="AK38" s="398"/>
      <c r="AL38" s="392"/>
    </row>
    <row r="39" spans="1:38" ht="12" customHeight="1" x14ac:dyDescent="0.2">
      <c r="A39" s="2505"/>
      <c r="B39" s="800"/>
      <c r="C39" s="6517" t="e">
        <f>IF(C33=0,"",VLOOKUP(C33,'Tablas Magia'!$D$6:$Z$680,23,FALSE))</f>
        <v>#N/A</v>
      </c>
      <c r="D39" s="6518"/>
      <c r="E39" s="6518"/>
      <c r="F39" s="6518"/>
      <c r="G39" s="6518"/>
      <c r="H39" s="6518"/>
      <c r="I39" s="6518"/>
      <c r="J39" s="6518"/>
      <c r="K39" s="6518"/>
      <c r="L39" s="6518"/>
      <c r="M39" s="6518"/>
      <c r="N39" s="6518"/>
      <c r="O39" s="6518"/>
      <c r="P39" s="6518"/>
      <c r="Q39" s="6519"/>
      <c r="R39" s="398"/>
      <c r="S39" s="392"/>
      <c r="T39" s="392"/>
      <c r="U39" s="800"/>
      <c r="V39" s="6517" t="e">
        <f>IF(V33=0,"",VLOOKUP(V33,'Tablas Magia'!$D$6:$Z$680,23,FALSE))</f>
        <v>#N/A</v>
      </c>
      <c r="W39" s="6518"/>
      <c r="X39" s="6518"/>
      <c r="Y39" s="6518"/>
      <c r="Z39" s="6518"/>
      <c r="AA39" s="6518"/>
      <c r="AB39" s="6518"/>
      <c r="AC39" s="6518"/>
      <c r="AD39" s="6518"/>
      <c r="AE39" s="6518"/>
      <c r="AF39" s="6518"/>
      <c r="AG39" s="6518"/>
      <c r="AH39" s="6518"/>
      <c r="AI39" s="6518"/>
      <c r="AJ39" s="6519"/>
      <c r="AK39" s="398"/>
      <c r="AL39" s="392"/>
    </row>
    <row r="40" spans="1:38" ht="12" customHeight="1" x14ac:dyDescent="0.2">
      <c r="A40" s="2505"/>
      <c r="B40" s="800"/>
      <c r="C40" s="6520"/>
      <c r="D40" s="6543"/>
      <c r="E40" s="6543"/>
      <c r="F40" s="6543"/>
      <c r="G40" s="6543"/>
      <c r="H40" s="6543"/>
      <c r="I40" s="6543"/>
      <c r="J40" s="6543"/>
      <c r="K40" s="6543"/>
      <c r="L40" s="6543"/>
      <c r="M40" s="6543"/>
      <c r="N40" s="6543"/>
      <c r="O40" s="6543"/>
      <c r="P40" s="6543"/>
      <c r="Q40" s="6522"/>
      <c r="R40" s="398"/>
      <c r="S40" s="392"/>
      <c r="T40" s="392"/>
      <c r="U40" s="800"/>
      <c r="V40" s="6520"/>
      <c r="W40" s="6521"/>
      <c r="X40" s="6521"/>
      <c r="Y40" s="6521"/>
      <c r="Z40" s="6521"/>
      <c r="AA40" s="6521"/>
      <c r="AB40" s="6521"/>
      <c r="AC40" s="6521"/>
      <c r="AD40" s="6521"/>
      <c r="AE40" s="6521"/>
      <c r="AF40" s="6521"/>
      <c r="AG40" s="6521"/>
      <c r="AH40" s="6521"/>
      <c r="AI40" s="6521"/>
      <c r="AJ40" s="6522"/>
      <c r="AK40" s="398"/>
      <c r="AL40" s="392"/>
    </row>
    <row r="41" spans="1:38" ht="12" customHeight="1" x14ac:dyDescent="0.2">
      <c r="A41" s="2505"/>
      <c r="B41" s="800"/>
      <c r="C41" s="6520"/>
      <c r="D41" s="6543"/>
      <c r="E41" s="6543"/>
      <c r="F41" s="6543"/>
      <c r="G41" s="6543"/>
      <c r="H41" s="6543"/>
      <c r="I41" s="6543"/>
      <c r="J41" s="6543"/>
      <c r="K41" s="6543"/>
      <c r="L41" s="6543"/>
      <c r="M41" s="6543"/>
      <c r="N41" s="6543"/>
      <c r="O41" s="6543"/>
      <c r="P41" s="6543"/>
      <c r="Q41" s="6522"/>
      <c r="R41" s="398"/>
      <c r="S41" s="392"/>
      <c r="T41" s="392"/>
      <c r="U41" s="800"/>
      <c r="V41" s="6520"/>
      <c r="W41" s="6521"/>
      <c r="X41" s="6521"/>
      <c r="Y41" s="6521"/>
      <c r="Z41" s="6521"/>
      <c r="AA41" s="6521"/>
      <c r="AB41" s="6521"/>
      <c r="AC41" s="6521"/>
      <c r="AD41" s="6521"/>
      <c r="AE41" s="6521"/>
      <c r="AF41" s="6521"/>
      <c r="AG41" s="6521"/>
      <c r="AH41" s="6521"/>
      <c r="AI41" s="6521"/>
      <c r="AJ41" s="6522"/>
      <c r="AK41" s="398"/>
      <c r="AL41" s="392"/>
    </row>
    <row r="42" spans="1:38" ht="12" customHeight="1" thickBot="1" x14ac:dyDescent="0.25">
      <c r="A42" s="2505"/>
      <c r="B42" s="800"/>
      <c r="C42" s="6523"/>
      <c r="D42" s="6524"/>
      <c r="E42" s="6524"/>
      <c r="F42" s="6524"/>
      <c r="G42" s="6524"/>
      <c r="H42" s="6524"/>
      <c r="I42" s="6524"/>
      <c r="J42" s="6524"/>
      <c r="K42" s="6524"/>
      <c r="L42" s="6524"/>
      <c r="M42" s="6524"/>
      <c r="N42" s="6524"/>
      <c r="O42" s="6524"/>
      <c r="P42" s="6524"/>
      <c r="Q42" s="6525"/>
      <c r="R42" s="398"/>
      <c r="S42" s="392"/>
      <c r="T42" s="392"/>
      <c r="U42" s="800"/>
      <c r="V42" s="6523"/>
      <c r="W42" s="6524"/>
      <c r="X42" s="6524"/>
      <c r="Y42" s="6524"/>
      <c r="Z42" s="6524"/>
      <c r="AA42" s="6524"/>
      <c r="AB42" s="6524"/>
      <c r="AC42" s="6524"/>
      <c r="AD42" s="6524"/>
      <c r="AE42" s="6524"/>
      <c r="AF42" s="6524"/>
      <c r="AG42" s="6524"/>
      <c r="AH42" s="6524"/>
      <c r="AI42" s="6524"/>
      <c r="AJ42" s="6525"/>
      <c r="AK42" s="398"/>
      <c r="AL42" s="392"/>
    </row>
    <row r="43" spans="1:38" ht="12" customHeight="1" thickBot="1" x14ac:dyDescent="0.25">
      <c r="A43" s="2505"/>
      <c r="B43" s="800"/>
      <c r="C43" s="2499"/>
      <c r="D43" s="2499"/>
      <c r="E43" s="2500"/>
      <c r="F43" s="2500"/>
      <c r="G43" s="2500"/>
      <c r="H43" s="2500"/>
      <c r="I43" s="2500"/>
      <c r="J43" s="2500"/>
      <c r="K43" s="2500"/>
      <c r="L43" s="2500"/>
      <c r="M43" s="2500"/>
      <c r="N43" s="2500"/>
      <c r="O43" s="2500"/>
      <c r="P43" s="2500"/>
      <c r="Q43" s="2500"/>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5"/>
      <c r="B44" s="800">
        <f>B33+2</f>
        <v>8</v>
      </c>
      <c r="C44" s="6559" t="str">
        <f>IFERROR(VLOOKUP($J$6&amp;B44,'Tablas Magia'!$B$6:$D$680,3,FALSE),IFERROR(VLOOKUP($J$8&amp;B44,'Tablas Magia'!$B$6:$D$680,3,FALSE),IFERROR(VLOOKUP($J$6&amp;B44,Místicos!$AD$12:$AJ$50,4,FALSE),"Libre Acceso 1-"&amp;ROUNDUP(B44/10,0)*10)))</f>
        <v>Libre Acceso 1-10</v>
      </c>
      <c r="D44" s="6560"/>
      <c r="E44" s="6560"/>
      <c r="F44" s="6560"/>
      <c r="G44" s="6561"/>
      <c r="H44" s="402" t="s">
        <v>1325</v>
      </c>
      <c r="I44" s="403">
        <f>B44</f>
        <v>8</v>
      </c>
      <c r="J44" s="6544" t="s">
        <v>6231</v>
      </c>
      <c r="K44" s="6544"/>
      <c r="L44" s="6544"/>
      <c r="M44" s="6529" t="e">
        <f>IF(C44=0,"",VLOOKUP(C44,'Tablas Magia'!$D$6:$Z$680,2,FALSE))</f>
        <v>#N/A</v>
      </c>
      <c r="N44" s="6529"/>
      <c r="O44" s="1705"/>
      <c r="P44" s="6550" t="str">
        <f>IFERROR(IF(M44="Libre Acceso","Aprendido",IF(IFERROR(VLOOKUP(M44,Místicos!$C$15:$H$25,6,0)&gt;=I44,FALSE),"Aprendido",IF(IFERROR(VLOOKUP(M44,Místicos!$E$15:$H$25,4,0)&gt;=I44,FALSE),"Aprendido",""))),"")</f>
        <v/>
      </c>
      <c r="Q44" s="6551"/>
      <c r="R44" s="398"/>
      <c r="S44" s="392"/>
      <c r="T44" s="392"/>
      <c r="U44" s="800">
        <f>U33+2</f>
        <v>18</v>
      </c>
      <c r="V44" s="6559" t="str">
        <f>IFERROR(VLOOKUP($J$6&amp;U44,'Tablas Magia'!$B$6:$D$680,3,FALSE),IFERROR(VLOOKUP($J$8&amp;U44,'Tablas Magia'!$B$6:$D$680,3,FALSE),IFERROR(VLOOKUP($J$6&amp;U44,Místicos!$AD$12:$AJ$50,4,FALSE),"Libre Acceso 1-"&amp;ROUNDUP(U44/10,0)*10)))</f>
        <v>Libre Acceso 1-20</v>
      </c>
      <c r="W44" s="6560"/>
      <c r="X44" s="6560"/>
      <c r="Y44" s="6560"/>
      <c r="Z44" s="6561"/>
      <c r="AA44" s="402" t="s">
        <v>1325</v>
      </c>
      <c r="AB44" s="403">
        <f>U44</f>
        <v>18</v>
      </c>
      <c r="AC44" s="6544" t="s">
        <v>6231</v>
      </c>
      <c r="AD44" s="6544"/>
      <c r="AE44" s="6544"/>
      <c r="AF44" s="6529" t="e">
        <f>IF(V44=0,"",VLOOKUP(V44,'Tablas Magia'!$D$6:$Z$680,2,FALSE))</f>
        <v>#N/A</v>
      </c>
      <c r="AG44" s="6529"/>
      <c r="AH44" s="1705"/>
      <c r="AI44" s="6550" t="str">
        <f>IFERROR(IF(AF44="Libre Acceso","Aprendido",IF(IFERROR(VLOOKUP(AF44,Místicos!$C$15:$H$25,6,0)&gt;=AB44,FALSE),"Aprendido",IF(IFERROR(VLOOKUP(AF44,Místicos!$E$15:$H$25,4,0)&gt;=AB44,FALSE),"Aprendido",""))),"")</f>
        <v/>
      </c>
      <c r="AJ44" s="6551"/>
      <c r="AK44" s="398"/>
      <c r="AL44" s="392"/>
    </row>
    <row r="45" spans="1:38" ht="12" customHeight="1" x14ac:dyDescent="0.2">
      <c r="A45" s="2505"/>
      <c r="B45" s="800"/>
      <c r="C45" s="6531" t="s">
        <v>6232</v>
      </c>
      <c r="D45" s="6545"/>
      <c r="E45" s="2487" t="s">
        <v>6233</v>
      </c>
      <c r="F45" s="2487" t="s">
        <v>1508</v>
      </c>
      <c r="G45" s="2487" t="s">
        <v>2827</v>
      </c>
      <c r="H45" s="2488" t="s">
        <v>1835</v>
      </c>
      <c r="I45" s="6553" t="e">
        <f>IF(C44=0,"",VLOOKUP(C44,'Tablas Magia'!$D$6:$Z$680,5,FALSE))</f>
        <v>#N/A</v>
      </c>
      <c r="J45" s="6553"/>
      <c r="K45" s="6556" t="s">
        <v>6234</v>
      </c>
      <c r="L45" s="6556"/>
      <c r="M45" s="6553" t="e">
        <f>IF(C44=0,"",VLOOKUP(C44,'Tablas Magia'!$D$6:$Z$680,6,FALSE))</f>
        <v>#N/A</v>
      </c>
      <c r="N45" s="6553"/>
      <c r="O45" s="6554" t="s">
        <v>6235</v>
      </c>
      <c r="P45" s="6554"/>
      <c r="Q45" s="2489" t="e">
        <f>IF(C44=0,"",VLOOKUP(C44,'Tablas Magia'!$D$6:$Z$680,4,FALSE))</f>
        <v>#N/A</v>
      </c>
      <c r="R45" s="398"/>
      <c r="S45" s="392"/>
      <c r="T45" s="392"/>
      <c r="U45" s="800"/>
      <c r="V45" s="6531" t="s">
        <v>6232</v>
      </c>
      <c r="W45" s="6562"/>
      <c r="X45" s="1714" t="s">
        <v>6233</v>
      </c>
      <c r="Y45" s="1714" t="s">
        <v>1508</v>
      </c>
      <c r="Z45" s="1714" t="s">
        <v>2827</v>
      </c>
      <c r="AA45" s="1715" t="s">
        <v>1835</v>
      </c>
      <c r="AB45" s="6549" t="e">
        <f>IF(V44=0,"",VLOOKUP(V44,'Tablas Magia'!$D$6:$Z$680,5,FALSE))</f>
        <v>#N/A</v>
      </c>
      <c r="AC45" s="6549"/>
      <c r="AD45" s="6563" t="s">
        <v>6234</v>
      </c>
      <c r="AE45" s="6563"/>
      <c r="AF45" s="6549" t="e">
        <f>IF(V44=0,"",VLOOKUP(V44,'Tablas Magia'!$D$6:$Z$680,6,FALSE))</f>
        <v>#N/A</v>
      </c>
      <c r="AG45" s="6549"/>
      <c r="AH45" s="6564" t="s">
        <v>6235</v>
      </c>
      <c r="AI45" s="6564"/>
      <c r="AJ45" s="1716" t="e">
        <f>IF(V44=0,"",VLOOKUP(V44,'Tablas Magia'!$D$6:$Z$680,4,FALSE))</f>
        <v>#N/A</v>
      </c>
      <c r="AK45" s="398"/>
      <c r="AL45" s="392"/>
    </row>
    <row r="46" spans="1:38" ht="12" customHeight="1" x14ac:dyDescent="0.2">
      <c r="A46" s="2505"/>
      <c r="B46" s="800"/>
      <c r="C46" s="6557" t="s">
        <v>1365</v>
      </c>
      <c r="D46" s="6558"/>
      <c r="E46" s="2490" t="e">
        <f>IF(C44=0,"",VLOOKUP(C44,'Tablas Magia'!$D$6:$Z$680,7,FALSE))</f>
        <v>#N/A</v>
      </c>
      <c r="F46" s="2490" t="e">
        <f>IF(C44=0,"",VLOOKUP(C44,'Tablas Magia'!$D$6:$Z$680,11,FALSE))</f>
        <v>#N/A</v>
      </c>
      <c r="G46" s="408" t="e">
        <f>IF(C44=0,"",VLOOKUP(C44,'Tablas Magia'!$D$6:$Z$680,15,FALSE))</f>
        <v>#N/A</v>
      </c>
      <c r="H46" s="6539" t="e">
        <f>IF(C44=0,"",VLOOKUP(C44,'Tablas Magia'!$D$6:$Z$680,19,FALSE))</f>
        <v>#N/A</v>
      </c>
      <c r="I46" s="6540"/>
      <c r="J46" s="6540"/>
      <c r="K46" s="6540"/>
      <c r="L46" s="6540"/>
      <c r="M46" s="6540"/>
      <c r="N46" s="6540"/>
      <c r="O46" s="6540"/>
      <c r="P46" s="6540"/>
      <c r="Q46" s="6541"/>
      <c r="R46" s="398"/>
      <c r="S46" s="392"/>
      <c r="T46" s="392"/>
      <c r="U46" s="800"/>
      <c r="V46" s="6507" t="s">
        <v>1365</v>
      </c>
      <c r="W46" s="6508"/>
      <c r="X46" s="407" t="e">
        <f>IF(V44=0,"",VLOOKUP(V44,'Tablas Magia'!$D$6:$Z$680,7,FALSE))</f>
        <v>#N/A</v>
      </c>
      <c r="Y46" s="407" t="e">
        <f>IF(V44=0,"",VLOOKUP(V44,'Tablas Magia'!$D$6:$Z$680,11,FALSE))</f>
        <v>#N/A</v>
      </c>
      <c r="Z46" s="408" t="e">
        <f>IF(V44=0,"",VLOOKUP(V44,'Tablas Magia'!$D$6:$Z$680,15,FALSE))</f>
        <v>#N/A</v>
      </c>
      <c r="AA46" s="6509" t="e">
        <f>IF(V44=0,"",VLOOKUP(V44,'Tablas Magia'!$D$6:$Z$680,19,FALSE))</f>
        <v>#N/A</v>
      </c>
      <c r="AB46" s="6510"/>
      <c r="AC46" s="6510"/>
      <c r="AD46" s="6510"/>
      <c r="AE46" s="6510"/>
      <c r="AF46" s="6510"/>
      <c r="AG46" s="6510"/>
      <c r="AH46" s="6510"/>
      <c r="AI46" s="6510"/>
      <c r="AJ46" s="6511"/>
      <c r="AK46" s="398"/>
      <c r="AL46" s="392"/>
    </row>
    <row r="47" spans="1:38" ht="12" customHeight="1" x14ac:dyDescent="0.2">
      <c r="A47" s="2505"/>
      <c r="B47" s="800"/>
      <c r="C47" s="6502" t="s">
        <v>3196</v>
      </c>
      <c r="D47" s="6503"/>
      <c r="E47" s="2491" t="e">
        <f>IF(C44=0,"",VLOOKUP(C44,'Tablas Magia'!$D$6:$Z$680,8,FALSE))</f>
        <v>#N/A</v>
      </c>
      <c r="F47" s="2491" t="e">
        <f>IF(C44=0,"",VLOOKUP(C44,'Tablas Magia'!$D$6:$Z$680,12,FALSE))</f>
        <v>#N/A</v>
      </c>
      <c r="G47" s="410" t="e">
        <f>IF(C44=0,"",VLOOKUP(C44,'Tablas Magia'!$D$6:$Z$680,16,FALSE))</f>
        <v>#N/A</v>
      </c>
      <c r="H47" s="6504" t="e">
        <f>IF(C44=0,"",VLOOKUP(C44,'Tablas Magia'!$D$6:$Z$680,20,FALSE))</f>
        <v>#N/A</v>
      </c>
      <c r="I47" s="6542"/>
      <c r="J47" s="6542"/>
      <c r="K47" s="6542"/>
      <c r="L47" s="6542"/>
      <c r="M47" s="6542"/>
      <c r="N47" s="6542"/>
      <c r="O47" s="6542"/>
      <c r="P47" s="6542"/>
      <c r="Q47" s="6506"/>
      <c r="R47" s="398"/>
      <c r="S47" s="392"/>
      <c r="T47" s="392"/>
      <c r="U47" s="800"/>
      <c r="V47" s="6502" t="s">
        <v>3196</v>
      </c>
      <c r="W47" s="6503"/>
      <c r="X47" s="409" t="e">
        <f>IF(V44=0,"",VLOOKUP(V44,'Tablas Magia'!$D$6:$Z$680,8,FALSE))</f>
        <v>#N/A</v>
      </c>
      <c r="Y47" s="409" t="e">
        <f>IF(V44=0,"",VLOOKUP(V44,'Tablas Magia'!$D$6:$Z$680,12,FALSE))</f>
        <v>#N/A</v>
      </c>
      <c r="Z47" s="410" t="e">
        <f>IF(V44=0,"",VLOOKUP(V44,'Tablas Magia'!$D$6:$Z$680,16,FALSE))</f>
        <v>#N/A</v>
      </c>
      <c r="AA47" s="6504" t="e">
        <f>IF(V44=0,"",VLOOKUP(V44,'Tablas Magia'!$D$6:$Z$680,20,FALSE))</f>
        <v>#N/A</v>
      </c>
      <c r="AB47" s="6505"/>
      <c r="AC47" s="6505"/>
      <c r="AD47" s="6505"/>
      <c r="AE47" s="6505"/>
      <c r="AF47" s="6505"/>
      <c r="AG47" s="6505"/>
      <c r="AH47" s="6505"/>
      <c r="AI47" s="6505"/>
      <c r="AJ47" s="6506"/>
      <c r="AK47" s="398"/>
      <c r="AL47" s="392"/>
    </row>
    <row r="48" spans="1:38" ht="12" customHeight="1" x14ac:dyDescent="0.2">
      <c r="A48" s="2505"/>
      <c r="B48" s="800"/>
      <c r="C48" s="6507" t="s">
        <v>3197</v>
      </c>
      <c r="D48" s="6508"/>
      <c r="E48" s="2490" t="e">
        <f>IF(C44=0,"",VLOOKUP(C44,'Tablas Magia'!$D$6:$Z$680,9,FALSE))</f>
        <v>#N/A</v>
      </c>
      <c r="F48" s="2490" t="e">
        <f>IF(C44=0,"",VLOOKUP(C44,'Tablas Magia'!$D$6:$Z$680,13,FALSE))</f>
        <v>#N/A</v>
      </c>
      <c r="G48" s="408" t="e">
        <f>IF(C44=0,"",VLOOKUP(C44,'Tablas Magia'!$D$6:$Z$680,17,FALSE))</f>
        <v>#N/A</v>
      </c>
      <c r="H48" s="6509" t="e">
        <f>IF(C44=0,"",VLOOKUP(C44,'Tablas Magia'!$D$6:$Z$680,21,FALSE))</f>
        <v>#N/A</v>
      </c>
      <c r="I48" s="6552"/>
      <c r="J48" s="6552"/>
      <c r="K48" s="6552"/>
      <c r="L48" s="6552"/>
      <c r="M48" s="6552"/>
      <c r="N48" s="6552"/>
      <c r="O48" s="6552"/>
      <c r="P48" s="6552"/>
      <c r="Q48" s="6511"/>
      <c r="R48" s="398"/>
      <c r="S48" s="392"/>
      <c r="T48" s="392"/>
      <c r="U48" s="800"/>
      <c r="V48" s="6507" t="s">
        <v>3197</v>
      </c>
      <c r="W48" s="6508"/>
      <c r="X48" s="407" t="e">
        <f>IF(V44=0,"",VLOOKUP(V44,'Tablas Magia'!$D$6:$Z$680,9,FALSE))</f>
        <v>#N/A</v>
      </c>
      <c r="Y48" s="407" t="e">
        <f>IF(V44=0,"",VLOOKUP(V44,'Tablas Magia'!$D$6:$Z$680,13,FALSE))</f>
        <v>#N/A</v>
      </c>
      <c r="Z48" s="408" t="e">
        <f>IF(V44=0,"",VLOOKUP(V44,'Tablas Magia'!$D$6:$Z$680,17,FALSE))</f>
        <v>#N/A</v>
      </c>
      <c r="AA48" s="6509" t="e">
        <f>IF(V44=0,"",VLOOKUP(V44,'Tablas Magia'!$D$6:$Z$680,21,FALSE))</f>
        <v>#N/A</v>
      </c>
      <c r="AB48" s="6510"/>
      <c r="AC48" s="6510"/>
      <c r="AD48" s="6510"/>
      <c r="AE48" s="6510"/>
      <c r="AF48" s="6510"/>
      <c r="AG48" s="6510"/>
      <c r="AH48" s="6510"/>
      <c r="AI48" s="6510"/>
      <c r="AJ48" s="6511"/>
      <c r="AK48" s="398"/>
      <c r="AL48" s="392"/>
    </row>
    <row r="49" spans="1:38" ht="12" customHeight="1" thickBot="1" x14ac:dyDescent="0.25">
      <c r="A49" s="2505"/>
      <c r="B49" s="800"/>
      <c r="C49" s="6512" t="s">
        <v>3198</v>
      </c>
      <c r="D49" s="6513"/>
      <c r="E49" s="411" t="e">
        <f>IF(C44=0,"",VLOOKUP(C44,'Tablas Magia'!$D$6:$Z$680,10,FALSE))</f>
        <v>#N/A</v>
      </c>
      <c r="F49" s="411" t="e">
        <f>IF(C44=0,"",VLOOKUP(C44,'Tablas Magia'!$D$6:$Z$680,14,FALSE))</f>
        <v>#N/A</v>
      </c>
      <c r="G49" s="412" t="e">
        <f>IF(C44=0,"",VLOOKUP(C44,'Tablas Magia'!$D$6:$Z$680,18,FALSE))</f>
        <v>#N/A</v>
      </c>
      <c r="H49" s="6514" t="e">
        <f>IF(C44=0,"",VLOOKUP(C44,'Tablas Magia'!$D$6:$Z$680,22,FALSE))</f>
        <v>#N/A</v>
      </c>
      <c r="I49" s="6515"/>
      <c r="J49" s="6515"/>
      <c r="K49" s="6515"/>
      <c r="L49" s="6515"/>
      <c r="M49" s="6515"/>
      <c r="N49" s="6515"/>
      <c r="O49" s="6515"/>
      <c r="P49" s="6515"/>
      <c r="Q49" s="6516"/>
      <c r="R49" s="398"/>
      <c r="S49" s="392"/>
      <c r="T49" s="392"/>
      <c r="U49" s="800"/>
      <c r="V49" s="6512" t="s">
        <v>3198</v>
      </c>
      <c r="W49" s="6513"/>
      <c r="X49" s="411" t="e">
        <f>IF(V44=0,"",VLOOKUP(V44,'Tablas Magia'!$D$6:$Z$680,10,FALSE))</f>
        <v>#N/A</v>
      </c>
      <c r="Y49" s="411" t="e">
        <f>IF(V44=0,"",VLOOKUP(V44,'Tablas Magia'!$D$6:$Z$680,14,FALSE))</f>
        <v>#N/A</v>
      </c>
      <c r="Z49" s="412" t="e">
        <f>IF(V44=0,"",VLOOKUP(V44,'Tablas Magia'!$D$6:$Z$680,18,FALSE))</f>
        <v>#N/A</v>
      </c>
      <c r="AA49" s="6514" t="e">
        <f>IF(V44=0,"",VLOOKUP(V44,'Tablas Magia'!$D$6:$Z$680,22,FALSE))</f>
        <v>#N/A</v>
      </c>
      <c r="AB49" s="6515"/>
      <c r="AC49" s="6515"/>
      <c r="AD49" s="6515"/>
      <c r="AE49" s="6515"/>
      <c r="AF49" s="6515"/>
      <c r="AG49" s="6515"/>
      <c r="AH49" s="6515"/>
      <c r="AI49" s="6515"/>
      <c r="AJ49" s="6516"/>
      <c r="AK49" s="398"/>
      <c r="AL49" s="392"/>
    </row>
    <row r="50" spans="1:38" ht="12" customHeight="1" x14ac:dyDescent="0.2">
      <c r="A50" s="2505"/>
      <c r="B50" s="800"/>
      <c r="C50" s="6517" t="e">
        <f>IF(C44=0,"",VLOOKUP(C44,'Tablas Magia'!$D$6:$Z$680,23,FALSE))</f>
        <v>#N/A</v>
      </c>
      <c r="D50" s="6518"/>
      <c r="E50" s="6518"/>
      <c r="F50" s="6518"/>
      <c r="G50" s="6518"/>
      <c r="H50" s="6518"/>
      <c r="I50" s="6518"/>
      <c r="J50" s="6518"/>
      <c r="K50" s="6518"/>
      <c r="L50" s="6518"/>
      <c r="M50" s="6518"/>
      <c r="N50" s="6518"/>
      <c r="O50" s="6518"/>
      <c r="P50" s="6518"/>
      <c r="Q50" s="6519"/>
      <c r="R50" s="398"/>
      <c r="S50" s="392"/>
      <c r="T50" s="392"/>
      <c r="U50" s="800"/>
      <c r="V50" s="6517" t="e">
        <f>IF(V44=0,"",VLOOKUP(V44,'Tablas Magia'!$D$6:$Z$680,23,FALSE))</f>
        <v>#N/A</v>
      </c>
      <c r="W50" s="6518"/>
      <c r="X50" s="6518"/>
      <c r="Y50" s="6518"/>
      <c r="Z50" s="6518"/>
      <c r="AA50" s="6518"/>
      <c r="AB50" s="6518"/>
      <c r="AC50" s="6518"/>
      <c r="AD50" s="6518"/>
      <c r="AE50" s="6518"/>
      <c r="AF50" s="6518"/>
      <c r="AG50" s="6518"/>
      <c r="AH50" s="6518"/>
      <c r="AI50" s="6518"/>
      <c r="AJ50" s="6519"/>
      <c r="AK50" s="398"/>
      <c r="AL50" s="392"/>
    </row>
    <row r="51" spans="1:38" ht="12" customHeight="1" x14ac:dyDescent="0.2">
      <c r="A51" s="2505"/>
      <c r="B51" s="800"/>
      <c r="C51" s="6520"/>
      <c r="D51" s="6543"/>
      <c r="E51" s="6543"/>
      <c r="F51" s="6543"/>
      <c r="G51" s="6543"/>
      <c r="H51" s="6543"/>
      <c r="I51" s="6543"/>
      <c r="J51" s="6543"/>
      <c r="K51" s="6543"/>
      <c r="L51" s="6543"/>
      <c r="M51" s="6543"/>
      <c r="N51" s="6543"/>
      <c r="O51" s="6543"/>
      <c r="P51" s="6543"/>
      <c r="Q51" s="6522"/>
      <c r="R51" s="398"/>
      <c r="S51" s="392"/>
      <c r="T51" s="392"/>
      <c r="U51" s="800"/>
      <c r="V51" s="6520"/>
      <c r="W51" s="6521"/>
      <c r="X51" s="6521"/>
      <c r="Y51" s="6521"/>
      <c r="Z51" s="6521"/>
      <c r="AA51" s="6521"/>
      <c r="AB51" s="6521"/>
      <c r="AC51" s="6521"/>
      <c r="AD51" s="6521"/>
      <c r="AE51" s="6521"/>
      <c r="AF51" s="6521"/>
      <c r="AG51" s="6521"/>
      <c r="AH51" s="6521"/>
      <c r="AI51" s="6521"/>
      <c r="AJ51" s="6522"/>
      <c r="AK51" s="398"/>
      <c r="AL51" s="392"/>
    </row>
    <row r="52" spans="1:38" ht="12" customHeight="1" x14ac:dyDescent="0.2">
      <c r="A52" s="2505"/>
      <c r="B52" s="800"/>
      <c r="C52" s="6520"/>
      <c r="D52" s="6543"/>
      <c r="E52" s="6543"/>
      <c r="F52" s="6543"/>
      <c r="G52" s="6543"/>
      <c r="H52" s="6543"/>
      <c r="I52" s="6543"/>
      <c r="J52" s="6543"/>
      <c r="K52" s="6543"/>
      <c r="L52" s="6543"/>
      <c r="M52" s="6543"/>
      <c r="N52" s="6543"/>
      <c r="O52" s="6543"/>
      <c r="P52" s="6543"/>
      <c r="Q52" s="6522"/>
      <c r="R52" s="398"/>
      <c r="S52" s="392"/>
      <c r="T52" s="392"/>
      <c r="U52" s="800"/>
      <c r="V52" s="6520"/>
      <c r="W52" s="6521"/>
      <c r="X52" s="6521"/>
      <c r="Y52" s="6521"/>
      <c r="Z52" s="6521"/>
      <c r="AA52" s="6521"/>
      <c r="AB52" s="6521"/>
      <c r="AC52" s="6521"/>
      <c r="AD52" s="6521"/>
      <c r="AE52" s="6521"/>
      <c r="AF52" s="6521"/>
      <c r="AG52" s="6521"/>
      <c r="AH52" s="6521"/>
      <c r="AI52" s="6521"/>
      <c r="AJ52" s="6522"/>
      <c r="AK52" s="398"/>
      <c r="AL52" s="392"/>
    </row>
    <row r="53" spans="1:38" ht="12" customHeight="1" thickBot="1" x14ac:dyDescent="0.25">
      <c r="A53" s="2505"/>
      <c r="B53" s="800"/>
      <c r="C53" s="6523"/>
      <c r="D53" s="6524"/>
      <c r="E53" s="6524"/>
      <c r="F53" s="6524"/>
      <c r="G53" s="6524"/>
      <c r="H53" s="6524"/>
      <c r="I53" s="6524"/>
      <c r="J53" s="6524"/>
      <c r="K53" s="6524"/>
      <c r="L53" s="6524"/>
      <c r="M53" s="6524"/>
      <c r="N53" s="6524"/>
      <c r="O53" s="6524"/>
      <c r="P53" s="6524"/>
      <c r="Q53" s="6525"/>
      <c r="R53" s="398"/>
      <c r="S53" s="392"/>
      <c r="T53" s="392"/>
      <c r="U53" s="800"/>
      <c r="V53" s="6523"/>
      <c r="W53" s="6524"/>
      <c r="X53" s="6524"/>
      <c r="Y53" s="6524"/>
      <c r="Z53" s="6524"/>
      <c r="AA53" s="6524"/>
      <c r="AB53" s="6524"/>
      <c r="AC53" s="6524"/>
      <c r="AD53" s="6524"/>
      <c r="AE53" s="6524"/>
      <c r="AF53" s="6524"/>
      <c r="AG53" s="6524"/>
      <c r="AH53" s="6524"/>
      <c r="AI53" s="6524"/>
      <c r="AJ53" s="6525"/>
      <c r="AK53" s="398"/>
      <c r="AL53" s="392"/>
    </row>
    <row r="54" spans="1:38" ht="12" customHeight="1" thickBot="1" x14ac:dyDescent="0.25">
      <c r="A54" s="2505"/>
      <c r="B54" s="800"/>
      <c r="C54" s="2499"/>
      <c r="D54" s="2499"/>
      <c r="E54" s="2491"/>
      <c r="F54" s="2491"/>
      <c r="G54" s="2491"/>
      <c r="H54" s="2500"/>
      <c r="I54" s="2500"/>
      <c r="J54" s="2500"/>
      <c r="K54" s="2500"/>
      <c r="L54" s="2500"/>
      <c r="M54" s="2500"/>
      <c r="N54" s="2500"/>
      <c r="O54" s="2500"/>
      <c r="P54" s="2500"/>
      <c r="Q54" s="2500"/>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5"/>
      <c r="B55" s="800">
        <f>B44+2</f>
        <v>10</v>
      </c>
      <c r="C55" s="6559" t="str">
        <f>IFERROR(VLOOKUP($J$6&amp;B55,'Tablas Magia'!$B$6:$D$680,3,FALSE),IFERROR(VLOOKUP($J$8&amp;B55,'Tablas Magia'!$B$6:$D$680,3,FALSE),IFERROR(VLOOKUP($J$6&amp;B55,Místicos!$AD$12:$AJ$50,4,FALSE),"Libre Acceso 1-"&amp;ROUNDUP(B55/10,0)*10)))</f>
        <v>Libre Acceso 1-10</v>
      </c>
      <c r="D55" s="6560"/>
      <c r="E55" s="6560"/>
      <c r="F55" s="6560"/>
      <c r="G55" s="6561"/>
      <c r="H55" s="402" t="s">
        <v>1325</v>
      </c>
      <c r="I55" s="403">
        <f>B55</f>
        <v>10</v>
      </c>
      <c r="J55" s="6544" t="s">
        <v>6231</v>
      </c>
      <c r="K55" s="6544"/>
      <c r="L55" s="6544"/>
      <c r="M55" s="6529" t="e">
        <f>IF(C55=0,"",VLOOKUP(C55,'Tablas Magia'!$D$6:$Z$680,2,FALSE))</f>
        <v>#N/A</v>
      </c>
      <c r="N55" s="6529"/>
      <c r="O55" s="1705"/>
      <c r="P55" s="6550" t="str">
        <f>IFERROR(IF(M55="Libre Acceso","Aprendido",IF(IFERROR(VLOOKUP(M55,Místicos!$C$15:$H$25,6,0)&gt;=I55,FALSE),"Aprendido",IF(IFERROR(VLOOKUP(M55,Místicos!$E$15:$H$25,4,0)&gt;=I55,FALSE),"Aprendido",""))),"")</f>
        <v/>
      </c>
      <c r="Q55" s="6551"/>
      <c r="R55" s="398"/>
      <c r="S55" s="392"/>
      <c r="T55" s="392"/>
      <c r="U55" s="800">
        <f>U44+2</f>
        <v>20</v>
      </c>
      <c r="V55" s="6559" t="str">
        <f>IFERROR(VLOOKUP($J$6&amp;U55,'Tablas Magia'!$B$6:$D$680,3,FALSE),IFERROR(VLOOKUP($J$8&amp;U55,'Tablas Magia'!$B$6:$D$680,3,FALSE),IFERROR(VLOOKUP($J$6&amp;U55,Místicos!$AD$12:$AJ$50,4,FALSE),"Libre Acceso 1-"&amp;ROUNDUP(U55/10,0)*10)))</f>
        <v>Libre Acceso 1-20</v>
      </c>
      <c r="W55" s="6560"/>
      <c r="X55" s="6560"/>
      <c r="Y55" s="6560"/>
      <c r="Z55" s="6561"/>
      <c r="AA55" s="402" t="s">
        <v>1325</v>
      </c>
      <c r="AB55" s="403">
        <f>U55</f>
        <v>20</v>
      </c>
      <c r="AC55" s="6544" t="s">
        <v>6231</v>
      </c>
      <c r="AD55" s="6544"/>
      <c r="AE55" s="6544"/>
      <c r="AF55" s="6529" t="e">
        <f>IF(V55=0,"",VLOOKUP(V55,'Tablas Magia'!$D$6:$Z$680,2,FALSE))</f>
        <v>#N/A</v>
      </c>
      <c r="AG55" s="6529"/>
      <c r="AH55" s="1705"/>
      <c r="AI55" s="6550" t="str">
        <f>IFERROR(IF(AF55="Libre Acceso","Aprendido",IF(IFERROR(VLOOKUP(AF55,Místicos!$C$15:$H$25,6,0)&gt;=AB55,FALSE),"Aprendido",IF(IFERROR(VLOOKUP(AF55,Místicos!$E$15:$H$25,4,0)&gt;=AB55,FALSE),"Aprendido",""))),"")</f>
        <v/>
      </c>
      <c r="AJ55" s="6551"/>
      <c r="AK55" s="398"/>
      <c r="AL55" s="392"/>
    </row>
    <row r="56" spans="1:38" ht="12" customHeight="1" x14ac:dyDescent="0.2">
      <c r="A56" s="2505"/>
      <c r="B56" s="800"/>
      <c r="C56" s="6531" t="s">
        <v>6232</v>
      </c>
      <c r="D56" s="6545"/>
      <c r="E56" s="2487" t="s">
        <v>6233</v>
      </c>
      <c r="F56" s="2487" t="s">
        <v>1508</v>
      </c>
      <c r="G56" s="2487" t="s">
        <v>2827</v>
      </c>
      <c r="H56" s="2488" t="s">
        <v>1835</v>
      </c>
      <c r="I56" s="6553" t="e">
        <f>IF(C55=0,"",VLOOKUP(C55,'Tablas Magia'!$D$6:$Z$680,5,FALSE))</f>
        <v>#N/A</v>
      </c>
      <c r="J56" s="6553"/>
      <c r="K56" s="6556" t="s">
        <v>6234</v>
      </c>
      <c r="L56" s="6556"/>
      <c r="M56" s="6553" t="e">
        <f>IF(C55=0,"",VLOOKUP(C55,'Tablas Magia'!$D$6:$Z$680,6,FALSE))</f>
        <v>#N/A</v>
      </c>
      <c r="N56" s="6553"/>
      <c r="O56" s="6554" t="s">
        <v>6235</v>
      </c>
      <c r="P56" s="6554"/>
      <c r="Q56" s="2489" t="e">
        <f>IF(C55=0,"",VLOOKUP(C55,'Tablas Magia'!$D$6:$Z$680,4,FALSE))</f>
        <v>#N/A</v>
      </c>
      <c r="R56" s="398"/>
      <c r="S56" s="392"/>
      <c r="T56" s="392"/>
      <c r="U56" s="800"/>
      <c r="V56" s="6531" t="s">
        <v>6232</v>
      </c>
      <c r="W56" s="6562"/>
      <c r="X56" s="1714" t="s">
        <v>6233</v>
      </c>
      <c r="Y56" s="1714" t="s">
        <v>1508</v>
      </c>
      <c r="Z56" s="1714" t="s">
        <v>2827</v>
      </c>
      <c r="AA56" s="1715" t="s">
        <v>1835</v>
      </c>
      <c r="AB56" s="6549" t="e">
        <f>IF(V55=0,"",VLOOKUP(V55,'Tablas Magia'!$D$6:$Z$680,5,FALSE))</f>
        <v>#N/A</v>
      </c>
      <c r="AC56" s="6549"/>
      <c r="AD56" s="6563" t="s">
        <v>6234</v>
      </c>
      <c r="AE56" s="6563"/>
      <c r="AF56" s="6549" t="e">
        <f>IF(V55=0,"",VLOOKUP(V55,'Tablas Magia'!$D$6:$Z$680,6,FALSE))</f>
        <v>#N/A</v>
      </c>
      <c r="AG56" s="6549"/>
      <c r="AH56" s="6564" t="s">
        <v>6235</v>
      </c>
      <c r="AI56" s="6564"/>
      <c r="AJ56" s="1716" t="e">
        <f>IF(V55=0,"",VLOOKUP(V55,'Tablas Magia'!$D$6:$Z$680,4,FALSE))</f>
        <v>#N/A</v>
      </c>
      <c r="AK56" s="398"/>
      <c r="AL56" s="392"/>
    </row>
    <row r="57" spans="1:38" ht="12" customHeight="1" x14ac:dyDescent="0.2">
      <c r="A57" s="2505"/>
      <c r="B57" s="800"/>
      <c r="C57" s="6557" t="s">
        <v>1365</v>
      </c>
      <c r="D57" s="6558"/>
      <c r="E57" s="2490" t="e">
        <f>IF(C55=0,"",VLOOKUP(C55,'Tablas Magia'!$D$6:$Z$680,7,FALSE))</f>
        <v>#N/A</v>
      </c>
      <c r="F57" s="2490" t="e">
        <f>IF(C55=0,"",VLOOKUP(C55,'Tablas Magia'!$D$6:$Z$680,11,FALSE))</f>
        <v>#N/A</v>
      </c>
      <c r="G57" s="408" t="e">
        <f>IF(C55=0,"",VLOOKUP(C55,'Tablas Magia'!$D$6:$Z$680,15,FALSE))</f>
        <v>#N/A</v>
      </c>
      <c r="H57" s="6539" t="e">
        <f>IF(C55=0,"",VLOOKUP(C55,'Tablas Magia'!$D$6:$Z$680,19,FALSE))</f>
        <v>#N/A</v>
      </c>
      <c r="I57" s="6540"/>
      <c r="J57" s="6540"/>
      <c r="K57" s="6540"/>
      <c r="L57" s="6540"/>
      <c r="M57" s="6540"/>
      <c r="N57" s="6540"/>
      <c r="O57" s="6540"/>
      <c r="P57" s="6540"/>
      <c r="Q57" s="6541"/>
      <c r="R57" s="398"/>
      <c r="S57" s="392"/>
      <c r="T57" s="392"/>
      <c r="U57" s="800"/>
      <c r="V57" s="6507" t="s">
        <v>1365</v>
      </c>
      <c r="W57" s="6508"/>
      <c r="X57" s="407" t="e">
        <f>IF(V55=0,"",VLOOKUP(V55,'Tablas Magia'!$D$6:$Z$680,7,FALSE))</f>
        <v>#N/A</v>
      </c>
      <c r="Y57" s="407" t="e">
        <f>IF(V55=0,"",VLOOKUP(V55,'Tablas Magia'!$D$6:$Z$680,11,FALSE))</f>
        <v>#N/A</v>
      </c>
      <c r="Z57" s="408" t="e">
        <f>IF(V55=0,"",VLOOKUP(V55,'Tablas Magia'!$D$6:$Z$680,15,FALSE))</f>
        <v>#N/A</v>
      </c>
      <c r="AA57" s="6509" t="e">
        <f>IF(V55=0,"",VLOOKUP(V55,'Tablas Magia'!$D$6:$Z$680,19,FALSE))</f>
        <v>#N/A</v>
      </c>
      <c r="AB57" s="6510"/>
      <c r="AC57" s="6510"/>
      <c r="AD57" s="6510"/>
      <c r="AE57" s="6510"/>
      <c r="AF57" s="6510"/>
      <c r="AG57" s="6510"/>
      <c r="AH57" s="6510"/>
      <c r="AI57" s="6510"/>
      <c r="AJ57" s="6511"/>
      <c r="AK57" s="398"/>
      <c r="AL57" s="392"/>
    </row>
    <row r="58" spans="1:38" ht="12" customHeight="1" x14ac:dyDescent="0.2">
      <c r="A58" s="2505"/>
      <c r="B58" s="800"/>
      <c r="C58" s="6502" t="s">
        <v>3196</v>
      </c>
      <c r="D58" s="6503"/>
      <c r="E58" s="2491" t="e">
        <f>IF(C55=0,"",VLOOKUP(C55,'Tablas Magia'!$D$6:$Z$680,8,FALSE))</f>
        <v>#N/A</v>
      </c>
      <c r="F58" s="2491" t="e">
        <f>IF(C55=0,"",VLOOKUP(C55,'Tablas Magia'!$D$6:$Z$680,12,FALSE))</f>
        <v>#N/A</v>
      </c>
      <c r="G58" s="410" t="e">
        <f>IF(C55=0,"",VLOOKUP(C55,'Tablas Magia'!$D$6:$Z$680,16,FALSE))</f>
        <v>#N/A</v>
      </c>
      <c r="H58" s="6504" t="e">
        <f>IF(C55=0,"",VLOOKUP(C55,'Tablas Magia'!$D$6:$Z$680,20,FALSE))</f>
        <v>#N/A</v>
      </c>
      <c r="I58" s="6542"/>
      <c r="J58" s="6542"/>
      <c r="K58" s="6542"/>
      <c r="L58" s="6542"/>
      <c r="M58" s="6542"/>
      <c r="N58" s="6542"/>
      <c r="O58" s="6542"/>
      <c r="P58" s="6542"/>
      <c r="Q58" s="6506"/>
      <c r="R58" s="398"/>
      <c r="S58" s="392"/>
      <c r="T58" s="392"/>
      <c r="U58" s="800"/>
      <c r="V58" s="6502" t="s">
        <v>3196</v>
      </c>
      <c r="W58" s="6503"/>
      <c r="X58" s="409" t="e">
        <f>IF(V55=0,"",VLOOKUP(V55,'Tablas Magia'!$D$6:$Z$680,8,FALSE))</f>
        <v>#N/A</v>
      </c>
      <c r="Y58" s="409" t="e">
        <f>IF(V55=0,"",VLOOKUP(V55,'Tablas Magia'!$D$6:$Z$680,12,FALSE))</f>
        <v>#N/A</v>
      </c>
      <c r="Z58" s="410" t="e">
        <f>IF(V55=0,"",VLOOKUP(V55,'Tablas Magia'!$D$6:$Z$680,16,FALSE))</f>
        <v>#N/A</v>
      </c>
      <c r="AA58" s="6504" t="e">
        <f>IF(V55=0,"",VLOOKUP(V55,'Tablas Magia'!$D$6:$Z$680,20,FALSE))</f>
        <v>#N/A</v>
      </c>
      <c r="AB58" s="6505"/>
      <c r="AC58" s="6505"/>
      <c r="AD58" s="6505"/>
      <c r="AE58" s="6505"/>
      <c r="AF58" s="6505"/>
      <c r="AG58" s="6505"/>
      <c r="AH58" s="6505"/>
      <c r="AI58" s="6505"/>
      <c r="AJ58" s="6506"/>
      <c r="AK58" s="398"/>
      <c r="AL58" s="392"/>
    </row>
    <row r="59" spans="1:38" ht="12" customHeight="1" x14ac:dyDescent="0.2">
      <c r="A59" s="2505"/>
      <c r="B59" s="800"/>
      <c r="C59" s="6507" t="s">
        <v>3197</v>
      </c>
      <c r="D59" s="6508"/>
      <c r="E59" s="2490" t="e">
        <f>IF(C55=0,"",VLOOKUP(C55,'Tablas Magia'!$D$6:$Z$680,9,FALSE))</f>
        <v>#N/A</v>
      </c>
      <c r="F59" s="2490" t="e">
        <f>IF(C55=0,"",VLOOKUP(C55,'Tablas Magia'!$D$6:$Z$680,13,FALSE))</f>
        <v>#N/A</v>
      </c>
      <c r="G59" s="408" t="e">
        <f>IF(C55=0,"",VLOOKUP(C55,'Tablas Magia'!$D$6:$Z$680,17,FALSE))</f>
        <v>#N/A</v>
      </c>
      <c r="H59" s="6509" t="e">
        <f>IF(C55=0,"",VLOOKUP(C55,'Tablas Magia'!$D$6:$Z$680,21,FALSE))</f>
        <v>#N/A</v>
      </c>
      <c r="I59" s="6552"/>
      <c r="J59" s="6552"/>
      <c r="K59" s="6552"/>
      <c r="L59" s="6552"/>
      <c r="M59" s="6552"/>
      <c r="N59" s="6552"/>
      <c r="O59" s="6552"/>
      <c r="P59" s="6552"/>
      <c r="Q59" s="6511"/>
      <c r="R59" s="398"/>
      <c r="S59" s="392"/>
      <c r="T59" s="392"/>
      <c r="U59" s="800"/>
      <c r="V59" s="6507" t="s">
        <v>3197</v>
      </c>
      <c r="W59" s="6508"/>
      <c r="X59" s="407" t="e">
        <f>IF(V55=0,"",VLOOKUP(V55,'Tablas Magia'!$D$6:$Z$680,9,FALSE))</f>
        <v>#N/A</v>
      </c>
      <c r="Y59" s="407" t="e">
        <f>IF(V55=0,"",VLOOKUP(V55,'Tablas Magia'!$D$6:$Z$680,13,FALSE))</f>
        <v>#N/A</v>
      </c>
      <c r="Z59" s="408" t="e">
        <f>IF(V55=0,"",VLOOKUP(V55,'Tablas Magia'!$D$6:$Z$680,17,FALSE))</f>
        <v>#N/A</v>
      </c>
      <c r="AA59" s="6509" t="e">
        <f>IF(V55=0,"",VLOOKUP(V55,'Tablas Magia'!$D$6:$Z$680,21,FALSE))</f>
        <v>#N/A</v>
      </c>
      <c r="AB59" s="6510"/>
      <c r="AC59" s="6510"/>
      <c r="AD59" s="6510"/>
      <c r="AE59" s="6510"/>
      <c r="AF59" s="6510"/>
      <c r="AG59" s="6510"/>
      <c r="AH59" s="6510"/>
      <c r="AI59" s="6510"/>
      <c r="AJ59" s="6511"/>
      <c r="AK59" s="398"/>
      <c r="AL59" s="392"/>
    </row>
    <row r="60" spans="1:38" ht="12" customHeight="1" thickBot="1" x14ac:dyDescent="0.25">
      <c r="A60" s="2505"/>
      <c r="B60" s="800"/>
      <c r="C60" s="6512" t="s">
        <v>3198</v>
      </c>
      <c r="D60" s="6513"/>
      <c r="E60" s="411" t="e">
        <f>IF(C55=0,"",VLOOKUP(C55,'Tablas Magia'!$D$6:$Z$680,10,FALSE))</f>
        <v>#N/A</v>
      </c>
      <c r="F60" s="411" t="e">
        <f>IF(C55=0,"",VLOOKUP(C55,'Tablas Magia'!$D$6:$Z$680,14,FALSE))</f>
        <v>#N/A</v>
      </c>
      <c r="G60" s="412" t="e">
        <f>IF(C55=0,"",VLOOKUP(C55,'Tablas Magia'!$D$6:$Z$680,18,FALSE))</f>
        <v>#N/A</v>
      </c>
      <c r="H60" s="6514" t="e">
        <f>IF(C55=0,"",VLOOKUP(C55,'Tablas Magia'!$D$6:$Z$680,22,FALSE))</f>
        <v>#N/A</v>
      </c>
      <c r="I60" s="6515"/>
      <c r="J60" s="6515"/>
      <c r="K60" s="6515"/>
      <c r="L60" s="6515"/>
      <c r="M60" s="6515"/>
      <c r="N60" s="6515"/>
      <c r="O60" s="6515"/>
      <c r="P60" s="6515"/>
      <c r="Q60" s="6516"/>
      <c r="R60" s="398"/>
      <c r="S60" s="392"/>
      <c r="T60" s="392"/>
      <c r="U60" s="800"/>
      <c r="V60" s="6512" t="s">
        <v>3198</v>
      </c>
      <c r="W60" s="6513"/>
      <c r="X60" s="411" t="e">
        <f>IF(V55=0,"",VLOOKUP(V55,'Tablas Magia'!$D$6:$Z$680,10,FALSE))</f>
        <v>#N/A</v>
      </c>
      <c r="Y60" s="411" t="e">
        <f>IF(V55=0,"",VLOOKUP(V55,'Tablas Magia'!$D$6:$Z$680,14,FALSE))</f>
        <v>#N/A</v>
      </c>
      <c r="Z60" s="412" t="e">
        <f>IF(V55=0,"",VLOOKUP(V55,'Tablas Magia'!$D$6:$Z$680,18,FALSE))</f>
        <v>#N/A</v>
      </c>
      <c r="AA60" s="6514" t="e">
        <f>IF(V55=0,"",VLOOKUP(V55,'Tablas Magia'!$D$6:$Z$680,22,FALSE))</f>
        <v>#N/A</v>
      </c>
      <c r="AB60" s="6515"/>
      <c r="AC60" s="6515"/>
      <c r="AD60" s="6515"/>
      <c r="AE60" s="6515"/>
      <c r="AF60" s="6515"/>
      <c r="AG60" s="6515"/>
      <c r="AH60" s="6515"/>
      <c r="AI60" s="6515"/>
      <c r="AJ60" s="6516"/>
      <c r="AK60" s="398"/>
      <c r="AL60" s="392"/>
    </row>
    <row r="61" spans="1:38" ht="12" customHeight="1" x14ac:dyDescent="0.2">
      <c r="A61" s="2505"/>
      <c r="B61" s="800"/>
      <c r="C61" s="6517" t="e">
        <f>IF(C55=0,"",VLOOKUP(C55,'Tablas Magia'!$D$6:$Z$680,23,FALSE))</f>
        <v>#N/A</v>
      </c>
      <c r="D61" s="6518"/>
      <c r="E61" s="6518"/>
      <c r="F61" s="6518"/>
      <c r="G61" s="6518"/>
      <c r="H61" s="6518"/>
      <c r="I61" s="6518"/>
      <c r="J61" s="6518"/>
      <c r="K61" s="6518"/>
      <c r="L61" s="6518"/>
      <c r="M61" s="6518"/>
      <c r="N61" s="6518"/>
      <c r="O61" s="6518"/>
      <c r="P61" s="6518"/>
      <c r="Q61" s="6519"/>
      <c r="R61" s="398"/>
      <c r="S61" s="392"/>
      <c r="T61" s="392"/>
      <c r="U61" s="800"/>
      <c r="V61" s="6517" t="e">
        <f>IF(V55=0,"",VLOOKUP(V55,'Tablas Magia'!$D$6:$Z$680,23,FALSE))</f>
        <v>#N/A</v>
      </c>
      <c r="W61" s="6518"/>
      <c r="X61" s="6518"/>
      <c r="Y61" s="6518"/>
      <c r="Z61" s="6518"/>
      <c r="AA61" s="6518"/>
      <c r="AB61" s="6518"/>
      <c r="AC61" s="6518"/>
      <c r="AD61" s="6518"/>
      <c r="AE61" s="6518"/>
      <c r="AF61" s="6518"/>
      <c r="AG61" s="6518"/>
      <c r="AH61" s="6518"/>
      <c r="AI61" s="6518"/>
      <c r="AJ61" s="6519"/>
      <c r="AK61" s="398"/>
      <c r="AL61" s="392"/>
    </row>
    <row r="62" spans="1:38" ht="12" customHeight="1" x14ac:dyDescent="0.2">
      <c r="A62" s="2505"/>
      <c r="B62" s="800"/>
      <c r="C62" s="6520"/>
      <c r="D62" s="6543"/>
      <c r="E62" s="6543"/>
      <c r="F62" s="6543"/>
      <c r="G62" s="6543"/>
      <c r="H62" s="6543"/>
      <c r="I62" s="6543"/>
      <c r="J62" s="6543"/>
      <c r="K62" s="6543"/>
      <c r="L62" s="6543"/>
      <c r="M62" s="6543"/>
      <c r="N62" s="6543"/>
      <c r="O62" s="6543"/>
      <c r="P62" s="6543"/>
      <c r="Q62" s="6522"/>
      <c r="R62" s="398"/>
      <c r="S62" s="392"/>
      <c r="T62" s="392"/>
      <c r="U62" s="800"/>
      <c r="V62" s="6520"/>
      <c r="W62" s="6521"/>
      <c r="X62" s="6521"/>
      <c r="Y62" s="6521"/>
      <c r="Z62" s="6521"/>
      <c r="AA62" s="6521"/>
      <c r="AB62" s="6521"/>
      <c r="AC62" s="6521"/>
      <c r="AD62" s="6521"/>
      <c r="AE62" s="6521"/>
      <c r="AF62" s="6521"/>
      <c r="AG62" s="6521"/>
      <c r="AH62" s="6521"/>
      <c r="AI62" s="6521"/>
      <c r="AJ62" s="6522"/>
      <c r="AK62" s="398"/>
      <c r="AL62" s="392"/>
    </row>
    <row r="63" spans="1:38" ht="12" customHeight="1" x14ac:dyDescent="0.2">
      <c r="A63" s="2505"/>
      <c r="B63" s="800"/>
      <c r="C63" s="6520"/>
      <c r="D63" s="6543"/>
      <c r="E63" s="6543"/>
      <c r="F63" s="6543"/>
      <c r="G63" s="6543"/>
      <c r="H63" s="6543"/>
      <c r="I63" s="6543"/>
      <c r="J63" s="6543"/>
      <c r="K63" s="6543"/>
      <c r="L63" s="6543"/>
      <c r="M63" s="6543"/>
      <c r="N63" s="6543"/>
      <c r="O63" s="6543"/>
      <c r="P63" s="6543"/>
      <c r="Q63" s="6522"/>
      <c r="R63" s="398"/>
      <c r="S63" s="392"/>
      <c r="T63" s="392"/>
      <c r="U63" s="800"/>
      <c r="V63" s="6520"/>
      <c r="W63" s="6521"/>
      <c r="X63" s="6521"/>
      <c r="Y63" s="6521"/>
      <c r="Z63" s="6521"/>
      <c r="AA63" s="6521"/>
      <c r="AB63" s="6521"/>
      <c r="AC63" s="6521"/>
      <c r="AD63" s="6521"/>
      <c r="AE63" s="6521"/>
      <c r="AF63" s="6521"/>
      <c r="AG63" s="6521"/>
      <c r="AH63" s="6521"/>
      <c r="AI63" s="6521"/>
      <c r="AJ63" s="6522"/>
      <c r="AK63" s="398"/>
      <c r="AL63" s="392"/>
    </row>
    <row r="64" spans="1:38" ht="12" customHeight="1" thickBot="1" x14ac:dyDescent="0.25">
      <c r="A64" s="2505"/>
      <c r="B64" s="800"/>
      <c r="C64" s="6523"/>
      <c r="D64" s="6524"/>
      <c r="E64" s="6524"/>
      <c r="F64" s="6524"/>
      <c r="G64" s="6524"/>
      <c r="H64" s="6524"/>
      <c r="I64" s="6524"/>
      <c r="J64" s="6524"/>
      <c r="K64" s="6524"/>
      <c r="L64" s="6524"/>
      <c r="M64" s="6524"/>
      <c r="N64" s="6524"/>
      <c r="O64" s="6524"/>
      <c r="P64" s="6524"/>
      <c r="Q64" s="6525"/>
      <c r="R64" s="398"/>
      <c r="S64" s="392"/>
      <c r="T64" s="1420"/>
      <c r="U64" s="800"/>
      <c r="V64" s="6523"/>
      <c r="W64" s="6524"/>
      <c r="X64" s="6524"/>
      <c r="Y64" s="6524"/>
      <c r="Z64" s="6524"/>
      <c r="AA64" s="6524"/>
      <c r="AB64" s="6524"/>
      <c r="AC64" s="6524"/>
      <c r="AD64" s="6524"/>
      <c r="AE64" s="6524"/>
      <c r="AF64" s="6524"/>
      <c r="AG64" s="6524"/>
      <c r="AH64" s="6524"/>
      <c r="AI64" s="6524"/>
      <c r="AJ64" s="6525"/>
      <c r="AK64" s="398"/>
      <c r="AL64" s="392"/>
    </row>
    <row r="65" spans="1:38" ht="12" customHeight="1" x14ac:dyDescent="0.2">
      <c r="A65" s="2505"/>
      <c r="B65" s="800"/>
      <c r="C65" s="2511"/>
      <c r="D65" s="2511"/>
      <c r="E65" s="2511"/>
      <c r="F65" s="2511"/>
      <c r="G65" s="2511"/>
      <c r="H65" s="2511"/>
      <c r="I65" s="2511"/>
      <c r="J65" s="2511"/>
      <c r="K65" s="2511"/>
      <c r="L65" s="2511"/>
      <c r="M65" s="2511"/>
      <c r="N65" s="2511"/>
      <c r="O65" s="2511"/>
      <c r="P65" s="2511"/>
      <c r="Q65" s="2511"/>
      <c r="R65" s="398"/>
      <c r="S65" s="2505"/>
      <c r="T65" s="1420"/>
      <c r="U65" s="800"/>
      <c r="V65" s="2511"/>
      <c r="W65" s="2511"/>
      <c r="X65" s="2511"/>
      <c r="Y65" s="2511"/>
      <c r="Z65" s="2511"/>
      <c r="AA65" s="2511"/>
      <c r="AB65" s="2511"/>
      <c r="AC65" s="2511"/>
      <c r="AD65" s="2511"/>
      <c r="AE65" s="2511"/>
      <c r="AF65" s="2511"/>
      <c r="AG65" s="2511"/>
      <c r="AH65" s="2511"/>
      <c r="AI65" s="2511"/>
      <c r="AJ65" s="2511"/>
      <c r="AK65" s="398"/>
      <c r="AL65" s="2505"/>
    </row>
    <row r="66" spans="1:38" ht="12" customHeight="1" thickBot="1" x14ac:dyDescent="0.25">
      <c r="A66" s="2505"/>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2"/>
      <c r="C67" s="2503"/>
      <c r="D67" s="2503"/>
      <c r="E67" s="2503"/>
      <c r="F67" s="2503"/>
      <c r="G67" s="2503"/>
      <c r="H67" s="2503"/>
      <c r="I67" s="2503"/>
      <c r="J67" s="2503"/>
      <c r="K67" s="2503"/>
      <c r="L67" s="2503"/>
      <c r="M67" s="2503"/>
      <c r="N67" s="2503"/>
      <c r="O67" s="2503"/>
      <c r="P67" s="2503"/>
      <c r="Q67" s="2503"/>
      <c r="R67" s="2503"/>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5"/>
      <c r="B68" s="2505"/>
      <c r="C68" s="2505"/>
      <c r="D68" s="2505"/>
      <c r="E68" s="2505"/>
      <c r="F68" s="2505"/>
      <c r="G68" s="2505"/>
      <c r="H68" s="2505"/>
      <c r="I68" s="2505"/>
      <c r="J68" s="2505"/>
      <c r="K68" s="2505"/>
      <c r="L68" s="2505"/>
      <c r="M68" s="2505"/>
      <c r="N68" s="2505"/>
      <c r="O68" s="2505"/>
      <c r="P68" s="2505"/>
      <c r="Q68" s="2505"/>
      <c r="R68" s="2505"/>
      <c r="S68" s="2505"/>
      <c r="T68" s="1420"/>
      <c r="U68" s="798"/>
      <c r="V68" s="2466"/>
      <c r="W68" s="2466"/>
      <c r="X68" s="2466"/>
      <c r="Y68" s="2466"/>
      <c r="Z68" s="2466"/>
      <c r="AA68" s="2466"/>
      <c r="AB68" s="2466"/>
      <c r="AC68" s="2466"/>
      <c r="AD68" s="2466"/>
      <c r="AE68" s="2466"/>
      <c r="AF68" s="2466"/>
      <c r="AG68" s="2466"/>
      <c r="AH68" s="2466"/>
      <c r="AI68" s="2466"/>
      <c r="AJ68" s="2466"/>
      <c r="AK68" s="2466"/>
      <c r="AL68" s="2466"/>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496"/>
      <c r="D70" s="6497"/>
      <c r="E70" s="6497"/>
      <c r="F70" s="6497"/>
      <c r="G70" s="6497"/>
      <c r="H70" s="6497"/>
      <c r="I70" s="2467"/>
      <c r="J70" s="2467"/>
      <c r="K70" s="2467"/>
      <c r="L70" s="2467"/>
      <c r="M70" s="2467"/>
      <c r="N70" s="2467"/>
      <c r="O70" s="2467"/>
      <c r="P70" s="2467"/>
      <c r="Q70" s="397"/>
      <c r="R70" s="398"/>
      <c r="S70" s="1420"/>
      <c r="T70" s="1420"/>
      <c r="U70" s="1082"/>
      <c r="V70" s="6496"/>
      <c r="W70" s="6497"/>
      <c r="X70" s="6497"/>
      <c r="Y70" s="6497"/>
      <c r="Z70" s="6497"/>
      <c r="AA70" s="6497"/>
      <c r="AB70" s="2467"/>
      <c r="AC70" s="2467"/>
      <c r="AD70" s="2467"/>
      <c r="AE70" s="2467"/>
      <c r="AF70" s="2467"/>
      <c r="AG70" s="2467"/>
      <c r="AH70" s="2467"/>
      <c r="AI70" s="2467"/>
      <c r="AJ70" s="397"/>
      <c r="AK70" s="398"/>
      <c r="AL70" s="1420"/>
    </row>
    <row r="71" spans="1:38" s="805" customFormat="1" ht="12" customHeight="1" x14ac:dyDescent="0.2">
      <c r="A71" s="1718"/>
      <c r="B71" s="1717"/>
      <c r="C71" s="6498"/>
      <c r="D71" s="6499"/>
      <c r="E71" s="6499"/>
      <c r="F71" s="6499"/>
      <c r="G71" s="6499"/>
      <c r="H71" s="6499"/>
      <c r="I71" s="2480"/>
      <c r="J71" s="6536" t="s">
        <v>10042</v>
      </c>
      <c r="K71" s="6537"/>
      <c r="L71" s="6537"/>
      <c r="M71" s="6537"/>
      <c r="N71" s="6537"/>
      <c r="O71" s="6537"/>
      <c r="P71" s="6537"/>
      <c r="Q71" s="352"/>
      <c r="R71" s="804"/>
      <c r="S71" s="1718"/>
      <c r="T71" s="1718"/>
      <c r="U71" s="1717"/>
      <c r="V71" s="6498"/>
      <c r="W71" s="6499"/>
      <c r="X71" s="6499"/>
      <c r="Y71" s="6499"/>
      <c r="Z71" s="6499"/>
      <c r="AA71" s="6499"/>
      <c r="AB71" s="2468"/>
      <c r="AC71" s="6547" t="s">
        <v>10042</v>
      </c>
      <c r="AD71" s="6548"/>
      <c r="AE71" s="6548"/>
      <c r="AF71" s="6548"/>
      <c r="AG71" s="6548"/>
      <c r="AH71" s="6548"/>
      <c r="AI71" s="6548"/>
      <c r="AJ71" s="352"/>
      <c r="AK71" s="804"/>
      <c r="AL71" s="1718"/>
    </row>
    <row r="72" spans="1:38" ht="12" customHeight="1" x14ac:dyDescent="0.2">
      <c r="A72" s="1420"/>
      <c r="B72" s="1082"/>
      <c r="C72" s="6498"/>
      <c r="D72" s="6499"/>
      <c r="E72" s="6499"/>
      <c r="F72" s="6499"/>
      <c r="G72" s="6499"/>
      <c r="H72" s="6499"/>
      <c r="I72" s="2480"/>
      <c r="J72" s="6537"/>
      <c r="K72" s="6537"/>
      <c r="L72" s="6537"/>
      <c r="M72" s="6537"/>
      <c r="N72" s="6537"/>
      <c r="O72" s="6537"/>
      <c r="P72" s="6537"/>
      <c r="Q72" s="399"/>
      <c r="R72" s="398"/>
      <c r="S72" s="1420"/>
      <c r="T72" s="1420"/>
      <c r="U72" s="1082"/>
      <c r="V72" s="6498"/>
      <c r="W72" s="6499"/>
      <c r="X72" s="6499"/>
      <c r="Y72" s="6499"/>
      <c r="Z72" s="6499"/>
      <c r="AA72" s="6499"/>
      <c r="AB72" s="2468"/>
      <c r="AC72" s="6548"/>
      <c r="AD72" s="6548"/>
      <c r="AE72" s="6548"/>
      <c r="AF72" s="6548"/>
      <c r="AG72" s="6548"/>
      <c r="AH72" s="6548"/>
      <c r="AI72" s="6548"/>
      <c r="AJ72" s="399"/>
      <c r="AK72" s="398"/>
      <c r="AL72" s="1420"/>
    </row>
    <row r="73" spans="1:38" ht="12" customHeight="1" x14ac:dyDescent="0.2">
      <c r="A73" s="1420"/>
      <c r="B73" s="1082"/>
      <c r="C73" s="6498"/>
      <c r="D73" s="6499"/>
      <c r="E73" s="6499"/>
      <c r="F73" s="6499"/>
      <c r="G73" s="6499"/>
      <c r="H73" s="6499"/>
      <c r="I73" s="2481" t="s">
        <v>7039</v>
      </c>
      <c r="J73" s="6538" t="str">
        <f>IF($J$6="","",$J$6)</f>
        <v/>
      </c>
      <c r="K73" s="6538"/>
      <c r="L73" s="6538"/>
      <c r="M73" s="2482"/>
      <c r="N73" s="2482"/>
      <c r="O73" s="2483" t="str">
        <f>$O$6</f>
        <v>Nivel de vía aprendido</v>
      </c>
      <c r="P73" s="2484">
        <f>$P$6</f>
        <v>0</v>
      </c>
      <c r="Q73" s="399"/>
      <c r="R73" s="398"/>
      <c r="S73" s="1420"/>
      <c r="T73" s="1420"/>
      <c r="U73" s="1082"/>
      <c r="V73" s="6498"/>
      <c r="W73" s="6499"/>
      <c r="X73" s="6499"/>
      <c r="Y73" s="6499"/>
      <c r="Z73" s="6499"/>
      <c r="AA73" s="6499"/>
      <c r="AB73" s="2259" t="s">
        <v>7039</v>
      </c>
      <c r="AC73" s="6546" t="str">
        <f>IF($J$6="","",$J$6)</f>
        <v/>
      </c>
      <c r="AD73" s="6546"/>
      <c r="AE73" s="6546"/>
      <c r="AF73" s="2255"/>
      <c r="AG73" s="2255"/>
      <c r="AH73" s="2256" t="str">
        <f>$O$6</f>
        <v>Nivel de vía aprendido</v>
      </c>
      <c r="AI73" s="2257">
        <f>$P$6</f>
        <v>0</v>
      </c>
      <c r="AJ73" s="399"/>
      <c r="AK73" s="398"/>
      <c r="AL73" s="1420"/>
    </row>
    <row r="74" spans="1:38" ht="12" customHeight="1" x14ac:dyDescent="0.2">
      <c r="A74" s="1420"/>
      <c r="B74" s="1082"/>
      <c r="C74" s="6498"/>
      <c r="D74" s="6499"/>
      <c r="E74" s="6499"/>
      <c r="F74" s="6499"/>
      <c r="G74" s="6499"/>
      <c r="H74" s="6499"/>
      <c r="I74" s="2485" t="s">
        <v>7040</v>
      </c>
      <c r="J74" s="6538" t="str">
        <f>IF($J$8="","",$J$8)</f>
        <v/>
      </c>
      <c r="K74" s="6538"/>
      <c r="L74" s="6538"/>
      <c r="M74" s="2482"/>
      <c r="N74" s="2482"/>
      <c r="O74" s="2482"/>
      <c r="P74" s="2482"/>
      <c r="Q74" s="399"/>
      <c r="R74" s="398"/>
      <c r="S74" s="1420"/>
      <c r="T74" s="1420"/>
      <c r="U74" s="1082"/>
      <c r="V74" s="6498"/>
      <c r="W74" s="6499"/>
      <c r="X74" s="6499"/>
      <c r="Y74" s="6499"/>
      <c r="Z74" s="6499"/>
      <c r="AA74" s="6499"/>
      <c r="AB74" s="2260" t="s">
        <v>7040</v>
      </c>
      <c r="AC74" s="6546" t="str">
        <f>IF($J$8="","",$J$8)</f>
        <v/>
      </c>
      <c r="AD74" s="6546"/>
      <c r="AE74" s="6546"/>
      <c r="AF74" s="2255"/>
      <c r="AG74" s="2255"/>
      <c r="AH74" s="2255"/>
      <c r="AI74" s="2255"/>
      <c r="AJ74" s="399"/>
      <c r="AK74" s="398"/>
      <c r="AL74" s="1420"/>
    </row>
    <row r="75" spans="1:38" ht="12" customHeight="1" thickBot="1" x14ac:dyDescent="0.25">
      <c r="A75" s="1420"/>
      <c r="B75" s="1082"/>
      <c r="C75" s="6500"/>
      <c r="D75" s="6501"/>
      <c r="E75" s="6501"/>
      <c r="F75" s="6501"/>
      <c r="G75" s="6501"/>
      <c r="H75" s="6501"/>
      <c r="I75" s="2469"/>
      <c r="J75" s="2469"/>
      <c r="K75" s="2469"/>
      <c r="L75" s="2469"/>
      <c r="M75" s="2469"/>
      <c r="N75" s="2469"/>
      <c r="O75" s="2469"/>
      <c r="P75" s="2469"/>
      <c r="Q75" s="401"/>
      <c r="R75" s="398"/>
      <c r="S75" s="1420"/>
      <c r="T75" s="1420"/>
      <c r="U75" s="1082"/>
      <c r="V75" s="6500"/>
      <c r="W75" s="6501"/>
      <c r="X75" s="6501"/>
      <c r="Y75" s="6501"/>
      <c r="Z75" s="6501"/>
      <c r="AA75" s="6501"/>
      <c r="AB75" s="2469"/>
      <c r="AC75" s="2469"/>
      <c r="AD75" s="2469"/>
      <c r="AE75" s="2469"/>
      <c r="AF75" s="2469"/>
      <c r="AG75" s="2469"/>
      <c r="AH75" s="2469"/>
      <c r="AI75" s="2469"/>
      <c r="AJ75" s="401"/>
      <c r="AK75" s="398"/>
      <c r="AL75" s="1420"/>
    </row>
    <row r="76" spans="1:38" ht="12" customHeight="1" x14ac:dyDescent="0.2">
      <c r="A76" s="1420"/>
      <c r="B76" s="1082"/>
      <c r="C76" s="2486"/>
      <c r="D76" s="2486"/>
      <c r="E76" s="2486"/>
      <c r="F76" s="2486"/>
      <c r="G76" s="2486"/>
      <c r="H76" s="2486"/>
      <c r="I76" s="2486"/>
      <c r="J76" s="2486"/>
      <c r="K76" s="2486"/>
      <c r="L76" s="2486"/>
      <c r="M76" s="2486"/>
      <c r="N76" s="2486"/>
      <c r="O76" s="2486"/>
      <c r="P76" s="2486"/>
      <c r="Q76" s="2486"/>
      <c r="R76" s="398"/>
      <c r="S76" s="1420"/>
      <c r="T76" s="1420"/>
      <c r="U76" s="1082"/>
      <c r="AK76" s="398"/>
      <c r="AL76" s="1420"/>
    </row>
    <row r="77" spans="1:38" ht="12" customHeight="1" thickBot="1" x14ac:dyDescent="0.25">
      <c r="A77" s="1420"/>
      <c r="B77" s="808"/>
      <c r="C77" s="6555" t="str">
        <f>"Conjuros de nivel "&amp;B78&amp;"-"&amp;B122</f>
        <v>Conjuros de nivel 22-30</v>
      </c>
      <c r="D77" s="6555"/>
      <c r="E77" s="6555"/>
      <c r="F77" s="6555"/>
      <c r="G77" s="6555"/>
      <c r="H77" s="6555"/>
      <c r="I77" s="6555"/>
      <c r="J77" s="6555"/>
      <c r="K77" s="6555"/>
      <c r="L77" s="6555"/>
      <c r="M77" s="6555"/>
      <c r="N77" s="6555"/>
      <c r="O77" s="6555"/>
      <c r="P77" s="6555"/>
      <c r="Q77" s="6555"/>
      <c r="R77" s="806"/>
      <c r="S77" s="1420"/>
      <c r="T77" s="392"/>
      <c r="U77" s="808"/>
      <c r="V77" s="6555" t="str">
        <f>"Conjuros de nivel "&amp;U78&amp;"-"&amp;U122</f>
        <v>Conjuros de nivel 32-40</v>
      </c>
      <c r="W77" s="6555"/>
      <c r="X77" s="6555"/>
      <c r="Y77" s="6555"/>
      <c r="Z77" s="6555"/>
      <c r="AA77" s="6555"/>
      <c r="AB77" s="6555"/>
      <c r="AC77" s="6555"/>
      <c r="AD77" s="6555"/>
      <c r="AE77" s="6555"/>
      <c r="AF77" s="6555"/>
      <c r="AG77" s="6555"/>
      <c r="AH77" s="6555"/>
      <c r="AI77" s="6555"/>
      <c r="AJ77" s="6555"/>
      <c r="AK77" s="807"/>
      <c r="AL77" s="392"/>
    </row>
    <row r="78" spans="1:38" ht="12" customHeight="1" x14ac:dyDescent="0.2">
      <c r="A78" s="1420"/>
      <c r="B78" s="800">
        <f>B11+20</f>
        <v>22</v>
      </c>
      <c r="C78" s="6559" t="str">
        <f>IFERROR(VLOOKUP($J$6&amp;B78,'Tablas Magia'!$B$6:$D$680,3,FALSE),IFERROR(VLOOKUP($J$8&amp;B78,'Tablas Magia'!$B$6:$D$680,3,FALSE),IFERROR(VLOOKUP($J$6&amp;B78,Místicos!$AD$12:$AJ$50,4,FALSE),"Libre Acceso 1-"&amp;ROUNDUP(B78/10,0)*10)))</f>
        <v>Libre Acceso 1-30</v>
      </c>
      <c r="D78" s="6560"/>
      <c r="E78" s="6560"/>
      <c r="F78" s="6560"/>
      <c r="G78" s="6561"/>
      <c r="H78" s="402" t="s">
        <v>1325</v>
      </c>
      <c r="I78" s="403">
        <f>B78</f>
        <v>22</v>
      </c>
      <c r="J78" s="6544" t="s">
        <v>6231</v>
      </c>
      <c r="K78" s="6544"/>
      <c r="L78" s="6544"/>
      <c r="M78" s="6529" t="e">
        <f>IF(C78=0,"",VLOOKUP(C78,'Tablas Magia'!$D$6:$Z$680,2,FALSE))</f>
        <v>#N/A</v>
      </c>
      <c r="N78" s="6529"/>
      <c r="O78" s="1705"/>
      <c r="P78" s="6550" t="str">
        <f>IFERROR(IF(M78="Libre Acceso","Aprendido",IF(IFERROR(VLOOKUP(M78,Místicos!$C$15:$H$25,6,0)&gt;=I78,FALSE),"Aprendido",IF(IFERROR(VLOOKUP(M78,Místicos!$E$15:$H$25,4,0)&gt;=I78,FALSE),"Aprendido",""))),"")</f>
        <v/>
      </c>
      <c r="Q78" s="6551"/>
      <c r="R78" s="398"/>
      <c r="S78" s="392"/>
      <c r="T78" s="392"/>
      <c r="U78" s="800">
        <f>B122+2</f>
        <v>32</v>
      </c>
      <c r="V78" s="6559" t="str">
        <f>IFERROR(VLOOKUP($J$6&amp;U78,'Tablas Magia'!$B$6:$D$680,3,FALSE),IFERROR(VLOOKUP($J$8&amp;U78,'Tablas Magia'!$B$6:$D$680,3,FALSE),IFERROR(VLOOKUP($J$6&amp;U78,Místicos!$AD$12:$AJ$50,4,FALSE),"Libre Acceso 1-"&amp;ROUNDUP(U78/10,0)*10)))</f>
        <v>Libre Acceso 1-40</v>
      </c>
      <c r="W78" s="6560"/>
      <c r="X78" s="6560"/>
      <c r="Y78" s="6560"/>
      <c r="Z78" s="6561"/>
      <c r="AA78" s="402" t="s">
        <v>1325</v>
      </c>
      <c r="AB78" s="403">
        <f>U78</f>
        <v>32</v>
      </c>
      <c r="AC78" s="6544" t="s">
        <v>6231</v>
      </c>
      <c r="AD78" s="6544"/>
      <c r="AE78" s="6544"/>
      <c r="AF78" s="6529" t="e">
        <f>IF(V78=0,"",VLOOKUP(V78,'Tablas Magia'!$D$6:$Z$680,2,FALSE))</f>
        <v>#N/A</v>
      </c>
      <c r="AG78" s="6529"/>
      <c r="AH78" s="1705"/>
      <c r="AI78" s="6550" t="str">
        <f>IFERROR(IF(AF78="Libre Acceso","Aprendido",IF(IFERROR(VLOOKUP(AF78,Místicos!$C$15:$H$25,6,0)&gt;=AB78,FALSE),"Aprendido",IF(IFERROR(VLOOKUP(AF78,Místicos!$E$15:$H$25,4,0)&gt;=AB78,FALSE),"Aprendido",""))),"")</f>
        <v/>
      </c>
      <c r="AJ78" s="6551"/>
      <c r="AK78" s="398"/>
      <c r="AL78" s="392"/>
    </row>
    <row r="79" spans="1:38" ht="12" customHeight="1" x14ac:dyDescent="0.2">
      <c r="A79" s="392"/>
      <c r="B79" s="800"/>
      <c r="C79" s="6531" t="s">
        <v>6232</v>
      </c>
      <c r="D79" s="6545"/>
      <c r="E79" s="2487" t="s">
        <v>6233</v>
      </c>
      <c r="F79" s="2487" t="s">
        <v>1508</v>
      </c>
      <c r="G79" s="2487" t="s">
        <v>2827</v>
      </c>
      <c r="H79" s="2488" t="s">
        <v>1835</v>
      </c>
      <c r="I79" s="6553" t="e">
        <f>IF(C78=0,"",VLOOKUP(C78,'Tablas Magia'!$D$6:$Z$680,5,FALSE))</f>
        <v>#N/A</v>
      </c>
      <c r="J79" s="6553"/>
      <c r="K79" s="6556" t="s">
        <v>6234</v>
      </c>
      <c r="L79" s="6556"/>
      <c r="M79" s="6553" t="e">
        <f>IF(C78=0,"",VLOOKUP(C78,'Tablas Magia'!$D$6:$Z$680,6,FALSE))</f>
        <v>#N/A</v>
      </c>
      <c r="N79" s="6553"/>
      <c r="O79" s="6554" t="s">
        <v>6235</v>
      </c>
      <c r="P79" s="6554"/>
      <c r="Q79" s="2489" t="e">
        <f>IF(C78=0,"",VLOOKUP(C78,'Tablas Magia'!$D$6:$Z$680,4,FALSE))</f>
        <v>#N/A</v>
      </c>
      <c r="R79" s="398"/>
      <c r="S79" s="392"/>
      <c r="T79" s="392"/>
      <c r="U79" s="800"/>
      <c r="V79" s="6531" t="s">
        <v>6232</v>
      </c>
      <c r="W79" s="6562"/>
      <c r="X79" s="1714" t="s">
        <v>6233</v>
      </c>
      <c r="Y79" s="1714" t="s">
        <v>1508</v>
      </c>
      <c r="Z79" s="1714" t="s">
        <v>2827</v>
      </c>
      <c r="AA79" s="1715" t="s">
        <v>1835</v>
      </c>
      <c r="AB79" s="6549" t="e">
        <f>IF(V78=0,"",VLOOKUP(V78,'Tablas Magia'!$D$6:$Z$680,5,FALSE))</f>
        <v>#N/A</v>
      </c>
      <c r="AC79" s="6549"/>
      <c r="AD79" s="6563" t="s">
        <v>6234</v>
      </c>
      <c r="AE79" s="6563"/>
      <c r="AF79" s="6549" t="e">
        <f>IF(V78=0,"",VLOOKUP(V78,'Tablas Magia'!$D$6:$Z$680,6,FALSE))</f>
        <v>#N/A</v>
      </c>
      <c r="AG79" s="6549"/>
      <c r="AH79" s="6564" t="s">
        <v>6235</v>
      </c>
      <c r="AI79" s="6564"/>
      <c r="AJ79" s="1716" t="e">
        <f>IF(V78=0,"",VLOOKUP(V78,'Tablas Magia'!$D$6:$Z$680,4,FALSE))</f>
        <v>#N/A</v>
      </c>
      <c r="AK79" s="398"/>
      <c r="AL79" s="392"/>
    </row>
    <row r="80" spans="1:38" ht="12" customHeight="1" x14ac:dyDescent="0.2">
      <c r="A80" s="392"/>
      <c r="B80" s="800"/>
      <c r="C80" s="6507" t="s">
        <v>1365</v>
      </c>
      <c r="D80" s="6508"/>
      <c r="E80" s="2490" t="e">
        <f>IF(C78=0,"",VLOOKUP(C78,'Tablas Magia'!$D$6:$Z$680,7,FALSE))</f>
        <v>#N/A</v>
      </c>
      <c r="F80" s="2490" t="e">
        <f>IF(C78=0,"",VLOOKUP(C78,'Tablas Magia'!$D$6:$Z$680,11,FALSE))</f>
        <v>#N/A</v>
      </c>
      <c r="G80" s="408" t="e">
        <f>IF(C78=0,"",VLOOKUP(C78,'Tablas Magia'!$D$6:$Z$680,15,FALSE))</f>
        <v>#N/A</v>
      </c>
      <c r="H80" s="6509" t="e">
        <f>IF(C78=0,"",VLOOKUP(C78,'Tablas Magia'!$D$6:$Z$680,19,FALSE))</f>
        <v>#N/A</v>
      </c>
      <c r="I80" s="6552"/>
      <c r="J80" s="6552"/>
      <c r="K80" s="6552"/>
      <c r="L80" s="6552"/>
      <c r="M80" s="6552"/>
      <c r="N80" s="6552"/>
      <c r="O80" s="6552"/>
      <c r="P80" s="6552"/>
      <c r="Q80" s="6511"/>
      <c r="R80" s="398"/>
      <c r="S80" s="392"/>
      <c r="T80" s="392"/>
      <c r="U80" s="800"/>
      <c r="V80" s="6557" t="s">
        <v>1365</v>
      </c>
      <c r="W80" s="6558"/>
      <c r="X80" s="407" t="e">
        <f>IF(V78=0,"",VLOOKUP(V78,'Tablas Magia'!$D$6:$Z$680,7,FALSE))</f>
        <v>#N/A</v>
      </c>
      <c r="Y80" s="407" t="e">
        <f>IF(V78=0,"",VLOOKUP(V78,'Tablas Magia'!$D$6:$Z$680,11,FALSE))</f>
        <v>#N/A</v>
      </c>
      <c r="Z80" s="408" t="e">
        <f>IF(V78=0,"",VLOOKUP(V78,'Tablas Magia'!$D$6:$Z$680,15,FALSE))</f>
        <v>#N/A</v>
      </c>
      <c r="AA80" s="6539" t="e">
        <f>IF(V78=0,"",VLOOKUP(V78,'Tablas Magia'!$D$6:$Z$680,19,FALSE))</f>
        <v>#N/A</v>
      </c>
      <c r="AB80" s="6540"/>
      <c r="AC80" s="6540"/>
      <c r="AD80" s="6540"/>
      <c r="AE80" s="6540"/>
      <c r="AF80" s="6540"/>
      <c r="AG80" s="6540"/>
      <c r="AH80" s="6540"/>
      <c r="AI80" s="6540"/>
      <c r="AJ80" s="6541"/>
      <c r="AK80" s="398"/>
      <c r="AL80" s="392"/>
    </row>
    <row r="81" spans="1:38" ht="12" customHeight="1" x14ac:dyDescent="0.2">
      <c r="A81" s="392"/>
      <c r="B81" s="800"/>
      <c r="C81" s="6502" t="s">
        <v>3196</v>
      </c>
      <c r="D81" s="6503"/>
      <c r="E81" s="2491" t="e">
        <f>IF(C78=0,"",VLOOKUP(C78,'Tablas Magia'!$D$6:$Z$680,8,FALSE))</f>
        <v>#N/A</v>
      </c>
      <c r="F81" s="2491" t="e">
        <f>IF(C78=0,"",VLOOKUP(C78,'Tablas Magia'!$D$6:$Z$680,12,FALSE))</f>
        <v>#N/A</v>
      </c>
      <c r="G81" s="410" t="e">
        <f>IF(C78=0,"",VLOOKUP(C78,'Tablas Magia'!$D$6:$Z$680,16,FALSE))</f>
        <v>#N/A</v>
      </c>
      <c r="H81" s="6504" t="e">
        <f>IF(C78=0,"",VLOOKUP(C78,'Tablas Magia'!$D$6:$Z$680,20,FALSE))</f>
        <v>#N/A</v>
      </c>
      <c r="I81" s="6542"/>
      <c r="J81" s="6542"/>
      <c r="K81" s="6542"/>
      <c r="L81" s="6542"/>
      <c r="M81" s="6542"/>
      <c r="N81" s="6542"/>
      <c r="O81" s="6542"/>
      <c r="P81" s="6542"/>
      <c r="Q81" s="6506"/>
      <c r="R81" s="398"/>
      <c r="S81" s="392"/>
      <c r="T81" s="392"/>
      <c r="U81" s="800"/>
      <c r="V81" s="6502" t="s">
        <v>3196</v>
      </c>
      <c r="W81" s="6503"/>
      <c r="X81" s="409" t="e">
        <f>IF(V78=0,"",VLOOKUP(V78,'Tablas Magia'!$D$6:$Z$680,8,FALSE))</f>
        <v>#N/A</v>
      </c>
      <c r="Y81" s="409" t="e">
        <f>IF(V78=0,"",VLOOKUP(V78,'Tablas Magia'!$D$6:$Z$680,12,FALSE))</f>
        <v>#N/A</v>
      </c>
      <c r="Z81" s="410" t="e">
        <f>IF(V78=0,"",VLOOKUP(V78,'Tablas Magia'!$D$6:$Z$680,16,FALSE))</f>
        <v>#N/A</v>
      </c>
      <c r="AA81" s="6504" t="e">
        <f>IF(V78=0,"",VLOOKUP(V78,'Tablas Magia'!$D$6:$Z$680,20,FALSE))</f>
        <v>#N/A</v>
      </c>
      <c r="AB81" s="6505"/>
      <c r="AC81" s="6505"/>
      <c r="AD81" s="6505"/>
      <c r="AE81" s="6505"/>
      <c r="AF81" s="6505"/>
      <c r="AG81" s="6505"/>
      <c r="AH81" s="6505"/>
      <c r="AI81" s="6505"/>
      <c r="AJ81" s="6506"/>
      <c r="AK81" s="398"/>
      <c r="AL81" s="392"/>
    </row>
    <row r="82" spans="1:38" ht="12" customHeight="1" x14ac:dyDescent="0.2">
      <c r="A82" s="392"/>
      <c r="B82" s="800"/>
      <c r="C82" s="6507" t="s">
        <v>3197</v>
      </c>
      <c r="D82" s="6508"/>
      <c r="E82" s="2490" t="e">
        <f>IF(C78=0,"",VLOOKUP(C78,'Tablas Magia'!$D$6:$Z$680,9,FALSE))</f>
        <v>#N/A</v>
      </c>
      <c r="F82" s="2490" t="e">
        <f>IF(C78=0,"",VLOOKUP(C78,'Tablas Magia'!$D$6:$Z$680,13,FALSE))</f>
        <v>#N/A</v>
      </c>
      <c r="G82" s="408" t="e">
        <f>IF(C78=0,"",VLOOKUP(C78,'Tablas Magia'!$D$6:$Z$680,17,FALSE))</f>
        <v>#N/A</v>
      </c>
      <c r="H82" s="6509" t="e">
        <f>IF(C78=0,"",VLOOKUP(C78,'Tablas Magia'!$D$6:$Z$680,21,FALSE))</f>
        <v>#N/A</v>
      </c>
      <c r="I82" s="6552"/>
      <c r="J82" s="6552"/>
      <c r="K82" s="6552"/>
      <c r="L82" s="6552"/>
      <c r="M82" s="6552"/>
      <c r="N82" s="6552"/>
      <c r="O82" s="6552"/>
      <c r="P82" s="6552"/>
      <c r="Q82" s="6511"/>
      <c r="R82" s="398"/>
      <c r="S82" s="392"/>
      <c r="T82" s="392"/>
      <c r="U82" s="800"/>
      <c r="V82" s="6507" t="s">
        <v>3197</v>
      </c>
      <c r="W82" s="6508"/>
      <c r="X82" s="407" t="e">
        <f>IF(V78=0,"",VLOOKUP(V78,'Tablas Magia'!$D$6:$Z$680,9,FALSE))</f>
        <v>#N/A</v>
      </c>
      <c r="Y82" s="407" t="e">
        <f>IF(V78=0,"",VLOOKUP(V78,'Tablas Magia'!$D$6:$Z$680,13,FALSE))</f>
        <v>#N/A</v>
      </c>
      <c r="Z82" s="408" t="e">
        <f>IF(V78=0,"",VLOOKUP(V78,'Tablas Magia'!$D$6:$Z$680,17,FALSE))</f>
        <v>#N/A</v>
      </c>
      <c r="AA82" s="6509" t="e">
        <f>IF(V78=0,"",VLOOKUP(V78,'Tablas Magia'!$D$6:$Z$680,21,FALSE))</f>
        <v>#N/A</v>
      </c>
      <c r="AB82" s="6510"/>
      <c r="AC82" s="6510"/>
      <c r="AD82" s="6510"/>
      <c r="AE82" s="6510"/>
      <c r="AF82" s="6510"/>
      <c r="AG82" s="6510"/>
      <c r="AH82" s="6510"/>
      <c r="AI82" s="6510"/>
      <c r="AJ82" s="6511"/>
      <c r="AK82" s="398"/>
      <c r="AL82" s="392"/>
    </row>
    <row r="83" spans="1:38" ht="12" customHeight="1" thickBot="1" x14ac:dyDescent="0.25">
      <c r="A83" s="392"/>
      <c r="B83" s="800"/>
      <c r="C83" s="6512" t="s">
        <v>3198</v>
      </c>
      <c r="D83" s="6513"/>
      <c r="E83" s="411" t="e">
        <f>IF(C78=0,"",VLOOKUP(C78,'Tablas Magia'!$D$6:$Z$680,10,FALSE))</f>
        <v>#N/A</v>
      </c>
      <c r="F83" s="411" t="e">
        <f>IF(C78=0,"",VLOOKUP(C78,'Tablas Magia'!$D$6:$Z$680,14,FALSE))</f>
        <v>#N/A</v>
      </c>
      <c r="G83" s="412" t="e">
        <f>IF(C78=0,"",VLOOKUP(C78,'Tablas Magia'!$D$6:$Z$680,18,FALSE))</f>
        <v>#N/A</v>
      </c>
      <c r="H83" s="6514" t="e">
        <f>IF(C78=0,"",VLOOKUP(C78,'Tablas Magia'!$D$6:$Z$680,22,FALSE))</f>
        <v>#N/A</v>
      </c>
      <c r="I83" s="6515"/>
      <c r="J83" s="6515"/>
      <c r="K83" s="6515"/>
      <c r="L83" s="6515"/>
      <c r="M83" s="6515"/>
      <c r="N83" s="6515"/>
      <c r="O83" s="6515"/>
      <c r="P83" s="6515"/>
      <c r="Q83" s="6516"/>
      <c r="R83" s="398"/>
      <c r="S83" s="392"/>
      <c r="T83" s="392"/>
      <c r="U83" s="800"/>
      <c r="V83" s="6512" t="s">
        <v>3198</v>
      </c>
      <c r="W83" s="6513"/>
      <c r="X83" s="411" t="e">
        <f>IF(V78=0,"",VLOOKUP(V78,'Tablas Magia'!$D$6:$Z$680,10,FALSE))</f>
        <v>#N/A</v>
      </c>
      <c r="Y83" s="411" t="e">
        <f>IF(V78=0,"",VLOOKUP(V78,'Tablas Magia'!$D$6:$Z$680,14,FALSE))</f>
        <v>#N/A</v>
      </c>
      <c r="Z83" s="412" t="e">
        <f>IF(V78=0,"",VLOOKUP(V78,'Tablas Magia'!$D$6:$Z$680,18,FALSE))</f>
        <v>#N/A</v>
      </c>
      <c r="AA83" s="6514" t="e">
        <f>IF(V78=0,"",VLOOKUP(V78,'Tablas Magia'!$D$6:$Z$680,22,FALSE))</f>
        <v>#N/A</v>
      </c>
      <c r="AB83" s="6515"/>
      <c r="AC83" s="6515"/>
      <c r="AD83" s="6515"/>
      <c r="AE83" s="6515"/>
      <c r="AF83" s="6515"/>
      <c r="AG83" s="6515"/>
      <c r="AH83" s="6515"/>
      <c r="AI83" s="6515"/>
      <c r="AJ83" s="6516"/>
      <c r="AK83" s="398"/>
      <c r="AL83" s="392"/>
    </row>
    <row r="84" spans="1:38" ht="12" customHeight="1" x14ac:dyDescent="0.2">
      <c r="A84" s="392"/>
      <c r="B84" s="800"/>
      <c r="C84" s="6517" t="e">
        <f>IF(C78=0,"",VLOOKUP(C78,'Tablas Magia'!$D$6:$Z$680,23,FALSE))</f>
        <v>#N/A</v>
      </c>
      <c r="D84" s="6518"/>
      <c r="E84" s="6518"/>
      <c r="F84" s="6518"/>
      <c r="G84" s="6518"/>
      <c r="H84" s="6518"/>
      <c r="I84" s="6518"/>
      <c r="J84" s="6518"/>
      <c r="K84" s="6518"/>
      <c r="L84" s="6518"/>
      <c r="M84" s="6518"/>
      <c r="N84" s="6518"/>
      <c r="O84" s="6518"/>
      <c r="P84" s="6518"/>
      <c r="Q84" s="6519"/>
      <c r="R84" s="398"/>
      <c r="S84" s="392"/>
      <c r="T84" s="392"/>
      <c r="U84" s="800"/>
      <c r="V84" s="6517" t="e">
        <f>IF(V78=0,"",VLOOKUP(V78,'Tablas Magia'!$D$6:$Z$680,23,FALSE))</f>
        <v>#N/A</v>
      </c>
      <c r="W84" s="6518"/>
      <c r="X84" s="6518"/>
      <c r="Y84" s="6518"/>
      <c r="Z84" s="6518"/>
      <c r="AA84" s="6518"/>
      <c r="AB84" s="6518"/>
      <c r="AC84" s="6518"/>
      <c r="AD84" s="6518"/>
      <c r="AE84" s="6518"/>
      <c r="AF84" s="6518"/>
      <c r="AG84" s="6518"/>
      <c r="AH84" s="6518"/>
      <c r="AI84" s="6518"/>
      <c r="AJ84" s="6519"/>
      <c r="AK84" s="398"/>
      <c r="AL84" s="392"/>
    </row>
    <row r="85" spans="1:38" ht="12" customHeight="1" x14ac:dyDescent="0.2">
      <c r="A85" s="392"/>
      <c r="B85" s="800"/>
      <c r="C85" s="6520"/>
      <c r="D85" s="6543"/>
      <c r="E85" s="6543"/>
      <c r="F85" s="6543"/>
      <c r="G85" s="6543"/>
      <c r="H85" s="6543"/>
      <c r="I85" s="6543"/>
      <c r="J85" s="6543"/>
      <c r="K85" s="6543"/>
      <c r="L85" s="6543"/>
      <c r="M85" s="6543"/>
      <c r="N85" s="6543"/>
      <c r="O85" s="6543"/>
      <c r="P85" s="6543"/>
      <c r="Q85" s="6522"/>
      <c r="R85" s="398"/>
      <c r="S85" s="392"/>
      <c r="T85" s="392"/>
      <c r="U85" s="800"/>
      <c r="V85" s="6520"/>
      <c r="W85" s="6521"/>
      <c r="X85" s="6521"/>
      <c r="Y85" s="6521"/>
      <c r="Z85" s="6521"/>
      <c r="AA85" s="6521"/>
      <c r="AB85" s="6521"/>
      <c r="AC85" s="6521"/>
      <c r="AD85" s="6521"/>
      <c r="AE85" s="6521"/>
      <c r="AF85" s="6521"/>
      <c r="AG85" s="6521"/>
      <c r="AH85" s="6521"/>
      <c r="AI85" s="6521"/>
      <c r="AJ85" s="6522"/>
      <c r="AK85" s="398"/>
      <c r="AL85" s="392"/>
    </row>
    <row r="86" spans="1:38" ht="12" customHeight="1" x14ac:dyDescent="0.2">
      <c r="A86" s="392"/>
      <c r="B86" s="800"/>
      <c r="C86" s="6520"/>
      <c r="D86" s="6543"/>
      <c r="E86" s="6543"/>
      <c r="F86" s="6543"/>
      <c r="G86" s="6543"/>
      <c r="H86" s="6543"/>
      <c r="I86" s="6543"/>
      <c r="J86" s="6543"/>
      <c r="K86" s="6543"/>
      <c r="L86" s="6543"/>
      <c r="M86" s="6543"/>
      <c r="N86" s="6543"/>
      <c r="O86" s="6543"/>
      <c r="P86" s="6543"/>
      <c r="Q86" s="6522"/>
      <c r="R86" s="398"/>
      <c r="S86" s="392"/>
      <c r="T86" s="392"/>
      <c r="U86" s="800"/>
      <c r="V86" s="6520"/>
      <c r="W86" s="6521"/>
      <c r="X86" s="6521"/>
      <c r="Y86" s="6521"/>
      <c r="Z86" s="6521"/>
      <c r="AA86" s="6521"/>
      <c r="AB86" s="6521"/>
      <c r="AC86" s="6521"/>
      <c r="AD86" s="6521"/>
      <c r="AE86" s="6521"/>
      <c r="AF86" s="6521"/>
      <c r="AG86" s="6521"/>
      <c r="AH86" s="6521"/>
      <c r="AI86" s="6521"/>
      <c r="AJ86" s="6522"/>
      <c r="AK86" s="398"/>
      <c r="AL86" s="392"/>
    </row>
    <row r="87" spans="1:38" ht="12" customHeight="1" thickBot="1" x14ac:dyDescent="0.25">
      <c r="A87" s="392"/>
      <c r="B87" s="800"/>
      <c r="C87" s="6523"/>
      <c r="D87" s="6524"/>
      <c r="E87" s="6524"/>
      <c r="F87" s="6524"/>
      <c r="G87" s="6524"/>
      <c r="H87" s="6524"/>
      <c r="I87" s="6524"/>
      <c r="J87" s="6524"/>
      <c r="K87" s="6524"/>
      <c r="L87" s="6524"/>
      <c r="M87" s="6524"/>
      <c r="N87" s="6524"/>
      <c r="O87" s="6524"/>
      <c r="P87" s="6524"/>
      <c r="Q87" s="6525"/>
      <c r="R87" s="398"/>
      <c r="S87" s="392"/>
      <c r="T87" s="392"/>
      <c r="U87" s="800"/>
      <c r="V87" s="6523"/>
      <c r="W87" s="6524"/>
      <c r="X87" s="6524"/>
      <c r="Y87" s="6524"/>
      <c r="Z87" s="6524"/>
      <c r="AA87" s="6524"/>
      <c r="AB87" s="6524"/>
      <c r="AC87" s="6524"/>
      <c r="AD87" s="6524"/>
      <c r="AE87" s="6524"/>
      <c r="AF87" s="6524"/>
      <c r="AG87" s="6524"/>
      <c r="AH87" s="6524"/>
      <c r="AI87" s="6524"/>
      <c r="AJ87" s="6525"/>
      <c r="AK87" s="398"/>
      <c r="AL87" s="392"/>
    </row>
    <row r="88" spans="1:38" ht="12" customHeight="1" thickBot="1" x14ac:dyDescent="0.25">
      <c r="A88" s="392"/>
      <c r="B88" s="800"/>
      <c r="C88" s="2492"/>
      <c r="D88" s="2492"/>
      <c r="E88" s="2492"/>
      <c r="F88" s="2492"/>
      <c r="G88" s="2492"/>
      <c r="H88" s="2493"/>
      <c r="I88" s="2494"/>
      <c r="J88" s="2495"/>
      <c r="K88" s="2495"/>
      <c r="L88" s="2495"/>
      <c r="M88" s="2496"/>
      <c r="N88" s="2496"/>
      <c r="O88" s="2496"/>
      <c r="P88" s="2496"/>
      <c r="Q88" s="2496"/>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59" t="str">
        <f>IFERROR(VLOOKUP($J$6&amp;B89,'Tablas Magia'!$B$6:$D$680,3,FALSE),IFERROR(VLOOKUP($J$8&amp;B89,'Tablas Magia'!$B$6:$D$680,3,FALSE),IFERROR(VLOOKUP($J$6&amp;B89,Místicos!$AD$12:$AJ$50,4,FALSE),"Libre Acceso 1-"&amp;ROUNDUP(B89/10,0)*10)))</f>
        <v>Libre Acceso 1-30</v>
      </c>
      <c r="D89" s="6560"/>
      <c r="E89" s="6560"/>
      <c r="F89" s="6560"/>
      <c r="G89" s="6561"/>
      <c r="H89" s="402" t="s">
        <v>1325</v>
      </c>
      <c r="I89" s="403">
        <f>B89</f>
        <v>24</v>
      </c>
      <c r="J89" s="6544" t="s">
        <v>6231</v>
      </c>
      <c r="K89" s="6544"/>
      <c r="L89" s="6544"/>
      <c r="M89" s="6529" t="e">
        <f>IF(C89=0,"",VLOOKUP(C89,'Tablas Magia'!$D$6:$Z$680,2,FALSE))</f>
        <v>#N/A</v>
      </c>
      <c r="N89" s="6529"/>
      <c r="O89" s="1705"/>
      <c r="P89" s="6550" t="str">
        <f>IFERROR(IF(M89="Libre Acceso","Aprendido",IF(IFERROR(VLOOKUP(M89,Místicos!$C$15:$H$25,6,0)&gt;=I89,FALSE),"Aprendido",IF(IFERROR(VLOOKUP(M89,Místicos!$E$15:$H$25,4,0)&gt;=I89,FALSE),"Aprendido",""))),"")</f>
        <v/>
      </c>
      <c r="Q89" s="6551"/>
      <c r="R89" s="398"/>
      <c r="S89" s="392"/>
      <c r="T89" s="392"/>
      <c r="U89" s="800">
        <f>U78+2</f>
        <v>34</v>
      </c>
      <c r="V89" s="6559" t="str">
        <f>IFERROR(VLOOKUP($J$6&amp;U89,'Tablas Magia'!$B$6:$D$680,3,FALSE),IFERROR(VLOOKUP($J$8&amp;U89,'Tablas Magia'!$B$6:$D$680,3,FALSE),IFERROR(VLOOKUP($J$6&amp;U89,Místicos!$AD$12:$AJ$50,4,FALSE),"Libre Acceso 1-"&amp;ROUNDUP(U89/10,0)*10)))</f>
        <v>Libre Acceso 1-40</v>
      </c>
      <c r="W89" s="6560"/>
      <c r="X89" s="6560"/>
      <c r="Y89" s="6560"/>
      <c r="Z89" s="6561"/>
      <c r="AA89" s="402" t="s">
        <v>1325</v>
      </c>
      <c r="AB89" s="403">
        <f>U89</f>
        <v>34</v>
      </c>
      <c r="AC89" s="6544" t="s">
        <v>6231</v>
      </c>
      <c r="AD89" s="6544"/>
      <c r="AE89" s="6544"/>
      <c r="AF89" s="6529" t="e">
        <f>IF(V89=0,"",VLOOKUP(V89,'Tablas Magia'!$D$6:$Z$680,2,FALSE))</f>
        <v>#N/A</v>
      </c>
      <c r="AG89" s="6529"/>
      <c r="AH89" s="1705"/>
      <c r="AI89" s="6550" t="str">
        <f>IFERROR(IF(AF89="Libre Acceso","Aprendido",IF(IFERROR(VLOOKUP(AF89,Místicos!$C$15:$H$25,6,0)&gt;=AB89,FALSE),"Aprendido",IF(IFERROR(VLOOKUP(AF89,Místicos!$E$15:$H$25,4,0)&gt;=AB89,FALSE),"Aprendido",""))),"")</f>
        <v/>
      </c>
      <c r="AJ89" s="6551"/>
      <c r="AK89" s="398"/>
      <c r="AL89" s="392"/>
    </row>
    <row r="90" spans="1:38" ht="12" customHeight="1" x14ac:dyDescent="0.2">
      <c r="A90" s="392"/>
      <c r="B90" s="800"/>
      <c r="C90" s="6531" t="s">
        <v>6232</v>
      </c>
      <c r="D90" s="6545"/>
      <c r="E90" s="2487" t="s">
        <v>6233</v>
      </c>
      <c r="F90" s="2487" t="s">
        <v>1508</v>
      </c>
      <c r="G90" s="2487" t="s">
        <v>2827</v>
      </c>
      <c r="H90" s="2488" t="s">
        <v>1835</v>
      </c>
      <c r="I90" s="6553" t="e">
        <f>IF(C89=0,"",VLOOKUP(C89,'Tablas Magia'!$D$6:$Z$680,5,FALSE))</f>
        <v>#N/A</v>
      </c>
      <c r="J90" s="6553"/>
      <c r="K90" s="6556" t="s">
        <v>6234</v>
      </c>
      <c r="L90" s="6556"/>
      <c r="M90" s="6553" t="e">
        <f>IF(C89=0,"",VLOOKUP(C89,'Tablas Magia'!$D$6:$Z$680,6,FALSE))</f>
        <v>#N/A</v>
      </c>
      <c r="N90" s="6553"/>
      <c r="O90" s="6554" t="s">
        <v>6235</v>
      </c>
      <c r="P90" s="6554"/>
      <c r="Q90" s="2489" t="e">
        <f>IF(C89=0,"",VLOOKUP(C89,'Tablas Magia'!$D$6:$Z$680,4,FALSE))</f>
        <v>#N/A</v>
      </c>
      <c r="R90" s="398"/>
      <c r="S90" s="392"/>
      <c r="T90" s="392"/>
      <c r="U90" s="800"/>
      <c r="V90" s="6531" t="s">
        <v>6232</v>
      </c>
      <c r="W90" s="6562"/>
      <c r="X90" s="1714" t="s">
        <v>6233</v>
      </c>
      <c r="Y90" s="1714" t="s">
        <v>1508</v>
      </c>
      <c r="Z90" s="1714" t="s">
        <v>2827</v>
      </c>
      <c r="AA90" s="1715" t="s">
        <v>1835</v>
      </c>
      <c r="AB90" s="6549" t="e">
        <f>IF(V89=0,"",VLOOKUP(V89,'Tablas Magia'!$D$6:$Z$680,5,FALSE))</f>
        <v>#N/A</v>
      </c>
      <c r="AC90" s="6549"/>
      <c r="AD90" s="6563" t="s">
        <v>6234</v>
      </c>
      <c r="AE90" s="6563"/>
      <c r="AF90" s="6549" t="e">
        <f>IF(V89=0,"",VLOOKUP(V89,'Tablas Magia'!$D$6:$Z$680,6,FALSE))</f>
        <v>#N/A</v>
      </c>
      <c r="AG90" s="6549"/>
      <c r="AH90" s="6564" t="s">
        <v>6235</v>
      </c>
      <c r="AI90" s="6564"/>
      <c r="AJ90" s="1716" t="e">
        <f>IF(V89=0,"",VLOOKUP(V89,'Tablas Magia'!$D$6:$Z$680,4,FALSE))</f>
        <v>#N/A</v>
      </c>
      <c r="AK90" s="398"/>
      <c r="AL90" s="392"/>
    </row>
    <row r="91" spans="1:38" ht="12" customHeight="1" x14ac:dyDescent="0.2">
      <c r="A91" s="392"/>
      <c r="B91" s="800"/>
      <c r="C91" s="6557" t="s">
        <v>1365</v>
      </c>
      <c r="D91" s="6558"/>
      <c r="E91" s="2490" t="e">
        <f>IF(C89=0,"",VLOOKUP(C89,'Tablas Magia'!$D$6:$Z$680,7,FALSE))</f>
        <v>#N/A</v>
      </c>
      <c r="F91" s="2490" t="e">
        <f>IF(C89=0,"",VLOOKUP(C89,'Tablas Magia'!$D$6:$Z$680,11,FALSE))</f>
        <v>#N/A</v>
      </c>
      <c r="G91" s="408" t="e">
        <f>IF(C89=0,"",VLOOKUP(C89,'Tablas Magia'!$D$6:$Z$680,15,FALSE))</f>
        <v>#N/A</v>
      </c>
      <c r="H91" s="6539" t="e">
        <f>IF(C89=0,"",VLOOKUP(C89,'Tablas Magia'!$D$6:$Z$680,19,FALSE))</f>
        <v>#N/A</v>
      </c>
      <c r="I91" s="6540"/>
      <c r="J91" s="6540"/>
      <c r="K91" s="6540"/>
      <c r="L91" s="6540"/>
      <c r="M91" s="6540"/>
      <c r="N91" s="6540"/>
      <c r="O91" s="6540"/>
      <c r="P91" s="6540"/>
      <c r="Q91" s="6541"/>
      <c r="R91" s="398"/>
      <c r="S91" s="392"/>
      <c r="T91" s="392"/>
      <c r="U91" s="800"/>
      <c r="V91" s="6507" t="s">
        <v>1365</v>
      </c>
      <c r="W91" s="6508"/>
      <c r="X91" s="407" t="e">
        <f>IF(V89=0,"",VLOOKUP(V89,'Tablas Magia'!$D$6:$Z$680,7,FALSE))</f>
        <v>#N/A</v>
      </c>
      <c r="Y91" s="407" t="e">
        <f>IF(V89=0,"",VLOOKUP(V89,'Tablas Magia'!$D$6:$Z$680,11,FALSE))</f>
        <v>#N/A</v>
      </c>
      <c r="Z91" s="408" t="e">
        <f>IF(V89=0,"",VLOOKUP(V89,'Tablas Magia'!$D$6:$Z$680,15,FALSE))</f>
        <v>#N/A</v>
      </c>
      <c r="AA91" s="6509" t="e">
        <f>IF(V89=0,"",VLOOKUP(V89,'Tablas Magia'!$D$6:$Z$680,19,FALSE))</f>
        <v>#N/A</v>
      </c>
      <c r="AB91" s="6510"/>
      <c r="AC91" s="6510"/>
      <c r="AD91" s="6510"/>
      <c r="AE91" s="6510"/>
      <c r="AF91" s="6510"/>
      <c r="AG91" s="6510"/>
      <c r="AH91" s="6510"/>
      <c r="AI91" s="6510"/>
      <c r="AJ91" s="6511"/>
      <c r="AK91" s="398"/>
      <c r="AL91" s="392"/>
    </row>
    <row r="92" spans="1:38" ht="12" customHeight="1" x14ac:dyDescent="0.2">
      <c r="A92" s="392"/>
      <c r="B92" s="800"/>
      <c r="C92" s="6502" t="s">
        <v>3196</v>
      </c>
      <c r="D92" s="6503"/>
      <c r="E92" s="2491" t="e">
        <f>IF(C89=0,"",VLOOKUP(C89,'Tablas Magia'!$D$6:$Z$680,8,FALSE))</f>
        <v>#N/A</v>
      </c>
      <c r="F92" s="2491" t="e">
        <f>IF(C89=0,"",VLOOKUP(C89,'Tablas Magia'!$D$6:$Z$680,12,FALSE))</f>
        <v>#N/A</v>
      </c>
      <c r="G92" s="410" t="e">
        <f>IF(C89=0,"",VLOOKUP(C89,'Tablas Magia'!$D$6:$Z$680,16,FALSE))</f>
        <v>#N/A</v>
      </c>
      <c r="H92" s="6504" t="e">
        <f>IF(C89=0,"",VLOOKUP(C89,'Tablas Magia'!$D$6:$Z$680,20,FALSE))</f>
        <v>#N/A</v>
      </c>
      <c r="I92" s="6542"/>
      <c r="J92" s="6542"/>
      <c r="K92" s="6542"/>
      <c r="L92" s="6542"/>
      <c r="M92" s="6542"/>
      <c r="N92" s="6542"/>
      <c r="O92" s="6542"/>
      <c r="P92" s="6542"/>
      <c r="Q92" s="6506"/>
      <c r="R92" s="398"/>
      <c r="S92" s="392"/>
      <c r="T92" s="392"/>
      <c r="U92" s="800"/>
      <c r="V92" s="6502" t="s">
        <v>3196</v>
      </c>
      <c r="W92" s="6503"/>
      <c r="X92" s="409" t="e">
        <f>IF(V89=0,"",VLOOKUP(V89,'Tablas Magia'!$D$6:$Z$680,8,FALSE))</f>
        <v>#N/A</v>
      </c>
      <c r="Y92" s="409" t="e">
        <f>IF(V89=0,"",VLOOKUP(V89,'Tablas Magia'!$D$6:$Z$680,12,FALSE))</f>
        <v>#N/A</v>
      </c>
      <c r="Z92" s="410" t="e">
        <f>IF(V89=0,"",VLOOKUP(V89,'Tablas Magia'!$D$6:$Z$680,16,FALSE))</f>
        <v>#N/A</v>
      </c>
      <c r="AA92" s="6504" t="e">
        <f>IF(V89=0,"",VLOOKUP(V89,'Tablas Magia'!$D$6:$Z$680,20,FALSE))</f>
        <v>#N/A</v>
      </c>
      <c r="AB92" s="6505"/>
      <c r="AC92" s="6505"/>
      <c r="AD92" s="6505"/>
      <c r="AE92" s="6505"/>
      <c r="AF92" s="6505"/>
      <c r="AG92" s="6505"/>
      <c r="AH92" s="6505"/>
      <c r="AI92" s="6505"/>
      <c r="AJ92" s="6506"/>
      <c r="AK92" s="398"/>
      <c r="AL92" s="392"/>
    </row>
    <row r="93" spans="1:38" ht="12" customHeight="1" x14ac:dyDescent="0.2">
      <c r="A93" s="392"/>
      <c r="B93" s="800"/>
      <c r="C93" s="6507" t="s">
        <v>3197</v>
      </c>
      <c r="D93" s="6508"/>
      <c r="E93" s="2490" t="e">
        <f>IF(C89=0,"",VLOOKUP(C89,'Tablas Magia'!$D$6:$Z$680,9,FALSE))</f>
        <v>#N/A</v>
      </c>
      <c r="F93" s="2490" t="e">
        <f>IF(C89=0,"",VLOOKUP(C89,'Tablas Magia'!$D$6:$Z$680,13,FALSE))</f>
        <v>#N/A</v>
      </c>
      <c r="G93" s="408" t="e">
        <f>IF(C89=0,"",VLOOKUP(C89,'Tablas Magia'!$D$6:$Z$680,17,FALSE))</f>
        <v>#N/A</v>
      </c>
      <c r="H93" s="6509" t="e">
        <f>IF(C89=0,"",VLOOKUP(C89,'Tablas Magia'!$D$6:$Z$680,21,FALSE))</f>
        <v>#N/A</v>
      </c>
      <c r="I93" s="6552"/>
      <c r="J93" s="6552"/>
      <c r="K93" s="6552"/>
      <c r="L93" s="6552"/>
      <c r="M93" s="6552"/>
      <c r="N93" s="6552"/>
      <c r="O93" s="6552"/>
      <c r="P93" s="6552"/>
      <c r="Q93" s="6511"/>
      <c r="R93" s="398"/>
      <c r="S93" s="392"/>
      <c r="T93" s="392"/>
      <c r="U93" s="800"/>
      <c r="V93" s="6507" t="s">
        <v>3197</v>
      </c>
      <c r="W93" s="6508"/>
      <c r="X93" s="407" t="e">
        <f>IF(V89=0,"",VLOOKUP(V89,'Tablas Magia'!$D$6:$Z$680,9,FALSE))</f>
        <v>#N/A</v>
      </c>
      <c r="Y93" s="407" t="e">
        <f>IF(V89=0,"",VLOOKUP(V89,'Tablas Magia'!$D$6:$Z$680,13,FALSE))</f>
        <v>#N/A</v>
      </c>
      <c r="Z93" s="408" t="e">
        <f>IF(V89=0,"",VLOOKUP(V89,'Tablas Magia'!$D$6:$Z$680,17,FALSE))</f>
        <v>#N/A</v>
      </c>
      <c r="AA93" s="6509" t="e">
        <f>IF(V89=0,"",VLOOKUP(V89,'Tablas Magia'!$D$6:$Z$680,21,FALSE))</f>
        <v>#N/A</v>
      </c>
      <c r="AB93" s="6510"/>
      <c r="AC93" s="6510"/>
      <c r="AD93" s="6510"/>
      <c r="AE93" s="6510"/>
      <c r="AF93" s="6510"/>
      <c r="AG93" s="6510"/>
      <c r="AH93" s="6510"/>
      <c r="AI93" s="6510"/>
      <c r="AJ93" s="6511"/>
      <c r="AK93" s="398"/>
      <c r="AL93" s="392"/>
    </row>
    <row r="94" spans="1:38" ht="12" customHeight="1" thickBot="1" x14ac:dyDescent="0.25">
      <c r="A94" s="392"/>
      <c r="B94" s="800"/>
      <c r="C94" s="6512" t="s">
        <v>3198</v>
      </c>
      <c r="D94" s="6513"/>
      <c r="E94" s="411" t="e">
        <f>IF(C89=0,"",VLOOKUP(C89,'Tablas Magia'!$D$6:$Z$680,10,FALSE))</f>
        <v>#N/A</v>
      </c>
      <c r="F94" s="411" t="e">
        <f>IF(C89=0,"",VLOOKUP(C89,'Tablas Magia'!$D$6:$Z$680,14,FALSE))</f>
        <v>#N/A</v>
      </c>
      <c r="G94" s="412" t="e">
        <f>IF(C89=0,"",VLOOKUP(C89,'Tablas Magia'!$D$6:$Z$680,18,FALSE))</f>
        <v>#N/A</v>
      </c>
      <c r="H94" s="6514" t="e">
        <f>IF(C89=0,"",VLOOKUP(C89,'Tablas Magia'!$D$6:$Z$680,22,FALSE))</f>
        <v>#N/A</v>
      </c>
      <c r="I94" s="6515"/>
      <c r="J94" s="6515"/>
      <c r="K94" s="6515"/>
      <c r="L94" s="6515"/>
      <c r="M94" s="6515"/>
      <c r="N94" s="6515"/>
      <c r="O94" s="6515"/>
      <c r="P94" s="6515"/>
      <c r="Q94" s="6516"/>
      <c r="R94" s="398"/>
      <c r="S94" s="392"/>
      <c r="T94" s="392"/>
      <c r="U94" s="800"/>
      <c r="V94" s="6512" t="s">
        <v>3198</v>
      </c>
      <c r="W94" s="6513"/>
      <c r="X94" s="411" t="e">
        <f>IF(V89=0,"",VLOOKUP(V89,'Tablas Magia'!$D$6:$Z$680,10,FALSE))</f>
        <v>#N/A</v>
      </c>
      <c r="Y94" s="411" t="e">
        <f>IF(V89=0,"",VLOOKUP(V89,'Tablas Magia'!$D$6:$Z$680,14,FALSE))</f>
        <v>#N/A</v>
      </c>
      <c r="Z94" s="412" t="e">
        <f>IF(V89=0,"",VLOOKUP(V89,'Tablas Magia'!$D$6:$Z$680,18,FALSE))</f>
        <v>#N/A</v>
      </c>
      <c r="AA94" s="6514" t="e">
        <f>IF(V89=0,"",VLOOKUP(V89,'Tablas Magia'!$D$6:$Z$680,22,FALSE))</f>
        <v>#N/A</v>
      </c>
      <c r="AB94" s="6515"/>
      <c r="AC94" s="6515"/>
      <c r="AD94" s="6515"/>
      <c r="AE94" s="6515"/>
      <c r="AF94" s="6515"/>
      <c r="AG94" s="6515"/>
      <c r="AH94" s="6515"/>
      <c r="AI94" s="6515"/>
      <c r="AJ94" s="6516"/>
      <c r="AK94" s="398"/>
      <c r="AL94" s="392"/>
    </row>
    <row r="95" spans="1:38" ht="12" customHeight="1" x14ac:dyDescent="0.2">
      <c r="A95" s="392"/>
      <c r="B95" s="800"/>
      <c r="C95" s="6517" t="e">
        <f>IF(C89=0,"",VLOOKUP(C89,'Tablas Magia'!$D$6:$Z$680,23,FALSE))</f>
        <v>#N/A</v>
      </c>
      <c r="D95" s="6518"/>
      <c r="E95" s="6518"/>
      <c r="F95" s="6518"/>
      <c r="G95" s="6518"/>
      <c r="H95" s="6518"/>
      <c r="I95" s="6518"/>
      <c r="J95" s="6518"/>
      <c r="K95" s="6518"/>
      <c r="L95" s="6518"/>
      <c r="M95" s="6518"/>
      <c r="N95" s="6518"/>
      <c r="O95" s="6518"/>
      <c r="P95" s="6518"/>
      <c r="Q95" s="6519"/>
      <c r="R95" s="398"/>
      <c r="S95" s="392"/>
      <c r="T95" s="392"/>
      <c r="U95" s="800"/>
      <c r="V95" s="6517" t="e">
        <f>IF(V89=0,"",VLOOKUP(V89,'Tablas Magia'!$D$6:$Z$680,23,FALSE))</f>
        <v>#N/A</v>
      </c>
      <c r="W95" s="6518"/>
      <c r="X95" s="6518"/>
      <c r="Y95" s="6518"/>
      <c r="Z95" s="6518"/>
      <c r="AA95" s="6518"/>
      <c r="AB95" s="6518"/>
      <c r="AC95" s="6518"/>
      <c r="AD95" s="6518"/>
      <c r="AE95" s="6518"/>
      <c r="AF95" s="6518"/>
      <c r="AG95" s="6518"/>
      <c r="AH95" s="6518"/>
      <c r="AI95" s="6518"/>
      <c r="AJ95" s="6519"/>
      <c r="AK95" s="398"/>
      <c r="AL95" s="392"/>
    </row>
    <row r="96" spans="1:38" ht="12" customHeight="1" x14ac:dyDescent="0.2">
      <c r="A96" s="392"/>
      <c r="B96" s="800"/>
      <c r="C96" s="6520"/>
      <c r="D96" s="6543"/>
      <c r="E96" s="6543"/>
      <c r="F96" s="6543"/>
      <c r="G96" s="6543"/>
      <c r="H96" s="6543"/>
      <c r="I96" s="6543"/>
      <c r="J96" s="6543"/>
      <c r="K96" s="6543"/>
      <c r="L96" s="6543"/>
      <c r="M96" s="6543"/>
      <c r="N96" s="6543"/>
      <c r="O96" s="6543"/>
      <c r="P96" s="6543"/>
      <c r="Q96" s="6522"/>
      <c r="R96" s="398"/>
      <c r="S96" s="392"/>
      <c r="T96" s="392"/>
      <c r="U96" s="800"/>
      <c r="V96" s="6520"/>
      <c r="W96" s="6521"/>
      <c r="X96" s="6521"/>
      <c r="Y96" s="6521"/>
      <c r="Z96" s="6521"/>
      <c r="AA96" s="6521"/>
      <c r="AB96" s="6521"/>
      <c r="AC96" s="6521"/>
      <c r="AD96" s="6521"/>
      <c r="AE96" s="6521"/>
      <c r="AF96" s="6521"/>
      <c r="AG96" s="6521"/>
      <c r="AH96" s="6521"/>
      <c r="AI96" s="6521"/>
      <c r="AJ96" s="6522"/>
      <c r="AK96" s="398"/>
      <c r="AL96" s="392"/>
    </row>
    <row r="97" spans="1:38" ht="12" customHeight="1" x14ac:dyDescent="0.2">
      <c r="A97" s="392"/>
      <c r="B97" s="800"/>
      <c r="C97" s="6520"/>
      <c r="D97" s="6543"/>
      <c r="E97" s="6543"/>
      <c r="F97" s="6543"/>
      <c r="G97" s="6543"/>
      <c r="H97" s="6543"/>
      <c r="I97" s="6543"/>
      <c r="J97" s="6543"/>
      <c r="K97" s="6543"/>
      <c r="L97" s="6543"/>
      <c r="M97" s="6543"/>
      <c r="N97" s="6543"/>
      <c r="O97" s="6543"/>
      <c r="P97" s="6543"/>
      <c r="Q97" s="6522"/>
      <c r="R97" s="398"/>
      <c r="S97" s="392"/>
      <c r="T97" s="392"/>
      <c r="U97" s="800"/>
      <c r="V97" s="6520"/>
      <c r="W97" s="6521"/>
      <c r="X97" s="6521"/>
      <c r="Y97" s="6521"/>
      <c r="Z97" s="6521"/>
      <c r="AA97" s="6521"/>
      <c r="AB97" s="6521"/>
      <c r="AC97" s="6521"/>
      <c r="AD97" s="6521"/>
      <c r="AE97" s="6521"/>
      <c r="AF97" s="6521"/>
      <c r="AG97" s="6521"/>
      <c r="AH97" s="6521"/>
      <c r="AI97" s="6521"/>
      <c r="AJ97" s="6522"/>
      <c r="AK97" s="398"/>
      <c r="AL97" s="392"/>
    </row>
    <row r="98" spans="1:38" ht="12" customHeight="1" thickBot="1" x14ac:dyDescent="0.25">
      <c r="A98" s="392"/>
      <c r="B98" s="800"/>
      <c r="C98" s="6523"/>
      <c r="D98" s="6524"/>
      <c r="E98" s="6524"/>
      <c r="F98" s="6524"/>
      <c r="G98" s="6524"/>
      <c r="H98" s="6524"/>
      <c r="I98" s="6524"/>
      <c r="J98" s="6524"/>
      <c r="K98" s="6524"/>
      <c r="L98" s="6524"/>
      <c r="M98" s="6524"/>
      <c r="N98" s="6524"/>
      <c r="O98" s="6524"/>
      <c r="P98" s="6524"/>
      <c r="Q98" s="6525"/>
      <c r="R98" s="398"/>
      <c r="S98" s="392"/>
      <c r="T98" s="392"/>
      <c r="U98" s="800"/>
      <c r="V98" s="6523"/>
      <c r="W98" s="6524"/>
      <c r="X98" s="6524"/>
      <c r="Y98" s="6524"/>
      <c r="Z98" s="6524"/>
      <c r="AA98" s="6524"/>
      <c r="AB98" s="6524"/>
      <c r="AC98" s="6524"/>
      <c r="AD98" s="6524"/>
      <c r="AE98" s="6524"/>
      <c r="AF98" s="6524"/>
      <c r="AG98" s="6524"/>
      <c r="AH98" s="6524"/>
      <c r="AI98" s="6524"/>
      <c r="AJ98" s="6525"/>
      <c r="AK98" s="398"/>
      <c r="AL98" s="392"/>
    </row>
    <row r="99" spans="1:38" ht="12" customHeight="1" thickBot="1" x14ac:dyDescent="0.25">
      <c r="A99" s="392"/>
      <c r="B99" s="800"/>
      <c r="C99" s="2495"/>
      <c r="D99" s="2495"/>
      <c r="E99" s="2497"/>
      <c r="F99" s="2497"/>
      <c r="G99" s="2497"/>
      <c r="H99" s="2495"/>
      <c r="I99" s="2496"/>
      <c r="J99" s="2496"/>
      <c r="K99" s="2495"/>
      <c r="L99" s="2495"/>
      <c r="M99" s="2496"/>
      <c r="N99" s="2496"/>
      <c r="O99" s="2498"/>
      <c r="P99" s="2498"/>
      <c r="Q99" s="2496"/>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59" t="str">
        <f>IFERROR(VLOOKUP($J$6&amp;B100,'Tablas Magia'!$B$6:$D$680,3,FALSE),IFERROR(VLOOKUP($J$8&amp;B100,'Tablas Magia'!$B$6:$D$680,3,FALSE),IFERROR(VLOOKUP($J$6&amp;B100,Místicos!$AD$12:$AJ$50,4,FALSE),"Libre Acceso 1-"&amp;ROUNDUP(B100/10,0)*10)))</f>
        <v>Libre Acceso 1-30</v>
      </c>
      <c r="D100" s="6560"/>
      <c r="E100" s="6560"/>
      <c r="F100" s="6560"/>
      <c r="G100" s="6561"/>
      <c r="H100" s="402" t="s">
        <v>1325</v>
      </c>
      <c r="I100" s="403">
        <f>B100</f>
        <v>26</v>
      </c>
      <c r="J100" s="6544" t="s">
        <v>6231</v>
      </c>
      <c r="K100" s="6544"/>
      <c r="L100" s="6544"/>
      <c r="M100" s="6529" t="e">
        <f>IF(C100=0,"",VLOOKUP(C100,'Tablas Magia'!$D$6:$Z$680,2,FALSE))</f>
        <v>#N/A</v>
      </c>
      <c r="N100" s="6529"/>
      <c r="O100" s="1705"/>
      <c r="P100" s="6550" t="str">
        <f>IFERROR(IF(M100="Libre Acceso","Aprendido",IF(IFERROR(VLOOKUP(M100,Místicos!$C$15:$H$25,6,0)&gt;=I100,FALSE),"Aprendido",IF(IFERROR(VLOOKUP(M100,Místicos!$E$15:$H$25,4,0)&gt;=I100,FALSE),"Aprendido",""))),"")</f>
        <v/>
      </c>
      <c r="Q100" s="6551"/>
      <c r="R100" s="398"/>
      <c r="S100" s="392"/>
      <c r="T100" s="392"/>
      <c r="U100" s="800">
        <f>U89+2</f>
        <v>36</v>
      </c>
      <c r="V100" s="6559" t="str">
        <f>IFERROR(VLOOKUP($J$6&amp;U100,'Tablas Magia'!$B$6:$D$680,3,FALSE),IFERROR(VLOOKUP($J$8&amp;U100,'Tablas Magia'!$B$6:$D$680,3,FALSE),IFERROR(VLOOKUP($J$6&amp;U100,Místicos!$AD$12:$AJ$50,4,FALSE),"Libre Acceso 1-"&amp;ROUNDUP(U100/10,0)*10)))</f>
        <v>Libre Acceso 1-40</v>
      </c>
      <c r="W100" s="6560"/>
      <c r="X100" s="6560"/>
      <c r="Y100" s="6560"/>
      <c r="Z100" s="6561"/>
      <c r="AA100" s="402" t="s">
        <v>1325</v>
      </c>
      <c r="AB100" s="403">
        <f>U100</f>
        <v>36</v>
      </c>
      <c r="AC100" s="6544" t="s">
        <v>6231</v>
      </c>
      <c r="AD100" s="6544"/>
      <c r="AE100" s="6544"/>
      <c r="AF100" s="6529" t="e">
        <f>IF(V100=0,"",VLOOKUP(V100,'Tablas Magia'!$D$6:$Z$680,2,FALSE))</f>
        <v>#N/A</v>
      </c>
      <c r="AG100" s="6529"/>
      <c r="AH100" s="1705"/>
      <c r="AI100" s="6550" t="str">
        <f>IFERROR(IF(AF100="Libre Acceso","Aprendido",IF(IFERROR(VLOOKUP(AF100,Místicos!$C$15:$H$25,6,0)&gt;=AB100,FALSE),"Aprendido",IF(IFERROR(VLOOKUP(AF100,Místicos!$E$15:$H$25,4,0)&gt;=AB100,FALSE),"Aprendido",""))),"")</f>
        <v/>
      </c>
      <c r="AJ100" s="6551"/>
      <c r="AK100" s="398"/>
      <c r="AL100" s="392"/>
    </row>
    <row r="101" spans="1:38" ht="12" customHeight="1" x14ac:dyDescent="0.2">
      <c r="A101" s="392"/>
      <c r="B101" s="800"/>
      <c r="C101" s="6531" t="s">
        <v>6232</v>
      </c>
      <c r="D101" s="6545"/>
      <c r="E101" s="2487" t="s">
        <v>6233</v>
      </c>
      <c r="F101" s="2487" t="s">
        <v>1508</v>
      </c>
      <c r="G101" s="2487" t="s">
        <v>2827</v>
      </c>
      <c r="H101" s="2488" t="s">
        <v>1835</v>
      </c>
      <c r="I101" s="6553" t="e">
        <f>IF(C100=0,"",VLOOKUP(C100,'Tablas Magia'!$D$6:$Z$680,5,FALSE))</f>
        <v>#N/A</v>
      </c>
      <c r="J101" s="6553"/>
      <c r="K101" s="6556" t="s">
        <v>6234</v>
      </c>
      <c r="L101" s="6556"/>
      <c r="M101" s="6553" t="e">
        <f>IF(C100=0,"",VLOOKUP(C100,'Tablas Magia'!$D$6:$Z$680,6,FALSE))</f>
        <v>#N/A</v>
      </c>
      <c r="N101" s="6553"/>
      <c r="O101" s="6554" t="s">
        <v>6235</v>
      </c>
      <c r="P101" s="6554"/>
      <c r="Q101" s="2489" t="e">
        <f>IF(C100=0,"",VLOOKUP(C100,'Tablas Magia'!$D$6:$Z$680,4,FALSE))</f>
        <v>#N/A</v>
      </c>
      <c r="R101" s="398"/>
      <c r="S101" s="392"/>
      <c r="T101" s="392"/>
      <c r="U101" s="800"/>
      <c r="V101" s="6531" t="s">
        <v>6232</v>
      </c>
      <c r="W101" s="6562"/>
      <c r="X101" s="1714" t="s">
        <v>6233</v>
      </c>
      <c r="Y101" s="1714" t="s">
        <v>1508</v>
      </c>
      <c r="Z101" s="1714" t="s">
        <v>2827</v>
      </c>
      <c r="AA101" s="1715" t="s">
        <v>1835</v>
      </c>
      <c r="AB101" s="6549" t="e">
        <f>IF(V100=0,"",VLOOKUP(V100,'Tablas Magia'!$D$6:$Z$680,5,FALSE))</f>
        <v>#N/A</v>
      </c>
      <c r="AC101" s="6549"/>
      <c r="AD101" s="6563" t="s">
        <v>6234</v>
      </c>
      <c r="AE101" s="6563"/>
      <c r="AF101" s="6549" t="e">
        <f>IF(V100=0,"",VLOOKUP(V100,'Tablas Magia'!$D$6:$Z$680,6,FALSE))</f>
        <v>#N/A</v>
      </c>
      <c r="AG101" s="6549"/>
      <c r="AH101" s="6564" t="s">
        <v>6235</v>
      </c>
      <c r="AI101" s="6564"/>
      <c r="AJ101" s="1716" t="e">
        <f>IF(V100=0,"",VLOOKUP(V100,'Tablas Magia'!$D$6:$Z$680,4,FALSE))</f>
        <v>#N/A</v>
      </c>
      <c r="AK101" s="398"/>
      <c r="AL101" s="392"/>
    </row>
    <row r="102" spans="1:38" ht="12" customHeight="1" x14ac:dyDescent="0.2">
      <c r="A102" s="392"/>
      <c r="B102" s="800"/>
      <c r="C102" s="6557" t="s">
        <v>1365</v>
      </c>
      <c r="D102" s="6558"/>
      <c r="E102" s="2490" t="e">
        <f>IF(C100=0,"",VLOOKUP(C100,'Tablas Magia'!$D$6:$Z$680,7,FALSE))</f>
        <v>#N/A</v>
      </c>
      <c r="F102" s="2490" t="e">
        <f>IF(C100=0,"",VLOOKUP(C100,'Tablas Magia'!$D$6:$Z$680,11,FALSE))</f>
        <v>#N/A</v>
      </c>
      <c r="G102" s="408" t="e">
        <f>IF(C100=0,"",VLOOKUP(C100,'Tablas Magia'!$D$6:$Z$680,15,FALSE))</f>
        <v>#N/A</v>
      </c>
      <c r="H102" s="6539" t="e">
        <f>IF(C100=0,"",VLOOKUP(C100,'Tablas Magia'!$D$6:$Z$680,19,FALSE))</f>
        <v>#N/A</v>
      </c>
      <c r="I102" s="6540"/>
      <c r="J102" s="6540"/>
      <c r="K102" s="6540"/>
      <c r="L102" s="6540"/>
      <c r="M102" s="6540"/>
      <c r="N102" s="6540"/>
      <c r="O102" s="6540"/>
      <c r="P102" s="6540"/>
      <c r="Q102" s="6541"/>
      <c r="R102" s="398"/>
      <c r="S102" s="392"/>
      <c r="T102" s="392"/>
      <c r="U102" s="800"/>
      <c r="V102" s="6507" t="s">
        <v>1365</v>
      </c>
      <c r="W102" s="6508"/>
      <c r="X102" s="407" t="e">
        <f>IF(V100=0,"",VLOOKUP(V100,'Tablas Magia'!$D$6:$Z$680,7,FALSE))</f>
        <v>#N/A</v>
      </c>
      <c r="Y102" s="407" t="e">
        <f>IF(V100=0,"",VLOOKUP(V100,'Tablas Magia'!$D$6:$Z$680,11,FALSE))</f>
        <v>#N/A</v>
      </c>
      <c r="Z102" s="408" t="e">
        <f>IF(V100=0,"",VLOOKUP(V100,'Tablas Magia'!$D$6:$Z$680,15,FALSE))</f>
        <v>#N/A</v>
      </c>
      <c r="AA102" s="6509" t="e">
        <f>IF(V100=0,"",VLOOKUP(V100,'Tablas Magia'!$D$6:$Z$680,19,FALSE))</f>
        <v>#N/A</v>
      </c>
      <c r="AB102" s="6510"/>
      <c r="AC102" s="6510"/>
      <c r="AD102" s="6510"/>
      <c r="AE102" s="6510"/>
      <c r="AF102" s="6510"/>
      <c r="AG102" s="6510"/>
      <c r="AH102" s="6510"/>
      <c r="AI102" s="6510"/>
      <c r="AJ102" s="6511"/>
      <c r="AK102" s="398"/>
      <c r="AL102" s="392"/>
    </row>
    <row r="103" spans="1:38" ht="12" customHeight="1" x14ac:dyDescent="0.2">
      <c r="A103" s="392"/>
      <c r="B103" s="800"/>
      <c r="C103" s="6502" t="s">
        <v>3196</v>
      </c>
      <c r="D103" s="6503"/>
      <c r="E103" s="2491" t="e">
        <f>IF(C100=0,"",VLOOKUP(C100,'Tablas Magia'!$D$6:$Z$680,8,FALSE))</f>
        <v>#N/A</v>
      </c>
      <c r="F103" s="2491" t="e">
        <f>IF(C100=0,"",VLOOKUP(C100,'Tablas Magia'!$D$6:$Z$680,12,FALSE))</f>
        <v>#N/A</v>
      </c>
      <c r="G103" s="410" t="e">
        <f>IF(C100=0,"",VLOOKUP(C100,'Tablas Magia'!$D$6:$Z$680,16,FALSE))</f>
        <v>#N/A</v>
      </c>
      <c r="H103" s="6504" t="e">
        <f>IF(C100=0,"",VLOOKUP(C100,'Tablas Magia'!$D$6:$Z$680,20,FALSE))</f>
        <v>#N/A</v>
      </c>
      <c r="I103" s="6542"/>
      <c r="J103" s="6542"/>
      <c r="K103" s="6542"/>
      <c r="L103" s="6542"/>
      <c r="M103" s="6542"/>
      <c r="N103" s="6542"/>
      <c r="O103" s="6542"/>
      <c r="P103" s="6542"/>
      <c r="Q103" s="6506"/>
      <c r="R103" s="398"/>
      <c r="S103" s="392"/>
      <c r="T103" s="392"/>
      <c r="U103" s="800"/>
      <c r="V103" s="6502" t="s">
        <v>3196</v>
      </c>
      <c r="W103" s="6503"/>
      <c r="X103" s="409" t="e">
        <f>IF(V100=0,"",VLOOKUP(V100,'Tablas Magia'!$D$6:$Z$680,8,FALSE))</f>
        <v>#N/A</v>
      </c>
      <c r="Y103" s="409" t="e">
        <f>IF(V100=0,"",VLOOKUP(V100,'Tablas Magia'!$D$6:$Z$680,12,FALSE))</f>
        <v>#N/A</v>
      </c>
      <c r="Z103" s="410" t="e">
        <f>IF(V100=0,"",VLOOKUP(V100,'Tablas Magia'!$D$6:$Z$680,16,FALSE))</f>
        <v>#N/A</v>
      </c>
      <c r="AA103" s="6504" t="e">
        <f>IF(V100=0,"",VLOOKUP(V100,'Tablas Magia'!$D$6:$Z$680,20,FALSE))</f>
        <v>#N/A</v>
      </c>
      <c r="AB103" s="6505"/>
      <c r="AC103" s="6505"/>
      <c r="AD103" s="6505"/>
      <c r="AE103" s="6505"/>
      <c r="AF103" s="6505"/>
      <c r="AG103" s="6505"/>
      <c r="AH103" s="6505"/>
      <c r="AI103" s="6505"/>
      <c r="AJ103" s="6506"/>
      <c r="AK103" s="398"/>
      <c r="AL103" s="392"/>
    </row>
    <row r="104" spans="1:38" ht="12" customHeight="1" x14ac:dyDescent="0.2">
      <c r="A104" s="392"/>
      <c r="B104" s="800"/>
      <c r="C104" s="6507" t="s">
        <v>3197</v>
      </c>
      <c r="D104" s="6508"/>
      <c r="E104" s="2490" t="e">
        <f>IF(C100=0,"",VLOOKUP(C100,'Tablas Magia'!$D$6:$Z$680,9,FALSE))</f>
        <v>#N/A</v>
      </c>
      <c r="F104" s="2490" t="e">
        <f>IF(C100=0,"",VLOOKUP(C100,'Tablas Magia'!$D$6:$Z$680,13,FALSE))</f>
        <v>#N/A</v>
      </c>
      <c r="G104" s="408" t="e">
        <f>IF(C100=0,"",VLOOKUP(C100,'Tablas Magia'!$D$6:$Z$680,17,FALSE))</f>
        <v>#N/A</v>
      </c>
      <c r="H104" s="6509" t="e">
        <f>IF(C100=0,"",VLOOKUP(C100,'Tablas Magia'!$D$6:$Z$680,21,FALSE))</f>
        <v>#N/A</v>
      </c>
      <c r="I104" s="6552"/>
      <c r="J104" s="6552"/>
      <c r="K104" s="6552"/>
      <c r="L104" s="6552"/>
      <c r="M104" s="6552"/>
      <c r="N104" s="6552"/>
      <c r="O104" s="6552"/>
      <c r="P104" s="6552"/>
      <c r="Q104" s="6511"/>
      <c r="R104" s="398"/>
      <c r="S104" s="392"/>
      <c r="T104" s="392"/>
      <c r="U104" s="800"/>
      <c r="V104" s="6507" t="s">
        <v>3197</v>
      </c>
      <c r="W104" s="6508"/>
      <c r="X104" s="407" t="e">
        <f>IF(V100=0,"",VLOOKUP(V100,'Tablas Magia'!$D$6:$Z$680,9,FALSE))</f>
        <v>#N/A</v>
      </c>
      <c r="Y104" s="407" t="e">
        <f>IF(V100=0,"",VLOOKUP(V100,'Tablas Magia'!$D$6:$Z$680,13,FALSE))</f>
        <v>#N/A</v>
      </c>
      <c r="Z104" s="408" t="e">
        <f>IF(V100=0,"",VLOOKUP(V100,'Tablas Magia'!$D$6:$Z$680,17,FALSE))</f>
        <v>#N/A</v>
      </c>
      <c r="AA104" s="6509" t="e">
        <f>IF(V100=0,"",VLOOKUP(V100,'Tablas Magia'!$D$6:$Z$680,21,FALSE))</f>
        <v>#N/A</v>
      </c>
      <c r="AB104" s="6510"/>
      <c r="AC104" s="6510"/>
      <c r="AD104" s="6510"/>
      <c r="AE104" s="6510"/>
      <c r="AF104" s="6510"/>
      <c r="AG104" s="6510"/>
      <c r="AH104" s="6510"/>
      <c r="AI104" s="6510"/>
      <c r="AJ104" s="6511"/>
      <c r="AK104" s="398"/>
      <c r="AL104" s="392"/>
    </row>
    <row r="105" spans="1:38" ht="12" customHeight="1" thickBot="1" x14ac:dyDescent="0.25">
      <c r="A105" s="392"/>
      <c r="B105" s="800"/>
      <c r="C105" s="6512" t="s">
        <v>3198</v>
      </c>
      <c r="D105" s="6513"/>
      <c r="E105" s="411" t="e">
        <f>IF(C100=0,"",VLOOKUP(C100,'Tablas Magia'!$D$6:$Z$680,10,FALSE))</f>
        <v>#N/A</v>
      </c>
      <c r="F105" s="411" t="e">
        <f>IF(C100=0,"",VLOOKUP(C100,'Tablas Magia'!$D$6:$Z$680,14,FALSE))</f>
        <v>#N/A</v>
      </c>
      <c r="G105" s="412" t="e">
        <f>IF(C100=0,"",VLOOKUP(C100,'Tablas Magia'!$D$6:$Z$680,18,FALSE))</f>
        <v>#N/A</v>
      </c>
      <c r="H105" s="6514" t="e">
        <f>IF(C100=0,"",VLOOKUP(C100,'Tablas Magia'!$D$6:$Z$680,22,FALSE))</f>
        <v>#N/A</v>
      </c>
      <c r="I105" s="6515"/>
      <c r="J105" s="6515"/>
      <c r="K105" s="6515"/>
      <c r="L105" s="6515"/>
      <c r="M105" s="6515"/>
      <c r="N105" s="6515"/>
      <c r="O105" s="6515"/>
      <c r="P105" s="6515"/>
      <c r="Q105" s="6516"/>
      <c r="R105" s="398"/>
      <c r="S105" s="392"/>
      <c r="T105" s="392"/>
      <c r="U105" s="800"/>
      <c r="V105" s="6512" t="s">
        <v>3198</v>
      </c>
      <c r="W105" s="6513"/>
      <c r="X105" s="411" t="e">
        <f>IF(V100=0,"",VLOOKUP(V100,'Tablas Magia'!$D$6:$Z$680,10,FALSE))</f>
        <v>#N/A</v>
      </c>
      <c r="Y105" s="411" t="e">
        <f>IF(V100=0,"",VLOOKUP(V100,'Tablas Magia'!$D$6:$Z$680,14,FALSE))</f>
        <v>#N/A</v>
      </c>
      <c r="Z105" s="412" t="e">
        <f>IF(V100=0,"",VLOOKUP(V100,'Tablas Magia'!$D$6:$Z$680,18,FALSE))</f>
        <v>#N/A</v>
      </c>
      <c r="AA105" s="6514" t="e">
        <f>IF(V100=0,"",VLOOKUP(V100,'Tablas Magia'!$D$6:$Z$680,22,FALSE))</f>
        <v>#N/A</v>
      </c>
      <c r="AB105" s="6515"/>
      <c r="AC105" s="6515"/>
      <c r="AD105" s="6515"/>
      <c r="AE105" s="6515"/>
      <c r="AF105" s="6515"/>
      <c r="AG105" s="6515"/>
      <c r="AH105" s="6515"/>
      <c r="AI105" s="6515"/>
      <c r="AJ105" s="6516"/>
      <c r="AK105" s="398"/>
      <c r="AL105" s="392"/>
    </row>
    <row r="106" spans="1:38" ht="12" customHeight="1" x14ac:dyDescent="0.2">
      <c r="A106" s="392"/>
      <c r="B106" s="800"/>
      <c r="C106" s="6517" t="e">
        <f>IF(C100=0,"",VLOOKUP(C100,'Tablas Magia'!$D$6:$Z$680,23,FALSE))</f>
        <v>#N/A</v>
      </c>
      <c r="D106" s="6518"/>
      <c r="E106" s="6518"/>
      <c r="F106" s="6518"/>
      <c r="G106" s="6518"/>
      <c r="H106" s="6518"/>
      <c r="I106" s="6518"/>
      <c r="J106" s="6518"/>
      <c r="K106" s="6518"/>
      <c r="L106" s="6518"/>
      <c r="M106" s="6518"/>
      <c r="N106" s="6518"/>
      <c r="O106" s="6518"/>
      <c r="P106" s="6518"/>
      <c r="Q106" s="6519"/>
      <c r="R106" s="398"/>
      <c r="S106" s="392"/>
      <c r="T106" s="392"/>
      <c r="U106" s="800"/>
      <c r="V106" s="6517" t="e">
        <f>IF(V100=0,"",VLOOKUP(V100,'Tablas Magia'!$D$6:$Z$680,23,FALSE))</f>
        <v>#N/A</v>
      </c>
      <c r="W106" s="6518"/>
      <c r="X106" s="6518"/>
      <c r="Y106" s="6518"/>
      <c r="Z106" s="6518"/>
      <c r="AA106" s="6518"/>
      <c r="AB106" s="6518"/>
      <c r="AC106" s="6518"/>
      <c r="AD106" s="6518"/>
      <c r="AE106" s="6518"/>
      <c r="AF106" s="6518"/>
      <c r="AG106" s="6518"/>
      <c r="AH106" s="6518"/>
      <c r="AI106" s="6518"/>
      <c r="AJ106" s="6519"/>
      <c r="AK106" s="398"/>
      <c r="AL106" s="392"/>
    </row>
    <row r="107" spans="1:38" ht="12" customHeight="1" x14ac:dyDescent="0.2">
      <c r="A107" s="392"/>
      <c r="B107" s="800"/>
      <c r="C107" s="6520"/>
      <c r="D107" s="6543"/>
      <c r="E107" s="6543"/>
      <c r="F107" s="6543"/>
      <c r="G107" s="6543"/>
      <c r="H107" s="6543"/>
      <c r="I107" s="6543"/>
      <c r="J107" s="6543"/>
      <c r="K107" s="6543"/>
      <c r="L107" s="6543"/>
      <c r="M107" s="6543"/>
      <c r="N107" s="6543"/>
      <c r="O107" s="6543"/>
      <c r="P107" s="6543"/>
      <c r="Q107" s="6522"/>
      <c r="R107" s="398"/>
      <c r="S107" s="392"/>
      <c r="T107" s="392"/>
      <c r="U107" s="800"/>
      <c r="V107" s="6520"/>
      <c r="W107" s="6521"/>
      <c r="X107" s="6521"/>
      <c r="Y107" s="6521"/>
      <c r="Z107" s="6521"/>
      <c r="AA107" s="6521"/>
      <c r="AB107" s="6521"/>
      <c r="AC107" s="6521"/>
      <c r="AD107" s="6521"/>
      <c r="AE107" s="6521"/>
      <c r="AF107" s="6521"/>
      <c r="AG107" s="6521"/>
      <c r="AH107" s="6521"/>
      <c r="AI107" s="6521"/>
      <c r="AJ107" s="6522"/>
      <c r="AK107" s="398"/>
      <c r="AL107" s="392"/>
    </row>
    <row r="108" spans="1:38" ht="12" customHeight="1" x14ac:dyDescent="0.2">
      <c r="A108" s="392"/>
      <c r="B108" s="800"/>
      <c r="C108" s="6520"/>
      <c r="D108" s="6543"/>
      <c r="E108" s="6543"/>
      <c r="F108" s="6543"/>
      <c r="G108" s="6543"/>
      <c r="H108" s="6543"/>
      <c r="I108" s="6543"/>
      <c r="J108" s="6543"/>
      <c r="K108" s="6543"/>
      <c r="L108" s="6543"/>
      <c r="M108" s="6543"/>
      <c r="N108" s="6543"/>
      <c r="O108" s="6543"/>
      <c r="P108" s="6543"/>
      <c r="Q108" s="6522"/>
      <c r="R108" s="398"/>
      <c r="S108" s="392"/>
      <c r="T108" s="392"/>
      <c r="U108" s="800"/>
      <c r="V108" s="6520"/>
      <c r="W108" s="6521"/>
      <c r="X108" s="6521"/>
      <c r="Y108" s="6521"/>
      <c r="Z108" s="6521"/>
      <c r="AA108" s="6521"/>
      <c r="AB108" s="6521"/>
      <c r="AC108" s="6521"/>
      <c r="AD108" s="6521"/>
      <c r="AE108" s="6521"/>
      <c r="AF108" s="6521"/>
      <c r="AG108" s="6521"/>
      <c r="AH108" s="6521"/>
      <c r="AI108" s="6521"/>
      <c r="AJ108" s="6522"/>
      <c r="AK108" s="398"/>
      <c r="AL108" s="392"/>
    </row>
    <row r="109" spans="1:38" ht="12" customHeight="1" thickBot="1" x14ac:dyDescent="0.25">
      <c r="A109" s="392"/>
      <c r="B109" s="800"/>
      <c r="C109" s="6523"/>
      <c r="D109" s="6524"/>
      <c r="E109" s="6524"/>
      <c r="F109" s="6524"/>
      <c r="G109" s="6524"/>
      <c r="H109" s="6524"/>
      <c r="I109" s="6524"/>
      <c r="J109" s="6524"/>
      <c r="K109" s="6524"/>
      <c r="L109" s="6524"/>
      <c r="M109" s="6524"/>
      <c r="N109" s="6524"/>
      <c r="O109" s="6524"/>
      <c r="P109" s="6524"/>
      <c r="Q109" s="6525"/>
      <c r="R109" s="398"/>
      <c r="S109" s="392"/>
      <c r="T109" s="392"/>
      <c r="U109" s="800"/>
      <c r="V109" s="6523"/>
      <c r="W109" s="6524"/>
      <c r="X109" s="6524"/>
      <c r="Y109" s="6524"/>
      <c r="Z109" s="6524"/>
      <c r="AA109" s="6524"/>
      <c r="AB109" s="6524"/>
      <c r="AC109" s="6524"/>
      <c r="AD109" s="6524"/>
      <c r="AE109" s="6524"/>
      <c r="AF109" s="6524"/>
      <c r="AG109" s="6524"/>
      <c r="AH109" s="6524"/>
      <c r="AI109" s="6524"/>
      <c r="AJ109" s="6525"/>
      <c r="AK109" s="398"/>
      <c r="AL109" s="392"/>
    </row>
    <row r="110" spans="1:38" ht="12" customHeight="1" thickBot="1" x14ac:dyDescent="0.25">
      <c r="A110" s="392"/>
      <c r="B110" s="800"/>
      <c r="C110" s="2499"/>
      <c r="D110" s="2499"/>
      <c r="E110" s="2500"/>
      <c r="F110" s="2500"/>
      <c r="G110" s="2500"/>
      <c r="H110" s="2500"/>
      <c r="I110" s="2500"/>
      <c r="J110" s="2500"/>
      <c r="K110" s="2500"/>
      <c r="L110" s="2500"/>
      <c r="M110" s="2500"/>
      <c r="N110" s="2500"/>
      <c r="O110" s="2500"/>
      <c r="P110" s="2500"/>
      <c r="Q110" s="2500"/>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59" t="str">
        <f>IFERROR(VLOOKUP($J$6&amp;B111,'Tablas Magia'!$B$6:$D$680,3,FALSE),IFERROR(VLOOKUP($J$8&amp;B111,'Tablas Magia'!$B$6:$D$680,3,FALSE),IFERROR(VLOOKUP($J$6&amp;B111,Místicos!$AD$12:$AJ$50,4,FALSE),"Libre Acceso 1-"&amp;ROUNDUP(B111/10,0)*10)))</f>
        <v>Libre Acceso 1-30</v>
      </c>
      <c r="D111" s="6560"/>
      <c r="E111" s="6560"/>
      <c r="F111" s="6560"/>
      <c r="G111" s="6561"/>
      <c r="H111" s="402" t="s">
        <v>1325</v>
      </c>
      <c r="I111" s="403">
        <f>B111</f>
        <v>28</v>
      </c>
      <c r="J111" s="6544" t="s">
        <v>6231</v>
      </c>
      <c r="K111" s="6544"/>
      <c r="L111" s="6544"/>
      <c r="M111" s="6529" t="e">
        <f>IF(C111=0,"",VLOOKUP(C111,'Tablas Magia'!$D$6:$Z$680,2,FALSE))</f>
        <v>#N/A</v>
      </c>
      <c r="N111" s="6529"/>
      <c r="O111" s="1705"/>
      <c r="P111" s="6550" t="str">
        <f>IFERROR(IF(M111="Libre Acceso","Aprendido",IF(IFERROR(VLOOKUP(M111,Místicos!$C$15:$H$25,6,0)&gt;=I111,FALSE),"Aprendido",IF(IFERROR(VLOOKUP(M111,Místicos!$E$15:$H$25,4,0)&gt;=I111,FALSE),"Aprendido",""))),"")</f>
        <v/>
      </c>
      <c r="Q111" s="6551"/>
      <c r="R111" s="398"/>
      <c r="S111" s="392"/>
      <c r="T111" s="392"/>
      <c r="U111" s="800">
        <f>U100+2</f>
        <v>38</v>
      </c>
      <c r="V111" s="6559" t="str">
        <f>IFERROR(VLOOKUP($J$6&amp;U111,'Tablas Magia'!$B$6:$D$680,3,FALSE),IFERROR(VLOOKUP($J$8&amp;U111,'Tablas Magia'!$B$6:$D$680,3,FALSE),IFERROR(VLOOKUP($J$6&amp;U111,Místicos!$AD$12:$AJ$50,4,FALSE),"Libre Acceso 1-"&amp;ROUNDUP(U111/10,0)*10)))</f>
        <v>Libre Acceso 1-40</v>
      </c>
      <c r="W111" s="6560"/>
      <c r="X111" s="6560"/>
      <c r="Y111" s="6560"/>
      <c r="Z111" s="6561"/>
      <c r="AA111" s="402" t="s">
        <v>1325</v>
      </c>
      <c r="AB111" s="403">
        <f>U111</f>
        <v>38</v>
      </c>
      <c r="AC111" s="6544" t="s">
        <v>6231</v>
      </c>
      <c r="AD111" s="6544"/>
      <c r="AE111" s="6544"/>
      <c r="AF111" s="6529" t="e">
        <f>IF(V111=0,"",VLOOKUP(V111,'Tablas Magia'!$D$6:$Z$680,2,FALSE))</f>
        <v>#N/A</v>
      </c>
      <c r="AG111" s="6529"/>
      <c r="AH111" s="1705"/>
      <c r="AI111" s="6550" t="str">
        <f>IFERROR(IF(AF111="Libre Acceso","Aprendido",IF(IFERROR(VLOOKUP(AF111,Místicos!$C$15:$H$25,6,0)&gt;=AB111,FALSE),"Aprendido",IF(IFERROR(VLOOKUP(AF111,Místicos!$E$15:$H$25,4,0)&gt;=AB111,FALSE),"Aprendido",""))),"")</f>
        <v/>
      </c>
      <c r="AJ111" s="6551"/>
      <c r="AK111" s="398"/>
      <c r="AL111" s="392"/>
    </row>
    <row r="112" spans="1:38" ht="12" customHeight="1" x14ac:dyDescent="0.2">
      <c r="A112" s="392"/>
      <c r="B112" s="800"/>
      <c r="C112" s="6531" t="s">
        <v>6232</v>
      </c>
      <c r="D112" s="6545"/>
      <c r="E112" s="2487" t="s">
        <v>6233</v>
      </c>
      <c r="F112" s="2487" t="s">
        <v>1508</v>
      </c>
      <c r="G112" s="2487" t="s">
        <v>2827</v>
      </c>
      <c r="H112" s="2488" t="s">
        <v>1835</v>
      </c>
      <c r="I112" s="6553" t="e">
        <f>IF(C111=0,"",VLOOKUP(C111,'Tablas Magia'!$D$6:$Z$680,5,FALSE))</f>
        <v>#N/A</v>
      </c>
      <c r="J112" s="6553"/>
      <c r="K112" s="6556" t="s">
        <v>6234</v>
      </c>
      <c r="L112" s="6556"/>
      <c r="M112" s="6553" t="e">
        <f>IF(C111=0,"",VLOOKUP(C111,'Tablas Magia'!$D$6:$Z$680,6,FALSE))</f>
        <v>#N/A</v>
      </c>
      <c r="N112" s="6553"/>
      <c r="O112" s="6554" t="s">
        <v>6235</v>
      </c>
      <c r="P112" s="6554"/>
      <c r="Q112" s="2489" t="e">
        <f>IF(C111=0,"",VLOOKUP(C111,'Tablas Magia'!$D$6:$Z$680,4,FALSE))</f>
        <v>#N/A</v>
      </c>
      <c r="R112" s="398"/>
      <c r="S112" s="392"/>
      <c r="T112" s="392"/>
      <c r="U112" s="800"/>
      <c r="V112" s="6531" t="s">
        <v>6232</v>
      </c>
      <c r="W112" s="6562"/>
      <c r="X112" s="1714" t="s">
        <v>6233</v>
      </c>
      <c r="Y112" s="1714" t="s">
        <v>1508</v>
      </c>
      <c r="Z112" s="1714" t="s">
        <v>2827</v>
      </c>
      <c r="AA112" s="1715" t="s">
        <v>1835</v>
      </c>
      <c r="AB112" s="6549" t="e">
        <f>IF(V111=0,"",VLOOKUP(V111,'Tablas Magia'!$D$6:$Z$680,5,FALSE))</f>
        <v>#N/A</v>
      </c>
      <c r="AC112" s="6549"/>
      <c r="AD112" s="6563" t="s">
        <v>6234</v>
      </c>
      <c r="AE112" s="6563"/>
      <c r="AF112" s="6549" t="e">
        <f>IF(V111=0,"",VLOOKUP(V111,'Tablas Magia'!$D$6:$Z$680,6,FALSE))</f>
        <v>#N/A</v>
      </c>
      <c r="AG112" s="6549"/>
      <c r="AH112" s="6564" t="s">
        <v>6235</v>
      </c>
      <c r="AI112" s="6564"/>
      <c r="AJ112" s="1716" t="e">
        <f>IF(V111=0,"",VLOOKUP(V111,'Tablas Magia'!$D$6:$Z$680,4,FALSE))</f>
        <v>#N/A</v>
      </c>
      <c r="AK112" s="398"/>
      <c r="AL112" s="392"/>
    </row>
    <row r="113" spans="1:38" ht="12" customHeight="1" x14ac:dyDescent="0.2">
      <c r="A113" s="392"/>
      <c r="B113" s="800"/>
      <c r="C113" s="6557" t="s">
        <v>1365</v>
      </c>
      <c r="D113" s="6558"/>
      <c r="E113" s="2490" t="e">
        <f>IF(C111=0,"",VLOOKUP(C111,'Tablas Magia'!$D$6:$Z$680,7,FALSE))</f>
        <v>#N/A</v>
      </c>
      <c r="F113" s="2490" t="e">
        <f>IF(C111=0,"",VLOOKUP(C111,'Tablas Magia'!$D$6:$Z$680,11,FALSE))</f>
        <v>#N/A</v>
      </c>
      <c r="G113" s="408" t="e">
        <f>IF(C111=0,"",VLOOKUP(C111,'Tablas Magia'!$D$6:$Z$680,15,FALSE))</f>
        <v>#N/A</v>
      </c>
      <c r="H113" s="6539" t="e">
        <f>IF(C111=0,"",VLOOKUP(C111,'Tablas Magia'!$D$6:$Z$680,19,FALSE))</f>
        <v>#N/A</v>
      </c>
      <c r="I113" s="6540"/>
      <c r="J113" s="6540"/>
      <c r="K113" s="6540"/>
      <c r="L113" s="6540"/>
      <c r="M113" s="6540"/>
      <c r="N113" s="6540"/>
      <c r="O113" s="6540"/>
      <c r="P113" s="6540"/>
      <c r="Q113" s="6541"/>
      <c r="R113" s="398"/>
      <c r="S113" s="392"/>
      <c r="T113" s="392"/>
      <c r="U113" s="800"/>
      <c r="V113" s="6507" t="s">
        <v>1365</v>
      </c>
      <c r="W113" s="6508"/>
      <c r="X113" s="407" t="e">
        <f>IF(V111=0,"",VLOOKUP(V111,'Tablas Magia'!$D$6:$Z$680,7,FALSE))</f>
        <v>#N/A</v>
      </c>
      <c r="Y113" s="407" t="e">
        <f>IF(V111=0,"",VLOOKUP(V111,'Tablas Magia'!$D$6:$Z$680,11,FALSE))</f>
        <v>#N/A</v>
      </c>
      <c r="Z113" s="408" t="e">
        <f>IF(V111=0,"",VLOOKUP(V111,'Tablas Magia'!$D$6:$Z$680,15,FALSE))</f>
        <v>#N/A</v>
      </c>
      <c r="AA113" s="6509" t="e">
        <f>IF(V111=0,"",VLOOKUP(V111,'Tablas Magia'!$D$6:$Z$680,19,FALSE))</f>
        <v>#N/A</v>
      </c>
      <c r="AB113" s="6510"/>
      <c r="AC113" s="6510"/>
      <c r="AD113" s="6510"/>
      <c r="AE113" s="6510"/>
      <c r="AF113" s="6510"/>
      <c r="AG113" s="6510"/>
      <c r="AH113" s="6510"/>
      <c r="AI113" s="6510"/>
      <c r="AJ113" s="6511"/>
      <c r="AK113" s="398"/>
      <c r="AL113" s="392"/>
    </row>
    <row r="114" spans="1:38" ht="12" customHeight="1" x14ac:dyDescent="0.2">
      <c r="A114" s="392"/>
      <c r="B114" s="800"/>
      <c r="C114" s="6502" t="s">
        <v>3196</v>
      </c>
      <c r="D114" s="6503"/>
      <c r="E114" s="2491" t="e">
        <f>IF(C111=0,"",VLOOKUP(C111,'Tablas Magia'!$D$6:$Z$680,8,FALSE))</f>
        <v>#N/A</v>
      </c>
      <c r="F114" s="2491" t="e">
        <f>IF(C111=0,"",VLOOKUP(C111,'Tablas Magia'!$D$6:$Z$680,12,FALSE))</f>
        <v>#N/A</v>
      </c>
      <c r="G114" s="410" t="e">
        <f>IF(C111=0,"",VLOOKUP(C111,'Tablas Magia'!$D$6:$Z$680,16,FALSE))</f>
        <v>#N/A</v>
      </c>
      <c r="H114" s="6504" t="e">
        <f>IF(C111=0,"",VLOOKUP(C111,'Tablas Magia'!$D$6:$Z$680,20,FALSE))</f>
        <v>#N/A</v>
      </c>
      <c r="I114" s="6542"/>
      <c r="J114" s="6542"/>
      <c r="K114" s="6542"/>
      <c r="L114" s="6542"/>
      <c r="M114" s="6542"/>
      <c r="N114" s="6542"/>
      <c r="O114" s="6542"/>
      <c r="P114" s="6542"/>
      <c r="Q114" s="6506"/>
      <c r="R114" s="398"/>
      <c r="S114" s="392"/>
      <c r="T114" s="392"/>
      <c r="U114" s="800"/>
      <c r="V114" s="6502" t="s">
        <v>3196</v>
      </c>
      <c r="W114" s="6503"/>
      <c r="X114" s="409" t="e">
        <f>IF(V111=0,"",VLOOKUP(V111,'Tablas Magia'!$D$6:$Z$680,8,FALSE))</f>
        <v>#N/A</v>
      </c>
      <c r="Y114" s="409" t="e">
        <f>IF(V111=0,"",VLOOKUP(V111,'Tablas Magia'!$D$6:$Z$680,12,FALSE))</f>
        <v>#N/A</v>
      </c>
      <c r="Z114" s="410" t="e">
        <f>IF(V111=0,"",VLOOKUP(V111,'Tablas Magia'!$D$6:$Z$680,16,FALSE))</f>
        <v>#N/A</v>
      </c>
      <c r="AA114" s="6504" t="e">
        <f>IF(V111=0,"",VLOOKUP(V111,'Tablas Magia'!$D$6:$Z$680,20,FALSE))</f>
        <v>#N/A</v>
      </c>
      <c r="AB114" s="6505"/>
      <c r="AC114" s="6505"/>
      <c r="AD114" s="6505"/>
      <c r="AE114" s="6505"/>
      <c r="AF114" s="6505"/>
      <c r="AG114" s="6505"/>
      <c r="AH114" s="6505"/>
      <c r="AI114" s="6505"/>
      <c r="AJ114" s="6506"/>
      <c r="AK114" s="398"/>
      <c r="AL114" s="392"/>
    </row>
    <row r="115" spans="1:38" ht="12" customHeight="1" x14ac:dyDescent="0.2">
      <c r="A115" s="392"/>
      <c r="B115" s="800"/>
      <c r="C115" s="6507" t="s">
        <v>3197</v>
      </c>
      <c r="D115" s="6508"/>
      <c r="E115" s="2490" t="e">
        <f>IF(C111=0,"",VLOOKUP(C111,'Tablas Magia'!$D$6:$Z$680,9,FALSE))</f>
        <v>#N/A</v>
      </c>
      <c r="F115" s="2490" t="e">
        <f>IF(C111=0,"",VLOOKUP(C111,'Tablas Magia'!$D$6:$Z$680,13,FALSE))</f>
        <v>#N/A</v>
      </c>
      <c r="G115" s="408" t="e">
        <f>IF(C111=0,"",VLOOKUP(C111,'Tablas Magia'!$D$6:$Z$680,17,FALSE))</f>
        <v>#N/A</v>
      </c>
      <c r="H115" s="6509" t="e">
        <f>IF(C111=0,"",VLOOKUP(C111,'Tablas Magia'!$D$6:$Z$680,21,FALSE))</f>
        <v>#N/A</v>
      </c>
      <c r="I115" s="6552"/>
      <c r="J115" s="6552"/>
      <c r="K115" s="6552"/>
      <c r="L115" s="6552"/>
      <c r="M115" s="6552"/>
      <c r="N115" s="6552"/>
      <c r="O115" s="6552"/>
      <c r="P115" s="6552"/>
      <c r="Q115" s="6511"/>
      <c r="R115" s="398"/>
      <c r="S115" s="392"/>
      <c r="T115" s="392"/>
      <c r="U115" s="800"/>
      <c r="V115" s="6507" t="s">
        <v>3197</v>
      </c>
      <c r="W115" s="6508"/>
      <c r="X115" s="407" t="e">
        <f>IF(V111=0,"",VLOOKUP(V111,'Tablas Magia'!$D$6:$Z$680,9,FALSE))</f>
        <v>#N/A</v>
      </c>
      <c r="Y115" s="407" t="e">
        <f>IF(V111=0,"",VLOOKUP(V111,'Tablas Magia'!$D$6:$Z$680,13,FALSE))</f>
        <v>#N/A</v>
      </c>
      <c r="Z115" s="408" t="e">
        <f>IF(V111=0,"",VLOOKUP(V111,'Tablas Magia'!$D$6:$Z$680,17,FALSE))</f>
        <v>#N/A</v>
      </c>
      <c r="AA115" s="6509" t="e">
        <f>IF(V111=0,"",VLOOKUP(V111,'Tablas Magia'!$D$6:$Z$680,21,FALSE))</f>
        <v>#N/A</v>
      </c>
      <c r="AB115" s="6510"/>
      <c r="AC115" s="6510"/>
      <c r="AD115" s="6510"/>
      <c r="AE115" s="6510"/>
      <c r="AF115" s="6510"/>
      <c r="AG115" s="6510"/>
      <c r="AH115" s="6510"/>
      <c r="AI115" s="6510"/>
      <c r="AJ115" s="6511"/>
      <c r="AK115" s="398"/>
      <c r="AL115" s="392"/>
    </row>
    <row r="116" spans="1:38" ht="12" customHeight="1" thickBot="1" x14ac:dyDescent="0.25">
      <c r="A116" s="392"/>
      <c r="B116" s="800"/>
      <c r="C116" s="6512" t="s">
        <v>3198</v>
      </c>
      <c r="D116" s="6513"/>
      <c r="E116" s="411" t="e">
        <f>IF(C111=0,"",VLOOKUP(C111,'Tablas Magia'!$D$6:$Z$680,10,FALSE))</f>
        <v>#N/A</v>
      </c>
      <c r="F116" s="411" t="e">
        <f>IF(C111=0,"",VLOOKUP(C111,'Tablas Magia'!$D$6:$Z$680,14,FALSE))</f>
        <v>#N/A</v>
      </c>
      <c r="G116" s="412" t="e">
        <f>IF(C111=0,"",VLOOKUP(C111,'Tablas Magia'!$D$6:$Z$680,18,FALSE))</f>
        <v>#N/A</v>
      </c>
      <c r="H116" s="6514" t="e">
        <f>IF(C111=0,"",VLOOKUP(C111,'Tablas Magia'!$D$6:$Z$680,22,FALSE))</f>
        <v>#N/A</v>
      </c>
      <c r="I116" s="6515"/>
      <c r="J116" s="6515"/>
      <c r="K116" s="6515"/>
      <c r="L116" s="6515"/>
      <c r="M116" s="6515"/>
      <c r="N116" s="6515"/>
      <c r="O116" s="6515"/>
      <c r="P116" s="6515"/>
      <c r="Q116" s="6516"/>
      <c r="R116" s="398"/>
      <c r="S116" s="392"/>
      <c r="T116" s="392"/>
      <c r="U116" s="800"/>
      <c r="V116" s="6512" t="s">
        <v>3198</v>
      </c>
      <c r="W116" s="6513"/>
      <c r="X116" s="411" t="e">
        <f>IF(V111=0,"",VLOOKUP(V111,'Tablas Magia'!$D$6:$Z$680,10,FALSE))</f>
        <v>#N/A</v>
      </c>
      <c r="Y116" s="411" t="e">
        <f>IF(V111=0,"",VLOOKUP(V111,'Tablas Magia'!$D$6:$Z$680,14,FALSE))</f>
        <v>#N/A</v>
      </c>
      <c r="Z116" s="412" t="e">
        <f>IF(V111=0,"",VLOOKUP(V111,'Tablas Magia'!$D$6:$Z$680,18,FALSE))</f>
        <v>#N/A</v>
      </c>
      <c r="AA116" s="6514" t="e">
        <f>IF(V111=0,"",VLOOKUP(V111,'Tablas Magia'!$D$6:$Z$680,22,FALSE))</f>
        <v>#N/A</v>
      </c>
      <c r="AB116" s="6515"/>
      <c r="AC116" s="6515"/>
      <c r="AD116" s="6515"/>
      <c r="AE116" s="6515"/>
      <c r="AF116" s="6515"/>
      <c r="AG116" s="6515"/>
      <c r="AH116" s="6515"/>
      <c r="AI116" s="6515"/>
      <c r="AJ116" s="6516"/>
      <c r="AK116" s="398"/>
      <c r="AL116" s="392"/>
    </row>
    <row r="117" spans="1:38" ht="12" customHeight="1" x14ac:dyDescent="0.2">
      <c r="A117" s="392"/>
      <c r="B117" s="800"/>
      <c r="C117" s="6517" t="e">
        <f>IF(C111=0,"",VLOOKUP(C111,'Tablas Magia'!$D$6:$Z$680,23,FALSE))</f>
        <v>#N/A</v>
      </c>
      <c r="D117" s="6518"/>
      <c r="E117" s="6518"/>
      <c r="F117" s="6518"/>
      <c r="G117" s="6518"/>
      <c r="H117" s="6518"/>
      <c r="I117" s="6518"/>
      <c r="J117" s="6518"/>
      <c r="K117" s="6518"/>
      <c r="L117" s="6518"/>
      <c r="M117" s="6518"/>
      <c r="N117" s="6518"/>
      <c r="O117" s="6518"/>
      <c r="P117" s="6518"/>
      <c r="Q117" s="6519"/>
      <c r="R117" s="398"/>
      <c r="S117" s="392"/>
      <c r="T117" s="392"/>
      <c r="U117" s="800"/>
      <c r="V117" s="6517" t="e">
        <f>IF(V111=0,"",VLOOKUP(V111,'Tablas Magia'!$D$6:$Z$680,23,FALSE))</f>
        <v>#N/A</v>
      </c>
      <c r="W117" s="6518"/>
      <c r="X117" s="6518"/>
      <c r="Y117" s="6518"/>
      <c r="Z117" s="6518"/>
      <c r="AA117" s="6518"/>
      <c r="AB117" s="6518"/>
      <c r="AC117" s="6518"/>
      <c r="AD117" s="6518"/>
      <c r="AE117" s="6518"/>
      <c r="AF117" s="6518"/>
      <c r="AG117" s="6518"/>
      <c r="AH117" s="6518"/>
      <c r="AI117" s="6518"/>
      <c r="AJ117" s="6519"/>
      <c r="AK117" s="398"/>
      <c r="AL117" s="392"/>
    </row>
    <row r="118" spans="1:38" ht="12" customHeight="1" x14ac:dyDescent="0.2">
      <c r="A118" s="392"/>
      <c r="B118" s="800"/>
      <c r="C118" s="6520"/>
      <c r="D118" s="6543"/>
      <c r="E118" s="6543"/>
      <c r="F118" s="6543"/>
      <c r="G118" s="6543"/>
      <c r="H118" s="6543"/>
      <c r="I118" s="6543"/>
      <c r="J118" s="6543"/>
      <c r="K118" s="6543"/>
      <c r="L118" s="6543"/>
      <c r="M118" s="6543"/>
      <c r="N118" s="6543"/>
      <c r="O118" s="6543"/>
      <c r="P118" s="6543"/>
      <c r="Q118" s="6522"/>
      <c r="R118" s="398"/>
      <c r="S118" s="392"/>
      <c r="T118" s="392"/>
      <c r="U118" s="800"/>
      <c r="V118" s="6520"/>
      <c r="W118" s="6521"/>
      <c r="X118" s="6521"/>
      <c r="Y118" s="6521"/>
      <c r="Z118" s="6521"/>
      <c r="AA118" s="6521"/>
      <c r="AB118" s="6521"/>
      <c r="AC118" s="6521"/>
      <c r="AD118" s="6521"/>
      <c r="AE118" s="6521"/>
      <c r="AF118" s="6521"/>
      <c r="AG118" s="6521"/>
      <c r="AH118" s="6521"/>
      <c r="AI118" s="6521"/>
      <c r="AJ118" s="6522"/>
      <c r="AK118" s="398"/>
      <c r="AL118" s="392"/>
    </row>
    <row r="119" spans="1:38" ht="12" customHeight="1" x14ac:dyDescent="0.2">
      <c r="A119" s="392"/>
      <c r="B119" s="800"/>
      <c r="C119" s="6520"/>
      <c r="D119" s="6543"/>
      <c r="E119" s="6543"/>
      <c r="F119" s="6543"/>
      <c r="G119" s="6543"/>
      <c r="H119" s="6543"/>
      <c r="I119" s="6543"/>
      <c r="J119" s="6543"/>
      <c r="K119" s="6543"/>
      <c r="L119" s="6543"/>
      <c r="M119" s="6543"/>
      <c r="N119" s="6543"/>
      <c r="O119" s="6543"/>
      <c r="P119" s="6543"/>
      <c r="Q119" s="6522"/>
      <c r="R119" s="398"/>
      <c r="S119" s="392"/>
      <c r="T119" s="392"/>
      <c r="U119" s="800"/>
      <c r="V119" s="6520"/>
      <c r="W119" s="6521"/>
      <c r="X119" s="6521"/>
      <c r="Y119" s="6521"/>
      <c r="Z119" s="6521"/>
      <c r="AA119" s="6521"/>
      <c r="AB119" s="6521"/>
      <c r="AC119" s="6521"/>
      <c r="AD119" s="6521"/>
      <c r="AE119" s="6521"/>
      <c r="AF119" s="6521"/>
      <c r="AG119" s="6521"/>
      <c r="AH119" s="6521"/>
      <c r="AI119" s="6521"/>
      <c r="AJ119" s="6522"/>
      <c r="AK119" s="398"/>
      <c r="AL119" s="392"/>
    </row>
    <row r="120" spans="1:38" ht="12" customHeight="1" thickBot="1" x14ac:dyDescent="0.25">
      <c r="A120" s="392"/>
      <c r="B120" s="800"/>
      <c r="C120" s="6523"/>
      <c r="D120" s="6524"/>
      <c r="E120" s="6524"/>
      <c r="F120" s="6524"/>
      <c r="G120" s="6524"/>
      <c r="H120" s="6524"/>
      <c r="I120" s="6524"/>
      <c r="J120" s="6524"/>
      <c r="K120" s="6524"/>
      <c r="L120" s="6524"/>
      <c r="M120" s="6524"/>
      <c r="N120" s="6524"/>
      <c r="O120" s="6524"/>
      <c r="P120" s="6524"/>
      <c r="Q120" s="6525"/>
      <c r="R120" s="398"/>
      <c r="S120" s="392"/>
      <c r="T120" s="392"/>
      <c r="U120" s="800"/>
      <c r="V120" s="6523"/>
      <c r="W120" s="6524"/>
      <c r="X120" s="6524"/>
      <c r="Y120" s="6524"/>
      <c r="Z120" s="6524"/>
      <c r="AA120" s="6524"/>
      <c r="AB120" s="6524"/>
      <c r="AC120" s="6524"/>
      <c r="AD120" s="6524"/>
      <c r="AE120" s="6524"/>
      <c r="AF120" s="6524"/>
      <c r="AG120" s="6524"/>
      <c r="AH120" s="6524"/>
      <c r="AI120" s="6524"/>
      <c r="AJ120" s="6525"/>
      <c r="AK120" s="398"/>
      <c r="AL120" s="392"/>
    </row>
    <row r="121" spans="1:38" ht="12" customHeight="1" thickBot="1" x14ac:dyDescent="0.25">
      <c r="A121" s="392"/>
      <c r="B121" s="800"/>
      <c r="C121" s="2499"/>
      <c r="D121" s="2499"/>
      <c r="E121" s="2491"/>
      <c r="F121" s="2491"/>
      <c r="G121" s="2491"/>
      <c r="H121" s="2500"/>
      <c r="I121" s="2500"/>
      <c r="J121" s="2500"/>
      <c r="K121" s="2500"/>
      <c r="L121" s="2500"/>
      <c r="M121" s="2500"/>
      <c r="N121" s="2500"/>
      <c r="O121" s="2500"/>
      <c r="P121" s="2500"/>
      <c r="Q121" s="2500"/>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59" t="str">
        <f>IFERROR(VLOOKUP($J$6&amp;B122,'Tablas Magia'!$B$6:$D$680,3,FALSE),IFERROR(VLOOKUP($J$8&amp;B122,'Tablas Magia'!$B$6:$D$680,3,FALSE),IFERROR(VLOOKUP($J$6&amp;B122,Místicos!$AD$12:$AJ$50,4,FALSE),"Libre Acceso 1-"&amp;ROUNDUP(B122/10,0)*10)))</f>
        <v>Libre Acceso 1-30</v>
      </c>
      <c r="D122" s="6560"/>
      <c r="E122" s="6560"/>
      <c r="F122" s="6560"/>
      <c r="G122" s="6561"/>
      <c r="H122" s="402" t="s">
        <v>1325</v>
      </c>
      <c r="I122" s="403">
        <f>B122</f>
        <v>30</v>
      </c>
      <c r="J122" s="6544" t="s">
        <v>6231</v>
      </c>
      <c r="K122" s="6544"/>
      <c r="L122" s="6544"/>
      <c r="M122" s="6529" t="e">
        <f>IF(C122=0,"",VLOOKUP(C122,'Tablas Magia'!$D$6:$Z$680,2,FALSE))</f>
        <v>#N/A</v>
      </c>
      <c r="N122" s="6529"/>
      <c r="O122" s="1705"/>
      <c r="P122" s="6550" t="str">
        <f>IFERROR(IF(M122="Libre Acceso","Aprendido",IF(IFERROR(VLOOKUP(M122,Místicos!$C$15:$H$25,6,0)&gt;=I122,FALSE),"Aprendido",IF(IFERROR(VLOOKUP(M122,Místicos!$E$15:$H$25,4,0)&gt;=I122,FALSE),"Aprendido",""))),"")</f>
        <v/>
      </c>
      <c r="Q122" s="6551"/>
      <c r="R122" s="398"/>
      <c r="S122" s="392"/>
      <c r="T122" s="392"/>
      <c r="U122" s="800">
        <f>U111+2</f>
        <v>40</v>
      </c>
      <c r="V122" s="6559" t="str">
        <f>IFERROR(VLOOKUP($J$6&amp;U122,'Tablas Magia'!$B$6:$D$680,3,FALSE),IFERROR(VLOOKUP($J$8&amp;U122,'Tablas Magia'!$B$6:$D$680,3,FALSE),IFERROR(VLOOKUP($J$6&amp;U122,Místicos!$AD$12:$AJ$50,4,FALSE),"Libre Acceso 1-"&amp;ROUNDUP(U122/10,0)*10)))</f>
        <v>Libre Acceso 1-40</v>
      </c>
      <c r="W122" s="6560"/>
      <c r="X122" s="6560"/>
      <c r="Y122" s="6560"/>
      <c r="Z122" s="6561"/>
      <c r="AA122" s="402" t="s">
        <v>1325</v>
      </c>
      <c r="AB122" s="403">
        <f>U122</f>
        <v>40</v>
      </c>
      <c r="AC122" s="6544" t="s">
        <v>6231</v>
      </c>
      <c r="AD122" s="6544"/>
      <c r="AE122" s="6544"/>
      <c r="AF122" s="6529" t="e">
        <f>IF(V122=0,"",VLOOKUP(V122,'Tablas Magia'!$D$6:$Z$680,2,FALSE))</f>
        <v>#N/A</v>
      </c>
      <c r="AG122" s="6529"/>
      <c r="AH122" s="1705"/>
      <c r="AI122" s="6550" t="str">
        <f>IFERROR(IF(AF122="Libre Acceso","Aprendido",IF(IFERROR(VLOOKUP(AF122,Místicos!$C$15:$H$25,6,0)&gt;=AB122,FALSE),"Aprendido",IF(IFERROR(VLOOKUP(AF122,Místicos!$E$15:$H$25,4,0)&gt;=AB122,FALSE),"Aprendido",""))),"")</f>
        <v/>
      </c>
      <c r="AJ122" s="6551"/>
      <c r="AK122" s="398"/>
      <c r="AL122" s="392"/>
    </row>
    <row r="123" spans="1:38" ht="12" customHeight="1" x14ac:dyDescent="0.2">
      <c r="A123" s="392"/>
      <c r="B123" s="800"/>
      <c r="C123" s="6531" t="s">
        <v>6232</v>
      </c>
      <c r="D123" s="6545"/>
      <c r="E123" s="2487" t="s">
        <v>6233</v>
      </c>
      <c r="F123" s="2487" t="s">
        <v>1508</v>
      </c>
      <c r="G123" s="2487" t="s">
        <v>2827</v>
      </c>
      <c r="H123" s="2488" t="s">
        <v>1835</v>
      </c>
      <c r="I123" s="6553" t="e">
        <f>IF(C122=0,"",VLOOKUP(C122,'Tablas Magia'!$D$6:$Z$680,5,FALSE))</f>
        <v>#N/A</v>
      </c>
      <c r="J123" s="6553"/>
      <c r="K123" s="6556" t="s">
        <v>6234</v>
      </c>
      <c r="L123" s="6556"/>
      <c r="M123" s="6553" t="e">
        <f>IF(C122=0,"",VLOOKUP(C122,'Tablas Magia'!$D$6:$Z$680,6,FALSE))</f>
        <v>#N/A</v>
      </c>
      <c r="N123" s="6553"/>
      <c r="O123" s="6554" t="s">
        <v>6235</v>
      </c>
      <c r="P123" s="6554"/>
      <c r="Q123" s="2489" t="e">
        <f>IF(C122=0,"",VLOOKUP(C122,'Tablas Magia'!$D$6:$Z$680,4,FALSE))</f>
        <v>#N/A</v>
      </c>
      <c r="R123" s="398"/>
      <c r="S123" s="392"/>
      <c r="T123" s="392"/>
      <c r="U123" s="800"/>
      <c r="V123" s="6531" t="s">
        <v>6232</v>
      </c>
      <c r="W123" s="6562"/>
      <c r="X123" s="1714" t="s">
        <v>6233</v>
      </c>
      <c r="Y123" s="1714" t="s">
        <v>1508</v>
      </c>
      <c r="Z123" s="1714" t="s">
        <v>2827</v>
      </c>
      <c r="AA123" s="1715" t="s">
        <v>1835</v>
      </c>
      <c r="AB123" s="6549" t="e">
        <f>IF(V122=0,"",VLOOKUP(V122,'Tablas Magia'!$D$6:$Z$680,5,FALSE))</f>
        <v>#N/A</v>
      </c>
      <c r="AC123" s="6549"/>
      <c r="AD123" s="6563" t="s">
        <v>6234</v>
      </c>
      <c r="AE123" s="6563"/>
      <c r="AF123" s="6549" t="e">
        <f>IF(V122=0,"",VLOOKUP(V122,'Tablas Magia'!$D$6:$Z$680,6,FALSE))</f>
        <v>#N/A</v>
      </c>
      <c r="AG123" s="6549"/>
      <c r="AH123" s="6564" t="s">
        <v>6235</v>
      </c>
      <c r="AI123" s="6564"/>
      <c r="AJ123" s="1716" t="e">
        <f>IF(V122=0,"",VLOOKUP(V122,'Tablas Magia'!$D$6:$Z$680,4,FALSE))</f>
        <v>#N/A</v>
      </c>
      <c r="AK123" s="398"/>
      <c r="AL123" s="392"/>
    </row>
    <row r="124" spans="1:38" ht="12" customHeight="1" x14ac:dyDescent="0.2">
      <c r="A124" s="392"/>
      <c r="B124" s="800"/>
      <c r="C124" s="6557" t="s">
        <v>1365</v>
      </c>
      <c r="D124" s="6558"/>
      <c r="E124" s="2490" t="e">
        <f>IF(C122=0,"",VLOOKUP(C122,'Tablas Magia'!$D$6:$Z$680,7,FALSE))</f>
        <v>#N/A</v>
      </c>
      <c r="F124" s="2490" t="e">
        <f>IF(C122=0,"",VLOOKUP(C122,'Tablas Magia'!$D$6:$Z$680,11,FALSE))</f>
        <v>#N/A</v>
      </c>
      <c r="G124" s="408" t="e">
        <f>IF(C122=0,"",VLOOKUP(C122,'Tablas Magia'!$D$6:$Z$680,15,FALSE))</f>
        <v>#N/A</v>
      </c>
      <c r="H124" s="6539" t="e">
        <f>IF(C122=0,"",VLOOKUP(C122,'Tablas Magia'!$D$6:$Z$680,19,FALSE))</f>
        <v>#N/A</v>
      </c>
      <c r="I124" s="6540"/>
      <c r="J124" s="6540"/>
      <c r="K124" s="6540"/>
      <c r="L124" s="6540"/>
      <c r="M124" s="6540"/>
      <c r="N124" s="6540"/>
      <c r="O124" s="6540"/>
      <c r="P124" s="6540"/>
      <c r="Q124" s="6541"/>
      <c r="R124" s="398"/>
      <c r="S124" s="392"/>
      <c r="T124" s="392"/>
      <c r="U124" s="800"/>
      <c r="V124" s="6507" t="s">
        <v>1365</v>
      </c>
      <c r="W124" s="6508"/>
      <c r="X124" s="407" t="e">
        <f>IF(V122=0,"",VLOOKUP(V122,'Tablas Magia'!$D$6:$Z$680,7,FALSE))</f>
        <v>#N/A</v>
      </c>
      <c r="Y124" s="407" t="e">
        <f>IF(V122=0,"",VLOOKUP(V122,'Tablas Magia'!$D$6:$Z$680,11,FALSE))</f>
        <v>#N/A</v>
      </c>
      <c r="Z124" s="408" t="e">
        <f>IF(V122=0,"",VLOOKUP(V122,'Tablas Magia'!$D$6:$Z$680,15,FALSE))</f>
        <v>#N/A</v>
      </c>
      <c r="AA124" s="6509" t="e">
        <f>IF(V122=0,"",VLOOKUP(V122,'Tablas Magia'!$D$6:$Z$680,19,FALSE))</f>
        <v>#N/A</v>
      </c>
      <c r="AB124" s="6510"/>
      <c r="AC124" s="6510"/>
      <c r="AD124" s="6510"/>
      <c r="AE124" s="6510"/>
      <c r="AF124" s="6510"/>
      <c r="AG124" s="6510"/>
      <c r="AH124" s="6510"/>
      <c r="AI124" s="6510"/>
      <c r="AJ124" s="6511"/>
      <c r="AK124" s="398"/>
      <c r="AL124" s="392"/>
    </row>
    <row r="125" spans="1:38" ht="12" customHeight="1" x14ac:dyDescent="0.2">
      <c r="A125" s="392"/>
      <c r="B125" s="800"/>
      <c r="C125" s="6502" t="s">
        <v>3196</v>
      </c>
      <c r="D125" s="6503"/>
      <c r="E125" s="2491" t="e">
        <f>IF(C122=0,"",VLOOKUP(C122,'Tablas Magia'!$D$6:$Z$680,8,FALSE))</f>
        <v>#N/A</v>
      </c>
      <c r="F125" s="2491" t="e">
        <f>IF(C122=0,"",VLOOKUP(C122,'Tablas Magia'!$D$6:$Z$680,12,FALSE))</f>
        <v>#N/A</v>
      </c>
      <c r="G125" s="410" t="e">
        <f>IF(C122=0,"",VLOOKUP(C122,'Tablas Magia'!$D$6:$Z$680,16,FALSE))</f>
        <v>#N/A</v>
      </c>
      <c r="H125" s="6504" t="e">
        <f>IF(C122=0,"",VLOOKUP(C122,'Tablas Magia'!$D$6:$Z$680,20,FALSE))</f>
        <v>#N/A</v>
      </c>
      <c r="I125" s="6542"/>
      <c r="J125" s="6542"/>
      <c r="K125" s="6542"/>
      <c r="L125" s="6542"/>
      <c r="M125" s="6542"/>
      <c r="N125" s="6542"/>
      <c r="O125" s="6542"/>
      <c r="P125" s="6542"/>
      <c r="Q125" s="6506"/>
      <c r="R125" s="398"/>
      <c r="S125" s="392"/>
      <c r="T125" s="392"/>
      <c r="U125" s="800"/>
      <c r="V125" s="6502" t="s">
        <v>3196</v>
      </c>
      <c r="W125" s="6503"/>
      <c r="X125" s="409" t="e">
        <f>IF(V122=0,"",VLOOKUP(V122,'Tablas Magia'!$D$6:$Z$680,8,FALSE))</f>
        <v>#N/A</v>
      </c>
      <c r="Y125" s="409" t="e">
        <f>IF(V122=0,"",VLOOKUP(V122,'Tablas Magia'!$D$6:$Z$680,12,FALSE))</f>
        <v>#N/A</v>
      </c>
      <c r="Z125" s="410" t="e">
        <f>IF(V122=0,"",VLOOKUP(V122,'Tablas Magia'!$D$6:$Z$680,16,FALSE))</f>
        <v>#N/A</v>
      </c>
      <c r="AA125" s="6504" t="e">
        <f>IF(V122=0,"",VLOOKUP(V122,'Tablas Magia'!$D$6:$Z$680,20,FALSE))</f>
        <v>#N/A</v>
      </c>
      <c r="AB125" s="6505"/>
      <c r="AC125" s="6505"/>
      <c r="AD125" s="6505"/>
      <c r="AE125" s="6505"/>
      <c r="AF125" s="6505"/>
      <c r="AG125" s="6505"/>
      <c r="AH125" s="6505"/>
      <c r="AI125" s="6505"/>
      <c r="AJ125" s="6506"/>
      <c r="AK125" s="398"/>
      <c r="AL125" s="392"/>
    </row>
    <row r="126" spans="1:38" ht="12" customHeight="1" x14ac:dyDescent="0.2">
      <c r="A126" s="392"/>
      <c r="B126" s="800"/>
      <c r="C126" s="6507" t="s">
        <v>3197</v>
      </c>
      <c r="D126" s="6508"/>
      <c r="E126" s="2490" t="e">
        <f>IF(C122=0,"",VLOOKUP(C122,'Tablas Magia'!$D$6:$Z$680,9,FALSE))</f>
        <v>#N/A</v>
      </c>
      <c r="F126" s="2490" t="e">
        <f>IF(C122=0,"",VLOOKUP(C122,'Tablas Magia'!$D$6:$Z$680,13,FALSE))</f>
        <v>#N/A</v>
      </c>
      <c r="G126" s="408" t="e">
        <f>IF(C122=0,"",VLOOKUP(C122,'Tablas Magia'!$D$6:$Z$680,17,FALSE))</f>
        <v>#N/A</v>
      </c>
      <c r="H126" s="6509" t="e">
        <f>IF(C122=0,"",VLOOKUP(C122,'Tablas Magia'!$D$6:$Z$680,21,FALSE))</f>
        <v>#N/A</v>
      </c>
      <c r="I126" s="6552"/>
      <c r="J126" s="6552"/>
      <c r="K126" s="6552"/>
      <c r="L126" s="6552"/>
      <c r="M126" s="6552"/>
      <c r="N126" s="6552"/>
      <c r="O126" s="6552"/>
      <c r="P126" s="6552"/>
      <c r="Q126" s="6511"/>
      <c r="R126" s="398"/>
      <c r="S126" s="392"/>
      <c r="T126" s="392"/>
      <c r="U126" s="800"/>
      <c r="V126" s="6507" t="s">
        <v>3197</v>
      </c>
      <c r="W126" s="6508"/>
      <c r="X126" s="407" t="e">
        <f>IF(V122=0,"",VLOOKUP(V122,'Tablas Magia'!$D$6:$Z$680,9,FALSE))</f>
        <v>#N/A</v>
      </c>
      <c r="Y126" s="407" t="e">
        <f>IF(V122=0,"",VLOOKUP(V122,'Tablas Magia'!$D$6:$Z$680,13,FALSE))</f>
        <v>#N/A</v>
      </c>
      <c r="Z126" s="408" t="e">
        <f>IF(V122=0,"",VLOOKUP(V122,'Tablas Magia'!$D$6:$Z$680,17,FALSE))</f>
        <v>#N/A</v>
      </c>
      <c r="AA126" s="6509" t="e">
        <f>IF(V122=0,"",VLOOKUP(V122,'Tablas Magia'!$D$6:$Z$680,21,FALSE))</f>
        <v>#N/A</v>
      </c>
      <c r="AB126" s="6510"/>
      <c r="AC126" s="6510"/>
      <c r="AD126" s="6510"/>
      <c r="AE126" s="6510"/>
      <c r="AF126" s="6510"/>
      <c r="AG126" s="6510"/>
      <c r="AH126" s="6510"/>
      <c r="AI126" s="6510"/>
      <c r="AJ126" s="6511"/>
      <c r="AK126" s="398"/>
      <c r="AL126" s="392"/>
    </row>
    <row r="127" spans="1:38" ht="12" customHeight="1" thickBot="1" x14ac:dyDescent="0.25">
      <c r="A127" s="392"/>
      <c r="B127" s="800"/>
      <c r="C127" s="6512" t="s">
        <v>3198</v>
      </c>
      <c r="D127" s="6513"/>
      <c r="E127" s="411" t="e">
        <f>IF(C122=0,"",VLOOKUP(C122,'Tablas Magia'!$D$6:$Z$680,10,FALSE))</f>
        <v>#N/A</v>
      </c>
      <c r="F127" s="411" t="e">
        <f>IF(C122=0,"",VLOOKUP(C122,'Tablas Magia'!$D$6:$Z$680,14,FALSE))</f>
        <v>#N/A</v>
      </c>
      <c r="G127" s="412" t="e">
        <f>IF(C122=0,"",VLOOKUP(C122,'Tablas Magia'!$D$6:$Z$680,18,FALSE))</f>
        <v>#N/A</v>
      </c>
      <c r="H127" s="6514" t="e">
        <f>IF(C122=0,"",VLOOKUP(C122,'Tablas Magia'!$D$6:$Z$680,22,FALSE))</f>
        <v>#N/A</v>
      </c>
      <c r="I127" s="6515"/>
      <c r="J127" s="6515"/>
      <c r="K127" s="6515"/>
      <c r="L127" s="6515"/>
      <c r="M127" s="6515"/>
      <c r="N127" s="6515"/>
      <c r="O127" s="6515"/>
      <c r="P127" s="6515"/>
      <c r="Q127" s="6516"/>
      <c r="R127" s="398"/>
      <c r="S127" s="392"/>
      <c r="T127" s="392"/>
      <c r="U127" s="800"/>
      <c r="V127" s="6512" t="s">
        <v>3198</v>
      </c>
      <c r="W127" s="6513"/>
      <c r="X127" s="411" t="e">
        <f>IF(V122=0,"",VLOOKUP(V122,'Tablas Magia'!$D$6:$Z$680,10,FALSE))</f>
        <v>#N/A</v>
      </c>
      <c r="Y127" s="411" t="e">
        <f>IF(V122=0,"",VLOOKUP(V122,'Tablas Magia'!$D$6:$Z$680,14,FALSE))</f>
        <v>#N/A</v>
      </c>
      <c r="Z127" s="412" t="e">
        <f>IF(V122=0,"",VLOOKUP(V122,'Tablas Magia'!$D$6:$Z$680,18,FALSE))</f>
        <v>#N/A</v>
      </c>
      <c r="AA127" s="6514" t="e">
        <f>IF(V122=0,"",VLOOKUP(V122,'Tablas Magia'!$D$6:$Z$680,22,FALSE))</f>
        <v>#N/A</v>
      </c>
      <c r="AB127" s="6515"/>
      <c r="AC127" s="6515"/>
      <c r="AD127" s="6515"/>
      <c r="AE127" s="6515"/>
      <c r="AF127" s="6515"/>
      <c r="AG127" s="6515"/>
      <c r="AH127" s="6515"/>
      <c r="AI127" s="6515"/>
      <c r="AJ127" s="6516"/>
      <c r="AK127" s="398"/>
      <c r="AL127" s="392"/>
    </row>
    <row r="128" spans="1:38" ht="12" customHeight="1" x14ac:dyDescent="0.2">
      <c r="A128" s="392"/>
      <c r="B128" s="800"/>
      <c r="C128" s="6517" t="e">
        <f>IF(C122=0,"",VLOOKUP(C122,'Tablas Magia'!$D$6:$Z$680,23,FALSE))</f>
        <v>#N/A</v>
      </c>
      <c r="D128" s="6518"/>
      <c r="E128" s="6518"/>
      <c r="F128" s="6518"/>
      <c r="G128" s="6518"/>
      <c r="H128" s="6518"/>
      <c r="I128" s="6518"/>
      <c r="J128" s="6518"/>
      <c r="K128" s="6518"/>
      <c r="L128" s="6518"/>
      <c r="M128" s="6518"/>
      <c r="N128" s="6518"/>
      <c r="O128" s="6518"/>
      <c r="P128" s="6518"/>
      <c r="Q128" s="6519"/>
      <c r="R128" s="398"/>
      <c r="S128" s="392"/>
      <c r="T128" s="392"/>
      <c r="U128" s="800"/>
      <c r="V128" s="6517" t="e">
        <f>IF(V122=0,"",VLOOKUP(V122,'Tablas Magia'!$D$6:$Z$680,23,FALSE))</f>
        <v>#N/A</v>
      </c>
      <c r="W128" s="6518"/>
      <c r="X128" s="6518"/>
      <c r="Y128" s="6518"/>
      <c r="Z128" s="6518"/>
      <c r="AA128" s="6518"/>
      <c r="AB128" s="6518"/>
      <c r="AC128" s="6518"/>
      <c r="AD128" s="6518"/>
      <c r="AE128" s="6518"/>
      <c r="AF128" s="6518"/>
      <c r="AG128" s="6518"/>
      <c r="AH128" s="6518"/>
      <c r="AI128" s="6518"/>
      <c r="AJ128" s="6519"/>
      <c r="AK128" s="398"/>
      <c r="AL128" s="392"/>
    </row>
    <row r="129" spans="1:38" ht="12" customHeight="1" x14ac:dyDescent="0.2">
      <c r="A129" s="392"/>
      <c r="B129" s="800"/>
      <c r="C129" s="6520"/>
      <c r="D129" s="6543"/>
      <c r="E129" s="6543"/>
      <c r="F129" s="6543"/>
      <c r="G129" s="6543"/>
      <c r="H129" s="6543"/>
      <c r="I129" s="6543"/>
      <c r="J129" s="6543"/>
      <c r="K129" s="6543"/>
      <c r="L129" s="6543"/>
      <c r="M129" s="6543"/>
      <c r="N129" s="6543"/>
      <c r="O129" s="6543"/>
      <c r="P129" s="6543"/>
      <c r="Q129" s="6522"/>
      <c r="R129" s="398"/>
      <c r="S129" s="392"/>
      <c r="T129" s="392"/>
      <c r="U129" s="800"/>
      <c r="V129" s="6520"/>
      <c r="W129" s="6521"/>
      <c r="X129" s="6521"/>
      <c r="Y129" s="6521"/>
      <c r="Z129" s="6521"/>
      <c r="AA129" s="6521"/>
      <c r="AB129" s="6521"/>
      <c r="AC129" s="6521"/>
      <c r="AD129" s="6521"/>
      <c r="AE129" s="6521"/>
      <c r="AF129" s="6521"/>
      <c r="AG129" s="6521"/>
      <c r="AH129" s="6521"/>
      <c r="AI129" s="6521"/>
      <c r="AJ129" s="6522"/>
      <c r="AK129" s="398"/>
      <c r="AL129" s="392"/>
    </row>
    <row r="130" spans="1:38" ht="12" customHeight="1" x14ac:dyDescent="0.2">
      <c r="A130" s="392"/>
      <c r="B130" s="800"/>
      <c r="C130" s="6520"/>
      <c r="D130" s="6543"/>
      <c r="E130" s="6543"/>
      <c r="F130" s="6543"/>
      <c r="G130" s="6543"/>
      <c r="H130" s="6543"/>
      <c r="I130" s="6543"/>
      <c r="J130" s="6543"/>
      <c r="K130" s="6543"/>
      <c r="L130" s="6543"/>
      <c r="M130" s="6543"/>
      <c r="N130" s="6543"/>
      <c r="O130" s="6543"/>
      <c r="P130" s="6543"/>
      <c r="Q130" s="6522"/>
      <c r="R130" s="398"/>
      <c r="S130" s="392"/>
      <c r="T130" s="392"/>
      <c r="U130" s="800"/>
      <c r="V130" s="6520"/>
      <c r="W130" s="6521"/>
      <c r="X130" s="6521"/>
      <c r="Y130" s="6521"/>
      <c r="Z130" s="6521"/>
      <c r="AA130" s="6521"/>
      <c r="AB130" s="6521"/>
      <c r="AC130" s="6521"/>
      <c r="AD130" s="6521"/>
      <c r="AE130" s="6521"/>
      <c r="AF130" s="6521"/>
      <c r="AG130" s="6521"/>
      <c r="AH130" s="6521"/>
      <c r="AI130" s="6521"/>
      <c r="AJ130" s="6522"/>
      <c r="AK130" s="398"/>
      <c r="AL130" s="392"/>
    </row>
    <row r="131" spans="1:38" ht="12" customHeight="1" thickBot="1" x14ac:dyDescent="0.25">
      <c r="A131" s="392"/>
      <c r="B131" s="800"/>
      <c r="C131" s="6523"/>
      <c r="D131" s="6524"/>
      <c r="E131" s="6524"/>
      <c r="F131" s="6524"/>
      <c r="G131" s="6524"/>
      <c r="H131" s="6524"/>
      <c r="I131" s="6524"/>
      <c r="J131" s="6524"/>
      <c r="K131" s="6524"/>
      <c r="L131" s="6524"/>
      <c r="M131" s="6524"/>
      <c r="N131" s="6524"/>
      <c r="O131" s="6524"/>
      <c r="P131" s="6524"/>
      <c r="Q131" s="6525"/>
      <c r="R131" s="398"/>
      <c r="S131" s="392"/>
      <c r="T131" s="392"/>
      <c r="U131" s="800"/>
      <c r="V131" s="6523"/>
      <c r="W131" s="6524"/>
      <c r="X131" s="6524"/>
      <c r="Y131" s="6524"/>
      <c r="Z131" s="6524"/>
      <c r="AA131" s="6524"/>
      <c r="AB131" s="6524"/>
      <c r="AC131" s="6524"/>
      <c r="AD131" s="6524"/>
      <c r="AE131" s="6524"/>
      <c r="AF131" s="6524"/>
      <c r="AG131" s="6524"/>
      <c r="AH131" s="6524"/>
      <c r="AI131" s="6524"/>
      <c r="AJ131" s="6525"/>
      <c r="AK131" s="398"/>
      <c r="AL131" s="392"/>
    </row>
    <row r="132" spans="1:38" ht="12" customHeight="1" x14ac:dyDescent="0.2">
      <c r="A132" s="2505"/>
      <c r="B132" s="800"/>
      <c r="C132" s="2511"/>
      <c r="D132" s="2511"/>
      <c r="E132" s="2511"/>
      <c r="F132" s="2511"/>
      <c r="G132" s="2511"/>
      <c r="H132" s="2511"/>
      <c r="I132" s="2511"/>
      <c r="J132" s="2511"/>
      <c r="K132" s="2511"/>
      <c r="L132" s="2511"/>
      <c r="M132" s="2511"/>
      <c r="N132" s="2511"/>
      <c r="O132" s="2511"/>
      <c r="P132" s="2511"/>
      <c r="Q132" s="2511"/>
      <c r="R132" s="398"/>
      <c r="S132" s="2505"/>
      <c r="T132" s="2505"/>
      <c r="U132" s="800"/>
      <c r="V132" s="2511"/>
      <c r="W132" s="2511"/>
      <c r="X132" s="2511"/>
      <c r="Y132" s="2511"/>
      <c r="Z132" s="2511"/>
      <c r="AA132" s="2511"/>
      <c r="AB132" s="2511"/>
      <c r="AC132" s="2511"/>
      <c r="AD132" s="2511"/>
      <c r="AE132" s="2511"/>
      <c r="AF132" s="2511"/>
      <c r="AG132" s="2511"/>
      <c r="AH132" s="2511"/>
      <c r="AI132" s="2511"/>
      <c r="AJ132" s="2511"/>
      <c r="AK132" s="398"/>
      <c r="AL132" s="2505"/>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2"/>
      <c r="C134" s="2503"/>
      <c r="D134" s="2503"/>
      <c r="E134" s="2503"/>
      <c r="F134" s="2503"/>
      <c r="G134" s="2503"/>
      <c r="H134" s="2503"/>
      <c r="I134" s="2503"/>
      <c r="J134" s="2503"/>
      <c r="K134" s="2503"/>
      <c r="L134" s="2503"/>
      <c r="M134" s="2503"/>
      <c r="N134" s="2503"/>
      <c r="O134" s="2503"/>
      <c r="P134" s="2503"/>
      <c r="Q134" s="2503"/>
      <c r="R134" s="2503"/>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5"/>
      <c r="B135" s="2505"/>
      <c r="C135" s="2505"/>
      <c r="D135" s="2505"/>
      <c r="E135" s="2505"/>
      <c r="F135" s="2505"/>
      <c r="G135" s="2505"/>
      <c r="H135" s="2505"/>
      <c r="I135" s="2505"/>
      <c r="J135" s="2505"/>
      <c r="K135" s="2505"/>
      <c r="L135" s="2505"/>
      <c r="M135" s="2505"/>
      <c r="N135" s="2505"/>
      <c r="O135" s="2505"/>
      <c r="P135" s="2505"/>
      <c r="Q135" s="2505"/>
      <c r="R135" s="2505"/>
      <c r="S135" s="2505"/>
      <c r="T135" s="2501"/>
      <c r="U135" s="798"/>
      <c r="V135" s="2466"/>
      <c r="W135" s="2466"/>
      <c r="X135" s="2466"/>
      <c r="Y135" s="2466"/>
      <c r="Z135" s="2466"/>
      <c r="AA135" s="2466"/>
      <c r="AB135" s="2466"/>
      <c r="AC135" s="2466"/>
      <c r="AD135" s="2466"/>
      <c r="AE135" s="2466"/>
      <c r="AF135" s="2466"/>
      <c r="AG135" s="2466"/>
      <c r="AH135" s="2466"/>
      <c r="AI135" s="2466"/>
      <c r="AJ135" s="2466"/>
      <c r="AK135" s="2466"/>
      <c r="AL135" s="2466"/>
    </row>
    <row r="136" spans="1:38" ht="17.25" customHeight="1" thickBot="1" x14ac:dyDescent="0.25">
      <c r="A136" s="2503"/>
      <c r="B136" s="1081"/>
      <c r="C136" s="394"/>
      <c r="D136" s="394"/>
      <c r="E136" s="394"/>
      <c r="F136" s="394"/>
      <c r="G136" s="394"/>
      <c r="H136" s="394"/>
      <c r="I136" s="394"/>
      <c r="J136" s="394"/>
      <c r="K136" s="394"/>
      <c r="L136" s="394"/>
      <c r="M136" s="394"/>
      <c r="N136" s="394"/>
      <c r="O136" s="394"/>
      <c r="P136" s="394"/>
      <c r="Q136" s="394"/>
      <c r="R136" s="395"/>
      <c r="S136" s="1420"/>
      <c r="T136" s="2503"/>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3"/>
      <c r="B137" s="1082"/>
      <c r="C137" s="6496"/>
      <c r="D137" s="6497"/>
      <c r="E137" s="6497"/>
      <c r="F137" s="6497"/>
      <c r="G137" s="6497"/>
      <c r="H137" s="6497"/>
      <c r="I137" s="2467"/>
      <c r="J137" s="2467"/>
      <c r="K137" s="2467"/>
      <c r="L137" s="2467"/>
      <c r="M137" s="2467"/>
      <c r="N137" s="2467"/>
      <c r="O137" s="2467"/>
      <c r="P137" s="2467"/>
      <c r="Q137" s="397"/>
      <c r="R137" s="398"/>
      <c r="S137" s="1420"/>
      <c r="T137" s="2503"/>
      <c r="U137" s="1082"/>
      <c r="V137" s="6496"/>
      <c r="W137" s="6497"/>
      <c r="X137" s="6497"/>
      <c r="Y137" s="6497"/>
      <c r="Z137" s="6497"/>
      <c r="AA137" s="6497"/>
      <c r="AB137" s="2467"/>
      <c r="AC137" s="2467"/>
      <c r="AD137" s="2467"/>
      <c r="AE137" s="2467"/>
      <c r="AF137" s="2467"/>
      <c r="AG137" s="2467"/>
      <c r="AH137" s="2467"/>
      <c r="AI137" s="2467"/>
      <c r="AJ137" s="397"/>
      <c r="AK137" s="398"/>
      <c r="AL137" s="1420"/>
    </row>
    <row r="138" spans="1:38" ht="12" customHeight="1" x14ac:dyDescent="0.2">
      <c r="A138" s="2504"/>
      <c r="B138" s="1717"/>
      <c r="C138" s="6498"/>
      <c r="D138" s="6499"/>
      <c r="E138" s="6499"/>
      <c r="F138" s="6499"/>
      <c r="G138" s="6499"/>
      <c r="H138" s="6499"/>
      <c r="I138" s="2480"/>
      <c r="J138" s="6536" t="s">
        <v>10042</v>
      </c>
      <c r="K138" s="6537"/>
      <c r="L138" s="6537"/>
      <c r="M138" s="6537"/>
      <c r="N138" s="6537"/>
      <c r="O138" s="6537"/>
      <c r="P138" s="6537"/>
      <c r="Q138" s="352"/>
      <c r="R138" s="804"/>
      <c r="S138" s="1718"/>
      <c r="T138" s="2504"/>
      <c r="U138" s="1717"/>
      <c r="V138" s="6498"/>
      <c r="W138" s="6499"/>
      <c r="X138" s="6499"/>
      <c r="Y138" s="6499"/>
      <c r="Z138" s="6499"/>
      <c r="AA138" s="6499"/>
      <c r="AB138" s="2480"/>
      <c r="AC138" s="6536" t="s">
        <v>10042</v>
      </c>
      <c r="AD138" s="6537"/>
      <c r="AE138" s="6537"/>
      <c r="AF138" s="6537"/>
      <c r="AG138" s="6537"/>
      <c r="AH138" s="6537"/>
      <c r="AI138" s="6537"/>
      <c r="AJ138" s="352"/>
      <c r="AK138" s="804"/>
      <c r="AL138" s="1718"/>
    </row>
    <row r="139" spans="1:38" ht="12" customHeight="1" x14ac:dyDescent="0.2">
      <c r="A139" s="2503"/>
      <c r="B139" s="1082"/>
      <c r="C139" s="6498"/>
      <c r="D139" s="6499"/>
      <c r="E139" s="6499"/>
      <c r="F139" s="6499"/>
      <c r="G139" s="6499"/>
      <c r="H139" s="6499"/>
      <c r="I139" s="2480"/>
      <c r="J139" s="6537"/>
      <c r="K139" s="6537"/>
      <c r="L139" s="6537"/>
      <c r="M139" s="6537"/>
      <c r="N139" s="6537"/>
      <c r="O139" s="6537"/>
      <c r="P139" s="6537"/>
      <c r="Q139" s="399"/>
      <c r="R139" s="398"/>
      <c r="S139" s="1420"/>
      <c r="T139" s="2503"/>
      <c r="U139" s="1082"/>
      <c r="V139" s="6498"/>
      <c r="W139" s="6499"/>
      <c r="X139" s="6499"/>
      <c r="Y139" s="6499"/>
      <c r="Z139" s="6499"/>
      <c r="AA139" s="6499"/>
      <c r="AB139" s="2480"/>
      <c r="AC139" s="6537"/>
      <c r="AD139" s="6537"/>
      <c r="AE139" s="6537"/>
      <c r="AF139" s="6537"/>
      <c r="AG139" s="6537"/>
      <c r="AH139" s="6537"/>
      <c r="AI139" s="6537"/>
      <c r="AJ139" s="399"/>
      <c r="AK139" s="398"/>
      <c r="AL139" s="1420"/>
    </row>
    <row r="140" spans="1:38" ht="12" customHeight="1" x14ac:dyDescent="0.2">
      <c r="A140" s="2503"/>
      <c r="B140" s="1082"/>
      <c r="C140" s="6498"/>
      <c r="D140" s="6499"/>
      <c r="E140" s="6499"/>
      <c r="F140" s="6499"/>
      <c r="G140" s="6499"/>
      <c r="H140" s="6499"/>
      <c r="I140" s="2481" t="s">
        <v>7039</v>
      </c>
      <c r="J140" s="6538" t="str">
        <f>IF($J$6="","",$J$6)</f>
        <v/>
      </c>
      <c r="K140" s="6538"/>
      <c r="L140" s="6538"/>
      <c r="M140" s="2482"/>
      <c r="N140" s="2482"/>
      <c r="O140" s="2483" t="str">
        <f>$O$6</f>
        <v>Nivel de vía aprendido</v>
      </c>
      <c r="P140" s="2484">
        <f>$P$6</f>
        <v>0</v>
      </c>
      <c r="Q140" s="399"/>
      <c r="R140" s="398"/>
      <c r="S140" s="1420"/>
      <c r="T140" s="2503"/>
      <c r="U140" s="1082"/>
      <c r="V140" s="6498"/>
      <c r="W140" s="6499"/>
      <c r="X140" s="6499"/>
      <c r="Y140" s="6499"/>
      <c r="Z140" s="6499"/>
      <c r="AA140" s="6499"/>
      <c r="AB140" s="2481" t="s">
        <v>7039</v>
      </c>
      <c r="AC140" s="6538" t="str">
        <f>IF($J$6="","",$J$6)</f>
        <v/>
      </c>
      <c r="AD140" s="6538"/>
      <c r="AE140" s="6538"/>
      <c r="AF140" s="2482"/>
      <c r="AG140" s="2482"/>
      <c r="AH140" s="2483" t="str">
        <f>$O$6</f>
        <v>Nivel de vía aprendido</v>
      </c>
      <c r="AI140" s="2484">
        <f>$P$6</f>
        <v>0</v>
      </c>
      <c r="AJ140" s="399"/>
      <c r="AK140" s="398"/>
      <c r="AL140" s="1420"/>
    </row>
    <row r="141" spans="1:38" ht="12" customHeight="1" x14ac:dyDescent="0.2">
      <c r="A141" s="2503"/>
      <c r="B141" s="1082"/>
      <c r="C141" s="6498"/>
      <c r="D141" s="6499"/>
      <c r="E141" s="6499"/>
      <c r="F141" s="6499"/>
      <c r="G141" s="6499"/>
      <c r="H141" s="6499"/>
      <c r="I141" s="2485" t="s">
        <v>7040</v>
      </c>
      <c r="J141" s="6538" t="str">
        <f>IF($J$8="","",$J$8)</f>
        <v/>
      </c>
      <c r="K141" s="6538"/>
      <c r="L141" s="6538"/>
      <c r="M141" s="2482"/>
      <c r="N141" s="2482"/>
      <c r="O141" s="2482"/>
      <c r="P141" s="2482"/>
      <c r="Q141" s="399"/>
      <c r="R141" s="398"/>
      <c r="S141" s="1420"/>
      <c r="T141" s="2503"/>
      <c r="U141" s="1082"/>
      <c r="V141" s="6498"/>
      <c r="W141" s="6499"/>
      <c r="X141" s="6499"/>
      <c r="Y141" s="6499"/>
      <c r="Z141" s="6499"/>
      <c r="AA141" s="6499"/>
      <c r="AB141" s="2485" t="s">
        <v>7040</v>
      </c>
      <c r="AC141" s="6538" t="str">
        <f>IF($J$8="","",$J$8)</f>
        <v/>
      </c>
      <c r="AD141" s="6538"/>
      <c r="AE141" s="6538"/>
      <c r="AF141" s="2482"/>
      <c r="AG141" s="2482"/>
      <c r="AH141" s="2482"/>
      <c r="AI141" s="2482"/>
      <c r="AJ141" s="399"/>
      <c r="AK141" s="398"/>
      <c r="AL141" s="1420"/>
    </row>
    <row r="142" spans="1:38" ht="12" customHeight="1" thickBot="1" x14ac:dyDescent="0.25">
      <c r="A142" s="2503"/>
      <c r="B142" s="1082"/>
      <c r="C142" s="6500"/>
      <c r="D142" s="6501"/>
      <c r="E142" s="6501"/>
      <c r="F142" s="6501"/>
      <c r="G142" s="6501"/>
      <c r="H142" s="6501"/>
      <c r="I142" s="2469"/>
      <c r="J142" s="2469"/>
      <c r="K142" s="2469"/>
      <c r="L142" s="2469"/>
      <c r="M142" s="2469"/>
      <c r="N142" s="2469"/>
      <c r="O142" s="2469"/>
      <c r="P142" s="2469"/>
      <c r="Q142" s="401"/>
      <c r="R142" s="398"/>
      <c r="S142" s="1420"/>
      <c r="T142" s="2503"/>
      <c r="U142" s="1082"/>
      <c r="V142" s="6500"/>
      <c r="W142" s="6501"/>
      <c r="X142" s="6501"/>
      <c r="Y142" s="6501"/>
      <c r="Z142" s="6501"/>
      <c r="AA142" s="6501"/>
      <c r="AB142" s="2469"/>
      <c r="AC142" s="2469"/>
      <c r="AD142" s="2469"/>
      <c r="AE142" s="2469"/>
      <c r="AF142" s="2469"/>
      <c r="AG142" s="2469"/>
      <c r="AH142" s="2469"/>
      <c r="AI142" s="2469"/>
      <c r="AJ142" s="401"/>
      <c r="AK142" s="398"/>
      <c r="AL142" s="1420"/>
    </row>
    <row r="143" spans="1:38" ht="12" customHeight="1" x14ac:dyDescent="0.2">
      <c r="A143" s="2503"/>
      <c r="B143" s="1082"/>
      <c r="C143" s="2486"/>
      <c r="D143" s="2486"/>
      <c r="E143" s="2486"/>
      <c r="F143" s="2486"/>
      <c r="G143" s="2486"/>
      <c r="H143" s="2486"/>
      <c r="I143" s="2486"/>
      <c r="J143" s="2486"/>
      <c r="K143" s="2486"/>
      <c r="L143" s="2486"/>
      <c r="M143" s="2486"/>
      <c r="N143" s="2486"/>
      <c r="O143" s="2486"/>
      <c r="P143" s="2486"/>
      <c r="Q143" s="2486"/>
      <c r="R143" s="398"/>
      <c r="S143" s="1420"/>
      <c r="T143" s="2503"/>
      <c r="U143" s="1082"/>
      <c r="V143" s="2486"/>
      <c r="W143" s="2486"/>
      <c r="X143" s="2486"/>
      <c r="Y143" s="2486"/>
      <c r="Z143" s="2486"/>
      <c r="AA143" s="2486"/>
      <c r="AB143" s="2486"/>
      <c r="AC143" s="2486"/>
      <c r="AD143" s="2486"/>
      <c r="AE143" s="2486"/>
      <c r="AF143" s="2486"/>
      <c r="AG143" s="2486"/>
      <c r="AH143" s="2486"/>
      <c r="AI143" s="2486"/>
      <c r="AJ143" s="2486"/>
      <c r="AK143" s="398"/>
      <c r="AL143" s="1420"/>
    </row>
    <row r="144" spans="1:38" ht="12" customHeight="1" thickBot="1" x14ac:dyDescent="0.25">
      <c r="A144" s="2503"/>
      <c r="B144" s="808"/>
      <c r="C144" s="6555" t="str">
        <f>"Conjuros de nivel "&amp;B145&amp;"-"&amp;B189</f>
        <v>Conjuros de nivel 42-50</v>
      </c>
      <c r="D144" s="6555"/>
      <c r="E144" s="6555"/>
      <c r="F144" s="6555"/>
      <c r="G144" s="6555"/>
      <c r="H144" s="6555"/>
      <c r="I144" s="6555"/>
      <c r="J144" s="6555"/>
      <c r="K144" s="6555"/>
      <c r="L144" s="6555"/>
      <c r="M144" s="6555"/>
      <c r="N144" s="6555"/>
      <c r="O144" s="6555"/>
      <c r="P144" s="6555"/>
      <c r="Q144" s="6555"/>
      <c r="R144" s="806"/>
      <c r="S144" s="1420"/>
      <c r="T144" s="2501"/>
      <c r="U144" s="808"/>
      <c r="V144" s="6555" t="str">
        <f>"Conjuros de nivel "&amp;U145&amp;"-"&amp;U189</f>
        <v>Conjuros de nivel 52-60</v>
      </c>
      <c r="W144" s="6555"/>
      <c r="X144" s="6555"/>
      <c r="Y144" s="6555"/>
      <c r="Z144" s="6555"/>
      <c r="AA144" s="6555"/>
      <c r="AB144" s="6555"/>
      <c r="AC144" s="6555"/>
      <c r="AD144" s="6555"/>
      <c r="AE144" s="6555"/>
      <c r="AF144" s="6555"/>
      <c r="AG144" s="6555"/>
      <c r="AH144" s="6555"/>
      <c r="AI144" s="6555"/>
      <c r="AJ144" s="6555"/>
      <c r="AK144" s="807"/>
      <c r="AL144" s="392"/>
    </row>
    <row r="145" spans="1:38" ht="12" customHeight="1" x14ac:dyDescent="0.2">
      <c r="A145" s="2501"/>
      <c r="B145" s="800">
        <f>B78+20</f>
        <v>42</v>
      </c>
      <c r="C145" s="6559" t="str">
        <f>IFERROR(VLOOKUP($J$6&amp;B145,'Tablas Magia'!$B$6:$D$680,3,FALSE),IFERROR(VLOOKUP($J$8&amp;B145,'Tablas Magia'!$B$6:$D$680,3,FALSE),IFERROR(VLOOKUP($J$6&amp;B145,Místicos!$AD$12:$AJ$50,4,FALSE),"Libre Acceso 1-"&amp;ROUNDUP(B145/10,0)*10)))</f>
        <v>Libre Acceso 1-50</v>
      </c>
      <c r="D145" s="6560"/>
      <c r="E145" s="6560"/>
      <c r="F145" s="6560"/>
      <c r="G145" s="6561"/>
      <c r="H145" s="402" t="s">
        <v>1325</v>
      </c>
      <c r="I145" s="403">
        <f>B145</f>
        <v>42</v>
      </c>
      <c r="J145" s="6544" t="s">
        <v>6231</v>
      </c>
      <c r="K145" s="6544"/>
      <c r="L145" s="6544"/>
      <c r="M145" s="6529" t="e">
        <f>IF(C145=0,"",VLOOKUP(C145,'Tablas Magia'!$D$6:$Z$680,2,FALSE))</f>
        <v>#N/A</v>
      </c>
      <c r="N145" s="6529"/>
      <c r="O145" s="1705"/>
      <c r="P145" s="6550" t="str">
        <f>IFERROR(IF(M145="Libre Acceso","Aprendido",IF(IFERROR(VLOOKUP(M145,Místicos!$C$15:$H$25,6,0)&gt;=I145,FALSE),"Aprendido",IF(IFERROR(VLOOKUP(M145,Místicos!$E$15:$H$25,4,0)&gt;=I145,FALSE),"Aprendido",""))),"")</f>
        <v/>
      </c>
      <c r="Q145" s="6551"/>
      <c r="R145" s="398"/>
      <c r="S145" s="392"/>
      <c r="T145" s="2501"/>
      <c r="U145" s="800">
        <f>B189+2</f>
        <v>52</v>
      </c>
      <c r="V145" s="6559" t="str">
        <f>IFERROR(VLOOKUP($J$6&amp;U145,'Tablas Magia'!$B$6:$D$680,3,FALSE),IFERROR(VLOOKUP($J$8&amp;U145,'Tablas Magia'!$B$6:$D$680,3,FALSE),IFERROR(VLOOKUP($J$6&amp;U145,Místicos!$AD$12:$AJ$50,4,FALSE),"Libre Acceso 1-"&amp;ROUNDUP(U145/10,0)*10)))</f>
        <v>Libre Acceso 1-60</v>
      </c>
      <c r="W145" s="6560"/>
      <c r="X145" s="6560"/>
      <c r="Y145" s="6560"/>
      <c r="Z145" s="6561"/>
      <c r="AA145" s="402" t="s">
        <v>1325</v>
      </c>
      <c r="AB145" s="403">
        <f>U145</f>
        <v>52</v>
      </c>
      <c r="AC145" s="6544" t="s">
        <v>6231</v>
      </c>
      <c r="AD145" s="6544"/>
      <c r="AE145" s="6544"/>
      <c r="AF145" s="6529" t="e">
        <f>IF(V145=0,"",VLOOKUP(V145,'Tablas Magia'!$D$6:$Z$680,2,FALSE))</f>
        <v>#N/A</v>
      </c>
      <c r="AG145" s="6529"/>
      <c r="AH145" s="1705"/>
      <c r="AI145" s="6550" t="str">
        <f>IFERROR(IF(AF145="Libre Acceso","Aprendido",IF(IFERROR(VLOOKUP(AF145,Místicos!$C$15:$H$25,6,0)&gt;=AB145,FALSE),"Aprendido",IF(IFERROR(VLOOKUP(AF145,Místicos!$E$15:$H$25,4,0)&gt;=AB145,FALSE),"Aprendido",""))),"")</f>
        <v/>
      </c>
      <c r="AJ145" s="6551"/>
      <c r="AK145" s="398"/>
      <c r="AL145" s="392"/>
    </row>
    <row r="146" spans="1:38" ht="12" customHeight="1" x14ac:dyDescent="0.2">
      <c r="A146" s="2501"/>
      <c r="B146" s="800"/>
      <c r="C146" s="6531" t="s">
        <v>6232</v>
      </c>
      <c r="D146" s="6545"/>
      <c r="E146" s="2487" t="s">
        <v>6233</v>
      </c>
      <c r="F146" s="2487" t="s">
        <v>1508</v>
      </c>
      <c r="G146" s="2487" t="s">
        <v>2827</v>
      </c>
      <c r="H146" s="2488" t="s">
        <v>1835</v>
      </c>
      <c r="I146" s="6553" t="e">
        <f>IF(C145=0,"",VLOOKUP(C145,'Tablas Magia'!$D$6:$Z$680,5,FALSE))</f>
        <v>#N/A</v>
      </c>
      <c r="J146" s="6553"/>
      <c r="K146" s="6556" t="s">
        <v>6234</v>
      </c>
      <c r="L146" s="6556"/>
      <c r="M146" s="6553" t="e">
        <f>IF(C145=0,"",VLOOKUP(C145,'Tablas Magia'!$D$6:$Z$680,6,FALSE))</f>
        <v>#N/A</v>
      </c>
      <c r="N146" s="6553"/>
      <c r="O146" s="6554" t="s">
        <v>6235</v>
      </c>
      <c r="P146" s="6554"/>
      <c r="Q146" s="2489" t="e">
        <f>IF(C145=0,"",VLOOKUP(C145,'Tablas Magia'!$D$6:$Z$680,4,FALSE))</f>
        <v>#N/A</v>
      </c>
      <c r="R146" s="398"/>
      <c r="S146" s="392"/>
      <c r="T146" s="2501"/>
      <c r="U146" s="800"/>
      <c r="V146" s="6531" t="s">
        <v>6232</v>
      </c>
      <c r="W146" s="6545"/>
      <c r="X146" s="2487" t="s">
        <v>6233</v>
      </c>
      <c r="Y146" s="2487" t="s">
        <v>1508</v>
      </c>
      <c r="Z146" s="2487" t="s">
        <v>2827</v>
      </c>
      <c r="AA146" s="2488" t="s">
        <v>1835</v>
      </c>
      <c r="AB146" s="6553" t="e">
        <f>IF(V145=0,"",VLOOKUP(V145,'Tablas Magia'!$D$6:$Z$680,5,FALSE))</f>
        <v>#N/A</v>
      </c>
      <c r="AC146" s="6553"/>
      <c r="AD146" s="6556" t="s">
        <v>6234</v>
      </c>
      <c r="AE146" s="6556"/>
      <c r="AF146" s="6553" t="e">
        <f>IF(V145=0,"",VLOOKUP(V145,'Tablas Magia'!$D$6:$Z$680,6,FALSE))</f>
        <v>#N/A</v>
      </c>
      <c r="AG146" s="6553"/>
      <c r="AH146" s="6554" t="s">
        <v>6235</v>
      </c>
      <c r="AI146" s="6554"/>
      <c r="AJ146" s="2489" t="e">
        <f>IF(V145=0,"",VLOOKUP(V145,'Tablas Magia'!$D$6:$Z$680,4,FALSE))</f>
        <v>#N/A</v>
      </c>
      <c r="AK146" s="398"/>
      <c r="AL146" s="392"/>
    </row>
    <row r="147" spans="1:38" ht="12" customHeight="1" x14ac:dyDescent="0.2">
      <c r="A147" s="2501"/>
      <c r="B147" s="800"/>
      <c r="C147" s="6507" t="s">
        <v>1365</v>
      </c>
      <c r="D147" s="6508"/>
      <c r="E147" s="2490" t="e">
        <f>IF(C145=0,"",VLOOKUP(C145,'Tablas Magia'!$D$6:$Z$680,7,FALSE))</f>
        <v>#N/A</v>
      </c>
      <c r="F147" s="2490" t="e">
        <f>IF(C145=0,"",VLOOKUP(C145,'Tablas Magia'!$D$6:$Z$680,11,FALSE))</f>
        <v>#N/A</v>
      </c>
      <c r="G147" s="408" t="e">
        <f>IF(C145=0,"",VLOOKUP(C145,'Tablas Magia'!$D$6:$Z$680,15,FALSE))</f>
        <v>#N/A</v>
      </c>
      <c r="H147" s="6509" t="e">
        <f>IF(C145=0,"",VLOOKUP(C145,'Tablas Magia'!$D$6:$Z$680,19,FALSE))</f>
        <v>#N/A</v>
      </c>
      <c r="I147" s="6552"/>
      <c r="J147" s="6552"/>
      <c r="K147" s="6552"/>
      <c r="L147" s="6552"/>
      <c r="M147" s="6552"/>
      <c r="N147" s="6552"/>
      <c r="O147" s="6552"/>
      <c r="P147" s="6552"/>
      <c r="Q147" s="6511"/>
      <c r="R147" s="398"/>
      <c r="S147" s="392"/>
      <c r="T147" s="2501"/>
      <c r="U147" s="800"/>
      <c r="V147" s="6557" t="s">
        <v>1365</v>
      </c>
      <c r="W147" s="6558"/>
      <c r="X147" s="2490" t="e">
        <f>IF(V145=0,"",VLOOKUP(V145,'Tablas Magia'!$D$6:$Z$680,7,FALSE))</f>
        <v>#N/A</v>
      </c>
      <c r="Y147" s="2490" t="e">
        <f>IF(V145=0,"",VLOOKUP(V145,'Tablas Magia'!$D$6:$Z$680,11,FALSE))</f>
        <v>#N/A</v>
      </c>
      <c r="Z147" s="408" t="e">
        <f>IF(V145=0,"",VLOOKUP(V145,'Tablas Magia'!$D$6:$Z$680,15,FALSE))</f>
        <v>#N/A</v>
      </c>
      <c r="AA147" s="6539" t="e">
        <f>IF(V145=0,"",VLOOKUP(V145,'Tablas Magia'!$D$6:$Z$680,19,FALSE))</f>
        <v>#N/A</v>
      </c>
      <c r="AB147" s="6540"/>
      <c r="AC147" s="6540"/>
      <c r="AD147" s="6540"/>
      <c r="AE147" s="6540"/>
      <c r="AF147" s="6540"/>
      <c r="AG147" s="6540"/>
      <c r="AH147" s="6540"/>
      <c r="AI147" s="6540"/>
      <c r="AJ147" s="6541"/>
      <c r="AK147" s="398"/>
      <c r="AL147" s="392"/>
    </row>
    <row r="148" spans="1:38" ht="12" customHeight="1" x14ac:dyDescent="0.2">
      <c r="A148" s="2501"/>
      <c r="B148" s="800"/>
      <c r="C148" s="6502" t="s">
        <v>3196</v>
      </c>
      <c r="D148" s="6503"/>
      <c r="E148" s="2491" t="e">
        <f>IF(C145=0,"",VLOOKUP(C145,'Tablas Magia'!$D$6:$Z$680,8,FALSE))</f>
        <v>#N/A</v>
      </c>
      <c r="F148" s="2491" t="e">
        <f>IF(C145=0,"",VLOOKUP(C145,'Tablas Magia'!$D$6:$Z$680,12,FALSE))</f>
        <v>#N/A</v>
      </c>
      <c r="G148" s="410" t="e">
        <f>IF(C145=0,"",VLOOKUP(C145,'Tablas Magia'!$D$6:$Z$680,16,FALSE))</f>
        <v>#N/A</v>
      </c>
      <c r="H148" s="6504" t="e">
        <f>IF(C145=0,"",VLOOKUP(C145,'Tablas Magia'!$D$6:$Z$680,20,FALSE))</f>
        <v>#N/A</v>
      </c>
      <c r="I148" s="6542"/>
      <c r="J148" s="6542"/>
      <c r="K148" s="6542"/>
      <c r="L148" s="6542"/>
      <c r="M148" s="6542"/>
      <c r="N148" s="6542"/>
      <c r="O148" s="6542"/>
      <c r="P148" s="6542"/>
      <c r="Q148" s="6506"/>
      <c r="R148" s="398"/>
      <c r="S148" s="392"/>
      <c r="T148" s="2501"/>
      <c r="U148" s="800"/>
      <c r="V148" s="6502" t="s">
        <v>3196</v>
      </c>
      <c r="W148" s="6503"/>
      <c r="X148" s="2491" t="e">
        <f>IF(V145=0,"",VLOOKUP(V145,'Tablas Magia'!$D$6:$Z$680,8,FALSE))</f>
        <v>#N/A</v>
      </c>
      <c r="Y148" s="2491" t="e">
        <f>IF(V145=0,"",VLOOKUP(V145,'Tablas Magia'!$D$6:$Z$680,12,FALSE))</f>
        <v>#N/A</v>
      </c>
      <c r="Z148" s="410" t="e">
        <f>IF(V145=0,"",VLOOKUP(V145,'Tablas Magia'!$D$6:$Z$680,16,FALSE))</f>
        <v>#N/A</v>
      </c>
      <c r="AA148" s="6504" t="e">
        <f>IF(V145=0,"",VLOOKUP(V145,'Tablas Magia'!$D$6:$Z$680,20,FALSE))</f>
        <v>#N/A</v>
      </c>
      <c r="AB148" s="6542"/>
      <c r="AC148" s="6542"/>
      <c r="AD148" s="6542"/>
      <c r="AE148" s="6542"/>
      <c r="AF148" s="6542"/>
      <c r="AG148" s="6542"/>
      <c r="AH148" s="6542"/>
      <c r="AI148" s="6542"/>
      <c r="AJ148" s="6506"/>
      <c r="AK148" s="398"/>
      <c r="AL148" s="392"/>
    </row>
    <row r="149" spans="1:38" ht="12" customHeight="1" x14ac:dyDescent="0.2">
      <c r="A149" s="2501"/>
      <c r="B149" s="800"/>
      <c r="C149" s="6507" t="s">
        <v>3197</v>
      </c>
      <c r="D149" s="6508"/>
      <c r="E149" s="2490" t="e">
        <f>IF(C145=0,"",VLOOKUP(C145,'Tablas Magia'!$D$6:$Z$680,9,FALSE))</f>
        <v>#N/A</v>
      </c>
      <c r="F149" s="2490" t="e">
        <f>IF(C145=0,"",VLOOKUP(C145,'Tablas Magia'!$D$6:$Z$680,13,FALSE))</f>
        <v>#N/A</v>
      </c>
      <c r="G149" s="408" t="e">
        <f>IF(C145=0,"",VLOOKUP(C145,'Tablas Magia'!$D$6:$Z$680,17,FALSE))</f>
        <v>#N/A</v>
      </c>
      <c r="H149" s="6509" t="e">
        <f>IF(C145=0,"",VLOOKUP(C145,'Tablas Magia'!$D$6:$Z$680,21,FALSE))</f>
        <v>#N/A</v>
      </c>
      <c r="I149" s="6552"/>
      <c r="J149" s="6552"/>
      <c r="K149" s="6552"/>
      <c r="L149" s="6552"/>
      <c r="M149" s="6552"/>
      <c r="N149" s="6552"/>
      <c r="O149" s="6552"/>
      <c r="P149" s="6552"/>
      <c r="Q149" s="6511"/>
      <c r="R149" s="398"/>
      <c r="S149" s="392"/>
      <c r="T149" s="2501"/>
      <c r="U149" s="800"/>
      <c r="V149" s="6507" t="s">
        <v>3197</v>
      </c>
      <c r="W149" s="6508"/>
      <c r="X149" s="2490" t="e">
        <f>IF(V145=0,"",VLOOKUP(V145,'Tablas Magia'!$D$6:$Z$680,9,FALSE))</f>
        <v>#N/A</v>
      </c>
      <c r="Y149" s="2490" t="e">
        <f>IF(V145=0,"",VLOOKUP(V145,'Tablas Magia'!$D$6:$Z$680,13,FALSE))</f>
        <v>#N/A</v>
      </c>
      <c r="Z149" s="408" t="e">
        <f>IF(V145=0,"",VLOOKUP(V145,'Tablas Magia'!$D$6:$Z$680,17,FALSE))</f>
        <v>#N/A</v>
      </c>
      <c r="AA149" s="6509" t="e">
        <f>IF(V145=0,"",VLOOKUP(V145,'Tablas Magia'!$D$6:$Z$680,21,FALSE))</f>
        <v>#N/A</v>
      </c>
      <c r="AB149" s="6552"/>
      <c r="AC149" s="6552"/>
      <c r="AD149" s="6552"/>
      <c r="AE149" s="6552"/>
      <c r="AF149" s="6552"/>
      <c r="AG149" s="6552"/>
      <c r="AH149" s="6552"/>
      <c r="AI149" s="6552"/>
      <c r="AJ149" s="6511"/>
      <c r="AK149" s="398"/>
      <c r="AL149" s="392"/>
    </row>
    <row r="150" spans="1:38" ht="12" customHeight="1" thickBot="1" x14ac:dyDescent="0.25">
      <c r="A150" s="2501"/>
      <c r="B150" s="800"/>
      <c r="C150" s="6512" t="s">
        <v>3198</v>
      </c>
      <c r="D150" s="6513"/>
      <c r="E150" s="411" t="e">
        <f>IF(C145=0,"",VLOOKUP(C145,'Tablas Magia'!$D$6:$Z$680,10,FALSE))</f>
        <v>#N/A</v>
      </c>
      <c r="F150" s="411" t="e">
        <f>IF(C145=0,"",VLOOKUP(C145,'Tablas Magia'!$D$6:$Z$680,14,FALSE))</f>
        <v>#N/A</v>
      </c>
      <c r="G150" s="412" t="e">
        <f>IF(C145=0,"",VLOOKUP(C145,'Tablas Magia'!$D$6:$Z$680,18,FALSE))</f>
        <v>#N/A</v>
      </c>
      <c r="H150" s="6514" t="e">
        <f>IF(C145=0,"",VLOOKUP(C145,'Tablas Magia'!$D$6:$Z$680,22,FALSE))</f>
        <v>#N/A</v>
      </c>
      <c r="I150" s="6515"/>
      <c r="J150" s="6515"/>
      <c r="K150" s="6515"/>
      <c r="L150" s="6515"/>
      <c r="M150" s="6515"/>
      <c r="N150" s="6515"/>
      <c r="O150" s="6515"/>
      <c r="P150" s="6515"/>
      <c r="Q150" s="6516"/>
      <c r="R150" s="398"/>
      <c r="S150" s="392"/>
      <c r="T150" s="2501"/>
      <c r="U150" s="800"/>
      <c r="V150" s="6512" t="s">
        <v>3198</v>
      </c>
      <c r="W150" s="6513"/>
      <c r="X150" s="411" t="e">
        <f>IF(V145=0,"",VLOOKUP(V145,'Tablas Magia'!$D$6:$Z$680,10,FALSE))</f>
        <v>#N/A</v>
      </c>
      <c r="Y150" s="411" t="e">
        <f>IF(V145=0,"",VLOOKUP(V145,'Tablas Magia'!$D$6:$Z$680,14,FALSE))</f>
        <v>#N/A</v>
      </c>
      <c r="Z150" s="412" t="e">
        <f>IF(V145=0,"",VLOOKUP(V145,'Tablas Magia'!$D$6:$Z$680,18,FALSE))</f>
        <v>#N/A</v>
      </c>
      <c r="AA150" s="6514" t="e">
        <f>IF(V145=0,"",VLOOKUP(V145,'Tablas Magia'!$D$6:$Z$680,22,FALSE))</f>
        <v>#N/A</v>
      </c>
      <c r="AB150" s="6515"/>
      <c r="AC150" s="6515"/>
      <c r="AD150" s="6515"/>
      <c r="AE150" s="6515"/>
      <c r="AF150" s="6515"/>
      <c r="AG150" s="6515"/>
      <c r="AH150" s="6515"/>
      <c r="AI150" s="6515"/>
      <c r="AJ150" s="6516"/>
      <c r="AK150" s="398"/>
      <c r="AL150" s="392"/>
    </row>
    <row r="151" spans="1:38" ht="12" customHeight="1" x14ac:dyDescent="0.2">
      <c r="A151" s="2501"/>
      <c r="B151" s="800"/>
      <c r="C151" s="6517" t="e">
        <f>IF(C145=0,"",VLOOKUP(C145,'Tablas Magia'!$D$6:$Z$680,23,FALSE))</f>
        <v>#N/A</v>
      </c>
      <c r="D151" s="6518"/>
      <c r="E151" s="6518"/>
      <c r="F151" s="6518"/>
      <c r="G151" s="6518"/>
      <c r="H151" s="6518"/>
      <c r="I151" s="6518"/>
      <c r="J151" s="6518"/>
      <c r="K151" s="6518"/>
      <c r="L151" s="6518"/>
      <c r="M151" s="6518"/>
      <c r="N151" s="6518"/>
      <c r="O151" s="6518"/>
      <c r="P151" s="6518"/>
      <c r="Q151" s="6519"/>
      <c r="R151" s="398"/>
      <c r="S151" s="392"/>
      <c r="T151" s="2501"/>
      <c r="U151" s="800"/>
      <c r="V151" s="6517" t="e">
        <f>IF(V145=0,"",VLOOKUP(V145,'Tablas Magia'!$D$6:$Z$680,23,FALSE))</f>
        <v>#N/A</v>
      </c>
      <c r="W151" s="6518"/>
      <c r="X151" s="6518"/>
      <c r="Y151" s="6518"/>
      <c r="Z151" s="6518"/>
      <c r="AA151" s="6518"/>
      <c r="AB151" s="6518"/>
      <c r="AC151" s="6518"/>
      <c r="AD151" s="6518"/>
      <c r="AE151" s="6518"/>
      <c r="AF151" s="6518"/>
      <c r="AG151" s="6518"/>
      <c r="AH151" s="6518"/>
      <c r="AI151" s="6518"/>
      <c r="AJ151" s="6519"/>
      <c r="AK151" s="398"/>
      <c r="AL151" s="392"/>
    </row>
    <row r="152" spans="1:38" ht="12" customHeight="1" x14ac:dyDescent="0.2">
      <c r="A152" s="2501"/>
      <c r="B152" s="800"/>
      <c r="C152" s="6520"/>
      <c r="D152" s="6543"/>
      <c r="E152" s="6543"/>
      <c r="F152" s="6543"/>
      <c r="G152" s="6543"/>
      <c r="H152" s="6543"/>
      <c r="I152" s="6543"/>
      <c r="J152" s="6543"/>
      <c r="K152" s="6543"/>
      <c r="L152" s="6543"/>
      <c r="M152" s="6543"/>
      <c r="N152" s="6543"/>
      <c r="O152" s="6543"/>
      <c r="P152" s="6543"/>
      <c r="Q152" s="6522"/>
      <c r="R152" s="398"/>
      <c r="S152" s="392"/>
      <c r="T152" s="2501"/>
      <c r="U152" s="800"/>
      <c r="V152" s="6520"/>
      <c r="W152" s="6543"/>
      <c r="X152" s="6543"/>
      <c r="Y152" s="6543"/>
      <c r="Z152" s="6543"/>
      <c r="AA152" s="6543"/>
      <c r="AB152" s="6543"/>
      <c r="AC152" s="6543"/>
      <c r="AD152" s="6543"/>
      <c r="AE152" s="6543"/>
      <c r="AF152" s="6543"/>
      <c r="AG152" s="6543"/>
      <c r="AH152" s="6543"/>
      <c r="AI152" s="6543"/>
      <c r="AJ152" s="6522"/>
      <c r="AK152" s="398"/>
      <c r="AL152" s="392"/>
    </row>
    <row r="153" spans="1:38" ht="12" customHeight="1" x14ac:dyDescent="0.2">
      <c r="A153" s="2501"/>
      <c r="B153" s="800"/>
      <c r="C153" s="6520"/>
      <c r="D153" s="6543"/>
      <c r="E153" s="6543"/>
      <c r="F153" s="6543"/>
      <c r="G153" s="6543"/>
      <c r="H153" s="6543"/>
      <c r="I153" s="6543"/>
      <c r="J153" s="6543"/>
      <c r="K153" s="6543"/>
      <c r="L153" s="6543"/>
      <c r="M153" s="6543"/>
      <c r="N153" s="6543"/>
      <c r="O153" s="6543"/>
      <c r="P153" s="6543"/>
      <c r="Q153" s="6522"/>
      <c r="R153" s="398"/>
      <c r="S153" s="392"/>
      <c r="T153" s="2501"/>
      <c r="U153" s="800"/>
      <c r="V153" s="6520"/>
      <c r="W153" s="6543"/>
      <c r="X153" s="6543"/>
      <c r="Y153" s="6543"/>
      <c r="Z153" s="6543"/>
      <c r="AA153" s="6543"/>
      <c r="AB153" s="6543"/>
      <c r="AC153" s="6543"/>
      <c r="AD153" s="6543"/>
      <c r="AE153" s="6543"/>
      <c r="AF153" s="6543"/>
      <c r="AG153" s="6543"/>
      <c r="AH153" s="6543"/>
      <c r="AI153" s="6543"/>
      <c r="AJ153" s="6522"/>
      <c r="AK153" s="398"/>
      <c r="AL153" s="392"/>
    </row>
    <row r="154" spans="1:38" ht="12" customHeight="1" thickBot="1" x14ac:dyDescent="0.25">
      <c r="A154" s="2501"/>
      <c r="B154" s="800"/>
      <c r="C154" s="6523"/>
      <c r="D154" s="6524"/>
      <c r="E154" s="6524"/>
      <c r="F154" s="6524"/>
      <c r="G154" s="6524"/>
      <c r="H154" s="6524"/>
      <c r="I154" s="6524"/>
      <c r="J154" s="6524"/>
      <c r="K154" s="6524"/>
      <c r="L154" s="6524"/>
      <c r="M154" s="6524"/>
      <c r="N154" s="6524"/>
      <c r="O154" s="6524"/>
      <c r="P154" s="6524"/>
      <c r="Q154" s="6525"/>
      <c r="R154" s="398"/>
      <c r="S154" s="392"/>
      <c r="T154" s="2501"/>
      <c r="U154" s="800"/>
      <c r="V154" s="6523"/>
      <c r="W154" s="6524"/>
      <c r="X154" s="6524"/>
      <c r="Y154" s="6524"/>
      <c r="Z154" s="6524"/>
      <c r="AA154" s="6524"/>
      <c r="AB154" s="6524"/>
      <c r="AC154" s="6524"/>
      <c r="AD154" s="6524"/>
      <c r="AE154" s="6524"/>
      <c r="AF154" s="6524"/>
      <c r="AG154" s="6524"/>
      <c r="AH154" s="6524"/>
      <c r="AI154" s="6524"/>
      <c r="AJ154" s="6525"/>
      <c r="AK154" s="398"/>
      <c r="AL154" s="392"/>
    </row>
    <row r="155" spans="1:38" ht="12" customHeight="1" thickBot="1" x14ac:dyDescent="0.25">
      <c r="A155" s="2501"/>
      <c r="B155" s="800"/>
      <c r="C155" s="2492"/>
      <c r="D155" s="2492"/>
      <c r="E155" s="2492"/>
      <c r="F155" s="2492"/>
      <c r="G155" s="2492"/>
      <c r="H155" s="2493"/>
      <c r="I155" s="2494"/>
      <c r="J155" s="2495"/>
      <c r="K155" s="2495"/>
      <c r="L155" s="2495"/>
      <c r="M155" s="2496"/>
      <c r="N155" s="2496"/>
      <c r="O155" s="2496"/>
      <c r="P155" s="2496"/>
      <c r="Q155" s="2496"/>
      <c r="R155" s="398"/>
      <c r="S155" s="392"/>
      <c r="T155" s="2501"/>
      <c r="U155" s="800"/>
      <c r="V155" s="2495"/>
      <c r="W155" s="2495"/>
      <c r="X155" s="2497"/>
      <c r="Y155" s="2497"/>
      <c r="Z155" s="2497"/>
      <c r="AA155" s="2495"/>
      <c r="AB155" s="2496"/>
      <c r="AC155" s="2496"/>
      <c r="AD155" s="2495"/>
      <c r="AE155" s="2495"/>
      <c r="AF155" s="2496"/>
      <c r="AG155" s="2496"/>
      <c r="AH155" s="2498"/>
      <c r="AI155" s="2498"/>
      <c r="AJ155" s="2496"/>
      <c r="AK155" s="398"/>
      <c r="AL155" s="392"/>
    </row>
    <row r="156" spans="1:38" ht="12" customHeight="1" x14ac:dyDescent="0.2">
      <c r="A156" s="2501"/>
      <c r="B156" s="800">
        <f>B145+2</f>
        <v>44</v>
      </c>
      <c r="C156" s="6559" t="str">
        <f>IFERROR(VLOOKUP($J$6&amp;B156,'Tablas Magia'!$B$6:$D$680,3,FALSE),IFERROR(VLOOKUP($J$8&amp;B156,'Tablas Magia'!$B$6:$D$680,3,FALSE),IFERROR(VLOOKUP($J$6&amp;B156,Místicos!$AD$12:$AJ$50,4,FALSE),"Libre Acceso 1-"&amp;ROUNDUP(B156/10,0)*10)))</f>
        <v>Libre Acceso 1-50</v>
      </c>
      <c r="D156" s="6560"/>
      <c r="E156" s="6560"/>
      <c r="F156" s="6560"/>
      <c r="G156" s="6561"/>
      <c r="H156" s="402" t="s">
        <v>1325</v>
      </c>
      <c r="I156" s="403">
        <f>B156</f>
        <v>44</v>
      </c>
      <c r="J156" s="6544" t="s">
        <v>6231</v>
      </c>
      <c r="K156" s="6544"/>
      <c r="L156" s="6544"/>
      <c r="M156" s="6529" t="e">
        <f>IF(C156=0,"",VLOOKUP(C156,'Tablas Magia'!$D$6:$Z$680,2,FALSE))</f>
        <v>#N/A</v>
      </c>
      <c r="N156" s="6529"/>
      <c r="O156" s="1705"/>
      <c r="P156" s="6550" t="str">
        <f>IFERROR(IF(M156="Libre Acceso","Aprendido",IF(IFERROR(VLOOKUP(M156,Místicos!$C$15:$H$25,6,0)&gt;=I156,FALSE),"Aprendido",IF(IFERROR(VLOOKUP(M156,Místicos!$E$15:$H$25,4,0)&gt;=I156,FALSE),"Aprendido",""))),"")</f>
        <v/>
      </c>
      <c r="Q156" s="6551"/>
      <c r="R156" s="398"/>
      <c r="S156" s="392"/>
      <c r="T156" s="2501"/>
      <c r="U156" s="800">
        <f>U145+2</f>
        <v>54</v>
      </c>
      <c r="V156" s="6559" t="str">
        <f>IFERROR(VLOOKUP($J$6&amp;U156,'Tablas Magia'!$B$6:$D$680,3,FALSE),IFERROR(VLOOKUP($J$8&amp;U156,'Tablas Magia'!$B$6:$D$680,3,FALSE),IFERROR(VLOOKUP($J$6&amp;U156,Místicos!$AD$12:$AJ$50,4,FALSE),"Libre Acceso 1-"&amp;ROUNDUP(U156/10,0)*10)))</f>
        <v>Libre Acceso 1-60</v>
      </c>
      <c r="W156" s="6560"/>
      <c r="X156" s="6560"/>
      <c r="Y156" s="6560"/>
      <c r="Z156" s="6561"/>
      <c r="AA156" s="402" t="s">
        <v>1325</v>
      </c>
      <c r="AB156" s="403">
        <f>U156</f>
        <v>54</v>
      </c>
      <c r="AC156" s="6544" t="s">
        <v>6231</v>
      </c>
      <c r="AD156" s="6544"/>
      <c r="AE156" s="6544"/>
      <c r="AF156" s="6529" t="e">
        <f>IF(V156=0,"",VLOOKUP(V156,'Tablas Magia'!$D$6:$Z$680,2,FALSE))</f>
        <v>#N/A</v>
      </c>
      <c r="AG156" s="6529"/>
      <c r="AH156" s="1705"/>
      <c r="AI156" s="6550" t="str">
        <f>IFERROR(IF(AF156="Libre Acceso","Aprendido",IF(IFERROR(VLOOKUP(AF156,Místicos!$C$15:$H$25,6,0)&gt;=AB156,FALSE),"Aprendido",IF(IFERROR(VLOOKUP(AF156,Místicos!$E$15:$H$25,4,0)&gt;=AB156,FALSE),"Aprendido",""))),"")</f>
        <v/>
      </c>
      <c r="AJ156" s="6551"/>
      <c r="AK156" s="398"/>
      <c r="AL156" s="392"/>
    </row>
    <row r="157" spans="1:38" ht="12" customHeight="1" x14ac:dyDescent="0.2">
      <c r="A157" s="2501"/>
      <c r="B157" s="800"/>
      <c r="C157" s="6531" t="s">
        <v>6232</v>
      </c>
      <c r="D157" s="6545"/>
      <c r="E157" s="2487" t="s">
        <v>6233</v>
      </c>
      <c r="F157" s="2487" t="s">
        <v>1508</v>
      </c>
      <c r="G157" s="2487" t="s">
        <v>2827</v>
      </c>
      <c r="H157" s="2488" t="s">
        <v>1835</v>
      </c>
      <c r="I157" s="6553" t="e">
        <f>IF(C156=0,"",VLOOKUP(C156,'Tablas Magia'!$D$6:$Z$680,5,FALSE))</f>
        <v>#N/A</v>
      </c>
      <c r="J157" s="6553"/>
      <c r="K157" s="6556" t="s">
        <v>6234</v>
      </c>
      <c r="L157" s="6556"/>
      <c r="M157" s="6553" t="e">
        <f>IF(C156=0,"",VLOOKUP(C156,'Tablas Magia'!$D$6:$Z$680,6,FALSE))</f>
        <v>#N/A</v>
      </c>
      <c r="N157" s="6553"/>
      <c r="O157" s="6554" t="s">
        <v>6235</v>
      </c>
      <c r="P157" s="6554"/>
      <c r="Q157" s="2489" t="e">
        <f>IF(C156=0,"",VLOOKUP(C156,'Tablas Magia'!$D$6:$Z$680,4,FALSE))</f>
        <v>#N/A</v>
      </c>
      <c r="R157" s="398"/>
      <c r="S157" s="392"/>
      <c r="T157" s="2501"/>
      <c r="U157" s="800"/>
      <c r="V157" s="6531" t="s">
        <v>6232</v>
      </c>
      <c r="W157" s="6545"/>
      <c r="X157" s="2487" t="s">
        <v>6233</v>
      </c>
      <c r="Y157" s="2487" t="s">
        <v>1508</v>
      </c>
      <c r="Z157" s="2487" t="s">
        <v>2827</v>
      </c>
      <c r="AA157" s="2488" t="s">
        <v>1835</v>
      </c>
      <c r="AB157" s="6553" t="e">
        <f>IF(V156=0,"",VLOOKUP(V156,'Tablas Magia'!$D$6:$Z$680,5,FALSE))</f>
        <v>#N/A</v>
      </c>
      <c r="AC157" s="6553"/>
      <c r="AD157" s="6556" t="s">
        <v>6234</v>
      </c>
      <c r="AE157" s="6556"/>
      <c r="AF157" s="6553" t="e">
        <f>IF(V156=0,"",VLOOKUP(V156,'Tablas Magia'!$D$6:$Z$680,6,FALSE))</f>
        <v>#N/A</v>
      </c>
      <c r="AG157" s="6553"/>
      <c r="AH157" s="6554" t="s">
        <v>6235</v>
      </c>
      <c r="AI157" s="6554"/>
      <c r="AJ157" s="2489" t="e">
        <f>IF(V156=0,"",VLOOKUP(V156,'Tablas Magia'!$D$6:$Z$680,4,FALSE))</f>
        <v>#N/A</v>
      </c>
      <c r="AK157" s="398"/>
      <c r="AL157" s="392"/>
    </row>
    <row r="158" spans="1:38" ht="12" customHeight="1" x14ac:dyDescent="0.2">
      <c r="A158" s="2501"/>
      <c r="B158" s="800"/>
      <c r="C158" s="6557" t="s">
        <v>1365</v>
      </c>
      <c r="D158" s="6558"/>
      <c r="E158" s="2490" t="e">
        <f>IF(C156=0,"",VLOOKUP(C156,'Tablas Magia'!$D$6:$Z$680,7,FALSE))</f>
        <v>#N/A</v>
      </c>
      <c r="F158" s="2490" t="e">
        <f>IF(C156=0,"",VLOOKUP(C156,'Tablas Magia'!$D$6:$Z$680,11,FALSE))</f>
        <v>#N/A</v>
      </c>
      <c r="G158" s="408" t="e">
        <f>IF(C156=0,"",VLOOKUP(C156,'Tablas Magia'!$D$6:$Z$680,15,FALSE))</f>
        <v>#N/A</v>
      </c>
      <c r="H158" s="6539" t="e">
        <f>IF(C156=0,"",VLOOKUP(C156,'Tablas Magia'!$D$6:$Z$680,19,FALSE))</f>
        <v>#N/A</v>
      </c>
      <c r="I158" s="6540"/>
      <c r="J158" s="6540"/>
      <c r="K158" s="6540"/>
      <c r="L158" s="6540"/>
      <c r="M158" s="6540"/>
      <c r="N158" s="6540"/>
      <c r="O158" s="6540"/>
      <c r="P158" s="6540"/>
      <c r="Q158" s="6541"/>
      <c r="R158" s="398"/>
      <c r="S158" s="392"/>
      <c r="T158" s="2501"/>
      <c r="U158" s="800"/>
      <c r="V158" s="6507" t="s">
        <v>1365</v>
      </c>
      <c r="W158" s="6508"/>
      <c r="X158" s="2490" t="e">
        <f>IF(V156=0,"",VLOOKUP(V156,'Tablas Magia'!$D$6:$Z$680,7,FALSE))</f>
        <v>#N/A</v>
      </c>
      <c r="Y158" s="2490" t="e">
        <f>IF(V156=0,"",VLOOKUP(V156,'Tablas Magia'!$D$6:$Z$680,11,FALSE))</f>
        <v>#N/A</v>
      </c>
      <c r="Z158" s="408" t="e">
        <f>IF(V156=0,"",VLOOKUP(V156,'Tablas Magia'!$D$6:$Z$680,15,FALSE))</f>
        <v>#N/A</v>
      </c>
      <c r="AA158" s="6509" t="e">
        <f>IF(V156=0,"",VLOOKUP(V156,'Tablas Magia'!$D$6:$Z$680,19,FALSE))</f>
        <v>#N/A</v>
      </c>
      <c r="AB158" s="6552"/>
      <c r="AC158" s="6552"/>
      <c r="AD158" s="6552"/>
      <c r="AE158" s="6552"/>
      <c r="AF158" s="6552"/>
      <c r="AG158" s="6552"/>
      <c r="AH158" s="6552"/>
      <c r="AI158" s="6552"/>
      <c r="AJ158" s="6511"/>
      <c r="AK158" s="398"/>
      <c r="AL158" s="392"/>
    </row>
    <row r="159" spans="1:38" ht="12" customHeight="1" x14ac:dyDescent="0.2">
      <c r="A159" s="2501"/>
      <c r="B159" s="800"/>
      <c r="C159" s="6502" t="s">
        <v>3196</v>
      </c>
      <c r="D159" s="6503"/>
      <c r="E159" s="2491" t="e">
        <f>IF(C156=0,"",VLOOKUP(C156,'Tablas Magia'!$D$6:$Z$680,8,FALSE))</f>
        <v>#N/A</v>
      </c>
      <c r="F159" s="2491" t="e">
        <f>IF(C156=0,"",VLOOKUP(C156,'Tablas Magia'!$D$6:$Z$680,12,FALSE))</f>
        <v>#N/A</v>
      </c>
      <c r="G159" s="410" t="e">
        <f>IF(C156=0,"",VLOOKUP(C156,'Tablas Magia'!$D$6:$Z$680,16,FALSE))</f>
        <v>#N/A</v>
      </c>
      <c r="H159" s="6504" t="e">
        <f>IF(C156=0,"",VLOOKUP(C156,'Tablas Magia'!$D$6:$Z$680,20,FALSE))</f>
        <v>#N/A</v>
      </c>
      <c r="I159" s="6542"/>
      <c r="J159" s="6542"/>
      <c r="K159" s="6542"/>
      <c r="L159" s="6542"/>
      <c r="M159" s="6542"/>
      <c r="N159" s="6542"/>
      <c r="O159" s="6542"/>
      <c r="P159" s="6542"/>
      <c r="Q159" s="6506"/>
      <c r="R159" s="398"/>
      <c r="S159" s="392"/>
      <c r="T159" s="2501"/>
      <c r="U159" s="800"/>
      <c r="V159" s="6502" t="s">
        <v>3196</v>
      </c>
      <c r="W159" s="6503"/>
      <c r="X159" s="2491" t="e">
        <f>IF(V156=0,"",VLOOKUP(V156,'Tablas Magia'!$D$6:$Z$680,8,FALSE))</f>
        <v>#N/A</v>
      </c>
      <c r="Y159" s="2491" t="e">
        <f>IF(V156=0,"",VLOOKUP(V156,'Tablas Magia'!$D$6:$Z$680,12,FALSE))</f>
        <v>#N/A</v>
      </c>
      <c r="Z159" s="410" t="e">
        <f>IF(V156=0,"",VLOOKUP(V156,'Tablas Magia'!$D$6:$Z$680,16,FALSE))</f>
        <v>#N/A</v>
      </c>
      <c r="AA159" s="6504" t="e">
        <f>IF(V156=0,"",VLOOKUP(V156,'Tablas Magia'!$D$6:$Z$680,20,FALSE))</f>
        <v>#N/A</v>
      </c>
      <c r="AB159" s="6542"/>
      <c r="AC159" s="6542"/>
      <c r="AD159" s="6542"/>
      <c r="AE159" s="6542"/>
      <c r="AF159" s="6542"/>
      <c r="AG159" s="6542"/>
      <c r="AH159" s="6542"/>
      <c r="AI159" s="6542"/>
      <c r="AJ159" s="6506"/>
      <c r="AK159" s="398"/>
      <c r="AL159" s="392"/>
    </row>
    <row r="160" spans="1:38" ht="12" customHeight="1" x14ac:dyDescent="0.2">
      <c r="A160" s="2501"/>
      <c r="B160" s="800"/>
      <c r="C160" s="6507" t="s">
        <v>3197</v>
      </c>
      <c r="D160" s="6508"/>
      <c r="E160" s="2490" t="e">
        <f>IF(C156=0,"",VLOOKUP(C156,'Tablas Magia'!$D$6:$Z$680,9,FALSE))</f>
        <v>#N/A</v>
      </c>
      <c r="F160" s="2490" t="e">
        <f>IF(C156=0,"",VLOOKUP(C156,'Tablas Magia'!$D$6:$Z$680,13,FALSE))</f>
        <v>#N/A</v>
      </c>
      <c r="G160" s="408" t="e">
        <f>IF(C156=0,"",VLOOKUP(C156,'Tablas Magia'!$D$6:$Z$680,17,FALSE))</f>
        <v>#N/A</v>
      </c>
      <c r="H160" s="6509" t="e">
        <f>IF(C156=0,"",VLOOKUP(C156,'Tablas Magia'!$D$6:$Z$680,21,FALSE))</f>
        <v>#N/A</v>
      </c>
      <c r="I160" s="6552"/>
      <c r="J160" s="6552"/>
      <c r="K160" s="6552"/>
      <c r="L160" s="6552"/>
      <c r="M160" s="6552"/>
      <c r="N160" s="6552"/>
      <c r="O160" s="6552"/>
      <c r="P160" s="6552"/>
      <c r="Q160" s="6511"/>
      <c r="R160" s="398"/>
      <c r="S160" s="392"/>
      <c r="T160" s="2501"/>
      <c r="U160" s="800"/>
      <c r="V160" s="6507" t="s">
        <v>3197</v>
      </c>
      <c r="W160" s="6508"/>
      <c r="X160" s="2490" t="e">
        <f>IF(V156=0,"",VLOOKUP(V156,'Tablas Magia'!$D$6:$Z$680,9,FALSE))</f>
        <v>#N/A</v>
      </c>
      <c r="Y160" s="2490" t="e">
        <f>IF(V156=0,"",VLOOKUP(V156,'Tablas Magia'!$D$6:$Z$680,13,FALSE))</f>
        <v>#N/A</v>
      </c>
      <c r="Z160" s="408" t="e">
        <f>IF(V156=0,"",VLOOKUP(V156,'Tablas Magia'!$D$6:$Z$680,17,FALSE))</f>
        <v>#N/A</v>
      </c>
      <c r="AA160" s="6509" t="e">
        <f>IF(V156=0,"",VLOOKUP(V156,'Tablas Magia'!$D$6:$Z$680,21,FALSE))</f>
        <v>#N/A</v>
      </c>
      <c r="AB160" s="6552"/>
      <c r="AC160" s="6552"/>
      <c r="AD160" s="6552"/>
      <c r="AE160" s="6552"/>
      <c r="AF160" s="6552"/>
      <c r="AG160" s="6552"/>
      <c r="AH160" s="6552"/>
      <c r="AI160" s="6552"/>
      <c r="AJ160" s="6511"/>
      <c r="AK160" s="398"/>
      <c r="AL160" s="392"/>
    </row>
    <row r="161" spans="1:38" ht="12" customHeight="1" thickBot="1" x14ac:dyDescent="0.25">
      <c r="A161" s="2501"/>
      <c r="B161" s="800"/>
      <c r="C161" s="6512" t="s">
        <v>3198</v>
      </c>
      <c r="D161" s="6513"/>
      <c r="E161" s="411" t="e">
        <f>IF(C156=0,"",VLOOKUP(C156,'Tablas Magia'!$D$6:$Z$680,10,FALSE))</f>
        <v>#N/A</v>
      </c>
      <c r="F161" s="411" t="e">
        <f>IF(C156=0,"",VLOOKUP(C156,'Tablas Magia'!$D$6:$Z$680,14,FALSE))</f>
        <v>#N/A</v>
      </c>
      <c r="G161" s="412" t="e">
        <f>IF(C156=0,"",VLOOKUP(C156,'Tablas Magia'!$D$6:$Z$680,18,FALSE))</f>
        <v>#N/A</v>
      </c>
      <c r="H161" s="6514" t="e">
        <f>IF(C156=0,"",VLOOKUP(C156,'Tablas Magia'!$D$6:$Z$680,22,FALSE))</f>
        <v>#N/A</v>
      </c>
      <c r="I161" s="6515"/>
      <c r="J161" s="6515"/>
      <c r="K161" s="6515"/>
      <c r="L161" s="6515"/>
      <c r="M161" s="6515"/>
      <c r="N161" s="6515"/>
      <c r="O161" s="6515"/>
      <c r="P161" s="6515"/>
      <c r="Q161" s="6516"/>
      <c r="R161" s="398"/>
      <c r="S161" s="392"/>
      <c r="T161" s="2501"/>
      <c r="U161" s="800"/>
      <c r="V161" s="6512" t="s">
        <v>3198</v>
      </c>
      <c r="W161" s="6513"/>
      <c r="X161" s="411" t="e">
        <f>IF(V156=0,"",VLOOKUP(V156,'Tablas Magia'!$D$6:$Z$680,10,FALSE))</f>
        <v>#N/A</v>
      </c>
      <c r="Y161" s="411" t="e">
        <f>IF(V156=0,"",VLOOKUP(V156,'Tablas Magia'!$D$6:$Z$680,14,FALSE))</f>
        <v>#N/A</v>
      </c>
      <c r="Z161" s="412" t="e">
        <f>IF(V156=0,"",VLOOKUP(V156,'Tablas Magia'!$D$6:$Z$680,18,FALSE))</f>
        <v>#N/A</v>
      </c>
      <c r="AA161" s="6514" t="e">
        <f>IF(V156=0,"",VLOOKUP(V156,'Tablas Magia'!$D$6:$Z$680,22,FALSE))</f>
        <v>#N/A</v>
      </c>
      <c r="AB161" s="6515"/>
      <c r="AC161" s="6515"/>
      <c r="AD161" s="6515"/>
      <c r="AE161" s="6515"/>
      <c r="AF161" s="6515"/>
      <c r="AG161" s="6515"/>
      <c r="AH161" s="6515"/>
      <c r="AI161" s="6515"/>
      <c r="AJ161" s="6516"/>
      <c r="AK161" s="398"/>
      <c r="AL161" s="392"/>
    </row>
    <row r="162" spans="1:38" ht="12" customHeight="1" x14ac:dyDescent="0.2">
      <c r="A162" s="2501"/>
      <c r="B162" s="800"/>
      <c r="C162" s="6517" t="e">
        <f>IF(C156=0,"",VLOOKUP(C156,'Tablas Magia'!$D$6:$Z$680,23,FALSE))</f>
        <v>#N/A</v>
      </c>
      <c r="D162" s="6518"/>
      <c r="E162" s="6518"/>
      <c r="F162" s="6518"/>
      <c r="G162" s="6518"/>
      <c r="H162" s="6518"/>
      <c r="I162" s="6518"/>
      <c r="J162" s="6518"/>
      <c r="K162" s="6518"/>
      <c r="L162" s="6518"/>
      <c r="M162" s="6518"/>
      <c r="N162" s="6518"/>
      <c r="O162" s="6518"/>
      <c r="P162" s="6518"/>
      <c r="Q162" s="6519"/>
      <c r="R162" s="398"/>
      <c r="S162" s="392"/>
      <c r="T162" s="2501"/>
      <c r="U162" s="800"/>
      <c r="V162" s="6517" t="e">
        <f>IF(V156=0,"",VLOOKUP(V156,'Tablas Magia'!$D$6:$Z$680,23,FALSE))</f>
        <v>#N/A</v>
      </c>
      <c r="W162" s="6518"/>
      <c r="X162" s="6518"/>
      <c r="Y162" s="6518"/>
      <c r="Z162" s="6518"/>
      <c r="AA162" s="6518"/>
      <c r="AB162" s="6518"/>
      <c r="AC162" s="6518"/>
      <c r="AD162" s="6518"/>
      <c r="AE162" s="6518"/>
      <c r="AF162" s="6518"/>
      <c r="AG162" s="6518"/>
      <c r="AH162" s="6518"/>
      <c r="AI162" s="6518"/>
      <c r="AJ162" s="6519"/>
      <c r="AK162" s="398"/>
      <c r="AL162" s="392"/>
    </row>
    <row r="163" spans="1:38" ht="12" customHeight="1" x14ac:dyDescent="0.2">
      <c r="A163" s="2501"/>
      <c r="B163" s="800"/>
      <c r="C163" s="6520"/>
      <c r="D163" s="6543"/>
      <c r="E163" s="6543"/>
      <c r="F163" s="6543"/>
      <c r="G163" s="6543"/>
      <c r="H163" s="6543"/>
      <c r="I163" s="6543"/>
      <c r="J163" s="6543"/>
      <c r="K163" s="6543"/>
      <c r="L163" s="6543"/>
      <c r="M163" s="6543"/>
      <c r="N163" s="6543"/>
      <c r="O163" s="6543"/>
      <c r="P163" s="6543"/>
      <c r="Q163" s="6522"/>
      <c r="R163" s="398"/>
      <c r="S163" s="392"/>
      <c r="T163" s="2501"/>
      <c r="U163" s="800"/>
      <c r="V163" s="6520"/>
      <c r="W163" s="6543"/>
      <c r="X163" s="6543"/>
      <c r="Y163" s="6543"/>
      <c r="Z163" s="6543"/>
      <c r="AA163" s="6543"/>
      <c r="AB163" s="6543"/>
      <c r="AC163" s="6543"/>
      <c r="AD163" s="6543"/>
      <c r="AE163" s="6543"/>
      <c r="AF163" s="6543"/>
      <c r="AG163" s="6543"/>
      <c r="AH163" s="6543"/>
      <c r="AI163" s="6543"/>
      <c r="AJ163" s="6522"/>
      <c r="AK163" s="398"/>
      <c r="AL163" s="392"/>
    </row>
    <row r="164" spans="1:38" ht="12" customHeight="1" x14ac:dyDescent="0.2">
      <c r="A164" s="2501"/>
      <c r="B164" s="800"/>
      <c r="C164" s="6520"/>
      <c r="D164" s="6543"/>
      <c r="E164" s="6543"/>
      <c r="F164" s="6543"/>
      <c r="G164" s="6543"/>
      <c r="H164" s="6543"/>
      <c r="I164" s="6543"/>
      <c r="J164" s="6543"/>
      <c r="K164" s="6543"/>
      <c r="L164" s="6543"/>
      <c r="M164" s="6543"/>
      <c r="N164" s="6543"/>
      <c r="O164" s="6543"/>
      <c r="P164" s="6543"/>
      <c r="Q164" s="6522"/>
      <c r="R164" s="398"/>
      <c r="S164" s="392"/>
      <c r="T164" s="2501"/>
      <c r="U164" s="800"/>
      <c r="V164" s="6520"/>
      <c r="W164" s="6543"/>
      <c r="X164" s="6543"/>
      <c r="Y164" s="6543"/>
      <c r="Z164" s="6543"/>
      <c r="AA164" s="6543"/>
      <c r="AB164" s="6543"/>
      <c r="AC164" s="6543"/>
      <c r="AD164" s="6543"/>
      <c r="AE164" s="6543"/>
      <c r="AF164" s="6543"/>
      <c r="AG164" s="6543"/>
      <c r="AH164" s="6543"/>
      <c r="AI164" s="6543"/>
      <c r="AJ164" s="6522"/>
      <c r="AK164" s="398"/>
      <c r="AL164" s="392"/>
    </row>
    <row r="165" spans="1:38" ht="12" customHeight="1" thickBot="1" x14ac:dyDescent="0.25">
      <c r="A165" s="2501"/>
      <c r="B165" s="800"/>
      <c r="C165" s="6523"/>
      <c r="D165" s="6524"/>
      <c r="E165" s="6524"/>
      <c r="F165" s="6524"/>
      <c r="G165" s="6524"/>
      <c r="H165" s="6524"/>
      <c r="I165" s="6524"/>
      <c r="J165" s="6524"/>
      <c r="K165" s="6524"/>
      <c r="L165" s="6524"/>
      <c r="M165" s="6524"/>
      <c r="N165" s="6524"/>
      <c r="O165" s="6524"/>
      <c r="P165" s="6524"/>
      <c r="Q165" s="6525"/>
      <c r="R165" s="398"/>
      <c r="S165" s="392"/>
      <c r="T165" s="2501"/>
      <c r="U165" s="800"/>
      <c r="V165" s="6523"/>
      <c r="W165" s="6524"/>
      <c r="X165" s="6524"/>
      <c r="Y165" s="6524"/>
      <c r="Z165" s="6524"/>
      <c r="AA165" s="6524"/>
      <c r="AB165" s="6524"/>
      <c r="AC165" s="6524"/>
      <c r="AD165" s="6524"/>
      <c r="AE165" s="6524"/>
      <c r="AF165" s="6524"/>
      <c r="AG165" s="6524"/>
      <c r="AH165" s="6524"/>
      <c r="AI165" s="6524"/>
      <c r="AJ165" s="6525"/>
      <c r="AK165" s="398"/>
      <c r="AL165" s="392"/>
    </row>
    <row r="166" spans="1:38" ht="12" customHeight="1" thickBot="1" x14ac:dyDescent="0.25">
      <c r="A166" s="2501"/>
      <c r="B166" s="800"/>
      <c r="C166" s="2495"/>
      <c r="D166" s="2495"/>
      <c r="E166" s="2497"/>
      <c r="F166" s="2497"/>
      <c r="G166" s="2497"/>
      <c r="H166" s="2495"/>
      <c r="I166" s="2496"/>
      <c r="J166" s="2496"/>
      <c r="K166" s="2495"/>
      <c r="L166" s="2495"/>
      <c r="M166" s="2496"/>
      <c r="N166" s="2496"/>
      <c r="O166" s="2498"/>
      <c r="P166" s="2498"/>
      <c r="Q166" s="2496"/>
      <c r="R166" s="398"/>
      <c r="S166" s="392"/>
      <c r="T166" s="2501"/>
      <c r="U166" s="800"/>
      <c r="V166" s="2499"/>
      <c r="W166" s="2499"/>
      <c r="X166" s="2500"/>
      <c r="Y166" s="2500"/>
      <c r="Z166" s="2500"/>
      <c r="AA166" s="2500"/>
      <c r="AB166" s="2500"/>
      <c r="AC166" s="2500"/>
      <c r="AD166" s="2500"/>
      <c r="AE166" s="2500"/>
      <c r="AF166" s="2500"/>
      <c r="AG166" s="2500"/>
      <c r="AH166" s="2500"/>
      <c r="AI166" s="2500"/>
      <c r="AJ166" s="2500"/>
      <c r="AK166" s="398"/>
      <c r="AL166" s="392"/>
    </row>
    <row r="167" spans="1:38" ht="12" customHeight="1" x14ac:dyDescent="0.2">
      <c r="A167" s="2501"/>
      <c r="B167" s="800">
        <f>B156+2</f>
        <v>46</v>
      </c>
      <c r="C167" s="6559" t="str">
        <f>IFERROR(VLOOKUP($J$6&amp;B167,'Tablas Magia'!$B$6:$D$680,3,FALSE),IFERROR(VLOOKUP($J$8&amp;B167,'Tablas Magia'!$B$6:$D$680,3,FALSE),IFERROR(VLOOKUP($J$6&amp;B167,Místicos!$AD$12:$AJ$50,4,FALSE),"Libre Acceso 1-"&amp;ROUNDUP(B167/10,0)*10)))</f>
        <v>Libre Acceso 1-50</v>
      </c>
      <c r="D167" s="6560"/>
      <c r="E167" s="6560"/>
      <c r="F167" s="6560"/>
      <c r="G167" s="6561"/>
      <c r="H167" s="402" t="s">
        <v>1325</v>
      </c>
      <c r="I167" s="403">
        <f>B167</f>
        <v>46</v>
      </c>
      <c r="J167" s="6544" t="s">
        <v>6231</v>
      </c>
      <c r="K167" s="6544"/>
      <c r="L167" s="6544"/>
      <c r="M167" s="6529" t="e">
        <f>IF(C167=0,"",VLOOKUP(C167,'Tablas Magia'!$D$6:$Z$680,2,FALSE))</f>
        <v>#N/A</v>
      </c>
      <c r="N167" s="6529"/>
      <c r="O167" s="1705"/>
      <c r="P167" s="6550" t="str">
        <f>IFERROR(IF(M167="Libre Acceso","Aprendido",IF(IFERROR(VLOOKUP(M167,Místicos!$C$15:$H$25,6,0)&gt;=I167,FALSE),"Aprendido",IF(IFERROR(VLOOKUP(M167,Místicos!$E$15:$H$25,4,0)&gt;=I167,FALSE),"Aprendido",""))),"")</f>
        <v/>
      </c>
      <c r="Q167" s="6551"/>
      <c r="R167" s="398"/>
      <c r="S167" s="392"/>
      <c r="T167" s="2501"/>
      <c r="U167" s="800">
        <f>U156+2</f>
        <v>56</v>
      </c>
      <c r="V167" s="6559" t="str">
        <f>IFERROR(VLOOKUP($J$6&amp;U167,'Tablas Magia'!$B$6:$D$680,3,FALSE),IFERROR(VLOOKUP($J$8&amp;U167,'Tablas Magia'!$B$6:$D$680,3,FALSE),IFERROR(VLOOKUP($J$6&amp;U167,Místicos!$AD$12:$AJ$50,4,FALSE),"Libre Acceso 1-"&amp;ROUNDUP(U167/10,0)*10)))</f>
        <v>Libre Acceso 1-60</v>
      </c>
      <c r="W167" s="6560"/>
      <c r="X167" s="6560"/>
      <c r="Y167" s="6560"/>
      <c r="Z167" s="6561"/>
      <c r="AA167" s="402" t="s">
        <v>1325</v>
      </c>
      <c r="AB167" s="403">
        <f>U167</f>
        <v>56</v>
      </c>
      <c r="AC167" s="6544" t="s">
        <v>6231</v>
      </c>
      <c r="AD167" s="6544"/>
      <c r="AE167" s="6544"/>
      <c r="AF167" s="6529" t="e">
        <f>IF(V167=0,"",VLOOKUP(V167,'Tablas Magia'!$D$6:$Z$680,2,FALSE))</f>
        <v>#N/A</v>
      </c>
      <c r="AG167" s="6529"/>
      <c r="AH167" s="1705"/>
      <c r="AI167" s="6550" t="str">
        <f>IFERROR(IF(AF167="Libre Acceso","Aprendido",IF(IFERROR(VLOOKUP(AF167,Místicos!$C$15:$H$25,6,0)&gt;=AB167,FALSE),"Aprendido",IF(IFERROR(VLOOKUP(AF167,Místicos!$E$15:$H$25,4,0)&gt;=AB167,FALSE),"Aprendido",""))),"")</f>
        <v/>
      </c>
      <c r="AJ167" s="6551"/>
      <c r="AK167" s="398"/>
      <c r="AL167" s="392"/>
    </row>
    <row r="168" spans="1:38" ht="12" customHeight="1" x14ac:dyDescent="0.2">
      <c r="A168" s="2501"/>
      <c r="B168" s="800"/>
      <c r="C168" s="6531" t="s">
        <v>6232</v>
      </c>
      <c r="D168" s="6545"/>
      <c r="E168" s="2487" t="s">
        <v>6233</v>
      </c>
      <c r="F168" s="2487" t="s">
        <v>1508</v>
      </c>
      <c r="G168" s="2487" t="s">
        <v>2827</v>
      </c>
      <c r="H168" s="2488" t="s">
        <v>1835</v>
      </c>
      <c r="I168" s="6553" t="e">
        <f>IF(C167=0,"",VLOOKUP(C167,'Tablas Magia'!$D$6:$Z$680,5,FALSE))</f>
        <v>#N/A</v>
      </c>
      <c r="J168" s="6553"/>
      <c r="K168" s="6556" t="s">
        <v>6234</v>
      </c>
      <c r="L168" s="6556"/>
      <c r="M168" s="6553" t="e">
        <f>IF(C167=0,"",VLOOKUP(C167,'Tablas Magia'!$D$6:$Z$680,6,FALSE))</f>
        <v>#N/A</v>
      </c>
      <c r="N168" s="6553"/>
      <c r="O168" s="6554" t="s">
        <v>6235</v>
      </c>
      <c r="P168" s="6554"/>
      <c r="Q168" s="2489" t="e">
        <f>IF(C167=0,"",VLOOKUP(C167,'Tablas Magia'!$D$6:$Z$680,4,FALSE))</f>
        <v>#N/A</v>
      </c>
      <c r="R168" s="398"/>
      <c r="S168" s="392"/>
      <c r="T168" s="2501"/>
      <c r="U168" s="800"/>
      <c r="V168" s="6531" t="s">
        <v>6232</v>
      </c>
      <c r="W168" s="6545"/>
      <c r="X168" s="2487" t="s">
        <v>6233</v>
      </c>
      <c r="Y168" s="2487" t="s">
        <v>1508</v>
      </c>
      <c r="Z168" s="2487" t="s">
        <v>2827</v>
      </c>
      <c r="AA168" s="2488" t="s">
        <v>1835</v>
      </c>
      <c r="AB168" s="6553" t="e">
        <f>IF(V167=0,"",VLOOKUP(V167,'Tablas Magia'!$D$6:$Z$680,5,FALSE))</f>
        <v>#N/A</v>
      </c>
      <c r="AC168" s="6553"/>
      <c r="AD168" s="6556" t="s">
        <v>6234</v>
      </c>
      <c r="AE168" s="6556"/>
      <c r="AF168" s="6553" t="e">
        <f>IF(V167=0,"",VLOOKUP(V167,'Tablas Magia'!$D$6:$Z$680,6,FALSE))</f>
        <v>#N/A</v>
      </c>
      <c r="AG168" s="6553"/>
      <c r="AH168" s="6554" t="s">
        <v>6235</v>
      </c>
      <c r="AI168" s="6554"/>
      <c r="AJ168" s="2489" t="e">
        <f>IF(V167=0,"",VLOOKUP(V167,'Tablas Magia'!$D$6:$Z$680,4,FALSE))</f>
        <v>#N/A</v>
      </c>
      <c r="AK168" s="398"/>
      <c r="AL168" s="392"/>
    </row>
    <row r="169" spans="1:38" ht="12" customHeight="1" x14ac:dyDescent="0.2">
      <c r="A169" s="2501"/>
      <c r="B169" s="800"/>
      <c r="C169" s="6557" t="s">
        <v>1365</v>
      </c>
      <c r="D169" s="6558"/>
      <c r="E169" s="2490" t="e">
        <f>IF(C167=0,"",VLOOKUP(C167,'Tablas Magia'!$D$6:$Z$680,7,FALSE))</f>
        <v>#N/A</v>
      </c>
      <c r="F169" s="2490" t="e">
        <f>IF(C167=0,"",VLOOKUP(C167,'Tablas Magia'!$D$6:$Z$680,11,FALSE))</f>
        <v>#N/A</v>
      </c>
      <c r="G169" s="408" t="e">
        <f>IF(C167=0,"",VLOOKUP(C167,'Tablas Magia'!$D$6:$Z$680,15,FALSE))</f>
        <v>#N/A</v>
      </c>
      <c r="H169" s="6539" t="e">
        <f>IF(C167=0,"",VLOOKUP(C167,'Tablas Magia'!$D$6:$Z$680,19,FALSE))</f>
        <v>#N/A</v>
      </c>
      <c r="I169" s="6540"/>
      <c r="J169" s="6540"/>
      <c r="K169" s="6540"/>
      <c r="L169" s="6540"/>
      <c r="M169" s="6540"/>
      <c r="N169" s="6540"/>
      <c r="O169" s="6540"/>
      <c r="P169" s="6540"/>
      <c r="Q169" s="6541"/>
      <c r="R169" s="398"/>
      <c r="S169" s="392"/>
      <c r="T169" s="2501"/>
      <c r="U169" s="800"/>
      <c r="V169" s="6507" t="s">
        <v>1365</v>
      </c>
      <c r="W169" s="6508"/>
      <c r="X169" s="2490" t="e">
        <f>IF(V167=0,"",VLOOKUP(V167,'Tablas Magia'!$D$6:$Z$680,7,FALSE))</f>
        <v>#N/A</v>
      </c>
      <c r="Y169" s="2490" t="e">
        <f>IF(V167=0,"",VLOOKUP(V167,'Tablas Magia'!$D$6:$Z$680,11,FALSE))</f>
        <v>#N/A</v>
      </c>
      <c r="Z169" s="408" t="e">
        <f>IF(V167=0,"",VLOOKUP(V167,'Tablas Magia'!$D$6:$Z$680,15,FALSE))</f>
        <v>#N/A</v>
      </c>
      <c r="AA169" s="6509" t="e">
        <f>IF(V167=0,"",VLOOKUP(V167,'Tablas Magia'!$D$6:$Z$680,19,FALSE))</f>
        <v>#N/A</v>
      </c>
      <c r="AB169" s="6552"/>
      <c r="AC169" s="6552"/>
      <c r="AD169" s="6552"/>
      <c r="AE169" s="6552"/>
      <c r="AF169" s="6552"/>
      <c r="AG169" s="6552"/>
      <c r="AH169" s="6552"/>
      <c r="AI169" s="6552"/>
      <c r="AJ169" s="6511"/>
      <c r="AK169" s="398"/>
      <c r="AL169" s="392"/>
    </row>
    <row r="170" spans="1:38" ht="12" customHeight="1" x14ac:dyDescent="0.2">
      <c r="A170" s="2501"/>
      <c r="B170" s="800"/>
      <c r="C170" s="6502" t="s">
        <v>3196</v>
      </c>
      <c r="D170" s="6503"/>
      <c r="E170" s="2491" t="e">
        <f>IF(C167=0,"",VLOOKUP(C167,'Tablas Magia'!$D$6:$Z$680,8,FALSE))</f>
        <v>#N/A</v>
      </c>
      <c r="F170" s="2491" t="e">
        <f>IF(C167=0,"",VLOOKUP(C167,'Tablas Magia'!$D$6:$Z$680,12,FALSE))</f>
        <v>#N/A</v>
      </c>
      <c r="G170" s="410" t="e">
        <f>IF(C167=0,"",VLOOKUP(C167,'Tablas Magia'!$D$6:$Z$680,16,FALSE))</f>
        <v>#N/A</v>
      </c>
      <c r="H170" s="6504" t="e">
        <f>IF(C167=0,"",VLOOKUP(C167,'Tablas Magia'!$D$6:$Z$680,20,FALSE))</f>
        <v>#N/A</v>
      </c>
      <c r="I170" s="6542"/>
      <c r="J170" s="6542"/>
      <c r="K170" s="6542"/>
      <c r="L170" s="6542"/>
      <c r="M170" s="6542"/>
      <c r="N170" s="6542"/>
      <c r="O170" s="6542"/>
      <c r="P170" s="6542"/>
      <c r="Q170" s="6506"/>
      <c r="R170" s="398"/>
      <c r="S170" s="392"/>
      <c r="T170" s="2501"/>
      <c r="U170" s="800"/>
      <c r="V170" s="6502" t="s">
        <v>3196</v>
      </c>
      <c r="W170" s="6503"/>
      <c r="X170" s="2491" t="e">
        <f>IF(V167=0,"",VLOOKUP(V167,'Tablas Magia'!$D$6:$Z$680,8,FALSE))</f>
        <v>#N/A</v>
      </c>
      <c r="Y170" s="2491" t="e">
        <f>IF(V167=0,"",VLOOKUP(V167,'Tablas Magia'!$D$6:$Z$680,12,FALSE))</f>
        <v>#N/A</v>
      </c>
      <c r="Z170" s="410" t="e">
        <f>IF(V167=0,"",VLOOKUP(V167,'Tablas Magia'!$D$6:$Z$680,16,FALSE))</f>
        <v>#N/A</v>
      </c>
      <c r="AA170" s="6504" t="e">
        <f>IF(V167=0,"",VLOOKUP(V167,'Tablas Magia'!$D$6:$Z$680,20,FALSE))</f>
        <v>#N/A</v>
      </c>
      <c r="AB170" s="6542"/>
      <c r="AC170" s="6542"/>
      <c r="AD170" s="6542"/>
      <c r="AE170" s="6542"/>
      <c r="AF170" s="6542"/>
      <c r="AG170" s="6542"/>
      <c r="AH170" s="6542"/>
      <c r="AI170" s="6542"/>
      <c r="AJ170" s="6506"/>
      <c r="AK170" s="398"/>
      <c r="AL170" s="392"/>
    </row>
    <row r="171" spans="1:38" ht="12" customHeight="1" x14ac:dyDescent="0.2">
      <c r="A171" s="2501"/>
      <c r="B171" s="800"/>
      <c r="C171" s="6507" t="s">
        <v>3197</v>
      </c>
      <c r="D171" s="6508"/>
      <c r="E171" s="2490" t="e">
        <f>IF(C167=0,"",VLOOKUP(C167,'Tablas Magia'!$D$6:$Z$680,9,FALSE))</f>
        <v>#N/A</v>
      </c>
      <c r="F171" s="2490" t="e">
        <f>IF(C167=0,"",VLOOKUP(C167,'Tablas Magia'!$D$6:$Z$680,13,FALSE))</f>
        <v>#N/A</v>
      </c>
      <c r="G171" s="408" t="e">
        <f>IF(C167=0,"",VLOOKUP(C167,'Tablas Magia'!$D$6:$Z$680,17,FALSE))</f>
        <v>#N/A</v>
      </c>
      <c r="H171" s="6509" t="e">
        <f>IF(C167=0,"",VLOOKUP(C167,'Tablas Magia'!$D$6:$Z$680,21,FALSE))</f>
        <v>#N/A</v>
      </c>
      <c r="I171" s="6552"/>
      <c r="J171" s="6552"/>
      <c r="K171" s="6552"/>
      <c r="L171" s="6552"/>
      <c r="M171" s="6552"/>
      <c r="N171" s="6552"/>
      <c r="O171" s="6552"/>
      <c r="P171" s="6552"/>
      <c r="Q171" s="6511"/>
      <c r="R171" s="398"/>
      <c r="S171" s="392"/>
      <c r="T171" s="2501"/>
      <c r="U171" s="800"/>
      <c r="V171" s="6507" t="s">
        <v>3197</v>
      </c>
      <c r="W171" s="6508"/>
      <c r="X171" s="2490" t="e">
        <f>IF(V167=0,"",VLOOKUP(V167,'Tablas Magia'!$D$6:$Z$680,9,FALSE))</f>
        <v>#N/A</v>
      </c>
      <c r="Y171" s="2490" t="e">
        <f>IF(V167=0,"",VLOOKUP(V167,'Tablas Magia'!$D$6:$Z$680,13,FALSE))</f>
        <v>#N/A</v>
      </c>
      <c r="Z171" s="408" t="e">
        <f>IF(V167=0,"",VLOOKUP(V167,'Tablas Magia'!$D$6:$Z$680,17,FALSE))</f>
        <v>#N/A</v>
      </c>
      <c r="AA171" s="6509" t="e">
        <f>IF(V167=0,"",VLOOKUP(V167,'Tablas Magia'!$D$6:$Z$680,21,FALSE))</f>
        <v>#N/A</v>
      </c>
      <c r="AB171" s="6552"/>
      <c r="AC171" s="6552"/>
      <c r="AD171" s="6552"/>
      <c r="AE171" s="6552"/>
      <c r="AF171" s="6552"/>
      <c r="AG171" s="6552"/>
      <c r="AH171" s="6552"/>
      <c r="AI171" s="6552"/>
      <c r="AJ171" s="6511"/>
      <c r="AK171" s="398"/>
      <c r="AL171" s="392"/>
    </row>
    <row r="172" spans="1:38" ht="12" customHeight="1" thickBot="1" x14ac:dyDescent="0.25">
      <c r="A172" s="2501"/>
      <c r="B172" s="800"/>
      <c r="C172" s="6512" t="s">
        <v>3198</v>
      </c>
      <c r="D172" s="6513"/>
      <c r="E172" s="411" t="e">
        <f>IF(C167=0,"",VLOOKUP(C167,'Tablas Magia'!$D$6:$Z$680,10,FALSE))</f>
        <v>#N/A</v>
      </c>
      <c r="F172" s="411" t="e">
        <f>IF(C167=0,"",VLOOKUP(C167,'Tablas Magia'!$D$6:$Z$680,14,FALSE))</f>
        <v>#N/A</v>
      </c>
      <c r="G172" s="412" t="e">
        <f>IF(C167=0,"",VLOOKUP(C167,'Tablas Magia'!$D$6:$Z$680,18,FALSE))</f>
        <v>#N/A</v>
      </c>
      <c r="H172" s="6514" t="e">
        <f>IF(C167=0,"",VLOOKUP(C167,'Tablas Magia'!$D$6:$Z$680,22,FALSE))</f>
        <v>#N/A</v>
      </c>
      <c r="I172" s="6515"/>
      <c r="J172" s="6515"/>
      <c r="K172" s="6515"/>
      <c r="L172" s="6515"/>
      <c r="M172" s="6515"/>
      <c r="N172" s="6515"/>
      <c r="O172" s="6515"/>
      <c r="P172" s="6515"/>
      <c r="Q172" s="6516"/>
      <c r="R172" s="398"/>
      <c r="S172" s="392"/>
      <c r="T172" s="2501"/>
      <c r="U172" s="800"/>
      <c r="V172" s="6512" t="s">
        <v>3198</v>
      </c>
      <c r="W172" s="6513"/>
      <c r="X172" s="411" t="e">
        <f>IF(V167=0,"",VLOOKUP(V167,'Tablas Magia'!$D$6:$Z$680,10,FALSE))</f>
        <v>#N/A</v>
      </c>
      <c r="Y172" s="411" t="e">
        <f>IF(V167=0,"",VLOOKUP(V167,'Tablas Magia'!$D$6:$Z$680,14,FALSE))</f>
        <v>#N/A</v>
      </c>
      <c r="Z172" s="412" t="e">
        <f>IF(V167=0,"",VLOOKUP(V167,'Tablas Magia'!$D$6:$Z$680,18,FALSE))</f>
        <v>#N/A</v>
      </c>
      <c r="AA172" s="6514" t="e">
        <f>IF(V167=0,"",VLOOKUP(V167,'Tablas Magia'!$D$6:$Z$680,22,FALSE))</f>
        <v>#N/A</v>
      </c>
      <c r="AB172" s="6515"/>
      <c r="AC172" s="6515"/>
      <c r="AD172" s="6515"/>
      <c r="AE172" s="6515"/>
      <c r="AF172" s="6515"/>
      <c r="AG172" s="6515"/>
      <c r="AH172" s="6515"/>
      <c r="AI172" s="6515"/>
      <c r="AJ172" s="6516"/>
      <c r="AK172" s="398"/>
      <c r="AL172" s="392"/>
    </row>
    <row r="173" spans="1:38" ht="12" customHeight="1" x14ac:dyDescent="0.2">
      <c r="A173" s="2501"/>
      <c r="B173" s="800"/>
      <c r="C173" s="6517" t="e">
        <f>IF(C167=0,"",VLOOKUP(C167,'Tablas Magia'!$D$6:$Z$680,23,FALSE))</f>
        <v>#N/A</v>
      </c>
      <c r="D173" s="6518"/>
      <c r="E173" s="6518"/>
      <c r="F173" s="6518"/>
      <c r="G173" s="6518"/>
      <c r="H173" s="6518"/>
      <c r="I173" s="6518"/>
      <c r="J173" s="6518"/>
      <c r="K173" s="6518"/>
      <c r="L173" s="6518"/>
      <c r="M173" s="6518"/>
      <c r="N173" s="6518"/>
      <c r="O173" s="6518"/>
      <c r="P173" s="6518"/>
      <c r="Q173" s="6519"/>
      <c r="R173" s="398"/>
      <c r="S173" s="392"/>
      <c r="T173" s="2501"/>
      <c r="U173" s="800"/>
      <c r="V173" s="6517" t="e">
        <f>IF(V167=0,"",VLOOKUP(V167,'Tablas Magia'!$D$6:$Z$680,23,FALSE))</f>
        <v>#N/A</v>
      </c>
      <c r="W173" s="6518"/>
      <c r="X173" s="6518"/>
      <c r="Y173" s="6518"/>
      <c r="Z173" s="6518"/>
      <c r="AA173" s="6518"/>
      <c r="AB173" s="6518"/>
      <c r="AC173" s="6518"/>
      <c r="AD173" s="6518"/>
      <c r="AE173" s="6518"/>
      <c r="AF173" s="6518"/>
      <c r="AG173" s="6518"/>
      <c r="AH173" s="6518"/>
      <c r="AI173" s="6518"/>
      <c r="AJ173" s="6519"/>
      <c r="AK173" s="398"/>
      <c r="AL173" s="392"/>
    </row>
    <row r="174" spans="1:38" ht="12" customHeight="1" x14ac:dyDescent="0.2">
      <c r="A174" s="2501"/>
      <c r="B174" s="800"/>
      <c r="C174" s="6520"/>
      <c r="D174" s="6543"/>
      <c r="E174" s="6543"/>
      <c r="F174" s="6543"/>
      <c r="G174" s="6543"/>
      <c r="H174" s="6543"/>
      <c r="I174" s="6543"/>
      <c r="J174" s="6543"/>
      <c r="K174" s="6543"/>
      <c r="L174" s="6543"/>
      <c r="M174" s="6543"/>
      <c r="N174" s="6543"/>
      <c r="O174" s="6543"/>
      <c r="P174" s="6543"/>
      <c r="Q174" s="6522"/>
      <c r="R174" s="398"/>
      <c r="S174" s="392"/>
      <c r="T174" s="2501"/>
      <c r="U174" s="800"/>
      <c r="V174" s="6520"/>
      <c r="W174" s="6543"/>
      <c r="X174" s="6543"/>
      <c r="Y174" s="6543"/>
      <c r="Z174" s="6543"/>
      <c r="AA174" s="6543"/>
      <c r="AB174" s="6543"/>
      <c r="AC174" s="6543"/>
      <c r="AD174" s="6543"/>
      <c r="AE174" s="6543"/>
      <c r="AF174" s="6543"/>
      <c r="AG174" s="6543"/>
      <c r="AH174" s="6543"/>
      <c r="AI174" s="6543"/>
      <c r="AJ174" s="6522"/>
      <c r="AK174" s="398"/>
      <c r="AL174" s="392"/>
    </row>
    <row r="175" spans="1:38" ht="12" customHeight="1" x14ac:dyDescent="0.2">
      <c r="A175" s="2501"/>
      <c r="B175" s="800"/>
      <c r="C175" s="6520"/>
      <c r="D175" s="6543"/>
      <c r="E175" s="6543"/>
      <c r="F175" s="6543"/>
      <c r="G175" s="6543"/>
      <c r="H175" s="6543"/>
      <c r="I175" s="6543"/>
      <c r="J175" s="6543"/>
      <c r="K175" s="6543"/>
      <c r="L175" s="6543"/>
      <c r="M175" s="6543"/>
      <c r="N175" s="6543"/>
      <c r="O175" s="6543"/>
      <c r="P175" s="6543"/>
      <c r="Q175" s="6522"/>
      <c r="R175" s="398"/>
      <c r="S175" s="392"/>
      <c r="T175" s="2501"/>
      <c r="U175" s="800"/>
      <c r="V175" s="6520"/>
      <c r="W175" s="6543"/>
      <c r="X175" s="6543"/>
      <c r="Y175" s="6543"/>
      <c r="Z175" s="6543"/>
      <c r="AA175" s="6543"/>
      <c r="AB175" s="6543"/>
      <c r="AC175" s="6543"/>
      <c r="AD175" s="6543"/>
      <c r="AE175" s="6543"/>
      <c r="AF175" s="6543"/>
      <c r="AG175" s="6543"/>
      <c r="AH175" s="6543"/>
      <c r="AI175" s="6543"/>
      <c r="AJ175" s="6522"/>
      <c r="AK175" s="398"/>
      <c r="AL175" s="392"/>
    </row>
    <row r="176" spans="1:38" ht="12" customHeight="1" thickBot="1" x14ac:dyDescent="0.25">
      <c r="A176" s="2501"/>
      <c r="B176" s="800"/>
      <c r="C176" s="6523"/>
      <c r="D176" s="6524"/>
      <c r="E176" s="6524"/>
      <c r="F176" s="6524"/>
      <c r="G176" s="6524"/>
      <c r="H176" s="6524"/>
      <c r="I176" s="6524"/>
      <c r="J176" s="6524"/>
      <c r="K176" s="6524"/>
      <c r="L176" s="6524"/>
      <c r="M176" s="6524"/>
      <c r="N176" s="6524"/>
      <c r="O176" s="6524"/>
      <c r="P176" s="6524"/>
      <c r="Q176" s="6525"/>
      <c r="R176" s="398"/>
      <c r="S176" s="392"/>
      <c r="T176" s="2501"/>
      <c r="U176" s="800"/>
      <c r="V176" s="6523"/>
      <c r="W176" s="6524"/>
      <c r="X176" s="6524"/>
      <c r="Y176" s="6524"/>
      <c r="Z176" s="6524"/>
      <c r="AA176" s="6524"/>
      <c r="AB176" s="6524"/>
      <c r="AC176" s="6524"/>
      <c r="AD176" s="6524"/>
      <c r="AE176" s="6524"/>
      <c r="AF176" s="6524"/>
      <c r="AG176" s="6524"/>
      <c r="AH176" s="6524"/>
      <c r="AI176" s="6524"/>
      <c r="AJ176" s="6525"/>
      <c r="AK176" s="398"/>
      <c r="AL176" s="392"/>
    </row>
    <row r="177" spans="1:38" ht="12" customHeight="1" thickBot="1" x14ac:dyDescent="0.25">
      <c r="A177" s="2501"/>
      <c r="B177" s="800"/>
      <c r="C177" s="2499"/>
      <c r="D177" s="2499"/>
      <c r="E177" s="2500"/>
      <c r="F177" s="2500"/>
      <c r="G177" s="2500"/>
      <c r="H177" s="2500"/>
      <c r="I177" s="2500"/>
      <c r="J177" s="2500"/>
      <c r="K177" s="2500"/>
      <c r="L177" s="2500"/>
      <c r="M177" s="2500"/>
      <c r="N177" s="2500"/>
      <c r="O177" s="2500"/>
      <c r="P177" s="2500"/>
      <c r="Q177" s="2500"/>
      <c r="R177" s="398"/>
      <c r="S177" s="392"/>
      <c r="T177" s="2501"/>
      <c r="U177" s="800"/>
      <c r="V177" s="2499"/>
      <c r="W177" s="2499"/>
      <c r="X177" s="2491"/>
      <c r="Y177" s="2491"/>
      <c r="Z177" s="2491"/>
      <c r="AA177" s="2500"/>
      <c r="AB177" s="2500"/>
      <c r="AC177" s="2500"/>
      <c r="AD177" s="2500"/>
      <c r="AE177" s="2500"/>
      <c r="AF177" s="2500"/>
      <c r="AG177" s="2500"/>
      <c r="AH177" s="2500"/>
      <c r="AI177" s="2500"/>
      <c r="AJ177" s="2500"/>
      <c r="AK177" s="398"/>
      <c r="AL177" s="392"/>
    </row>
    <row r="178" spans="1:38" ht="12" customHeight="1" x14ac:dyDescent="0.2">
      <c r="A178" s="2501"/>
      <c r="B178" s="800">
        <f>B167+2</f>
        <v>48</v>
      </c>
      <c r="C178" s="6559" t="str">
        <f>IFERROR(VLOOKUP($J$6&amp;B178,'Tablas Magia'!$B$6:$D$680,3,FALSE),IFERROR(VLOOKUP($J$8&amp;B178,'Tablas Magia'!$B$6:$D$680,3,FALSE),IFERROR(VLOOKUP($J$6&amp;B178,Místicos!$AD$12:$AJ$50,4,FALSE),"Libre Acceso 1-"&amp;ROUNDUP(B178/10,0)*10)))</f>
        <v>Libre Acceso 1-50</v>
      </c>
      <c r="D178" s="6560"/>
      <c r="E178" s="6560"/>
      <c r="F178" s="6560"/>
      <c r="G178" s="6561"/>
      <c r="H178" s="402" t="s">
        <v>1325</v>
      </c>
      <c r="I178" s="403">
        <f>B178</f>
        <v>48</v>
      </c>
      <c r="J178" s="6544" t="s">
        <v>6231</v>
      </c>
      <c r="K178" s="6544"/>
      <c r="L178" s="6544"/>
      <c r="M178" s="6529" t="e">
        <f>IF(C178=0,"",VLOOKUP(C178,'Tablas Magia'!$D$6:$Z$680,2,FALSE))</f>
        <v>#N/A</v>
      </c>
      <c r="N178" s="6529"/>
      <c r="O178" s="1705"/>
      <c r="P178" s="6550" t="str">
        <f>IFERROR(IF(M178="Libre Acceso","Aprendido",IF(IFERROR(VLOOKUP(M178,Místicos!$C$15:$H$25,6,0)&gt;=I178,FALSE),"Aprendido",IF(IFERROR(VLOOKUP(M178,Místicos!$E$15:$H$25,4,0)&gt;=I178,FALSE),"Aprendido",""))),"")</f>
        <v/>
      </c>
      <c r="Q178" s="6551"/>
      <c r="R178" s="398"/>
      <c r="S178" s="392"/>
      <c r="T178" s="2501"/>
      <c r="U178" s="800">
        <f>U167+2</f>
        <v>58</v>
      </c>
      <c r="V178" s="6559" t="str">
        <f>IFERROR(VLOOKUP($J$6&amp;U178,'Tablas Magia'!$B$6:$D$680,3,FALSE),IFERROR(VLOOKUP($J$8&amp;U178,'Tablas Magia'!$B$6:$D$680,3,FALSE),IFERROR(VLOOKUP($J$6&amp;U178,Místicos!$AD$12:$AJ$50,4,FALSE),"Libre Acceso 1-"&amp;ROUNDUP(U178/10,0)*10)))</f>
        <v>Libre Acceso 1-60</v>
      </c>
      <c r="W178" s="6560"/>
      <c r="X178" s="6560"/>
      <c r="Y178" s="6560"/>
      <c r="Z178" s="6561"/>
      <c r="AA178" s="402" t="s">
        <v>1325</v>
      </c>
      <c r="AB178" s="403">
        <f>U178</f>
        <v>58</v>
      </c>
      <c r="AC178" s="6544" t="s">
        <v>6231</v>
      </c>
      <c r="AD178" s="6544"/>
      <c r="AE178" s="6544"/>
      <c r="AF178" s="6529" t="e">
        <f>IF(V178=0,"",VLOOKUP(V178,'Tablas Magia'!$D$6:$Z$680,2,FALSE))</f>
        <v>#N/A</v>
      </c>
      <c r="AG178" s="6529"/>
      <c r="AH178" s="1705"/>
      <c r="AI178" s="6550" t="str">
        <f>IFERROR(IF(AF178="Libre Acceso","Aprendido",IF(IFERROR(VLOOKUP(AF178,Místicos!$C$15:$H$25,6,0)&gt;=AB178,FALSE),"Aprendido",IF(IFERROR(VLOOKUP(AF178,Místicos!$E$15:$H$25,4,0)&gt;=AB178,FALSE),"Aprendido",""))),"")</f>
        <v/>
      </c>
      <c r="AJ178" s="6551"/>
      <c r="AK178" s="398"/>
      <c r="AL178" s="392"/>
    </row>
    <row r="179" spans="1:38" ht="12" customHeight="1" x14ac:dyDescent="0.2">
      <c r="A179" s="2501"/>
      <c r="B179" s="800"/>
      <c r="C179" s="6531" t="s">
        <v>6232</v>
      </c>
      <c r="D179" s="6545"/>
      <c r="E179" s="2487" t="s">
        <v>6233</v>
      </c>
      <c r="F179" s="2487" t="s">
        <v>1508</v>
      </c>
      <c r="G179" s="2487" t="s">
        <v>2827</v>
      </c>
      <c r="H179" s="2488" t="s">
        <v>1835</v>
      </c>
      <c r="I179" s="6553" t="e">
        <f>IF(C178=0,"",VLOOKUP(C178,'Tablas Magia'!$D$6:$Z$680,5,FALSE))</f>
        <v>#N/A</v>
      </c>
      <c r="J179" s="6553"/>
      <c r="K179" s="6556" t="s">
        <v>6234</v>
      </c>
      <c r="L179" s="6556"/>
      <c r="M179" s="6553" t="e">
        <f>IF(C178=0,"",VLOOKUP(C178,'Tablas Magia'!$D$6:$Z$680,6,FALSE))</f>
        <v>#N/A</v>
      </c>
      <c r="N179" s="6553"/>
      <c r="O179" s="6554" t="s">
        <v>6235</v>
      </c>
      <c r="P179" s="6554"/>
      <c r="Q179" s="2489" t="e">
        <f>IF(C178=0,"",VLOOKUP(C178,'Tablas Magia'!$D$6:$Z$680,4,FALSE))</f>
        <v>#N/A</v>
      </c>
      <c r="R179" s="398"/>
      <c r="S179" s="392"/>
      <c r="T179" s="2501"/>
      <c r="U179" s="800"/>
      <c r="V179" s="6531" t="s">
        <v>6232</v>
      </c>
      <c r="W179" s="6545"/>
      <c r="X179" s="2487" t="s">
        <v>6233</v>
      </c>
      <c r="Y179" s="2487" t="s">
        <v>1508</v>
      </c>
      <c r="Z179" s="2487" t="s">
        <v>2827</v>
      </c>
      <c r="AA179" s="2488" t="s">
        <v>1835</v>
      </c>
      <c r="AB179" s="6553" t="e">
        <f>IF(V178=0,"",VLOOKUP(V178,'Tablas Magia'!$D$6:$Z$680,5,FALSE))</f>
        <v>#N/A</v>
      </c>
      <c r="AC179" s="6553"/>
      <c r="AD179" s="6556" t="s">
        <v>6234</v>
      </c>
      <c r="AE179" s="6556"/>
      <c r="AF179" s="6553" t="e">
        <f>IF(V178=0,"",VLOOKUP(V178,'Tablas Magia'!$D$6:$Z$680,6,FALSE))</f>
        <v>#N/A</v>
      </c>
      <c r="AG179" s="6553"/>
      <c r="AH179" s="6554" t="s">
        <v>6235</v>
      </c>
      <c r="AI179" s="6554"/>
      <c r="AJ179" s="2489" t="e">
        <f>IF(V178=0,"",VLOOKUP(V178,'Tablas Magia'!$D$6:$Z$680,4,FALSE))</f>
        <v>#N/A</v>
      </c>
      <c r="AK179" s="398"/>
      <c r="AL179" s="392"/>
    </row>
    <row r="180" spans="1:38" ht="12" customHeight="1" x14ac:dyDescent="0.2">
      <c r="A180" s="2501"/>
      <c r="B180" s="800"/>
      <c r="C180" s="6557" t="s">
        <v>1365</v>
      </c>
      <c r="D180" s="6558"/>
      <c r="E180" s="2490" t="e">
        <f>IF(C178=0,"",VLOOKUP(C178,'Tablas Magia'!$D$6:$Z$680,7,FALSE))</f>
        <v>#N/A</v>
      </c>
      <c r="F180" s="2490" t="e">
        <f>IF(C178=0,"",VLOOKUP(C178,'Tablas Magia'!$D$6:$Z$680,11,FALSE))</f>
        <v>#N/A</v>
      </c>
      <c r="G180" s="408" t="e">
        <f>IF(C178=0,"",VLOOKUP(C178,'Tablas Magia'!$D$6:$Z$680,15,FALSE))</f>
        <v>#N/A</v>
      </c>
      <c r="H180" s="6539" t="e">
        <f>IF(C178=0,"",VLOOKUP(C178,'Tablas Magia'!$D$6:$Z$680,19,FALSE))</f>
        <v>#N/A</v>
      </c>
      <c r="I180" s="6540"/>
      <c r="J180" s="6540"/>
      <c r="K180" s="6540"/>
      <c r="L180" s="6540"/>
      <c r="M180" s="6540"/>
      <c r="N180" s="6540"/>
      <c r="O180" s="6540"/>
      <c r="P180" s="6540"/>
      <c r="Q180" s="6541"/>
      <c r="R180" s="398"/>
      <c r="S180" s="392"/>
      <c r="T180" s="2501"/>
      <c r="U180" s="800"/>
      <c r="V180" s="6507" t="s">
        <v>1365</v>
      </c>
      <c r="W180" s="6508"/>
      <c r="X180" s="2490" t="e">
        <f>IF(V178=0,"",VLOOKUP(V178,'Tablas Magia'!$D$6:$Z$680,7,FALSE))</f>
        <v>#N/A</v>
      </c>
      <c r="Y180" s="2490" t="e">
        <f>IF(V178=0,"",VLOOKUP(V178,'Tablas Magia'!$D$6:$Z$680,11,FALSE))</f>
        <v>#N/A</v>
      </c>
      <c r="Z180" s="408" t="e">
        <f>IF(V178=0,"",VLOOKUP(V178,'Tablas Magia'!$D$6:$Z$680,15,FALSE))</f>
        <v>#N/A</v>
      </c>
      <c r="AA180" s="6509" t="e">
        <f>IF(V178=0,"",VLOOKUP(V178,'Tablas Magia'!$D$6:$Z$680,19,FALSE))</f>
        <v>#N/A</v>
      </c>
      <c r="AB180" s="6552"/>
      <c r="AC180" s="6552"/>
      <c r="AD180" s="6552"/>
      <c r="AE180" s="6552"/>
      <c r="AF180" s="6552"/>
      <c r="AG180" s="6552"/>
      <c r="AH180" s="6552"/>
      <c r="AI180" s="6552"/>
      <c r="AJ180" s="6511"/>
      <c r="AK180" s="398"/>
      <c r="AL180" s="392"/>
    </row>
    <row r="181" spans="1:38" ht="12" customHeight="1" x14ac:dyDescent="0.2">
      <c r="A181" s="2501"/>
      <c r="B181" s="800"/>
      <c r="C181" s="6502" t="s">
        <v>3196</v>
      </c>
      <c r="D181" s="6503"/>
      <c r="E181" s="2491" t="e">
        <f>IF(C178=0,"",VLOOKUP(C178,'Tablas Magia'!$D$6:$Z$680,8,FALSE))</f>
        <v>#N/A</v>
      </c>
      <c r="F181" s="2491" t="e">
        <f>IF(C178=0,"",VLOOKUP(C178,'Tablas Magia'!$D$6:$Z$680,12,FALSE))</f>
        <v>#N/A</v>
      </c>
      <c r="G181" s="410" t="e">
        <f>IF(C178=0,"",VLOOKUP(C178,'Tablas Magia'!$D$6:$Z$680,16,FALSE))</f>
        <v>#N/A</v>
      </c>
      <c r="H181" s="6504" t="e">
        <f>IF(C178=0,"",VLOOKUP(C178,'Tablas Magia'!$D$6:$Z$680,20,FALSE))</f>
        <v>#N/A</v>
      </c>
      <c r="I181" s="6542"/>
      <c r="J181" s="6542"/>
      <c r="K181" s="6542"/>
      <c r="L181" s="6542"/>
      <c r="M181" s="6542"/>
      <c r="N181" s="6542"/>
      <c r="O181" s="6542"/>
      <c r="P181" s="6542"/>
      <c r="Q181" s="6506"/>
      <c r="R181" s="398"/>
      <c r="S181" s="392"/>
      <c r="T181" s="2501"/>
      <c r="U181" s="800"/>
      <c r="V181" s="6502" t="s">
        <v>3196</v>
      </c>
      <c r="W181" s="6503"/>
      <c r="X181" s="2491" t="e">
        <f>IF(V178=0,"",VLOOKUP(V178,'Tablas Magia'!$D$6:$Z$680,8,FALSE))</f>
        <v>#N/A</v>
      </c>
      <c r="Y181" s="2491" t="e">
        <f>IF(V178=0,"",VLOOKUP(V178,'Tablas Magia'!$D$6:$Z$680,12,FALSE))</f>
        <v>#N/A</v>
      </c>
      <c r="Z181" s="410" t="e">
        <f>IF(V178=0,"",VLOOKUP(V178,'Tablas Magia'!$D$6:$Z$680,16,FALSE))</f>
        <v>#N/A</v>
      </c>
      <c r="AA181" s="6504" t="e">
        <f>IF(V178=0,"",VLOOKUP(V178,'Tablas Magia'!$D$6:$Z$680,20,FALSE))</f>
        <v>#N/A</v>
      </c>
      <c r="AB181" s="6542"/>
      <c r="AC181" s="6542"/>
      <c r="AD181" s="6542"/>
      <c r="AE181" s="6542"/>
      <c r="AF181" s="6542"/>
      <c r="AG181" s="6542"/>
      <c r="AH181" s="6542"/>
      <c r="AI181" s="6542"/>
      <c r="AJ181" s="6506"/>
      <c r="AK181" s="398"/>
      <c r="AL181" s="392"/>
    </row>
    <row r="182" spans="1:38" ht="12" customHeight="1" x14ac:dyDescent="0.2">
      <c r="A182" s="2501"/>
      <c r="B182" s="800"/>
      <c r="C182" s="6507" t="s">
        <v>3197</v>
      </c>
      <c r="D182" s="6508"/>
      <c r="E182" s="2490" t="e">
        <f>IF(C178=0,"",VLOOKUP(C178,'Tablas Magia'!$D$6:$Z$680,9,FALSE))</f>
        <v>#N/A</v>
      </c>
      <c r="F182" s="2490" t="e">
        <f>IF(C178=0,"",VLOOKUP(C178,'Tablas Magia'!$D$6:$Z$680,13,FALSE))</f>
        <v>#N/A</v>
      </c>
      <c r="G182" s="408" t="e">
        <f>IF(C178=0,"",VLOOKUP(C178,'Tablas Magia'!$D$6:$Z$680,17,FALSE))</f>
        <v>#N/A</v>
      </c>
      <c r="H182" s="6509" t="e">
        <f>IF(C178=0,"",VLOOKUP(C178,'Tablas Magia'!$D$6:$Z$680,21,FALSE))</f>
        <v>#N/A</v>
      </c>
      <c r="I182" s="6552"/>
      <c r="J182" s="6552"/>
      <c r="K182" s="6552"/>
      <c r="L182" s="6552"/>
      <c r="M182" s="6552"/>
      <c r="N182" s="6552"/>
      <c r="O182" s="6552"/>
      <c r="P182" s="6552"/>
      <c r="Q182" s="6511"/>
      <c r="R182" s="398"/>
      <c r="S182" s="392"/>
      <c r="T182" s="2501"/>
      <c r="U182" s="800"/>
      <c r="V182" s="6507" t="s">
        <v>3197</v>
      </c>
      <c r="W182" s="6508"/>
      <c r="X182" s="2490" t="e">
        <f>IF(V178=0,"",VLOOKUP(V178,'Tablas Magia'!$D$6:$Z$680,9,FALSE))</f>
        <v>#N/A</v>
      </c>
      <c r="Y182" s="2490" t="e">
        <f>IF(V178=0,"",VLOOKUP(V178,'Tablas Magia'!$D$6:$Z$680,13,FALSE))</f>
        <v>#N/A</v>
      </c>
      <c r="Z182" s="408" t="e">
        <f>IF(V178=0,"",VLOOKUP(V178,'Tablas Magia'!$D$6:$Z$680,17,FALSE))</f>
        <v>#N/A</v>
      </c>
      <c r="AA182" s="6509" t="e">
        <f>IF(V178=0,"",VLOOKUP(V178,'Tablas Magia'!$D$6:$Z$680,21,FALSE))</f>
        <v>#N/A</v>
      </c>
      <c r="AB182" s="6552"/>
      <c r="AC182" s="6552"/>
      <c r="AD182" s="6552"/>
      <c r="AE182" s="6552"/>
      <c r="AF182" s="6552"/>
      <c r="AG182" s="6552"/>
      <c r="AH182" s="6552"/>
      <c r="AI182" s="6552"/>
      <c r="AJ182" s="6511"/>
      <c r="AK182" s="398"/>
      <c r="AL182" s="392"/>
    </row>
    <row r="183" spans="1:38" ht="12" customHeight="1" thickBot="1" x14ac:dyDescent="0.25">
      <c r="A183" s="2501"/>
      <c r="B183" s="800"/>
      <c r="C183" s="6512" t="s">
        <v>3198</v>
      </c>
      <c r="D183" s="6513"/>
      <c r="E183" s="411" t="e">
        <f>IF(C178=0,"",VLOOKUP(C178,'Tablas Magia'!$D$6:$Z$680,10,FALSE))</f>
        <v>#N/A</v>
      </c>
      <c r="F183" s="411" t="e">
        <f>IF(C178=0,"",VLOOKUP(C178,'Tablas Magia'!$D$6:$Z$680,14,FALSE))</f>
        <v>#N/A</v>
      </c>
      <c r="G183" s="412" t="e">
        <f>IF(C178=0,"",VLOOKUP(C178,'Tablas Magia'!$D$6:$Z$680,18,FALSE))</f>
        <v>#N/A</v>
      </c>
      <c r="H183" s="6514" t="e">
        <f>IF(C178=0,"",VLOOKUP(C178,'Tablas Magia'!$D$6:$Z$680,22,FALSE))</f>
        <v>#N/A</v>
      </c>
      <c r="I183" s="6515"/>
      <c r="J183" s="6515"/>
      <c r="K183" s="6515"/>
      <c r="L183" s="6515"/>
      <c r="M183" s="6515"/>
      <c r="N183" s="6515"/>
      <c r="O183" s="6515"/>
      <c r="P183" s="6515"/>
      <c r="Q183" s="6516"/>
      <c r="R183" s="398"/>
      <c r="S183" s="392"/>
      <c r="T183" s="2501"/>
      <c r="U183" s="800"/>
      <c r="V183" s="6512" t="s">
        <v>3198</v>
      </c>
      <c r="W183" s="6513"/>
      <c r="X183" s="411" t="e">
        <f>IF(V178=0,"",VLOOKUP(V178,'Tablas Magia'!$D$6:$Z$680,10,FALSE))</f>
        <v>#N/A</v>
      </c>
      <c r="Y183" s="411" t="e">
        <f>IF(V178=0,"",VLOOKUP(V178,'Tablas Magia'!$D$6:$Z$680,14,FALSE))</f>
        <v>#N/A</v>
      </c>
      <c r="Z183" s="412" t="e">
        <f>IF(V178=0,"",VLOOKUP(V178,'Tablas Magia'!$D$6:$Z$680,18,FALSE))</f>
        <v>#N/A</v>
      </c>
      <c r="AA183" s="6514" t="e">
        <f>IF(V178=0,"",VLOOKUP(V178,'Tablas Magia'!$D$6:$Z$680,22,FALSE))</f>
        <v>#N/A</v>
      </c>
      <c r="AB183" s="6515"/>
      <c r="AC183" s="6515"/>
      <c r="AD183" s="6515"/>
      <c r="AE183" s="6515"/>
      <c r="AF183" s="6515"/>
      <c r="AG183" s="6515"/>
      <c r="AH183" s="6515"/>
      <c r="AI183" s="6515"/>
      <c r="AJ183" s="6516"/>
      <c r="AK183" s="398"/>
      <c r="AL183" s="392"/>
    </row>
    <row r="184" spans="1:38" ht="12" customHeight="1" x14ac:dyDescent="0.2">
      <c r="A184" s="2501"/>
      <c r="B184" s="800"/>
      <c r="C184" s="6517" t="e">
        <f>IF(C178=0,"",VLOOKUP(C178,'Tablas Magia'!$D$6:$Z$680,23,FALSE))</f>
        <v>#N/A</v>
      </c>
      <c r="D184" s="6518"/>
      <c r="E184" s="6518"/>
      <c r="F184" s="6518"/>
      <c r="G184" s="6518"/>
      <c r="H184" s="6518"/>
      <c r="I184" s="6518"/>
      <c r="J184" s="6518"/>
      <c r="K184" s="6518"/>
      <c r="L184" s="6518"/>
      <c r="M184" s="6518"/>
      <c r="N184" s="6518"/>
      <c r="O184" s="6518"/>
      <c r="P184" s="6518"/>
      <c r="Q184" s="6519"/>
      <c r="R184" s="398"/>
      <c r="S184" s="392"/>
      <c r="T184" s="2501"/>
      <c r="U184" s="800"/>
      <c r="V184" s="6517" t="e">
        <f>IF(V178=0,"",VLOOKUP(V178,'Tablas Magia'!$D$6:$Z$680,23,FALSE))</f>
        <v>#N/A</v>
      </c>
      <c r="W184" s="6518"/>
      <c r="X184" s="6518"/>
      <c r="Y184" s="6518"/>
      <c r="Z184" s="6518"/>
      <c r="AA184" s="6518"/>
      <c r="AB184" s="6518"/>
      <c r="AC184" s="6518"/>
      <c r="AD184" s="6518"/>
      <c r="AE184" s="6518"/>
      <c r="AF184" s="6518"/>
      <c r="AG184" s="6518"/>
      <c r="AH184" s="6518"/>
      <c r="AI184" s="6518"/>
      <c r="AJ184" s="6519"/>
      <c r="AK184" s="398"/>
      <c r="AL184" s="392"/>
    </row>
    <row r="185" spans="1:38" ht="12" customHeight="1" x14ac:dyDescent="0.2">
      <c r="A185" s="2501"/>
      <c r="B185" s="800"/>
      <c r="C185" s="6520"/>
      <c r="D185" s="6543"/>
      <c r="E185" s="6543"/>
      <c r="F185" s="6543"/>
      <c r="G185" s="6543"/>
      <c r="H185" s="6543"/>
      <c r="I185" s="6543"/>
      <c r="J185" s="6543"/>
      <c r="K185" s="6543"/>
      <c r="L185" s="6543"/>
      <c r="M185" s="6543"/>
      <c r="N185" s="6543"/>
      <c r="O185" s="6543"/>
      <c r="P185" s="6543"/>
      <c r="Q185" s="6522"/>
      <c r="R185" s="398"/>
      <c r="S185" s="392"/>
      <c r="T185" s="2501"/>
      <c r="U185" s="800"/>
      <c r="V185" s="6520"/>
      <c r="W185" s="6543"/>
      <c r="X185" s="6543"/>
      <c r="Y185" s="6543"/>
      <c r="Z185" s="6543"/>
      <c r="AA185" s="6543"/>
      <c r="AB185" s="6543"/>
      <c r="AC185" s="6543"/>
      <c r="AD185" s="6543"/>
      <c r="AE185" s="6543"/>
      <c r="AF185" s="6543"/>
      <c r="AG185" s="6543"/>
      <c r="AH185" s="6543"/>
      <c r="AI185" s="6543"/>
      <c r="AJ185" s="6522"/>
      <c r="AK185" s="398"/>
      <c r="AL185" s="392"/>
    </row>
    <row r="186" spans="1:38" ht="12" customHeight="1" x14ac:dyDescent="0.2">
      <c r="A186" s="2501"/>
      <c r="B186" s="800"/>
      <c r="C186" s="6520"/>
      <c r="D186" s="6543"/>
      <c r="E186" s="6543"/>
      <c r="F186" s="6543"/>
      <c r="G186" s="6543"/>
      <c r="H186" s="6543"/>
      <c r="I186" s="6543"/>
      <c r="J186" s="6543"/>
      <c r="K186" s="6543"/>
      <c r="L186" s="6543"/>
      <c r="M186" s="6543"/>
      <c r="N186" s="6543"/>
      <c r="O186" s="6543"/>
      <c r="P186" s="6543"/>
      <c r="Q186" s="6522"/>
      <c r="R186" s="398"/>
      <c r="S186" s="392"/>
      <c r="T186" s="2501"/>
      <c r="U186" s="800"/>
      <c r="V186" s="6520"/>
      <c r="W186" s="6543"/>
      <c r="X186" s="6543"/>
      <c r="Y186" s="6543"/>
      <c r="Z186" s="6543"/>
      <c r="AA186" s="6543"/>
      <c r="AB186" s="6543"/>
      <c r="AC186" s="6543"/>
      <c r="AD186" s="6543"/>
      <c r="AE186" s="6543"/>
      <c r="AF186" s="6543"/>
      <c r="AG186" s="6543"/>
      <c r="AH186" s="6543"/>
      <c r="AI186" s="6543"/>
      <c r="AJ186" s="6522"/>
      <c r="AK186" s="398"/>
      <c r="AL186" s="392"/>
    </row>
    <row r="187" spans="1:38" ht="12" customHeight="1" thickBot="1" x14ac:dyDescent="0.25">
      <c r="A187" s="2501"/>
      <c r="B187" s="800"/>
      <c r="C187" s="6523"/>
      <c r="D187" s="6524"/>
      <c r="E187" s="6524"/>
      <c r="F187" s="6524"/>
      <c r="G187" s="6524"/>
      <c r="H187" s="6524"/>
      <c r="I187" s="6524"/>
      <c r="J187" s="6524"/>
      <c r="K187" s="6524"/>
      <c r="L187" s="6524"/>
      <c r="M187" s="6524"/>
      <c r="N187" s="6524"/>
      <c r="O187" s="6524"/>
      <c r="P187" s="6524"/>
      <c r="Q187" s="6525"/>
      <c r="R187" s="398"/>
      <c r="S187" s="392"/>
      <c r="T187" s="2501"/>
      <c r="U187" s="800"/>
      <c r="V187" s="6523"/>
      <c r="W187" s="6524"/>
      <c r="X187" s="6524"/>
      <c r="Y187" s="6524"/>
      <c r="Z187" s="6524"/>
      <c r="AA187" s="6524"/>
      <c r="AB187" s="6524"/>
      <c r="AC187" s="6524"/>
      <c r="AD187" s="6524"/>
      <c r="AE187" s="6524"/>
      <c r="AF187" s="6524"/>
      <c r="AG187" s="6524"/>
      <c r="AH187" s="6524"/>
      <c r="AI187" s="6524"/>
      <c r="AJ187" s="6525"/>
      <c r="AK187" s="398"/>
      <c r="AL187" s="392"/>
    </row>
    <row r="188" spans="1:38" ht="12" customHeight="1" thickBot="1" x14ac:dyDescent="0.25">
      <c r="A188" s="2501"/>
      <c r="B188" s="800"/>
      <c r="C188" s="2499"/>
      <c r="D188" s="2499"/>
      <c r="E188" s="2491"/>
      <c r="F188" s="2491"/>
      <c r="G188" s="2491"/>
      <c r="H188" s="2500"/>
      <c r="I188" s="2500"/>
      <c r="J188" s="2500"/>
      <c r="K188" s="2500"/>
      <c r="L188" s="2500"/>
      <c r="M188" s="2500"/>
      <c r="N188" s="2500"/>
      <c r="O188" s="2500"/>
      <c r="P188" s="2500"/>
      <c r="Q188" s="2500"/>
      <c r="R188" s="398"/>
      <c r="S188" s="392"/>
      <c r="T188" s="2501"/>
      <c r="U188" s="800"/>
      <c r="V188" s="2499"/>
      <c r="W188" s="2499"/>
      <c r="X188" s="2491"/>
      <c r="Y188" s="2491"/>
      <c r="Z188" s="2491"/>
      <c r="AA188" s="2500"/>
      <c r="AB188" s="2500"/>
      <c r="AC188" s="2500"/>
      <c r="AD188" s="2500"/>
      <c r="AE188" s="2500"/>
      <c r="AF188" s="2500"/>
      <c r="AG188" s="2500"/>
      <c r="AH188" s="2500"/>
      <c r="AI188" s="2500"/>
      <c r="AJ188" s="2500"/>
      <c r="AK188" s="398"/>
      <c r="AL188" s="392"/>
    </row>
    <row r="189" spans="1:38" ht="12" customHeight="1" x14ac:dyDescent="0.2">
      <c r="A189" s="2501"/>
      <c r="B189" s="800">
        <f>B178+2</f>
        <v>50</v>
      </c>
      <c r="C189" s="6559" t="str">
        <f>IFERROR(VLOOKUP($J$6&amp;B189,'Tablas Magia'!$B$6:$D$680,3,FALSE),IFERROR(VLOOKUP($J$8&amp;B189,'Tablas Magia'!$B$6:$D$680,3,FALSE),IFERROR(VLOOKUP($J$6&amp;B189,Místicos!$AD$12:$AJ$50,4,FALSE),"Libre Acceso 1-"&amp;ROUNDUP(B189/10,0)*10)))</f>
        <v>Libre Acceso 1-50</v>
      </c>
      <c r="D189" s="6560"/>
      <c r="E189" s="6560"/>
      <c r="F189" s="6560"/>
      <c r="G189" s="6561"/>
      <c r="H189" s="402" t="s">
        <v>1325</v>
      </c>
      <c r="I189" s="403">
        <f>B189</f>
        <v>50</v>
      </c>
      <c r="J189" s="6544" t="s">
        <v>6231</v>
      </c>
      <c r="K189" s="6544"/>
      <c r="L189" s="6544"/>
      <c r="M189" s="6529" t="e">
        <f>IF(C189=0,"",VLOOKUP(C189,'Tablas Magia'!$D$6:$Z$680,2,FALSE))</f>
        <v>#N/A</v>
      </c>
      <c r="N189" s="6529"/>
      <c r="O189" s="1705"/>
      <c r="P189" s="6550" t="str">
        <f>IFERROR(IF(M189="Libre Acceso","Aprendido",IF(IFERROR(VLOOKUP(M189,Místicos!$C$15:$H$25,6,0)&gt;=I189,FALSE),"Aprendido",IF(IFERROR(VLOOKUP(M189,Místicos!$E$15:$H$25,4,0)&gt;=I189,FALSE),"Aprendido",""))),"")</f>
        <v/>
      </c>
      <c r="Q189" s="6551"/>
      <c r="R189" s="398"/>
      <c r="S189" s="392"/>
      <c r="T189" s="2501"/>
      <c r="U189" s="800">
        <f>U178+2</f>
        <v>60</v>
      </c>
      <c r="V189" s="6559" t="str">
        <f>IFERROR(VLOOKUP($J$6&amp;U189,'Tablas Magia'!$B$6:$D$680,3,FALSE),IFERROR(VLOOKUP($J$8&amp;U189,'Tablas Magia'!$B$6:$D$680,3,FALSE),IFERROR(VLOOKUP($J$6&amp;U189,Místicos!$AD$12:$AJ$50,4,FALSE),"Libre Acceso 1-"&amp;ROUNDUP(U189/10,0)*10)))</f>
        <v>Libre Acceso 1-60</v>
      </c>
      <c r="W189" s="6560"/>
      <c r="X189" s="6560"/>
      <c r="Y189" s="6560"/>
      <c r="Z189" s="6561"/>
      <c r="AA189" s="402" t="s">
        <v>1325</v>
      </c>
      <c r="AB189" s="403">
        <f>U189</f>
        <v>60</v>
      </c>
      <c r="AC189" s="6544" t="s">
        <v>6231</v>
      </c>
      <c r="AD189" s="6544"/>
      <c r="AE189" s="6544"/>
      <c r="AF189" s="6529" t="e">
        <f>IF(V189=0,"",VLOOKUP(V189,'Tablas Magia'!$D$6:$Z$680,2,FALSE))</f>
        <v>#N/A</v>
      </c>
      <c r="AG189" s="6529"/>
      <c r="AH189" s="1705"/>
      <c r="AI189" s="6550" t="str">
        <f>IFERROR(IF(AF189="Libre Acceso","Aprendido",IF(IFERROR(VLOOKUP(AF189,Místicos!$C$15:$H$25,6,0)&gt;=AB189,FALSE),"Aprendido",IF(IFERROR(VLOOKUP(AF189,Místicos!$E$15:$H$25,4,0)&gt;=AB189,FALSE),"Aprendido",""))),"")</f>
        <v/>
      </c>
      <c r="AJ189" s="6551"/>
      <c r="AK189" s="398"/>
      <c r="AL189" s="392"/>
    </row>
    <row r="190" spans="1:38" ht="12" customHeight="1" x14ac:dyDescent="0.2">
      <c r="A190" s="2501"/>
      <c r="B190" s="800"/>
      <c r="C190" s="6531" t="s">
        <v>6232</v>
      </c>
      <c r="D190" s="6545"/>
      <c r="E190" s="2487" t="s">
        <v>6233</v>
      </c>
      <c r="F190" s="2487" t="s">
        <v>1508</v>
      </c>
      <c r="G190" s="2487" t="s">
        <v>2827</v>
      </c>
      <c r="H190" s="2488" t="s">
        <v>1835</v>
      </c>
      <c r="I190" s="6553" t="e">
        <f>IF(C189=0,"",VLOOKUP(C189,'Tablas Magia'!$D$6:$Z$680,5,FALSE))</f>
        <v>#N/A</v>
      </c>
      <c r="J190" s="6553"/>
      <c r="K190" s="6556" t="s">
        <v>6234</v>
      </c>
      <c r="L190" s="6556"/>
      <c r="M190" s="6553" t="e">
        <f>IF(C189=0,"",VLOOKUP(C189,'Tablas Magia'!$D$6:$Z$680,6,FALSE))</f>
        <v>#N/A</v>
      </c>
      <c r="N190" s="6553"/>
      <c r="O190" s="6554" t="s">
        <v>6235</v>
      </c>
      <c r="P190" s="6554"/>
      <c r="Q190" s="2489" t="e">
        <f>IF(C189=0,"",VLOOKUP(C189,'Tablas Magia'!$D$6:$Z$680,4,FALSE))</f>
        <v>#N/A</v>
      </c>
      <c r="R190" s="398"/>
      <c r="S190" s="392"/>
      <c r="T190" s="2501"/>
      <c r="U190" s="800"/>
      <c r="V190" s="6531" t="s">
        <v>6232</v>
      </c>
      <c r="W190" s="6545"/>
      <c r="X190" s="2487" t="s">
        <v>6233</v>
      </c>
      <c r="Y190" s="2487" t="s">
        <v>1508</v>
      </c>
      <c r="Z190" s="2487" t="s">
        <v>2827</v>
      </c>
      <c r="AA190" s="2488" t="s">
        <v>1835</v>
      </c>
      <c r="AB190" s="6553" t="e">
        <f>IF(V189=0,"",VLOOKUP(V189,'Tablas Magia'!$D$6:$Z$680,5,FALSE))</f>
        <v>#N/A</v>
      </c>
      <c r="AC190" s="6553"/>
      <c r="AD190" s="6556" t="s">
        <v>6234</v>
      </c>
      <c r="AE190" s="6556"/>
      <c r="AF190" s="6553" t="e">
        <f>IF(V189=0,"",VLOOKUP(V189,'Tablas Magia'!$D$6:$Z$680,6,FALSE))</f>
        <v>#N/A</v>
      </c>
      <c r="AG190" s="6553"/>
      <c r="AH190" s="6554" t="s">
        <v>6235</v>
      </c>
      <c r="AI190" s="6554"/>
      <c r="AJ190" s="2489" t="e">
        <f>IF(V189=0,"",VLOOKUP(V189,'Tablas Magia'!$D$6:$Z$680,4,FALSE))</f>
        <v>#N/A</v>
      </c>
      <c r="AK190" s="398"/>
      <c r="AL190" s="392"/>
    </row>
    <row r="191" spans="1:38" ht="12" customHeight="1" x14ac:dyDescent="0.2">
      <c r="A191" s="2501"/>
      <c r="B191" s="800"/>
      <c r="C191" s="6557" t="s">
        <v>1365</v>
      </c>
      <c r="D191" s="6558"/>
      <c r="E191" s="2490" t="e">
        <f>IF(C189=0,"",VLOOKUP(C189,'Tablas Magia'!$D$6:$Z$680,7,FALSE))</f>
        <v>#N/A</v>
      </c>
      <c r="F191" s="2490" t="e">
        <f>IF(C189=0,"",VLOOKUP(C189,'Tablas Magia'!$D$6:$Z$680,11,FALSE))</f>
        <v>#N/A</v>
      </c>
      <c r="G191" s="408" t="e">
        <f>IF(C189=0,"",VLOOKUP(C189,'Tablas Magia'!$D$6:$Z$680,15,FALSE))</f>
        <v>#N/A</v>
      </c>
      <c r="H191" s="6539" t="e">
        <f>IF(C189=0,"",VLOOKUP(C189,'Tablas Magia'!$D$6:$Z$680,19,FALSE))</f>
        <v>#N/A</v>
      </c>
      <c r="I191" s="6540"/>
      <c r="J191" s="6540"/>
      <c r="K191" s="6540"/>
      <c r="L191" s="6540"/>
      <c r="M191" s="6540"/>
      <c r="N191" s="6540"/>
      <c r="O191" s="6540"/>
      <c r="P191" s="6540"/>
      <c r="Q191" s="6541"/>
      <c r="R191" s="398"/>
      <c r="S191" s="392"/>
      <c r="T191" s="2501"/>
      <c r="U191" s="800"/>
      <c r="V191" s="6507" t="s">
        <v>1365</v>
      </c>
      <c r="W191" s="6508"/>
      <c r="X191" s="2490" t="e">
        <f>IF(V189=0,"",VLOOKUP(V189,'Tablas Magia'!$D$6:$Z$680,7,FALSE))</f>
        <v>#N/A</v>
      </c>
      <c r="Y191" s="2490" t="e">
        <f>IF(V189=0,"",VLOOKUP(V189,'Tablas Magia'!$D$6:$Z$680,11,FALSE))</f>
        <v>#N/A</v>
      </c>
      <c r="Z191" s="408" t="e">
        <f>IF(V189=0,"",VLOOKUP(V189,'Tablas Magia'!$D$6:$Z$680,15,FALSE))</f>
        <v>#N/A</v>
      </c>
      <c r="AA191" s="6509" t="e">
        <f>IF(V189=0,"",VLOOKUP(V189,'Tablas Magia'!$D$6:$Z$680,19,FALSE))</f>
        <v>#N/A</v>
      </c>
      <c r="AB191" s="6552"/>
      <c r="AC191" s="6552"/>
      <c r="AD191" s="6552"/>
      <c r="AE191" s="6552"/>
      <c r="AF191" s="6552"/>
      <c r="AG191" s="6552"/>
      <c r="AH191" s="6552"/>
      <c r="AI191" s="6552"/>
      <c r="AJ191" s="6511"/>
      <c r="AK191" s="398"/>
      <c r="AL191" s="392"/>
    </row>
    <row r="192" spans="1:38" ht="12" customHeight="1" x14ac:dyDescent="0.2">
      <c r="A192" s="2501"/>
      <c r="B192" s="800"/>
      <c r="C192" s="6502" t="s">
        <v>3196</v>
      </c>
      <c r="D192" s="6503"/>
      <c r="E192" s="2491" t="e">
        <f>IF(C189=0,"",VLOOKUP(C189,'Tablas Magia'!$D$6:$Z$680,8,FALSE))</f>
        <v>#N/A</v>
      </c>
      <c r="F192" s="2491" t="e">
        <f>IF(C189=0,"",VLOOKUP(C189,'Tablas Magia'!$D$6:$Z$680,12,FALSE))</f>
        <v>#N/A</v>
      </c>
      <c r="G192" s="410" t="e">
        <f>IF(C189=0,"",VLOOKUP(C189,'Tablas Magia'!$D$6:$Z$680,16,FALSE))</f>
        <v>#N/A</v>
      </c>
      <c r="H192" s="6504" t="e">
        <f>IF(C189=0,"",VLOOKUP(C189,'Tablas Magia'!$D$6:$Z$680,20,FALSE))</f>
        <v>#N/A</v>
      </c>
      <c r="I192" s="6542"/>
      <c r="J192" s="6542"/>
      <c r="K192" s="6542"/>
      <c r="L192" s="6542"/>
      <c r="M192" s="6542"/>
      <c r="N192" s="6542"/>
      <c r="O192" s="6542"/>
      <c r="P192" s="6542"/>
      <c r="Q192" s="6506"/>
      <c r="R192" s="398"/>
      <c r="S192" s="392"/>
      <c r="T192" s="2501"/>
      <c r="U192" s="800"/>
      <c r="V192" s="6502" t="s">
        <v>3196</v>
      </c>
      <c r="W192" s="6503"/>
      <c r="X192" s="2491" t="e">
        <f>IF(V189=0,"",VLOOKUP(V189,'Tablas Magia'!$D$6:$Z$680,8,FALSE))</f>
        <v>#N/A</v>
      </c>
      <c r="Y192" s="2491" t="e">
        <f>IF(V189=0,"",VLOOKUP(V189,'Tablas Magia'!$D$6:$Z$680,12,FALSE))</f>
        <v>#N/A</v>
      </c>
      <c r="Z192" s="410" t="e">
        <f>IF(V189=0,"",VLOOKUP(V189,'Tablas Magia'!$D$6:$Z$680,16,FALSE))</f>
        <v>#N/A</v>
      </c>
      <c r="AA192" s="6504" t="e">
        <f>IF(V189=0,"",VLOOKUP(V189,'Tablas Magia'!$D$6:$Z$680,20,FALSE))</f>
        <v>#N/A</v>
      </c>
      <c r="AB192" s="6542"/>
      <c r="AC192" s="6542"/>
      <c r="AD192" s="6542"/>
      <c r="AE192" s="6542"/>
      <c r="AF192" s="6542"/>
      <c r="AG192" s="6542"/>
      <c r="AH192" s="6542"/>
      <c r="AI192" s="6542"/>
      <c r="AJ192" s="6506"/>
      <c r="AK192" s="398"/>
      <c r="AL192" s="392"/>
    </row>
    <row r="193" spans="1:38" ht="12" customHeight="1" x14ac:dyDescent="0.2">
      <c r="A193" s="2501"/>
      <c r="B193" s="800"/>
      <c r="C193" s="6507" t="s">
        <v>3197</v>
      </c>
      <c r="D193" s="6508"/>
      <c r="E193" s="2490" t="e">
        <f>IF(C189=0,"",VLOOKUP(C189,'Tablas Magia'!$D$6:$Z$680,9,FALSE))</f>
        <v>#N/A</v>
      </c>
      <c r="F193" s="2490" t="e">
        <f>IF(C189=0,"",VLOOKUP(C189,'Tablas Magia'!$D$6:$Z$680,13,FALSE))</f>
        <v>#N/A</v>
      </c>
      <c r="G193" s="408" t="e">
        <f>IF(C189=0,"",VLOOKUP(C189,'Tablas Magia'!$D$6:$Z$680,17,FALSE))</f>
        <v>#N/A</v>
      </c>
      <c r="H193" s="6509" t="e">
        <f>IF(C189=0,"",VLOOKUP(C189,'Tablas Magia'!$D$6:$Z$680,21,FALSE))</f>
        <v>#N/A</v>
      </c>
      <c r="I193" s="6552"/>
      <c r="J193" s="6552"/>
      <c r="K193" s="6552"/>
      <c r="L193" s="6552"/>
      <c r="M193" s="6552"/>
      <c r="N193" s="6552"/>
      <c r="O193" s="6552"/>
      <c r="P193" s="6552"/>
      <c r="Q193" s="6511"/>
      <c r="R193" s="398"/>
      <c r="S193" s="392"/>
      <c r="T193" s="2501"/>
      <c r="U193" s="800"/>
      <c r="V193" s="6507" t="s">
        <v>3197</v>
      </c>
      <c r="W193" s="6508"/>
      <c r="X193" s="2490" t="e">
        <f>IF(V189=0,"",VLOOKUP(V189,'Tablas Magia'!$D$6:$Z$680,9,FALSE))</f>
        <v>#N/A</v>
      </c>
      <c r="Y193" s="2490" t="e">
        <f>IF(V189=0,"",VLOOKUP(V189,'Tablas Magia'!$D$6:$Z$680,13,FALSE))</f>
        <v>#N/A</v>
      </c>
      <c r="Z193" s="408" t="e">
        <f>IF(V189=0,"",VLOOKUP(V189,'Tablas Magia'!$D$6:$Z$680,17,FALSE))</f>
        <v>#N/A</v>
      </c>
      <c r="AA193" s="6509" t="e">
        <f>IF(V189=0,"",VLOOKUP(V189,'Tablas Magia'!$D$6:$Z$680,21,FALSE))</f>
        <v>#N/A</v>
      </c>
      <c r="AB193" s="6552"/>
      <c r="AC193" s="6552"/>
      <c r="AD193" s="6552"/>
      <c r="AE193" s="6552"/>
      <c r="AF193" s="6552"/>
      <c r="AG193" s="6552"/>
      <c r="AH193" s="6552"/>
      <c r="AI193" s="6552"/>
      <c r="AJ193" s="6511"/>
      <c r="AK193" s="398"/>
      <c r="AL193" s="392"/>
    </row>
    <row r="194" spans="1:38" ht="12" customHeight="1" thickBot="1" x14ac:dyDescent="0.25">
      <c r="A194" s="2501"/>
      <c r="B194" s="800"/>
      <c r="C194" s="6512" t="s">
        <v>3198</v>
      </c>
      <c r="D194" s="6513"/>
      <c r="E194" s="411" t="e">
        <f>IF(C189=0,"",VLOOKUP(C189,'Tablas Magia'!$D$6:$Z$680,10,FALSE))</f>
        <v>#N/A</v>
      </c>
      <c r="F194" s="411" t="e">
        <f>IF(C189=0,"",VLOOKUP(C189,'Tablas Magia'!$D$6:$Z$680,14,FALSE))</f>
        <v>#N/A</v>
      </c>
      <c r="G194" s="412" t="e">
        <f>IF(C189=0,"",VLOOKUP(C189,'Tablas Magia'!$D$6:$Z$680,18,FALSE))</f>
        <v>#N/A</v>
      </c>
      <c r="H194" s="6514" t="e">
        <f>IF(C189=0,"",VLOOKUP(C189,'Tablas Magia'!$D$6:$Z$680,22,FALSE))</f>
        <v>#N/A</v>
      </c>
      <c r="I194" s="6515"/>
      <c r="J194" s="6515"/>
      <c r="K194" s="6515"/>
      <c r="L194" s="6515"/>
      <c r="M194" s="6515"/>
      <c r="N194" s="6515"/>
      <c r="O194" s="6515"/>
      <c r="P194" s="6515"/>
      <c r="Q194" s="6516"/>
      <c r="R194" s="398"/>
      <c r="S194" s="392"/>
      <c r="T194" s="2501"/>
      <c r="U194" s="800"/>
      <c r="V194" s="6512" t="s">
        <v>3198</v>
      </c>
      <c r="W194" s="6513"/>
      <c r="X194" s="411" t="e">
        <f>IF(V189=0,"",VLOOKUP(V189,'Tablas Magia'!$D$6:$Z$680,10,FALSE))</f>
        <v>#N/A</v>
      </c>
      <c r="Y194" s="411" t="e">
        <f>IF(V189=0,"",VLOOKUP(V189,'Tablas Magia'!$D$6:$Z$680,14,FALSE))</f>
        <v>#N/A</v>
      </c>
      <c r="Z194" s="412" t="e">
        <f>IF(V189=0,"",VLOOKUP(V189,'Tablas Magia'!$D$6:$Z$680,18,FALSE))</f>
        <v>#N/A</v>
      </c>
      <c r="AA194" s="6514" t="e">
        <f>IF(V189=0,"",VLOOKUP(V189,'Tablas Magia'!$D$6:$Z$680,22,FALSE))</f>
        <v>#N/A</v>
      </c>
      <c r="AB194" s="6515"/>
      <c r="AC194" s="6515"/>
      <c r="AD194" s="6515"/>
      <c r="AE194" s="6515"/>
      <c r="AF194" s="6515"/>
      <c r="AG194" s="6515"/>
      <c r="AH194" s="6515"/>
      <c r="AI194" s="6515"/>
      <c r="AJ194" s="6516"/>
      <c r="AK194" s="398"/>
      <c r="AL194" s="392"/>
    </row>
    <row r="195" spans="1:38" ht="12" customHeight="1" x14ac:dyDescent="0.2">
      <c r="A195" s="2501"/>
      <c r="B195" s="800"/>
      <c r="C195" s="6517" t="e">
        <f>IF(C189=0,"",VLOOKUP(C189,'Tablas Magia'!$D$6:$Z$680,23,FALSE))</f>
        <v>#N/A</v>
      </c>
      <c r="D195" s="6518"/>
      <c r="E195" s="6518"/>
      <c r="F195" s="6518"/>
      <c r="G195" s="6518"/>
      <c r="H195" s="6518"/>
      <c r="I195" s="6518"/>
      <c r="J195" s="6518"/>
      <c r="K195" s="6518"/>
      <c r="L195" s="6518"/>
      <c r="M195" s="6518"/>
      <c r="N195" s="6518"/>
      <c r="O195" s="6518"/>
      <c r="P195" s="6518"/>
      <c r="Q195" s="6519"/>
      <c r="R195" s="398"/>
      <c r="S195" s="392"/>
      <c r="T195" s="2501"/>
      <c r="U195" s="800"/>
      <c r="V195" s="6517" t="e">
        <f>IF(V189=0,"",VLOOKUP(V189,'Tablas Magia'!$D$6:$Z$680,23,FALSE))</f>
        <v>#N/A</v>
      </c>
      <c r="W195" s="6518"/>
      <c r="X195" s="6518"/>
      <c r="Y195" s="6518"/>
      <c r="Z195" s="6518"/>
      <c r="AA195" s="6518"/>
      <c r="AB195" s="6518"/>
      <c r="AC195" s="6518"/>
      <c r="AD195" s="6518"/>
      <c r="AE195" s="6518"/>
      <c r="AF195" s="6518"/>
      <c r="AG195" s="6518"/>
      <c r="AH195" s="6518"/>
      <c r="AI195" s="6518"/>
      <c r="AJ195" s="6519"/>
      <c r="AK195" s="398"/>
      <c r="AL195" s="392"/>
    </row>
    <row r="196" spans="1:38" ht="12" customHeight="1" x14ac:dyDescent="0.2">
      <c r="A196" s="2501"/>
      <c r="B196" s="800"/>
      <c r="C196" s="6520"/>
      <c r="D196" s="6543"/>
      <c r="E196" s="6543"/>
      <c r="F196" s="6543"/>
      <c r="G196" s="6543"/>
      <c r="H196" s="6543"/>
      <c r="I196" s="6543"/>
      <c r="J196" s="6543"/>
      <c r="K196" s="6543"/>
      <c r="L196" s="6543"/>
      <c r="M196" s="6543"/>
      <c r="N196" s="6543"/>
      <c r="O196" s="6543"/>
      <c r="P196" s="6543"/>
      <c r="Q196" s="6522"/>
      <c r="R196" s="398"/>
      <c r="S196" s="392"/>
      <c r="T196" s="2501"/>
      <c r="U196" s="800"/>
      <c r="V196" s="6520"/>
      <c r="W196" s="6543"/>
      <c r="X196" s="6543"/>
      <c r="Y196" s="6543"/>
      <c r="Z196" s="6543"/>
      <c r="AA196" s="6543"/>
      <c r="AB196" s="6543"/>
      <c r="AC196" s="6543"/>
      <c r="AD196" s="6543"/>
      <c r="AE196" s="6543"/>
      <c r="AF196" s="6543"/>
      <c r="AG196" s="6543"/>
      <c r="AH196" s="6543"/>
      <c r="AI196" s="6543"/>
      <c r="AJ196" s="6522"/>
      <c r="AK196" s="398"/>
      <c r="AL196" s="392"/>
    </row>
    <row r="197" spans="1:38" ht="12" customHeight="1" x14ac:dyDescent="0.2">
      <c r="A197" s="2501"/>
      <c r="B197" s="800"/>
      <c r="C197" s="6520"/>
      <c r="D197" s="6543"/>
      <c r="E197" s="6543"/>
      <c r="F197" s="6543"/>
      <c r="G197" s="6543"/>
      <c r="H197" s="6543"/>
      <c r="I197" s="6543"/>
      <c r="J197" s="6543"/>
      <c r="K197" s="6543"/>
      <c r="L197" s="6543"/>
      <c r="M197" s="6543"/>
      <c r="N197" s="6543"/>
      <c r="O197" s="6543"/>
      <c r="P197" s="6543"/>
      <c r="Q197" s="6522"/>
      <c r="R197" s="398"/>
      <c r="S197" s="392"/>
      <c r="T197" s="2501"/>
      <c r="U197" s="800"/>
      <c r="V197" s="6520"/>
      <c r="W197" s="6543"/>
      <c r="X197" s="6543"/>
      <c r="Y197" s="6543"/>
      <c r="Z197" s="6543"/>
      <c r="AA197" s="6543"/>
      <c r="AB197" s="6543"/>
      <c r="AC197" s="6543"/>
      <c r="AD197" s="6543"/>
      <c r="AE197" s="6543"/>
      <c r="AF197" s="6543"/>
      <c r="AG197" s="6543"/>
      <c r="AH197" s="6543"/>
      <c r="AI197" s="6543"/>
      <c r="AJ197" s="6522"/>
      <c r="AK197" s="398"/>
      <c r="AL197" s="392"/>
    </row>
    <row r="198" spans="1:38" ht="12" customHeight="1" thickBot="1" x14ac:dyDescent="0.25">
      <c r="A198" s="2501"/>
      <c r="B198" s="800"/>
      <c r="C198" s="6523"/>
      <c r="D198" s="6524"/>
      <c r="E198" s="6524"/>
      <c r="F198" s="6524"/>
      <c r="G198" s="6524"/>
      <c r="H198" s="6524"/>
      <c r="I198" s="6524"/>
      <c r="J198" s="6524"/>
      <c r="K198" s="6524"/>
      <c r="L198" s="6524"/>
      <c r="M198" s="6524"/>
      <c r="N198" s="6524"/>
      <c r="O198" s="6524"/>
      <c r="P198" s="6524"/>
      <c r="Q198" s="6525"/>
      <c r="R198" s="398"/>
      <c r="S198" s="392"/>
      <c r="T198" s="2501"/>
      <c r="U198" s="800"/>
      <c r="V198" s="6523"/>
      <c r="W198" s="6524"/>
      <c r="X198" s="6524"/>
      <c r="Y198" s="6524"/>
      <c r="Z198" s="6524"/>
      <c r="AA198" s="6524"/>
      <c r="AB198" s="6524"/>
      <c r="AC198" s="6524"/>
      <c r="AD198" s="6524"/>
      <c r="AE198" s="6524"/>
      <c r="AF198" s="6524"/>
      <c r="AG198" s="6524"/>
      <c r="AH198" s="6524"/>
      <c r="AI198" s="6524"/>
      <c r="AJ198" s="6525"/>
      <c r="AK198" s="398"/>
      <c r="AL198" s="392"/>
    </row>
    <row r="199" spans="1:38" ht="12" customHeight="1" x14ac:dyDescent="0.2">
      <c r="A199" s="2501"/>
      <c r="B199" s="800"/>
      <c r="C199" s="2511"/>
      <c r="D199" s="2511"/>
      <c r="E199" s="2511"/>
      <c r="F199" s="2511"/>
      <c r="G199" s="2511"/>
      <c r="H199" s="2511"/>
      <c r="I199" s="2511"/>
      <c r="J199" s="2511"/>
      <c r="K199" s="2511"/>
      <c r="L199" s="2511"/>
      <c r="M199" s="2511"/>
      <c r="N199" s="2511"/>
      <c r="O199" s="2511"/>
      <c r="P199" s="2511"/>
      <c r="Q199" s="2511"/>
      <c r="R199" s="398"/>
      <c r="S199" s="2505"/>
      <c r="T199" s="2501"/>
      <c r="U199" s="800"/>
      <c r="V199" s="2511"/>
      <c r="W199" s="2511"/>
      <c r="X199" s="2511"/>
      <c r="Y199" s="2511"/>
      <c r="Z199" s="2511"/>
      <c r="AA199" s="2511"/>
      <c r="AB199" s="2511"/>
      <c r="AC199" s="2511"/>
      <c r="AD199" s="2511"/>
      <c r="AE199" s="2511"/>
      <c r="AF199" s="2511"/>
      <c r="AG199" s="2511"/>
      <c r="AH199" s="2511"/>
      <c r="AI199" s="2511"/>
      <c r="AJ199" s="2511"/>
      <c r="AK199" s="398"/>
      <c r="AL199" s="2505"/>
    </row>
    <row r="200" spans="1:38" ht="12" customHeight="1" thickBot="1" x14ac:dyDescent="0.25">
      <c r="A200" s="2501"/>
      <c r="B200" s="801"/>
      <c r="C200" s="420"/>
      <c r="D200" s="420"/>
      <c r="E200" s="420"/>
      <c r="F200" s="420"/>
      <c r="G200" s="420"/>
      <c r="H200" s="420"/>
      <c r="I200" s="420"/>
      <c r="J200" s="420"/>
      <c r="K200" s="420"/>
      <c r="L200" s="420"/>
      <c r="M200" s="420"/>
      <c r="N200" s="420"/>
      <c r="O200" s="420"/>
      <c r="P200" s="420"/>
      <c r="Q200" s="420"/>
      <c r="R200" s="421"/>
      <c r="S200" s="392"/>
      <c r="T200" s="2501"/>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3"/>
      <c r="B201" s="2502"/>
      <c r="C201" s="2503"/>
      <c r="D201" s="2503"/>
      <c r="E201" s="2503"/>
      <c r="F201" s="2503"/>
      <c r="G201" s="2503"/>
      <c r="H201" s="2503"/>
      <c r="I201" s="2503"/>
      <c r="J201" s="2503"/>
      <c r="K201" s="2503"/>
      <c r="L201" s="2503"/>
      <c r="M201" s="2503"/>
      <c r="N201" s="2503"/>
      <c r="O201" s="2503"/>
      <c r="P201" s="2503"/>
      <c r="Q201" s="2503"/>
      <c r="R201" s="2503"/>
      <c r="S201" s="1420"/>
      <c r="T201" s="2503"/>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5"/>
      <c r="B202" s="2505"/>
      <c r="C202" s="2505"/>
      <c r="D202" s="2505"/>
      <c r="E202" s="2505"/>
      <c r="F202" s="2505"/>
      <c r="G202" s="2505"/>
      <c r="H202" s="2505"/>
      <c r="I202" s="2505"/>
      <c r="J202" s="2505"/>
      <c r="K202" s="2505"/>
      <c r="L202" s="2505"/>
      <c r="M202" s="2505"/>
      <c r="N202" s="2505"/>
      <c r="O202" s="2505"/>
      <c r="P202" s="2505"/>
      <c r="Q202" s="2505"/>
      <c r="R202" s="2505"/>
      <c r="S202" s="2505"/>
      <c r="T202" s="2466"/>
      <c r="U202" s="798"/>
      <c r="V202" s="2466"/>
      <c r="W202" s="2466"/>
      <c r="X202" s="2466"/>
      <c r="Y202" s="2466"/>
      <c r="Z202" s="2466"/>
      <c r="AA202" s="2466"/>
      <c r="AB202" s="2466"/>
      <c r="AC202" s="2466"/>
      <c r="AD202" s="2466"/>
      <c r="AE202" s="2466"/>
      <c r="AF202" s="2466"/>
      <c r="AG202" s="2466"/>
      <c r="AH202" s="2466"/>
      <c r="AI202" s="2466"/>
      <c r="AJ202" s="2466"/>
      <c r="AK202" s="2466"/>
      <c r="AL202" s="2466"/>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496"/>
      <c r="D204" s="6497"/>
      <c r="E204" s="6497"/>
      <c r="F204" s="6497"/>
      <c r="G204" s="6497"/>
      <c r="H204" s="6497"/>
      <c r="I204" s="2467"/>
      <c r="J204" s="2467"/>
      <c r="K204" s="2467"/>
      <c r="L204" s="2467"/>
      <c r="M204" s="2467"/>
      <c r="N204" s="2467"/>
      <c r="O204" s="2467"/>
      <c r="P204" s="2467"/>
      <c r="Q204" s="397"/>
      <c r="R204" s="398"/>
      <c r="S204" s="1420"/>
      <c r="T204" s="1420"/>
      <c r="U204" s="1082"/>
      <c r="V204" s="6496"/>
      <c r="W204" s="6497"/>
      <c r="X204" s="6497"/>
      <c r="Y204" s="6497"/>
      <c r="Z204" s="6497"/>
      <c r="AA204" s="6497"/>
      <c r="AB204" s="2467"/>
      <c r="AC204" s="2467"/>
      <c r="AD204" s="2467"/>
      <c r="AE204" s="2467"/>
      <c r="AF204" s="2467"/>
      <c r="AG204" s="2467"/>
      <c r="AH204" s="2467"/>
      <c r="AI204" s="2467"/>
      <c r="AJ204" s="397"/>
      <c r="AK204" s="398"/>
      <c r="AL204" s="1420"/>
    </row>
    <row r="205" spans="1:38" ht="12" customHeight="1" x14ac:dyDescent="0.2">
      <c r="A205" s="1718"/>
      <c r="B205" s="1717"/>
      <c r="C205" s="6498"/>
      <c r="D205" s="6499"/>
      <c r="E205" s="6499"/>
      <c r="F205" s="6499"/>
      <c r="G205" s="6499"/>
      <c r="H205" s="6499"/>
      <c r="I205" s="2480"/>
      <c r="J205" s="6536" t="s">
        <v>10042</v>
      </c>
      <c r="K205" s="6537"/>
      <c r="L205" s="6537"/>
      <c r="M205" s="6537"/>
      <c r="N205" s="6537"/>
      <c r="O205" s="6537"/>
      <c r="P205" s="6537"/>
      <c r="Q205" s="352"/>
      <c r="R205" s="804"/>
      <c r="S205" s="1718"/>
      <c r="T205" s="1718"/>
      <c r="U205" s="1717"/>
      <c r="V205" s="6498"/>
      <c r="W205" s="6499"/>
      <c r="X205" s="6499"/>
      <c r="Y205" s="6499"/>
      <c r="Z205" s="6499"/>
      <c r="AA205" s="6499"/>
      <c r="AB205" s="2468"/>
      <c r="AC205" s="6547" t="s">
        <v>10042</v>
      </c>
      <c r="AD205" s="6548"/>
      <c r="AE205" s="6548"/>
      <c r="AF205" s="6548"/>
      <c r="AG205" s="6548"/>
      <c r="AH205" s="6548"/>
      <c r="AI205" s="6548"/>
      <c r="AJ205" s="352"/>
      <c r="AK205" s="804"/>
      <c r="AL205" s="1718"/>
    </row>
    <row r="206" spans="1:38" ht="12" customHeight="1" x14ac:dyDescent="0.2">
      <c r="A206" s="1420"/>
      <c r="B206" s="1082"/>
      <c r="C206" s="6498"/>
      <c r="D206" s="6499"/>
      <c r="E206" s="6499"/>
      <c r="F206" s="6499"/>
      <c r="G206" s="6499"/>
      <c r="H206" s="6499"/>
      <c r="I206" s="2480"/>
      <c r="J206" s="6537"/>
      <c r="K206" s="6537"/>
      <c r="L206" s="6537"/>
      <c r="M206" s="6537"/>
      <c r="N206" s="6537"/>
      <c r="O206" s="6537"/>
      <c r="P206" s="6537"/>
      <c r="Q206" s="399"/>
      <c r="R206" s="398"/>
      <c r="S206" s="1420"/>
      <c r="T206" s="1420"/>
      <c r="U206" s="1082"/>
      <c r="V206" s="6498"/>
      <c r="W206" s="6499"/>
      <c r="X206" s="6499"/>
      <c r="Y206" s="6499"/>
      <c r="Z206" s="6499"/>
      <c r="AA206" s="6499"/>
      <c r="AB206" s="2468"/>
      <c r="AC206" s="6548"/>
      <c r="AD206" s="6548"/>
      <c r="AE206" s="6548"/>
      <c r="AF206" s="6548"/>
      <c r="AG206" s="6548"/>
      <c r="AH206" s="6548"/>
      <c r="AI206" s="6548"/>
      <c r="AJ206" s="399"/>
      <c r="AK206" s="398"/>
      <c r="AL206" s="1420"/>
    </row>
    <row r="207" spans="1:38" ht="12" customHeight="1" x14ac:dyDescent="0.2">
      <c r="A207" s="1420"/>
      <c r="B207" s="1082"/>
      <c r="C207" s="6498"/>
      <c r="D207" s="6499"/>
      <c r="E207" s="6499"/>
      <c r="F207" s="6499"/>
      <c r="G207" s="6499"/>
      <c r="H207" s="6499"/>
      <c r="I207" s="2481" t="s">
        <v>7039</v>
      </c>
      <c r="J207" s="6538" t="str">
        <f>IF($J$6="","",$J$6)</f>
        <v/>
      </c>
      <c r="K207" s="6538"/>
      <c r="L207" s="6538"/>
      <c r="M207" s="2482"/>
      <c r="N207" s="2482"/>
      <c r="O207" s="2483" t="str">
        <f>$O$6</f>
        <v>Nivel de vía aprendido</v>
      </c>
      <c r="P207" s="2484">
        <f>$P$6</f>
        <v>0</v>
      </c>
      <c r="Q207" s="399"/>
      <c r="R207" s="398"/>
      <c r="S207" s="1420"/>
      <c r="T207" s="1420"/>
      <c r="U207" s="1082"/>
      <c r="V207" s="6498"/>
      <c r="W207" s="6499"/>
      <c r="X207" s="6499"/>
      <c r="Y207" s="6499"/>
      <c r="Z207" s="6499"/>
      <c r="AA207" s="6499"/>
      <c r="AB207" s="2259" t="s">
        <v>7039</v>
      </c>
      <c r="AC207" s="6546" t="str">
        <f>IF($J$6="","",$J$6)</f>
        <v/>
      </c>
      <c r="AD207" s="6546"/>
      <c r="AE207" s="6546"/>
      <c r="AF207" s="2255"/>
      <c r="AG207" s="2255"/>
      <c r="AH207" s="2256" t="str">
        <f>$O$6</f>
        <v>Nivel de vía aprendido</v>
      </c>
      <c r="AI207" s="2257">
        <f>$P$6</f>
        <v>0</v>
      </c>
      <c r="AJ207" s="399"/>
      <c r="AK207" s="398"/>
      <c r="AL207" s="1420"/>
    </row>
    <row r="208" spans="1:38" ht="12" customHeight="1" x14ac:dyDescent="0.2">
      <c r="A208" s="1420"/>
      <c r="B208" s="1082"/>
      <c r="C208" s="6498"/>
      <c r="D208" s="6499"/>
      <c r="E208" s="6499"/>
      <c r="F208" s="6499"/>
      <c r="G208" s="6499"/>
      <c r="H208" s="6499"/>
      <c r="I208" s="2485" t="s">
        <v>7040</v>
      </c>
      <c r="J208" s="6538" t="str">
        <f>IF($J$8="","",$J$8)</f>
        <v/>
      </c>
      <c r="K208" s="6538"/>
      <c r="L208" s="6538"/>
      <c r="M208" s="2482"/>
      <c r="N208" s="2482"/>
      <c r="O208" s="2482"/>
      <c r="P208" s="2482"/>
      <c r="Q208" s="399"/>
      <c r="R208" s="398"/>
      <c r="S208" s="1420"/>
      <c r="T208" s="1420"/>
      <c r="U208" s="1082"/>
      <c r="V208" s="6498"/>
      <c r="W208" s="6499"/>
      <c r="X208" s="6499"/>
      <c r="Y208" s="6499"/>
      <c r="Z208" s="6499"/>
      <c r="AA208" s="6499"/>
      <c r="AB208" s="2260" t="s">
        <v>7040</v>
      </c>
      <c r="AC208" s="6546" t="str">
        <f>IF($J$8="","",$J$8)</f>
        <v/>
      </c>
      <c r="AD208" s="6546"/>
      <c r="AE208" s="6546"/>
      <c r="AF208" s="2255"/>
      <c r="AG208" s="2255"/>
      <c r="AH208" s="2255"/>
      <c r="AI208" s="2255"/>
      <c r="AJ208" s="399"/>
      <c r="AK208" s="398"/>
      <c r="AL208" s="1420"/>
    </row>
    <row r="209" spans="1:38" ht="12" customHeight="1" thickBot="1" x14ac:dyDescent="0.25">
      <c r="A209" s="1420"/>
      <c r="B209" s="1082"/>
      <c r="C209" s="6500"/>
      <c r="D209" s="6501"/>
      <c r="E209" s="6501"/>
      <c r="F209" s="6501"/>
      <c r="G209" s="6501"/>
      <c r="H209" s="6501"/>
      <c r="I209" s="2469"/>
      <c r="J209" s="2469"/>
      <c r="K209" s="2469"/>
      <c r="L209" s="2469"/>
      <c r="M209" s="2469"/>
      <c r="N209" s="2469"/>
      <c r="O209" s="2469"/>
      <c r="P209" s="2469"/>
      <c r="Q209" s="401"/>
      <c r="R209" s="398"/>
      <c r="S209" s="1420"/>
      <c r="T209" s="1420"/>
      <c r="U209" s="1082"/>
      <c r="V209" s="6500"/>
      <c r="W209" s="6501"/>
      <c r="X209" s="6501"/>
      <c r="Y209" s="6501"/>
      <c r="Z209" s="6501"/>
      <c r="AA209" s="6501"/>
      <c r="AB209" s="2469"/>
      <c r="AC209" s="2469"/>
      <c r="AD209" s="2469"/>
      <c r="AE209" s="2469"/>
      <c r="AF209" s="2469"/>
      <c r="AG209" s="2469"/>
      <c r="AH209" s="2469"/>
      <c r="AI209" s="2469"/>
      <c r="AJ209" s="401"/>
      <c r="AK209" s="398"/>
      <c r="AL209" s="1420"/>
    </row>
    <row r="210" spans="1:38" ht="12" customHeight="1" x14ac:dyDescent="0.2">
      <c r="A210" s="1420"/>
      <c r="B210" s="1082"/>
      <c r="C210" s="2486"/>
      <c r="D210" s="2486"/>
      <c r="E210" s="2486"/>
      <c r="F210" s="2486"/>
      <c r="G210" s="2486"/>
      <c r="H210" s="2486"/>
      <c r="I210" s="2486"/>
      <c r="J210" s="2486"/>
      <c r="K210" s="2486"/>
      <c r="L210" s="2486"/>
      <c r="M210" s="2486"/>
      <c r="N210" s="2486"/>
      <c r="O210" s="2486"/>
      <c r="P210" s="2486"/>
      <c r="Q210" s="2486"/>
      <c r="R210" s="398"/>
      <c r="S210" s="1420"/>
      <c r="T210" s="1420"/>
      <c r="U210" s="1082"/>
      <c r="AK210" s="398"/>
      <c r="AL210" s="1420"/>
    </row>
    <row r="211" spans="1:38" ht="12" customHeight="1" thickBot="1" x14ac:dyDescent="0.25">
      <c r="A211" s="1420"/>
      <c r="B211" s="808"/>
      <c r="C211" s="6555" t="str">
        <f>"Conjuros de nivel "&amp;B212&amp;"-"&amp;B256</f>
        <v>Conjuros de nivel 62-70</v>
      </c>
      <c r="D211" s="6555"/>
      <c r="E211" s="6555"/>
      <c r="F211" s="6555"/>
      <c r="G211" s="6555"/>
      <c r="H211" s="6555"/>
      <c r="I211" s="6555"/>
      <c r="J211" s="6555"/>
      <c r="K211" s="6555"/>
      <c r="L211" s="6555"/>
      <c r="M211" s="6555"/>
      <c r="N211" s="6555"/>
      <c r="O211" s="6555"/>
      <c r="P211" s="6555"/>
      <c r="Q211" s="6555"/>
      <c r="R211" s="806"/>
      <c r="S211" s="1420"/>
      <c r="T211" s="392"/>
      <c r="U211" s="808"/>
      <c r="V211" s="6555" t="str">
        <f>"Conjuros de nivel "&amp;U212&amp;"-"&amp;U256</f>
        <v>Conjuros de nivel 72-80</v>
      </c>
      <c r="W211" s="6555"/>
      <c r="X211" s="6555"/>
      <c r="Y211" s="6555"/>
      <c r="Z211" s="6555"/>
      <c r="AA211" s="6555"/>
      <c r="AB211" s="6555"/>
      <c r="AC211" s="6555"/>
      <c r="AD211" s="6555"/>
      <c r="AE211" s="6555"/>
      <c r="AF211" s="6555"/>
      <c r="AG211" s="6555"/>
      <c r="AH211" s="6555"/>
      <c r="AI211" s="6555"/>
      <c r="AJ211" s="6555"/>
      <c r="AK211" s="807"/>
      <c r="AL211" s="392"/>
    </row>
    <row r="212" spans="1:38" ht="12" customHeight="1" x14ac:dyDescent="0.2">
      <c r="A212" s="392"/>
      <c r="B212" s="800">
        <f>B145+20</f>
        <v>62</v>
      </c>
      <c r="C212" s="6559" t="str">
        <f>IFERROR(VLOOKUP($J$6&amp;B212,'Tablas Magia'!$B$6:$D$680,3,FALSE),IFERROR(VLOOKUP($J$8&amp;B212,'Tablas Magia'!$B$6:$D$680,3,FALSE),IFERROR(VLOOKUP($J$6&amp;B212,Místicos!$AD$12:$AJ$50,4,FALSE),"Libre Acceso 1-"&amp;ROUNDUP(B212/10,0)*10)))</f>
        <v>Libre Acceso 1-70</v>
      </c>
      <c r="D212" s="6560"/>
      <c r="E212" s="6560"/>
      <c r="F212" s="6560"/>
      <c r="G212" s="6561"/>
      <c r="H212" s="402" t="s">
        <v>1325</v>
      </c>
      <c r="I212" s="403">
        <f>B212</f>
        <v>62</v>
      </c>
      <c r="J212" s="6544" t="s">
        <v>6231</v>
      </c>
      <c r="K212" s="6544"/>
      <c r="L212" s="6544"/>
      <c r="M212" s="6529" t="e">
        <f>IF(C212=0,"",VLOOKUP(C212,'Tablas Magia'!$D$6:$Z$680,2,FALSE))</f>
        <v>#N/A</v>
      </c>
      <c r="N212" s="6529"/>
      <c r="O212" s="1705"/>
      <c r="P212" s="6550" t="str">
        <f>IFERROR(IF(M212="Libre Acceso","Aprendido",IF(IFERROR(VLOOKUP(M212,Místicos!$C$15:$H$25,6,0)&gt;=I212,FALSE),"Aprendido",IF(IFERROR(VLOOKUP(M212,Místicos!$E$15:$H$25,4,0)&gt;=I212,FALSE),"Aprendido",""))),"")</f>
        <v/>
      </c>
      <c r="Q212" s="6551"/>
      <c r="R212" s="398"/>
      <c r="S212" s="392"/>
      <c r="T212" s="392"/>
      <c r="U212" s="800">
        <f>B256+2</f>
        <v>72</v>
      </c>
      <c r="V212" s="6559" t="str">
        <f>IFERROR(VLOOKUP($J$6&amp;U212,'Tablas Magia'!$B$6:$D$680,3,FALSE),IFERROR(VLOOKUP($J$8&amp;U212,'Tablas Magia'!$B$6:$D$680,3,FALSE),IFERROR(VLOOKUP($J$6&amp;U212,Místicos!$AD$12:$AJ$50,4,FALSE),"Libre Acceso 1-"&amp;ROUNDUP(U212/10,0)*10)))</f>
        <v>Libre Acceso 1-80</v>
      </c>
      <c r="W212" s="6560"/>
      <c r="X212" s="6560"/>
      <c r="Y212" s="6560"/>
      <c r="Z212" s="6561"/>
      <c r="AA212" s="402" t="s">
        <v>1325</v>
      </c>
      <c r="AB212" s="403">
        <f>U212</f>
        <v>72</v>
      </c>
      <c r="AC212" s="6544" t="s">
        <v>6231</v>
      </c>
      <c r="AD212" s="6544"/>
      <c r="AE212" s="6544"/>
      <c r="AF212" s="6529" t="e">
        <f>IF(V212=0,"",VLOOKUP(V212,'Tablas Magia'!$D$6:$Z$680,2,FALSE))</f>
        <v>#N/A</v>
      </c>
      <c r="AG212" s="6529"/>
      <c r="AH212" s="1705"/>
      <c r="AI212" s="6550" t="str">
        <f>IFERROR(IF(AF212="Libre Acceso","Aprendido",IF(IFERROR(VLOOKUP(AF212,Místicos!$C$15:$H$25,6,0)&gt;=AB212,FALSE),"Aprendido",IF(IFERROR(VLOOKUP(AF212,Místicos!$E$15:$H$25,4,0)&gt;=AB212,FALSE),"Aprendido",""))),"")</f>
        <v/>
      </c>
      <c r="AJ212" s="6551"/>
      <c r="AK212" s="398"/>
      <c r="AL212" s="392"/>
    </row>
    <row r="213" spans="1:38" ht="12" customHeight="1" x14ac:dyDescent="0.2">
      <c r="A213" s="392"/>
      <c r="B213" s="800"/>
      <c r="C213" s="6531" t="s">
        <v>6232</v>
      </c>
      <c r="D213" s="6545"/>
      <c r="E213" s="2487" t="s">
        <v>6233</v>
      </c>
      <c r="F213" s="2487" t="s">
        <v>1508</v>
      </c>
      <c r="G213" s="2487" t="s">
        <v>2827</v>
      </c>
      <c r="H213" s="2488" t="s">
        <v>1835</v>
      </c>
      <c r="I213" s="6553" t="e">
        <f>IF(C212=0,"",VLOOKUP(C212,'Tablas Magia'!$D$6:$Z$680,5,FALSE))</f>
        <v>#N/A</v>
      </c>
      <c r="J213" s="6553"/>
      <c r="K213" s="6556" t="s">
        <v>6234</v>
      </c>
      <c r="L213" s="6556"/>
      <c r="M213" s="6553" t="e">
        <f>IF(C212=0,"",VLOOKUP(C212,'Tablas Magia'!$D$6:$Z$680,6,FALSE))</f>
        <v>#N/A</v>
      </c>
      <c r="N213" s="6553"/>
      <c r="O213" s="6554" t="s">
        <v>6235</v>
      </c>
      <c r="P213" s="6554"/>
      <c r="Q213" s="2489" t="e">
        <f>IF(C212=0,"",VLOOKUP(C212,'Tablas Magia'!$D$6:$Z$680,4,FALSE))</f>
        <v>#N/A</v>
      </c>
      <c r="R213" s="398"/>
      <c r="S213" s="392"/>
      <c r="T213" s="392"/>
      <c r="U213" s="800"/>
      <c r="V213" s="6531" t="s">
        <v>6232</v>
      </c>
      <c r="W213" s="6562"/>
      <c r="X213" s="1714" t="s">
        <v>6233</v>
      </c>
      <c r="Y213" s="1714" t="s">
        <v>1508</v>
      </c>
      <c r="Z213" s="1714" t="s">
        <v>2827</v>
      </c>
      <c r="AA213" s="1715" t="s">
        <v>1835</v>
      </c>
      <c r="AB213" s="6549" t="e">
        <f>IF(V212=0,"",VLOOKUP(V212,'Tablas Magia'!$D$6:$Z$680,5,FALSE))</f>
        <v>#N/A</v>
      </c>
      <c r="AC213" s="6549"/>
      <c r="AD213" s="6563" t="s">
        <v>6234</v>
      </c>
      <c r="AE213" s="6563"/>
      <c r="AF213" s="6549" t="e">
        <f>IF(V212=0,"",VLOOKUP(V212,'Tablas Magia'!$D$6:$Z$680,6,FALSE))</f>
        <v>#N/A</v>
      </c>
      <c r="AG213" s="6549"/>
      <c r="AH213" s="6564" t="s">
        <v>6235</v>
      </c>
      <c r="AI213" s="6564"/>
      <c r="AJ213" s="1716" t="e">
        <f>IF(V212=0,"",VLOOKUP(V212,'Tablas Magia'!$D$6:$Z$680,4,FALSE))</f>
        <v>#N/A</v>
      </c>
      <c r="AK213" s="398"/>
      <c r="AL213" s="392"/>
    </row>
    <row r="214" spans="1:38" ht="12" customHeight="1" x14ac:dyDescent="0.2">
      <c r="A214" s="392"/>
      <c r="B214" s="800"/>
      <c r="C214" s="6507" t="s">
        <v>1365</v>
      </c>
      <c r="D214" s="6508"/>
      <c r="E214" s="2490" t="e">
        <f>IF(C212=0,"",VLOOKUP(C212,'Tablas Magia'!$D$6:$Z$680,7,FALSE))</f>
        <v>#N/A</v>
      </c>
      <c r="F214" s="2490" t="e">
        <f>IF(C212=0,"",VLOOKUP(C212,'Tablas Magia'!$D$6:$Z$680,11,FALSE))</f>
        <v>#N/A</v>
      </c>
      <c r="G214" s="408" t="e">
        <f>IF(C212=0,"",VLOOKUP(C212,'Tablas Magia'!$D$6:$Z$680,15,FALSE))</f>
        <v>#N/A</v>
      </c>
      <c r="H214" s="6509" t="e">
        <f>IF(C212=0,"",VLOOKUP(C212,'Tablas Magia'!$D$6:$Z$680,19,FALSE))</f>
        <v>#N/A</v>
      </c>
      <c r="I214" s="6552"/>
      <c r="J214" s="6552"/>
      <c r="K214" s="6552"/>
      <c r="L214" s="6552"/>
      <c r="M214" s="6552"/>
      <c r="N214" s="6552"/>
      <c r="O214" s="6552"/>
      <c r="P214" s="6552"/>
      <c r="Q214" s="6511"/>
      <c r="R214" s="398"/>
      <c r="S214" s="392"/>
      <c r="T214" s="392"/>
      <c r="U214" s="800"/>
      <c r="V214" s="6557" t="s">
        <v>1365</v>
      </c>
      <c r="W214" s="6558"/>
      <c r="X214" s="407" t="e">
        <f>IF(V212=0,"",VLOOKUP(V212,'Tablas Magia'!$D$6:$Z$680,7,FALSE))</f>
        <v>#N/A</v>
      </c>
      <c r="Y214" s="407" t="e">
        <f>IF(V212=0,"",VLOOKUP(V212,'Tablas Magia'!$D$6:$Z$680,11,FALSE))</f>
        <v>#N/A</v>
      </c>
      <c r="Z214" s="408" t="e">
        <f>IF(V212=0,"",VLOOKUP(V212,'Tablas Magia'!$D$6:$Z$680,15,FALSE))</f>
        <v>#N/A</v>
      </c>
      <c r="AA214" s="6539" t="e">
        <f>IF(V212=0,"",VLOOKUP(V212,'Tablas Magia'!$D$6:$Z$680,19,FALSE))</f>
        <v>#N/A</v>
      </c>
      <c r="AB214" s="6540"/>
      <c r="AC214" s="6540"/>
      <c r="AD214" s="6540"/>
      <c r="AE214" s="6540"/>
      <c r="AF214" s="6540"/>
      <c r="AG214" s="6540"/>
      <c r="AH214" s="6540"/>
      <c r="AI214" s="6540"/>
      <c r="AJ214" s="6541"/>
      <c r="AK214" s="398"/>
      <c r="AL214" s="392"/>
    </row>
    <row r="215" spans="1:38" ht="12" customHeight="1" x14ac:dyDescent="0.2">
      <c r="A215" s="392"/>
      <c r="B215" s="800"/>
      <c r="C215" s="6502" t="s">
        <v>3196</v>
      </c>
      <c r="D215" s="6503"/>
      <c r="E215" s="2491" t="e">
        <f>IF(C212=0,"",VLOOKUP(C212,'Tablas Magia'!$D$6:$Z$680,8,FALSE))</f>
        <v>#N/A</v>
      </c>
      <c r="F215" s="2491" t="e">
        <f>IF(C212=0,"",VLOOKUP(C212,'Tablas Magia'!$D$6:$Z$680,12,FALSE))</f>
        <v>#N/A</v>
      </c>
      <c r="G215" s="410" t="e">
        <f>IF(C212=0,"",VLOOKUP(C212,'Tablas Magia'!$D$6:$Z$680,16,FALSE))</f>
        <v>#N/A</v>
      </c>
      <c r="H215" s="6504" t="e">
        <f>IF(C212=0,"",VLOOKUP(C212,'Tablas Magia'!$D$6:$Z$680,20,FALSE))</f>
        <v>#N/A</v>
      </c>
      <c r="I215" s="6542"/>
      <c r="J215" s="6542"/>
      <c r="K215" s="6542"/>
      <c r="L215" s="6542"/>
      <c r="M215" s="6542"/>
      <c r="N215" s="6542"/>
      <c r="O215" s="6542"/>
      <c r="P215" s="6542"/>
      <c r="Q215" s="6506"/>
      <c r="R215" s="398"/>
      <c r="S215" s="392"/>
      <c r="T215" s="392"/>
      <c r="U215" s="800"/>
      <c r="V215" s="6502" t="s">
        <v>3196</v>
      </c>
      <c r="W215" s="6503"/>
      <c r="X215" s="409" t="e">
        <f>IF(V212=0,"",VLOOKUP(V212,'Tablas Magia'!$D$6:$Z$680,8,FALSE))</f>
        <v>#N/A</v>
      </c>
      <c r="Y215" s="409" t="e">
        <f>IF(V212=0,"",VLOOKUP(V212,'Tablas Magia'!$D$6:$Z$680,12,FALSE))</f>
        <v>#N/A</v>
      </c>
      <c r="Z215" s="410" t="e">
        <f>IF(V212=0,"",VLOOKUP(V212,'Tablas Magia'!$D$6:$Z$680,16,FALSE))</f>
        <v>#N/A</v>
      </c>
      <c r="AA215" s="6504" t="e">
        <f>IF(V212=0,"",VLOOKUP(V212,'Tablas Magia'!$D$6:$Z$680,20,FALSE))</f>
        <v>#N/A</v>
      </c>
      <c r="AB215" s="6505"/>
      <c r="AC215" s="6505"/>
      <c r="AD215" s="6505"/>
      <c r="AE215" s="6505"/>
      <c r="AF215" s="6505"/>
      <c r="AG215" s="6505"/>
      <c r="AH215" s="6505"/>
      <c r="AI215" s="6505"/>
      <c r="AJ215" s="6506"/>
      <c r="AK215" s="398"/>
      <c r="AL215" s="392"/>
    </row>
    <row r="216" spans="1:38" ht="12" customHeight="1" x14ac:dyDescent="0.2">
      <c r="A216" s="392"/>
      <c r="B216" s="800"/>
      <c r="C216" s="6507" t="s">
        <v>3197</v>
      </c>
      <c r="D216" s="6508"/>
      <c r="E216" s="2490" t="e">
        <f>IF(C212=0,"",VLOOKUP(C212,'Tablas Magia'!$D$6:$Z$680,9,FALSE))</f>
        <v>#N/A</v>
      </c>
      <c r="F216" s="2490" t="e">
        <f>IF(C212=0,"",VLOOKUP(C212,'Tablas Magia'!$D$6:$Z$680,13,FALSE))</f>
        <v>#N/A</v>
      </c>
      <c r="G216" s="408" t="e">
        <f>IF(C212=0,"",VLOOKUP(C212,'Tablas Magia'!$D$6:$Z$680,17,FALSE))</f>
        <v>#N/A</v>
      </c>
      <c r="H216" s="6509" t="e">
        <f>IF(C212=0,"",VLOOKUP(C212,'Tablas Magia'!$D$6:$Z$680,21,FALSE))</f>
        <v>#N/A</v>
      </c>
      <c r="I216" s="6552"/>
      <c r="J216" s="6552"/>
      <c r="K216" s="6552"/>
      <c r="L216" s="6552"/>
      <c r="M216" s="6552"/>
      <c r="N216" s="6552"/>
      <c r="O216" s="6552"/>
      <c r="P216" s="6552"/>
      <c r="Q216" s="6511"/>
      <c r="R216" s="398"/>
      <c r="S216" s="392"/>
      <c r="T216" s="392"/>
      <c r="U216" s="800"/>
      <c r="V216" s="6507" t="s">
        <v>3197</v>
      </c>
      <c r="W216" s="6508"/>
      <c r="X216" s="407" t="e">
        <f>IF(V212=0,"",VLOOKUP(V212,'Tablas Magia'!$D$6:$Z$680,9,FALSE))</f>
        <v>#N/A</v>
      </c>
      <c r="Y216" s="407" t="e">
        <f>IF(V212=0,"",VLOOKUP(V212,'Tablas Magia'!$D$6:$Z$680,13,FALSE))</f>
        <v>#N/A</v>
      </c>
      <c r="Z216" s="408" t="e">
        <f>IF(V212=0,"",VLOOKUP(V212,'Tablas Magia'!$D$6:$Z$680,17,FALSE))</f>
        <v>#N/A</v>
      </c>
      <c r="AA216" s="6509" t="e">
        <f>IF(V212=0,"",VLOOKUP(V212,'Tablas Magia'!$D$6:$Z$680,21,FALSE))</f>
        <v>#N/A</v>
      </c>
      <c r="AB216" s="6510"/>
      <c r="AC216" s="6510"/>
      <c r="AD216" s="6510"/>
      <c r="AE216" s="6510"/>
      <c r="AF216" s="6510"/>
      <c r="AG216" s="6510"/>
      <c r="AH216" s="6510"/>
      <c r="AI216" s="6510"/>
      <c r="AJ216" s="6511"/>
      <c r="AK216" s="398"/>
      <c r="AL216" s="392"/>
    </row>
    <row r="217" spans="1:38" ht="12" customHeight="1" thickBot="1" x14ac:dyDescent="0.25">
      <c r="A217" s="392"/>
      <c r="B217" s="800"/>
      <c r="C217" s="6512" t="s">
        <v>3198</v>
      </c>
      <c r="D217" s="6513"/>
      <c r="E217" s="411" t="e">
        <f>IF(C212=0,"",VLOOKUP(C212,'Tablas Magia'!$D$6:$Z$680,10,FALSE))</f>
        <v>#N/A</v>
      </c>
      <c r="F217" s="411" t="e">
        <f>IF(C212=0,"",VLOOKUP(C212,'Tablas Magia'!$D$6:$Z$680,14,FALSE))</f>
        <v>#N/A</v>
      </c>
      <c r="G217" s="412" t="e">
        <f>IF(C212=0,"",VLOOKUP(C212,'Tablas Magia'!$D$6:$Z$680,18,FALSE))</f>
        <v>#N/A</v>
      </c>
      <c r="H217" s="6514" t="e">
        <f>IF(C212=0,"",VLOOKUP(C212,'Tablas Magia'!$D$6:$Z$680,22,FALSE))</f>
        <v>#N/A</v>
      </c>
      <c r="I217" s="6515"/>
      <c r="J217" s="6515"/>
      <c r="K217" s="6515"/>
      <c r="L217" s="6515"/>
      <c r="M217" s="6515"/>
      <c r="N217" s="6515"/>
      <c r="O217" s="6515"/>
      <c r="P217" s="6515"/>
      <c r="Q217" s="6516"/>
      <c r="R217" s="398"/>
      <c r="S217" s="392"/>
      <c r="T217" s="392"/>
      <c r="U217" s="800"/>
      <c r="V217" s="6512" t="s">
        <v>3198</v>
      </c>
      <c r="W217" s="6513"/>
      <c r="X217" s="411" t="e">
        <f>IF(V212=0,"",VLOOKUP(V212,'Tablas Magia'!$D$6:$Z$680,10,FALSE))</f>
        <v>#N/A</v>
      </c>
      <c r="Y217" s="411" t="e">
        <f>IF(V212=0,"",VLOOKUP(V212,'Tablas Magia'!$D$6:$Z$680,14,FALSE))</f>
        <v>#N/A</v>
      </c>
      <c r="Z217" s="412" t="e">
        <f>IF(V212=0,"",VLOOKUP(V212,'Tablas Magia'!$D$6:$Z$680,18,FALSE))</f>
        <v>#N/A</v>
      </c>
      <c r="AA217" s="6514" t="e">
        <f>IF(V212=0,"",VLOOKUP(V212,'Tablas Magia'!$D$6:$Z$680,22,FALSE))</f>
        <v>#N/A</v>
      </c>
      <c r="AB217" s="6515"/>
      <c r="AC217" s="6515"/>
      <c r="AD217" s="6515"/>
      <c r="AE217" s="6515"/>
      <c r="AF217" s="6515"/>
      <c r="AG217" s="6515"/>
      <c r="AH217" s="6515"/>
      <c r="AI217" s="6515"/>
      <c r="AJ217" s="6516"/>
      <c r="AK217" s="398"/>
      <c r="AL217" s="392"/>
    </row>
    <row r="218" spans="1:38" ht="12" customHeight="1" x14ac:dyDescent="0.2">
      <c r="A218" s="392"/>
      <c r="B218" s="800"/>
      <c r="C218" s="6517" t="e">
        <f>IF(C212=0,"",VLOOKUP(C212,'Tablas Magia'!$D$6:$Z$680,23,FALSE))</f>
        <v>#N/A</v>
      </c>
      <c r="D218" s="6518"/>
      <c r="E218" s="6518"/>
      <c r="F218" s="6518"/>
      <c r="G218" s="6518"/>
      <c r="H218" s="6518"/>
      <c r="I218" s="6518"/>
      <c r="J218" s="6518"/>
      <c r="K218" s="6518"/>
      <c r="L218" s="6518"/>
      <c r="M218" s="6518"/>
      <c r="N218" s="6518"/>
      <c r="O218" s="6518"/>
      <c r="P218" s="6518"/>
      <c r="Q218" s="6519"/>
      <c r="R218" s="398"/>
      <c r="S218" s="392"/>
      <c r="T218" s="392"/>
      <c r="U218" s="800"/>
      <c r="V218" s="6517" t="e">
        <f>IF(V212=0,"",VLOOKUP(V212,'Tablas Magia'!$D$6:$Z$680,23,FALSE))</f>
        <v>#N/A</v>
      </c>
      <c r="W218" s="6518"/>
      <c r="X218" s="6518"/>
      <c r="Y218" s="6518"/>
      <c r="Z218" s="6518"/>
      <c r="AA218" s="6518"/>
      <c r="AB218" s="6518"/>
      <c r="AC218" s="6518"/>
      <c r="AD218" s="6518"/>
      <c r="AE218" s="6518"/>
      <c r="AF218" s="6518"/>
      <c r="AG218" s="6518"/>
      <c r="AH218" s="6518"/>
      <c r="AI218" s="6518"/>
      <c r="AJ218" s="6519"/>
      <c r="AK218" s="398"/>
      <c r="AL218" s="392"/>
    </row>
    <row r="219" spans="1:38" ht="12" customHeight="1" x14ac:dyDescent="0.2">
      <c r="A219" s="392"/>
      <c r="B219" s="800"/>
      <c r="C219" s="6520"/>
      <c r="D219" s="6543"/>
      <c r="E219" s="6543"/>
      <c r="F219" s="6543"/>
      <c r="G219" s="6543"/>
      <c r="H219" s="6543"/>
      <c r="I219" s="6543"/>
      <c r="J219" s="6543"/>
      <c r="K219" s="6543"/>
      <c r="L219" s="6543"/>
      <c r="M219" s="6543"/>
      <c r="N219" s="6543"/>
      <c r="O219" s="6543"/>
      <c r="P219" s="6543"/>
      <c r="Q219" s="6522"/>
      <c r="R219" s="398"/>
      <c r="S219" s="392"/>
      <c r="T219" s="392"/>
      <c r="U219" s="800"/>
      <c r="V219" s="6520"/>
      <c r="W219" s="6521"/>
      <c r="X219" s="6521"/>
      <c r="Y219" s="6521"/>
      <c r="Z219" s="6521"/>
      <c r="AA219" s="6521"/>
      <c r="AB219" s="6521"/>
      <c r="AC219" s="6521"/>
      <c r="AD219" s="6521"/>
      <c r="AE219" s="6521"/>
      <c r="AF219" s="6521"/>
      <c r="AG219" s="6521"/>
      <c r="AH219" s="6521"/>
      <c r="AI219" s="6521"/>
      <c r="AJ219" s="6522"/>
      <c r="AK219" s="398"/>
      <c r="AL219" s="392"/>
    </row>
    <row r="220" spans="1:38" ht="12" customHeight="1" x14ac:dyDescent="0.2">
      <c r="A220" s="392"/>
      <c r="B220" s="800"/>
      <c r="C220" s="6520"/>
      <c r="D220" s="6543"/>
      <c r="E220" s="6543"/>
      <c r="F220" s="6543"/>
      <c r="G220" s="6543"/>
      <c r="H220" s="6543"/>
      <c r="I220" s="6543"/>
      <c r="J220" s="6543"/>
      <c r="K220" s="6543"/>
      <c r="L220" s="6543"/>
      <c r="M220" s="6543"/>
      <c r="N220" s="6543"/>
      <c r="O220" s="6543"/>
      <c r="P220" s="6543"/>
      <c r="Q220" s="6522"/>
      <c r="R220" s="398"/>
      <c r="S220" s="392"/>
      <c r="T220" s="392"/>
      <c r="U220" s="800"/>
      <c r="V220" s="6520"/>
      <c r="W220" s="6521"/>
      <c r="X220" s="6521"/>
      <c r="Y220" s="6521"/>
      <c r="Z220" s="6521"/>
      <c r="AA220" s="6521"/>
      <c r="AB220" s="6521"/>
      <c r="AC220" s="6521"/>
      <c r="AD220" s="6521"/>
      <c r="AE220" s="6521"/>
      <c r="AF220" s="6521"/>
      <c r="AG220" s="6521"/>
      <c r="AH220" s="6521"/>
      <c r="AI220" s="6521"/>
      <c r="AJ220" s="6522"/>
      <c r="AK220" s="398"/>
      <c r="AL220" s="392"/>
    </row>
    <row r="221" spans="1:38" ht="12" customHeight="1" thickBot="1" x14ac:dyDescent="0.25">
      <c r="A221" s="392"/>
      <c r="B221" s="800"/>
      <c r="C221" s="6523"/>
      <c r="D221" s="6524"/>
      <c r="E221" s="6524"/>
      <c r="F221" s="6524"/>
      <c r="G221" s="6524"/>
      <c r="H221" s="6524"/>
      <c r="I221" s="6524"/>
      <c r="J221" s="6524"/>
      <c r="K221" s="6524"/>
      <c r="L221" s="6524"/>
      <c r="M221" s="6524"/>
      <c r="N221" s="6524"/>
      <c r="O221" s="6524"/>
      <c r="P221" s="6524"/>
      <c r="Q221" s="6525"/>
      <c r="R221" s="398"/>
      <c r="S221" s="392"/>
      <c r="T221" s="392"/>
      <c r="U221" s="800"/>
      <c r="V221" s="6523"/>
      <c r="W221" s="6524"/>
      <c r="X221" s="6524"/>
      <c r="Y221" s="6524"/>
      <c r="Z221" s="6524"/>
      <c r="AA221" s="6524"/>
      <c r="AB221" s="6524"/>
      <c r="AC221" s="6524"/>
      <c r="AD221" s="6524"/>
      <c r="AE221" s="6524"/>
      <c r="AF221" s="6524"/>
      <c r="AG221" s="6524"/>
      <c r="AH221" s="6524"/>
      <c r="AI221" s="6524"/>
      <c r="AJ221" s="6525"/>
      <c r="AK221" s="398"/>
      <c r="AL221" s="392"/>
    </row>
    <row r="222" spans="1:38" ht="12" customHeight="1" thickBot="1" x14ac:dyDescent="0.25">
      <c r="A222" s="392"/>
      <c r="B222" s="800"/>
      <c r="C222" s="2492"/>
      <c r="D222" s="2492"/>
      <c r="E222" s="2492"/>
      <c r="F222" s="2492"/>
      <c r="G222" s="2492"/>
      <c r="H222" s="2493"/>
      <c r="I222" s="2494"/>
      <c r="J222" s="2495"/>
      <c r="K222" s="2495"/>
      <c r="L222" s="2495"/>
      <c r="M222" s="2496"/>
      <c r="N222" s="2496"/>
      <c r="O222" s="2496"/>
      <c r="P222" s="2496"/>
      <c r="Q222" s="2496"/>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59" t="str">
        <f>IFERROR(VLOOKUP($J$6&amp;B223,'Tablas Magia'!$B$6:$D$680,3,FALSE),IFERROR(VLOOKUP($J$8&amp;B223,'Tablas Magia'!$B$6:$D$680,3,FALSE),IFERROR(VLOOKUP($J$6&amp;B223,Místicos!$AD$12:$AJ$50,4,FALSE),"Libre Acceso 1-"&amp;ROUNDUP(B223/10,0)*10)))</f>
        <v>Libre Acceso 1-70</v>
      </c>
      <c r="D223" s="6560"/>
      <c r="E223" s="6560"/>
      <c r="F223" s="6560"/>
      <c r="G223" s="6561"/>
      <c r="H223" s="402" t="s">
        <v>1325</v>
      </c>
      <c r="I223" s="403">
        <f>B223</f>
        <v>64</v>
      </c>
      <c r="J223" s="6544" t="s">
        <v>6231</v>
      </c>
      <c r="K223" s="6544"/>
      <c r="L223" s="6544"/>
      <c r="M223" s="6529" t="e">
        <f>IF(C223=0,"",VLOOKUP(C223,'Tablas Magia'!$D$6:$Z$680,2,FALSE))</f>
        <v>#N/A</v>
      </c>
      <c r="N223" s="6529"/>
      <c r="O223" s="1705"/>
      <c r="P223" s="6550" t="str">
        <f>IFERROR(IF(M223="Libre Acceso","Aprendido",IF(IFERROR(VLOOKUP(M223,Místicos!$C$15:$H$25,6,0)&gt;=I223,FALSE),"Aprendido",IF(IFERROR(VLOOKUP(M223,Místicos!$E$15:$H$25,4,0)&gt;=I223,FALSE),"Aprendido",""))),"")</f>
        <v/>
      </c>
      <c r="Q223" s="6551"/>
      <c r="R223" s="398"/>
      <c r="S223" s="392"/>
      <c r="T223" s="392"/>
      <c r="U223" s="800">
        <f>U212+2</f>
        <v>74</v>
      </c>
      <c r="V223" s="6559" t="str">
        <f>IFERROR(VLOOKUP($J$6&amp;U223,'Tablas Magia'!$B$6:$D$680,3,FALSE),IFERROR(VLOOKUP($J$8&amp;U223,'Tablas Magia'!$B$6:$D$680,3,FALSE),IFERROR(VLOOKUP($J$6&amp;U223,Místicos!$AD$12:$AJ$50,4,FALSE),"Libre Acceso 1-"&amp;ROUNDUP(U223/10,0)*10)))</f>
        <v>Libre Acceso 1-80</v>
      </c>
      <c r="W223" s="6560"/>
      <c r="X223" s="6560"/>
      <c r="Y223" s="6560"/>
      <c r="Z223" s="6561"/>
      <c r="AA223" s="402" t="s">
        <v>1325</v>
      </c>
      <c r="AB223" s="403">
        <f>U223</f>
        <v>74</v>
      </c>
      <c r="AC223" s="6544" t="s">
        <v>6231</v>
      </c>
      <c r="AD223" s="6544"/>
      <c r="AE223" s="6544"/>
      <c r="AF223" s="6529" t="e">
        <f>IF(V223=0,"",VLOOKUP(V223,'Tablas Magia'!$D$6:$Z$680,2,FALSE))</f>
        <v>#N/A</v>
      </c>
      <c r="AG223" s="6529"/>
      <c r="AH223" s="1705"/>
      <c r="AI223" s="6550" t="str">
        <f>IFERROR(IF(AF223="Libre Acceso","Aprendido",IF(IFERROR(VLOOKUP(AF223,Místicos!$C$15:$H$25,6,0)&gt;=AB223,FALSE),"Aprendido",IF(IFERROR(VLOOKUP(AF223,Místicos!$E$15:$H$25,4,0)&gt;=AB223,FALSE),"Aprendido",""))),"")</f>
        <v/>
      </c>
      <c r="AJ223" s="6551"/>
      <c r="AK223" s="398"/>
      <c r="AL223" s="392"/>
    </row>
    <row r="224" spans="1:38" ht="12" customHeight="1" x14ac:dyDescent="0.2">
      <c r="A224" s="392"/>
      <c r="B224" s="800"/>
      <c r="C224" s="6531" t="s">
        <v>6232</v>
      </c>
      <c r="D224" s="6545"/>
      <c r="E224" s="2487" t="s">
        <v>6233</v>
      </c>
      <c r="F224" s="2487" t="s">
        <v>1508</v>
      </c>
      <c r="G224" s="2487" t="s">
        <v>2827</v>
      </c>
      <c r="H224" s="2488" t="s">
        <v>1835</v>
      </c>
      <c r="I224" s="6553" t="e">
        <f>IF(C223=0,"",VLOOKUP(C223,'Tablas Magia'!$D$6:$Z$680,5,FALSE))</f>
        <v>#N/A</v>
      </c>
      <c r="J224" s="6553"/>
      <c r="K224" s="6556" t="s">
        <v>6234</v>
      </c>
      <c r="L224" s="6556"/>
      <c r="M224" s="6553" t="e">
        <f>IF(C223=0,"",VLOOKUP(C223,'Tablas Magia'!$D$6:$Z$680,6,FALSE))</f>
        <v>#N/A</v>
      </c>
      <c r="N224" s="6553"/>
      <c r="O224" s="6554" t="s">
        <v>6235</v>
      </c>
      <c r="P224" s="6554"/>
      <c r="Q224" s="2489" t="e">
        <f>IF(C223=0,"",VLOOKUP(C223,'Tablas Magia'!$D$6:$Z$680,4,FALSE))</f>
        <v>#N/A</v>
      </c>
      <c r="R224" s="398"/>
      <c r="S224" s="392"/>
      <c r="T224" s="392"/>
      <c r="U224" s="800"/>
      <c r="V224" s="6531" t="s">
        <v>6232</v>
      </c>
      <c r="W224" s="6562"/>
      <c r="X224" s="1714" t="s">
        <v>6233</v>
      </c>
      <c r="Y224" s="1714" t="s">
        <v>1508</v>
      </c>
      <c r="Z224" s="1714" t="s">
        <v>2827</v>
      </c>
      <c r="AA224" s="1715" t="s">
        <v>1835</v>
      </c>
      <c r="AB224" s="6549" t="e">
        <f>IF(V223=0,"",VLOOKUP(V223,'Tablas Magia'!$D$6:$Z$680,5,FALSE))</f>
        <v>#N/A</v>
      </c>
      <c r="AC224" s="6549"/>
      <c r="AD224" s="6563" t="s">
        <v>6234</v>
      </c>
      <c r="AE224" s="6563"/>
      <c r="AF224" s="6549" t="e">
        <f>IF(V223=0,"",VLOOKUP(V223,'Tablas Magia'!$D$6:$Z$680,6,FALSE))</f>
        <v>#N/A</v>
      </c>
      <c r="AG224" s="6549"/>
      <c r="AH224" s="6564" t="s">
        <v>6235</v>
      </c>
      <c r="AI224" s="6564"/>
      <c r="AJ224" s="1716" t="e">
        <f>IF(V223=0,"",VLOOKUP(V223,'Tablas Magia'!$D$6:$Z$680,4,FALSE))</f>
        <v>#N/A</v>
      </c>
      <c r="AK224" s="398"/>
      <c r="AL224" s="392"/>
    </row>
    <row r="225" spans="1:38" ht="12" customHeight="1" x14ac:dyDescent="0.2">
      <c r="A225" s="392"/>
      <c r="B225" s="800"/>
      <c r="C225" s="6557" t="s">
        <v>1365</v>
      </c>
      <c r="D225" s="6558"/>
      <c r="E225" s="2490" t="e">
        <f>IF(C223=0,"",VLOOKUP(C223,'Tablas Magia'!$D$6:$Z$680,7,FALSE))</f>
        <v>#N/A</v>
      </c>
      <c r="F225" s="2490" t="e">
        <f>IF(C223=0,"",VLOOKUP(C223,'Tablas Magia'!$D$6:$Z$680,11,FALSE))</f>
        <v>#N/A</v>
      </c>
      <c r="G225" s="408" t="e">
        <f>IF(C223=0,"",VLOOKUP(C223,'Tablas Magia'!$D$6:$Z$680,15,FALSE))</f>
        <v>#N/A</v>
      </c>
      <c r="H225" s="6539" t="e">
        <f>IF(C223=0,"",VLOOKUP(C223,'Tablas Magia'!$D$6:$Z$680,19,FALSE))</f>
        <v>#N/A</v>
      </c>
      <c r="I225" s="6540"/>
      <c r="J225" s="6540"/>
      <c r="K225" s="6540"/>
      <c r="L225" s="6540"/>
      <c r="M225" s="6540"/>
      <c r="N225" s="6540"/>
      <c r="O225" s="6540"/>
      <c r="P225" s="6540"/>
      <c r="Q225" s="6541"/>
      <c r="R225" s="398"/>
      <c r="S225" s="392"/>
      <c r="T225" s="392"/>
      <c r="U225" s="800"/>
      <c r="V225" s="6507" t="s">
        <v>1365</v>
      </c>
      <c r="W225" s="6508"/>
      <c r="X225" s="407" t="e">
        <f>IF(V223=0,"",VLOOKUP(V223,'Tablas Magia'!$D$6:$Z$680,7,FALSE))</f>
        <v>#N/A</v>
      </c>
      <c r="Y225" s="407" t="e">
        <f>IF(V223=0,"",VLOOKUP(V223,'Tablas Magia'!$D$6:$Z$680,11,FALSE))</f>
        <v>#N/A</v>
      </c>
      <c r="Z225" s="408" t="e">
        <f>IF(V223=0,"",VLOOKUP(V223,'Tablas Magia'!$D$6:$Z$680,15,FALSE))</f>
        <v>#N/A</v>
      </c>
      <c r="AA225" s="6509" t="e">
        <f>IF(V223=0,"",VLOOKUP(V223,'Tablas Magia'!$D$6:$Z$680,19,FALSE))</f>
        <v>#N/A</v>
      </c>
      <c r="AB225" s="6510"/>
      <c r="AC225" s="6510"/>
      <c r="AD225" s="6510"/>
      <c r="AE225" s="6510"/>
      <c r="AF225" s="6510"/>
      <c r="AG225" s="6510"/>
      <c r="AH225" s="6510"/>
      <c r="AI225" s="6510"/>
      <c r="AJ225" s="6511"/>
      <c r="AK225" s="398"/>
      <c r="AL225" s="392"/>
    </row>
    <row r="226" spans="1:38" ht="12" customHeight="1" x14ac:dyDescent="0.2">
      <c r="A226" s="392"/>
      <c r="B226" s="800"/>
      <c r="C226" s="6502" t="s">
        <v>3196</v>
      </c>
      <c r="D226" s="6503"/>
      <c r="E226" s="2491" t="e">
        <f>IF(C223=0,"",VLOOKUP(C223,'Tablas Magia'!$D$6:$Z$680,8,FALSE))</f>
        <v>#N/A</v>
      </c>
      <c r="F226" s="2491" t="e">
        <f>IF(C223=0,"",VLOOKUP(C223,'Tablas Magia'!$D$6:$Z$680,12,FALSE))</f>
        <v>#N/A</v>
      </c>
      <c r="G226" s="410" t="e">
        <f>IF(C223=0,"",VLOOKUP(C223,'Tablas Magia'!$D$6:$Z$680,16,FALSE))</f>
        <v>#N/A</v>
      </c>
      <c r="H226" s="6504" t="e">
        <f>IF(C223=0,"",VLOOKUP(C223,'Tablas Magia'!$D$6:$Z$680,20,FALSE))</f>
        <v>#N/A</v>
      </c>
      <c r="I226" s="6542"/>
      <c r="J226" s="6542"/>
      <c r="K226" s="6542"/>
      <c r="L226" s="6542"/>
      <c r="M226" s="6542"/>
      <c r="N226" s="6542"/>
      <c r="O226" s="6542"/>
      <c r="P226" s="6542"/>
      <c r="Q226" s="6506"/>
      <c r="R226" s="398"/>
      <c r="S226" s="392"/>
      <c r="T226" s="392"/>
      <c r="U226" s="800"/>
      <c r="V226" s="6502" t="s">
        <v>3196</v>
      </c>
      <c r="W226" s="6503"/>
      <c r="X226" s="409" t="e">
        <f>IF(V223=0,"",VLOOKUP(V223,'Tablas Magia'!$D$6:$Z$680,8,FALSE))</f>
        <v>#N/A</v>
      </c>
      <c r="Y226" s="409" t="e">
        <f>IF(V223=0,"",VLOOKUP(V223,'Tablas Magia'!$D$6:$Z$680,12,FALSE))</f>
        <v>#N/A</v>
      </c>
      <c r="Z226" s="410" t="e">
        <f>IF(V223=0,"",VLOOKUP(V223,'Tablas Magia'!$D$6:$Z$680,16,FALSE))</f>
        <v>#N/A</v>
      </c>
      <c r="AA226" s="6504" t="e">
        <f>IF(V223=0,"",VLOOKUP(V223,'Tablas Magia'!$D$6:$Z$680,20,FALSE))</f>
        <v>#N/A</v>
      </c>
      <c r="AB226" s="6505"/>
      <c r="AC226" s="6505"/>
      <c r="AD226" s="6505"/>
      <c r="AE226" s="6505"/>
      <c r="AF226" s="6505"/>
      <c r="AG226" s="6505"/>
      <c r="AH226" s="6505"/>
      <c r="AI226" s="6505"/>
      <c r="AJ226" s="6506"/>
      <c r="AK226" s="398"/>
      <c r="AL226" s="392"/>
    </row>
    <row r="227" spans="1:38" ht="12" customHeight="1" x14ac:dyDescent="0.2">
      <c r="A227" s="392"/>
      <c r="B227" s="800"/>
      <c r="C227" s="6507" t="s">
        <v>3197</v>
      </c>
      <c r="D227" s="6508"/>
      <c r="E227" s="2490" t="e">
        <f>IF(C223=0,"",VLOOKUP(C223,'Tablas Magia'!$D$6:$Z$680,9,FALSE))</f>
        <v>#N/A</v>
      </c>
      <c r="F227" s="2490" t="e">
        <f>IF(C223=0,"",VLOOKUP(C223,'Tablas Magia'!$D$6:$Z$680,13,FALSE))</f>
        <v>#N/A</v>
      </c>
      <c r="G227" s="408" t="e">
        <f>IF(C223=0,"",VLOOKUP(C223,'Tablas Magia'!$D$6:$Z$680,17,FALSE))</f>
        <v>#N/A</v>
      </c>
      <c r="H227" s="6509" t="e">
        <f>IF(C223=0,"",VLOOKUP(C223,'Tablas Magia'!$D$6:$Z$680,21,FALSE))</f>
        <v>#N/A</v>
      </c>
      <c r="I227" s="6552"/>
      <c r="J227" s="6552"/>
      <c r="K227" s="6552"/>
      <c r="L227" s="6552"/>
      <c r="M227" s="6552"/>
      <c r="N227" s="6552"/>
      <c r="O227" s="6552"/>
      <c r="P227" s="6552"/>
      <c r="Q227" s="6511"/>
      <c r="R227" s="398"/>
      <c r="S227" s="392"/>
      <c r="T227" s="392"/>
      <c r="U227" s="800"/>
      <c r="V227" s="6507" t="s">
        <v>3197</v>
      </c>
      <c r="W227" s="6508"/>
      <c r="X227" s="407" t="e">
        <f>IF(V223=0,"",VLOOKUP(V223,'Tablas Magia'!$D$6:$Z$680,9,FALSE))</f>
        <v>#N/A</v>
      </c>
      <c r="Y227" s="407" t="e">
        <f>IF(V223=0,"",VLOOKUP(V223,'Tablas Magia'!$D$6:$Z$680,13,FALSE))</f>
        <v>#N/A</v>
      </c>
      <c r="Z227" s="408" t="e">
        <f>IF(V223=0,"",VLOOKUP(V223,'Tablas Magia'!$D$6:$Z$680,17,FALSE))</f>
        <v>#N/A</v>
      </c>
      <c r="AA227" s="6509" t="e">
        <f>IF(V223=0,"",VLOOKUP(V223,'Tablas Magia'!$D$6:$Z$680,21,FALSE))</f>
        <v>#N/A</v>
      </c>
      <c r="AB227" s="6510"/>
      <c r="AC227" s="6510"/>
      <c r="AD227" s="6510"/>
      <c r="AE227" s="6510"/>
      <c r="AF227" s="6510"/>
      <c r="AG227" s="6510"/>
      <c r="AH227" s="6510"/>
      <c r="AI227" s="6510"/>
      <c r="AJ227" s="6511"/>
      <c r="AK227" s="398"/>
      <c r="AL227" s="392"/>
    </row>
    <row r="228" spans="1:38" ht="12" customHeight="1" thickBot="1" x14ac:dyDescent="0.25">
      <c r="A228" s="392"/>
      <c r="B228" s="800"/>
      <c r="C228" s="6512" t="s">
        <v>3198</v>
      </c>
      <c r="D228" s="6513"/>
      <c r="E228" s="411" t="e">
        <f>IF(C223=0,"",VLOOKUP(C223,'Tablas Magia'!$D$6:$Z$680,10,FALSE))</f>
        <v>#N/A</v>
      </c>
      <c r="F228" s="411" t="e">
        <f>IF(C223=0,"",VLOOKUP(C223,'Tablas Magia'!$D$6:$Z$680,14,FALSE))</f>
        <v>#N/A</v>
      </c>
      <c r="G228" s="412" t="e">
        <f>IF(C223=0,"",VLOOKUP(C223,'Tablas Magia'!$D$6:$Z$680,18,FALSE))</f>
        <v>#N/A</v>
      </c>
      <c r="H228" s="6514" t="e">
        <f>IF(C223=0,"",VLOOKUP(C223,'Tablas Magia'!$D$6:$Z$680,22,FALSE))</f>
        <v>#N/A</v>
      </c>
      <c r="I228" s="6515"/>
      <c r="J228" s="6515"/>
      <c r="K228" s="6515"/>
      <c r="L228" s="6515"/>
      <c r="M228" s="6515"/>
      <c r="N228" s="6515"/>
      <c r="O228" s="6515"/>
      <c r="P228" s="6515"/>
      <c r="Q228" s="6516"/>
      <c r="R228" s="398"/>
      <c r="S228" s="392"/>
      <c r="T228" s="392"/>
      <c r="U228" s="800"/>
      <c r="V228" s="6512" t="s">
        <v>3198</v>
      </c>
      <c r="W228" s="6513"/>
      <c r="X228" s="411" t="e">
        <f>IF(V223=0,"",VLOOKUP(V223,'Tablas Magia'!$D$6:$Z$680,10,FALSE))</f>
        <v>#N/A</v>
      </c>
      <c r="Y228" s="411" t="e">
        <f>IF(V223=0,"",VLOOKUP(V223,'Tablas Magia'!$D$6:$Z$680,14,FALSE))</f>
        <v>#N/A</v>
      </c>
      <c r="Z228" s="412" t="e">
        <f>IF(V223=0,"",VLOOKUP(V223,'Tablas Magia'!$D$6:$Z$680,18,FALSE))</f>
        <v>#N/A</v>
      </c>
      <c r="AA228" s="6514" t="e">
        <f>IF(V223=0,"",VLOOKUP(V223,'Tablas Magia'!$D$6:$Z$680,22,FALSE))</f>
        <v>#N/A</v>
      </c>
      <c r="AB228" s="6515"/>
      <c r="AC228" s="6515"/>
      <c r="AD228" s="6515"/>
      <c r="AE228" s="6515"/>
      <c r="AF228" s="6515"/>
      <c r="AG228" s="6515"/>
      <c r="AH228" s="6515"/>
      <c r="AI228" s="6515"/>
      <c r="AJ228" s="6516"/>
      <c r="AK228" s="398"/>
      <c r="AL228" s="392"/>
    </row>
    <row r="229" spans="1:38" ht="12" customHeight="1" x14ac:dyDescent="0.2">
      <c r="A229" s="392"/>
      <c r="B229" s="800"/>
      <c r="C229" s="6517" t="e">
        <f>IF(C223=0,"",VLOOKUP(C223,'Tablas Magia'!$D$6:$Z$680,23,FALSE))</f>
        <v>#N/A</v>
      </c>
      <c r="D229" s="6518"/>
      <c r="E229" s="6518"/>
      <c r="F229" s="6518"/>
      <c r="G229" s="6518"/>
      <c r="H229" s="6518"/>
      <c r="I229" s="6518"/>
      <c r="J229" s="6518"/>
      <c r="K229" s="6518"/>
      <c r="L229" s="6518"/>
      <c r="M229" s="6518"/>
      <c r="N229" s="6518"/>
      <c r="O229" s="6518"/>
      <c r="P229" s="6518"/>
      <c r="Q229" s="6519"/>
      <c r="R229" s="398"/>
      <c r="S229" s="392"/>
      <c r="T229" s="392"/>
      <c r="U229" s="800"/>
      <c r="V229" s="6517" t="e">
        <f>IF(V223=0,"",VLOOKUP(V223,'Tablas Magia'!$D$6:$Z$680,23,FALSE))</f>
        <v>#N/A</v>
      </c>
      <c r="W229" s="6518"/>
      <c r="X229" s="6518"/>
      <c r="Y229" s="6518"/>
      <c r="Z229" s="6518"/>
      <c r="AA229" s="6518"/>
      <c r="AB229" s="6518"/>
      <c r="AC229" s="6518"/>
      <c r="AD229" s="6518"/>
      <c r="AE229" s="6518"/>
      <c r="AF229" s="6518"/>
      <c r="AG229" s="6518"/>
      <c r="AH229" s="6518"/>
      <c r="AI229" s="6518"/>
      <c r="AJ229" s="6519"/>
      <c r="AK229" s="398"/>
      <c r="AL229" s="392"/>
    </row>
    <row r="230" spans="1:38" ht="12" customHeight="1" x14ac:dyDescent="0.2">
      <c r="A230" s="392"/>
      <c r="B230" s="800"/>
      <c r="C230" s="6520"/>
      <c r="D230" s="6543"/>
      <c r="E230" s="6543"/>
      <c r="F230" s="6543"/>
      <c r="G230" s="6543"/>
      <c r="H230" s="6543"/>
      <c r="I230" s="6543"/>
      <c r="J230" s="6543"/>
      <c r="K230" s="6543"/>
      <c r="L230" s="6543"/>
      <c r="M230" s="6543"/>
      <c r="N230" s="6543"/>
      <c r="O230" s="6543"/>
      <c r="P230" s="6543"/>
      <c r="Q230" s="6522"/>
      <c r="R230" s="398"/>
      <c r="S230" s="392"/>
      <c r="T230" s="392"/>
      <c r="U230" s="800"/>
      <c r="V230" s="6520"/>
      <c r="W230" s="6521"/>
      <c r="X230" s="6521"/>
      <c r="Y230" s="6521"/>
      <c r="Z230" s="6521"/>
      <c r="AA230" s="6521"/>
      <c r="AB230" s="6521"/>
      <c r="AC230" s="6521"/>
      <c r="AD230" s="6521"/>
      <c r="AE230" s="6521"/>
      <c r="AF230" s="6521"/>
      <c r="AG230" s="6521"/>
      <c r="AH230" s="6521"/>
      <c r="AI230" s="6521"/>
      <c r="AJ230" s="6522"/>
      <c r="AK230" s="398"/>
      <c r="AL230" s="392"/>
    </row>
    <row r="231" spans="1:38" ht="12" customHeight="1" x14ac:dyDescent="0.2">
      <c r="A231" s="392"/>
      <c r="B231" s="800"/>
      <c r="C231" s="6520"/>
      <c r="D231" s="6543"/>
      <c r="E231" s="6543"/>
      <c r="F231" s="6543"/>
      <c r="G231" s="6543"/>
      <c r="H231" s="6543"/>
      <c r="I231" s="6543"/>
      <c r="J231" s="6543"/>
      <c r="K231" s="6543"/>
      <c r="L231" s="6543"/>
      <c r="M231" s="6543"/>
      <c r="N231" s="6543"/>
      <c r="O231" s="6543"/>
      <c r="P231" s="6543"/>
      <c r="Q231" s="6522"/>
      <c r="R231" s="398"/>
      <c r="S231" s="392"/>
      <c r="T231" s="392"/>
      <c r="U231" s="800"/>
      <c r="V231" s="6520"/>
      <c r="W231" s="6521"/>
      <c r="X231" s="6521"/>
      <c r="Y231" s="6521"/>
      <c r="Z231" s="6521"/>
      <c r="AA231" s="6521"/>
      <c r="AB231" s="6521"/>
      <c r="AC231" s="6521"/>
      <c r="AD231" s="6521"/>
      <c r="AE231" s="6521"/>
      <c r="AF231" s="6521"/>
      <c r="AG231" s="6521"/>
      <c r="AH231" s="6521"/>
      <c r="AI231" s="6521"/>
      <c r="AJ231" s="6522"/>
      <c r="AK231" s="398"/>
      <c r="AL231" s="392"/>
    </row>
    <row r="232" spans="1:38" ht="12" customHeight="1" thickBot="1" x14ac:dyDescent="0.25">
      <c r="A232" s="392"/>
      <c r="B232" s="800"/>
      <c r="C232" s="6523"/>
      <c r="D232" s="6524"/>
      <c r="E232" s="6524"/>
      <c r="F232" s="6524"/>
      <c r="G232" s="6524"/>
      <c r="H232" s="6524"/>
      <c r="I232" s="6524"/>
      <c r="J232" s="6524"/>
      <c r="K232" s="6524"/>
      <c r="L232" s="6524"/>
      <c r="M232" s="6524"/>
      <c r="N232" s="6524"/>
      <c r="O232" s="6524"/>
      <c r="P232" s="6524"/>
      <c r="Q232" s="6525"/>
      <c r="R232" s="398"/>
      <c r="S232" s="392"/>
      <c r="T232" s="392"/>
      <c r="U232" s="800"/>
      <c r="V232" s="6523"/>
      <c r="W232" s="6524"/>
      <c r="X232" s="6524"/>
      <c r="Y232" s="6524"/>
      <c r="Z232" s="6524"/>
      <c r="AA232" s="6524"/>
      <c r="AB232" s="6524"/>
      <c r="AC232" s="6524"/>
      <c r="AD232" s="6524"/>
      <c r="AE232" s="6524"/>
      <c r="AF232" s="6524"/>
      <c r="AG232" s="6524"/>
      <c r="AH232" s="6524"/>
      <c r="AI232" s="6524"/>
      <c r="AJ232" s="6525"/>
      <c r="AK232" s="398"/>
      <c r="AL232" s="392"/>
    </row>
    <row r="233" spans="1:38" ht="12" customHeight="1" thickBot="1" x14ac:dyDescent="0.25">
      <c r="A233" s="392"/>
      <c r="B233" s="800"/>
      <c r="C233" s="2495"/>
      <c r="D233" s="2495"/>
      <c r="E233" s="2497"/>
      <c r="F233" s="2497"/>
      <c r="G233" s="2497"/>
      <c r="H233" s="2495"/>
      <c r="I233" s="2496"/>
      <c r="J233" s="2496"/>
      <c r="K233" s="2495"/>
      <c r="L233" s="2495"/>
      <c r="M233" s="2496"/>
      <c r="N233" s="2496"/>
      <c r="O233" s="2498"/>
      <c r="P233" s="2498"/>
      <c r="Q233" s="2496"/>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59" t="str">
        <f>IFERROR(VLOOKUP($J$6&amp;B234,'Tablas Magia'!$B$6:$D$680,3,FALSE),IFERROR(VLOOKUP($J$8&amp;B234,'Tablas Magia'!$B$6:$D$680,3,FALSE),IFERROR(VLOOKUP($J$6&amp;B234,Místicos!$AD$12:$AJ$50,4,FALSE),"Libre Acceso 1-"&amp;ROUNDUP(B234/10,0)*10)))</f>
        <v>Libre Acceso 1-70</v>
      </c>
      <c r="D234" s="6560"/>
      <c r="E234" s="6560"/>
      <c r="F234" s="6560"/>
      <c r="G234" s="6561"/>
      <c r="H234" s="402" t="s">
        <v>1325</v>
      </c>
      <c r="I234" s="403">
        <f>B234</f>
        <v>66</v>
      </c>
      <c r="J234" s="6544" t="s">
        <v>6231</v>
      </c>
      <c r="K234" s="6544"/>
      <c r="L234" s="6544"/>
      <c r="M234" s="6529" t="e">
        <f>IF(C234=0,"",VLOOKUP(C234,'Tablas Magia'!$D$6:$Z$680,2,FALSE))</f>
        <v>#N/A</v>
      </c>
      <c r="N234" s="6529"/>
      <c r="O234" s="1705"/>
      <c r="P234" s="6550" t="str">
        <f>IFERROR(IF(M234="Libre Acceso","Aprendido",IF(IFERROR(VLOOKUP(M234,Místicos!$C$15:$H$25,6,0)&gt;=I234,FALSE),"Aprendido",IF(IFERROR(VLOOKUP(M234,Místicos!$E$15:$H$25,4,0)&gt;=I234,FALSE),"Aprendido",""))),"")</f>
        <v/>
      </c>
      <c r="Q234" s="6551"/>
      <c r="R234" s="398"/>
      <c r="S234" s="392"/>
      <c r="T234" s="392"/>
      <c r="U234" s="800">
        <f>U223+2</f>
        <v>76</v>
      </c>
      <c r="V234" s="6559" t="str">
        <f>IFERROR(VLOOKUP($J$6&amp;U234,'Tablas Magia'!$B$6:$D$680,3,FALSE),IFERROR(VLOOKUP($J$8&amp;U234,'Tablas Magia'!$B$6:$D$680,3,FALSE),IFERROR(VLOOKUP($J$6&amp;U234,Místicos!$AD$12:$AJ$50,4,FALSE),"Libre Acceso 1-"&amp;ROUNDUP(U234/10,0)*10)))</f>
        <v>Libre Acceso 1-80</v>
      </c>
      <c r="W234" s="6560"/>
      <c r="X234" s="6560"/>
      <c r="Y234" s="6560"/>
      <c r="Z234" s="6561"/>
      <c r="AA234" s="402" t="s">
        <v>1325</v>
      </c>
      <c r="AB234" s="403">
        <f>U234</f>
        <v>76</v>
      </c>
      <c r="AC234" s="6544" t="s">
        <v>6231</v>
      </c>
      <c r="AD234" s="6544"/>
      <c r="AE234" s="6544"/>
      <c r="AF234" s="6529" t="e">
        <f>IF(V234=0,"",VLOOKUP(V234,'Tablas Magia'!$D$6:$Z$680,2,FALSE))</f>
        <v>#N/A</v>
      </c>
      <c r="AG234" s="6529"/>
      <c r="AH234" s="1705"/>
      <c r="AI234" s="6550" t="str">
        <f>IFERROR(IF(AF234="Libre Acceso","Aprendido",IF(IFERROR(VLOOKUP(AF234,Místicos!$C$15:$H$25,6,0)&gt;=AB234,FALSE),"Aprendido",IF(IFERROR(VLOOKUP(AF234,Místicos!$E$15:$H$25,4,0)&gt;=AB234,FALSE),"Aprendido",""))),"")</f>
        <v/>
      </c>
      <c r="AJ234" s="6551"/>
      <c r="AK234" s="398"/>
      <c r="AL234" s="392"/>
    </row>
    <row r="235" spans="1:38" ht="12" customHeight="1" x14ac:dyDescent="0.2">
      <c r="A235" s="392"/>
      <c r="B235" s="800"/>
      <c r="C235" s="6531" t="s">
        <v>6232</v>
      </c>
      <c r="D235" s="6545"/>
      <c r="E235" s="2487" t="s">
        <v>6233</v>
      </c>
      <c r="F235" s="2487" t="s">
        <v>1508</v>
      </c>
      <c r="G235" s="2487" t="s">
        <v>2827</v>
      </c>
      <c r="H235" s="2488" t="s">
        <v>1835</v>
      </c>
      <c r="I235" s="6553" t="e">
        <f>IF(C234=0,"",VLOOKUP(C234,'Tablas Magia'!$D$6:$Z$680,5,FALSE))</f>
        <v>#N/A</v>
      </c>
      <c r="J235" s="6553"/>
      <c r="K235" s="6556" t="s">
        <v>6234</v>
      </c>
      <c r="L235" s="6556"/>
      <c r="M235" s="6553" t="e">
        <f>IF(C234=0,"",VLOOKUP(C234,'Tablas Magia'!$D$6:$Z$680,6,FALSE))</f>
        <v>#N/A</v>
      </c>
      <c r="N235" s="6553"/>
      <c r="O235" s="6554" t="s">
        <v>6235</v>
      </c>
      <c r="P235" s="6554"/>
      <c r="Q235" s="2489" t="e">
        <f>IF(C234=0,"",VLOOKUP(C234,'Tablas Magia'!$D$6:$Z$680,4,FALSE))</f>
        <v>#N/A</v>
      </c>
      <c r="R235" s="398"/>
      <c r="S235" s="392"/>
      <c r="T235" s="392"/>
      <c r="U235" s="800"/>
      <c r="V235" s="6531" t="s">
        <v>6232</v>
      </c>
      <c r="W235" s="6562"/>
      <c r="X235" s="1714" t="s">
        <v>6233</v>
      </c>
      <c r="Y235" s="1714" t="s">
        <v>1508</v>
      </c>
      <c r="Z235" s="1714" t="s">
        <v>2827</v>
      </c>
      <c r="AA235" s="1715" t="s">
        <v>1835</v>
      </c>
      <c r="AB235" s="6549" t="e">
        <f>IF(V234=0,"",VLOOKUP(V234,'Tablas Magia'!$D$6:$Z$680,5,FALSE))</f>
        <v>#N/A</v>
      </c>
      <c r="AC235" s="6549"/>
      <c r="AD235" s="6563" t="s">
        <v>6234</v>
      </c>
      <c r="AE235" s="6563"/>
      <c r="AF235" s="6549" t="e">
        <f>IF(V234=0,"",VLOOKUP(V234,'Tablas Magia'!$D$6:$Z$680,6,FALSE))</f>
        <v>#N/A</v>
      </c>
      <c r="AG235" s="6549"/>
      <c r="AH235" s="6564" t="s">
        <v>6235</v>
      </c>
      <c r="AI235" s="6564"/>
      <c r="AJ235" s="1716" t="e">
        <f>IF(V234=0,"",VLOOKUP(V234,'Tablas Magia'!$D$6:$Z$680,4,FALSE))</f>
        <v>#N/A</v>
      </c>
      <c r="AK235" s="398"/>
      <c r="AL235" s="392"/>
    </row>
    <row r="236" spans="1:38" ht="12" customHeight="1" x14ac:dyDescent="0.2">
      <c r="A236" s="392"/>
      <c r="B236" s="800"/>
      <c r="C236" s="6557" t="s">
        <v>1365</v>
      </c>
      <c r="D236" s="6558"/>
      <c r="E236" s="2490" t="e">
        <f>IF(C234=0,"",VLOOKUP(C234,'Tablas Magia'!$D$6:$Z$680,7,FALSE))</f>
        <v>#N/A</v>
      </c>
      <c r="F236" s="2490" t="e">
        <f>IF(C234=0,"",VLOOKUP(C234,'Tablas Magia'!$D$6:$Z$680,11,FALSE))</f>
        <v>#N/A</v>
      </c>
      <c r="G236" s="408" t="e">
        <f>IF(C234=0,"",VLOOKUP(C234,'Tablas Magia'!$D$6:$Z$680,15,FALSE))</f>
        <v>#N/A</v>
      </c>
      <c r="H236" s="6539" t="e">
        <f>IF(C234=0,"",VLOOKUP(C234,'Tablas Magia'!$D$6:$Z$680,19,FALSE))</f>
        <v>#N/A</v>
      </c>
      <c r="I236" s="6540"/>
      <c r="J236" s="6540"/>
      <c r="K236" s="6540"/>
      <c r="L236" s="6540"/>
      <c r="M236" s="6540"/>
      <c r="N236" s="6540"/>
      <c r="O236" s="6540"/>
      <c r="P236" s="6540"/>
      <c r="Q236" s="6541"/>
      <c r="R236" s="398"/>
      <c r="S236" s="392"/>
      <c r="T236" s="392"/>
      <c r="U236" s="800"/>
      <c r="V236" s="6507" t="s">
        <v>1365</v>
      </c>
      <c r="W236" s="6508"/>
      <c r="X236" s="407" t="e">
        <f>IF(V234=0,"",VLOOKUP(V234,'Tablas Magia'!$D$6:$Z$680,7,FALSE))</f>
        <v>#N/A</v>
      </c>
      <c r="Y236" s="407" t="e">
        <f>IF(V234=0,"",VLOOKUP(V234,'Tablas Magia'!$D$6:$Z$680,11,FALSE))</f>
        <v>#N/A</v>
      </c>
      <c r="Z236" s="408" t="e">
        <f>IF(V234=0,"",VLOOKUP(V234,'Tablas Magia'!$D$6:$Z$680,15,FALSE))</f>
        <v>#N/A</v>
      </c>
      <c r="AA236" s="6509" t="e">
        <f>IF(V234=0,"",VLOOKUP(V234,'Tablas Magia'!$D$6:$Z$680,19,FALSE))</f>
        <v>#N/A</v>
      </c>
      <c r="AB236" s="6510"/>
      <c r="AC236" s="6510"/>
      <c r="AD236" s="6510"/>
      <c r="AE236" s="6510"/>
      <c r="AF236" s="6510"/>
      <c r="AG236" s="6510"/>
      <c r="AH236" s="6510"/>
      <c r="AI236" s="6510"/>
      <c r="AJ236" s="6511"/>
      <c r="AK236" s="398"/>
      <c r="AL236" s="392"/>
    </row>
    <row r="237" spans="1:38" ht="12" customHeight="1" x14ac:dyDescent="0.2">
      <c r="A237" s="392"/>
      <c r="B237" s="800"/>
      <c r="C237" s="6502" t="s">
        <v>3196</v>
      </c>
      <c r="D237" s="6503"/>
      <c r="E237" s="2491" t="e">
        <f>IF(C234=0,"",VLOOKUP(C234,'Tablas Magia'!$D$6:$Z$680,8,FALSE))</f>
        <v>#N/A</v>
      </c>
      <c r="F237" s="2491" t="e">
        <f>IF(C234=0,"",VLOOKUP(C234,'Tablas Magia'!$D$6:$Z$680,12,FALSE))</f>
        <v>#N/A</v>
      </c>
      <c r="G237" s="410" t="e">
        <f>IF(C234=0,"",VLOOKUP(C234,'Tablas Magia'!$D$6:$Z$680,16,FALSE))</f>
        <v>#N/A</v>
      </c>
      <c r="H237" s="6504" t="e">
        <f>IF(C234=0,"",VLOOKUP(C234,'Tablas Magia'!$D$6:$Z$680,20,FALSE))</f>
        <v>#N/A</v>
      </c>
      <c r="I237" s="6542"/>
      <c r="J237" s="6542"/>
      <c r="K237" s="6542"/>
      <c r="L237" s="6542"/>
      <c r="M237" s="6542"/>
      <c r="N237" s="6542"/>
      <c r="O237" s="6542"/>
      <c r="P237" s="6542"/>
      <c r="Q237" s="6506"/>
      <c r="R237" s="398"/>
      <c r="S237" s="392"/>
      <c r="T237" s="392"/>
      <c r="U237" s="800"/>
      <c r="V237" s="6502" t="s">
        <v>3196</v>
      </c>
      <c r="W237" s="6503"/>
      <c r="X237" s="409" t="e">
        <f>IF(V234=0,"",VLOOKUP(V234,'Tablas Magia'!$D$6:$Z$680,8,FALSE))</f>
        <v>#N/A</v>
      </c>
      <c r="Y237" s="409" t="e">
        <f>IF(V234=0,"",VLOOKUP(V234,'Tablas Magia'!$D$6:$Z$680,12,FALSE))</f>
        <v>#N/A</v>
      </c>
      <c r="Z237" s="410" t="e">
        <f>IF(V234=0,"",VLOOKUP(V234,'Tablas Magia'!$D$6:$Z$680,16,FALSE))</f>
        <v>#N/A</v>
      </c>
      <c r="AA237" s="6504" t="e">
        <f>IF(V234=0,"",VLOOKUP(V234,'Tablas Magia'!$D$6:$Z$680,20,FALSE))</f>
        <v>#N/A</v>
      </c>
      <c r="AB237" s="6505"/>
      <c r="AC237" s="6505"/>
      <c r="AD237" s="6505"/>
      <c r="AE237" s="6505"/>
      <c r="AF237" s="6505"/>
      <c r="AG237" s="6505"/>
      <c r="AH237" s="6505"/>
      <c r="AI237" s="6505"/>
      <c r="AJ237" s="6506"/>
      <c r="AK237" s="398"/>
      <c r="AL237" s="392"/>
    </row>
    <row r="238" spans="1:38" ht="12" customHeight="1" x14ac:dyDescent="0.2">
      <c r="A238" s="392"/>
      <c r="B238" s="800"/>
      <c r="C238" s="6507" t="s">
        <v>3197</v>
      </c>
      <c r="D238" s="6508"/>
      <c r="E238" s="2490" t="e">
        <f>IF(C234=0,"",VLOOKUP(C234,'Tablas Magia'!$D$6:$Z$680,9,FALSE))</f>
        <v>#N/A</v>
      </c>
      <c r="F238" s="2490" t="e">
        <f>IF(C234=0,"",VLOOKUP(C234,'Tablas Magia'!$D$6:$Z$680,13,FALSE))</f>
        <v>#N/A</v>
      </c>
      <c r="G238" s="408" t="e">
        <f>IF(C234=0,"",VLOOKUP(C234,'Tablas Magia'!$D$6:$Z$680,17,FALSE))</f>
        <v>#N/A</v>
      </c>
      <c r="H238" s="6509" t="e">
        <f>IF(C234=0,"",VLOOKUP(C234,'Tablas Magia'!$D$6:$Z$680,21,FALSE))</f>
        <v>#N/A</v>
      </c>
      <c r="I238" s="6552"/>
      <c r="J238" s="6552"/>
      <c r="K238" s="6552"/>
      <c r="L238" s="6552"/>
      <c r="M238" s="6552"/>
      <c r="N238" s="6552"/>
      <c r="O238" s="6552"/>
      <c r="P238" s="6552"/>
      <c r="Q238" s="6511"/>
      <c r="R238" s="398"/>
      <c r="S238" s="392"/>
      <c r="T238" s="392"/>
      <c r="U238" s="800"/>
      <c r="V238" s="6507" t="s">
        <v>3197</v>
      </c>
      <c r="W238" s="6508"/>
      <c r="X238" s="407" t="e">
        <f>IF(V234=0,"",VLOOKUP(V234,'Tablas Magia'!$D$6:$Z$680,9,FALSE))</f>
        <v>#N/A</v>
      </c>
      <c r="Y238" s="407" t="e">
        <f>IF(V234=0,"",VLOOKUP(V234,'Tablas Magia'!$D$6:$Z$680,13,FALSE))</f>
        <v>#N/A</v>
      </c>
      <c r="Z238" s="408" t="e">
        <f>IF(V234=0,"",VLOOKUP(V234,'Tablas Magia'!$D$6:$Z$680,17,FALSE))</f>
        <v>#N/A</v>
      </c>
      <c r="AA238" s="6509" t="e">
        <f>IF(V234=0,"",VLOOKUP(V234,'Tablas Magia'!$D$6:$Z$680,21,FALSE))</f>
        <v>#N/A</v>
      </c>
      <c r="AB238" s="6510"/>
      <c r="AC238" s="6510"/>
      <c r="AD238" s="6510"/>
      <c r="AE238" s="6510"/>
      <c r="AF238" s="6510"/>
      <c r="AG238" s="6510"/>
      <c r="AH238" s="6510"/>
      <c r="AI238" s="6510"/>
      <c r="AJ238" s="6511"/>
      <c r="AK238" s="398"/>
      <c r="AL238" s="392"/>
    </row>
    <row r="239" spans="1:38" ht="12" customHeight="1" thickBot="1" x14ac:dyDescent="0.25">
      <c r="A239" s="392"/>
      <c r="B239" s="800"/>
      <c r="C239" s="6512" t="s">
        <v>3198</v>
      </c>
      <c r="D239" s="6513"/>
      <c r="E239" s="411" t="e">
        <f>IF(C234=0,"",VLOOKUP(C234,'Tablas Magia'!$D$6:$Z$680,10,FALSE))</f>
        <v>#N/A</v>
      </c>
      <c r="F239" s="411" t="e">
        <f>IF(C234=0,"",VLOOKUP(C234,'Tablas Magia'!$D$6:$Z$680,14,FALSE))</f>
        <v>#N/A</v>
      </c>
      <c r="G239" s="412" t="e">
        <f>IF(C234=0,"",VLOOKUP(C234,'Tablas Magia'!$D$6:$Z$680,18,FALSE))</f>
        <v>#N/A</v>
      </c>
      <c r="H239" s="6514" t="e">
        <f>IF(C234=0,"",VLOOKUP(C234,'Tablas Magia'!$D$6:$Z$680,22,FALSE))</f>
        <v>#N/A</v>
      </c>
      <c r="I239" s="6515"/>
      <c r="J239" s="6515"/>
      <c r="K239" s="6515"/>
      <c r="L239" s="6515"/>
      <c r="M239" s="6515"/>
      <c r="N239" s="6515"/>
      <c r="O239" s="6515"/>
      <c r="P239" s="6515"/>
      <c r="Q239" s="6516"/>
      <c r="R239" s="398"/>
      <c r="S239" s="392"/>
      <c r="T239" s="392"/>
      <c r="U239" s="800"/>
      <c r="V239" s="6512" t="s">
        <v>3198</v>
      </c>
      <c r="W239" s="6513"/>
      <c r="X239" s="411" t="e">
        <f>IF(V234=0,"",VLOOKUP(V234,'Tablas Magia'!$D$6:$Z$680,10,FALSE))</f>
        <v>#N/A</v>
      </c>
      <c r="Y239" s="411" t="e">
        <f>IF(V234=0,"",VLOOKUP(V234,'Tablas Magia'!$D$6:$Z$680,14,FALSE))</f>
        <v>#N/A</v>
      </c>
      <c r="Z239" s="412" t="e">
        <f>IF(V234=0,"",VLOOKUP(V234,'Tablas Magia'!$D$6:$Z$680,18,FALSE))</f>
        <v>#N/A</v>
      </c>
      <c r="AA239" s="6514" t="e">
        <f>IF(V234=0,"",VLOOKUP(V234,'Tablas Magia'!$D$6:$Z$680,22,FALSE))</f>
        <v>#N/A</v>
      </c>
      <c r="AB239" s="6515"/>
      <c r="AC239" s="6515"/>
      <c r="AD239" s="6515"/>
      <c r="AE239" s="6515"/>
      <c r="AF239" s="6515"/>
      <c r="AG239" s="6515"/>
      <c r="AH239" s="6515"/>
      <c r="AI239" s="6515"/>
      <c r="AJ239" s="6516"/>
      <c r="AK239" s="398"/>
      <c r="AL239" s="392"/>
    </row>
    <row r="240" spans="1:38" ht="12" customHeight="1" x14ac:dyDescent="0.2">
      <c r="A240" s="392"/>
      <c r="B240" s="800"/>
      <c r="C240" s="6517" t="e">
        <f>IF(C234=0,"",VLOOKUP(C234,'Tablas Magia'!$D$6:$Z$680,23,FALSE))</f>
        <v>#N/A</v>
      </c>
      <c r="D240" s="6518"/>
      <c r="E240" s="6518"/>
      <c r="F240" s="6518"/>
      <c r="G240" s="6518"/>
      <c r="H240" s="6518"/>
      <c r="I240" s="6518"/>
      <c r="J240" s="6518"/>
      <c r="K240" s="6518"/>
      <c r="L240" s="6518"/>
      <c r="M240" s="6518"/>
      <c r="N240" s="6518"/>
      <c r="O240" s="6518"/>
      <c r="P240" s="6518"/>
      <c r="Q240" s="6519"/>
      <c r="R240" s="398"/>
      <c r="S240" s="392"/>
      <c r="T240" s="392"/>
      <c r="U240" s="800"/>
      <c r="V240" s="6517" t="e">
        <f>IF(V234=0,"",VLOOKUP(V234,'Tablas Magia'!$D$6:$Z$680,23,FALSE))</f>
        <v>#N/A</v>
      </c>
      <c r="W240" s="6518"/>
      <c r="X240" s="6518"/>
      <c r="Y240" s="6518"/>
      <c r="Z240" s="6518"/>
      <c r="AA240" s="6518"/>
      <c r="AB240" s="6518"/>
      <c r="AC240" s="6518"/>
      <c r="AD240" s="6518"/>
      <c r="AE240" s="6518"/>
      <c r="AF240" s="6518"/>
      <c r="AG240" s="6518"/>
      <c r="AH240" s="6518"/>
      <c r="AI240" s="6518"/>
      <c r="AJ240" s="6519"/>
      <c r="AK240" s="398"/>
      <c r="AL240" s="392"/>
    </row>
    <row r="241" spans="1:38" ht="12" customHeight="1" x14ac:dyDescent="0.2">
      <c r="A241" s="392"/>
      <c r="B241" s="800"/>
      <c r="C241" s="6520"/>
      <c r="D241" s="6543"/>
      <c r="E241" s="6543"/>
      <c r="F241" s="6543"/>
      <c r="G241" s="6543"/>
      <c r="H241" s="6543"/>
      <c r="I241" s="6543"/>
      <c r="J241" s="6543"/>
      <c r="K241" s="6543"/>
      <c r="L241" s="6543"/>
      <c r="M241" s="6543"/>
      <c r="N241" s="6543"/>
      <c r="O241" s="6543"/>
      <c r="P241" s="6543"/>
      <c r="Q241" s="6522"/>
      <c r="R241" s="398"/>
      <c r="S241" s="392"/>
      <c r="T241" s="392"/>
      <c r="U241" s="800"/>
      <c r="V241" s="6520"/>
      <c r="W241" s="6521"/>
      <c r="X241" s="6521"/>
      <c r="Y241" s="6521"/>
      <c r="Z241" s="6521"/>
      <c r="AA241" s="6521"/>
      <c r="AB241" s="6521"/>
      <c r="AC241" s="6521"/>
      <c r="AD241" s="6521"/>
      <c r="AE241" s="6521"/>
      <c r="AF241" s="6521"/>
      <c r="AG241" s="6521"/>
      <c r="AH241" s="6521"/>
      <c r="AI241" s="6521"/>
      <c r="AJ241" s="6522"/>
      <c r="AK241" s="398"/>
      <c r="AL241" s="392"/>
    </row>
    <row r="242" spans="1:38" ht="12" customHeight="1" x14ac:dyDescent="0.2">
      <c r="A242" s="392"/>
      <c r="B242" s="800"/>
      <c r="C242" s="6520"/>
      <c r="D242" s="6543"/>
      <c r="E242" s="6543"/>
      <c r="F242" s="6543"/>
      <c r="G242" s="6543"/>
      <c r="H242" s="6543"/>
      <c r="I242" s="6543"/>
      <c r="J242" s="6543"/>
      <c r="K242" s="6543"/>
      <c r="L242" s="6543"/>
      <c r="M242" s="6543"/>
      <c r="N242" s="6543"/>
      <c r="O242" s="6543"/>
      <c r="P242" s="6543"/>
      <c r="Q242" s="6522"/>
      <c r="R242" s="398"/>
      <c r="S242" s="392"/>
      <c r="T242" s="392"/>
      <c r="U242" s="800"/>
      <c r="V242" s="6520"/>
      <c r="W242" s="6521"/>
      <c r="X242" s="6521"/>
      <c r="Y242" s="6521"/>
      <c r="Z242" s="6521"/>
      <c r="AA242" s="6521"/>
      <c r="AB242" s="6521"/>
      <c r="AC242" s="6521"/>
      <c r="AD242" s="6521"/>
      <c r="AE242" s="6521"/>
      <c r="AF242" s="6521"/>
      <c r="AG242" s="6521"/>
      <c r="AH242" s="6521"/>
      <c r="AI242" s="6521"/>
      <c r="AJ242" s="6522"/>
      <c r="AK242" s="398"/>
      <c r="AL242" s="392"/>
    </row>
    <row r="243" spans="1:38" ht="12" customHeight="1" thickBot="1" x14ac:dyDescent="0.25">
      <c r="A243" s="392"/>
      <c r="B243" s="800"/>
      <c r="C243" s="6523"/>
      <c r="D243" s="6524"/>
      <c r="E243" s="6524"/>
      <c r="F243" s="6524"/>
      <c r="G243" s="6524"/>
      <c r="H243" s="6524"/>
      <c r="I243" s="6524"/>
      <c r="J243" s="6524"/>
      <c r="K243" s="6524"/>
      <c r="L243" s="6524"/>
      <c r="M243" s="6524"/>
      <c r="N243" s="6524"/>
      <c r="O243" s="6524"/>
      <c r="P243" s="6524"/>
      <c r="Q243" s="6525"/>
      <c r="R243" s="398"/>
      <c r="S243" s="392"/>
      <c r="T243" s="392"/>
      <c r="U243" s="800"/>
      <c r="V243" s="6523"/>
      <c r="W243" s="6524"/>
      <c r="X243" s="6524"/>
      <c r="Y243" s="6524"/>
      <c r="Z243" s="6524"/>
      <c r="AA243" s="6524"/>
      <c r="AB243" s="6524"/>
      <c r="AC243" s="6524"/>
      <c r="AD243" s="6524"/>
      <c r="AE243" s="6524"/>
      <c r="AF243" s="6524"/>
      <c r="AG243" s="6524"/>
      <c r="AH243" s="6524"/>
      <c r="AI243" s="6524"/>
      <c r="AJ243" s="6525"/>
      <c r="AK243" s="398"/>
      <c r="AL243" s="392"/>
    </row>
    <row r="244" spans="1:38" ht="12" customHeight="1" thickBot="1" x14ac:dyDescent="0.25">
      <c r="A244" s="392"/>
      <c r="B244" s="800"/>
      <c r="C244" s="2499"/>
      <c r="D244" s="2499"/>
      <c r="E244" s="2500"/>
      <c r="F244" s="2500"/>
      <c r="G244" s="2500"/>
      <c r="H244" s="2500"/>
      <c r="I244" s="2500"/>
      <c r="J244" s="2500"/>
      <c r="K244" s="2500"/>
      <c r="L244" s="2500"/>
      <c r="M244" s="2500"/>
      <c r="N244" s="2500"/>
      <c r="O244" s="2500"/>
      <c r="P244" s="2500"/>
      <c r="Q244" s="2500"/>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59" t="str">
        <f>IFERROR(VLOOKUP($J$6&amp;B245,'Tablas Magia'!$B$6:$D$680,3,FALSE),IFERROR(VLOOKUP($J$8&amp;B245,'Tablas Magia'!$B$6:$D$680,3,FALSE),IFERROR(VLOOKUP($J$6&amp;B245,Místicos!$AD$12:$AJ$50,4,FALSE),"Libre Acceso 1-"&amp;ROUNDUP(B245/10,0)*10)))</f>
        <v>Libre Acceso 1-70</v>
      </c>
      <c r="D245" s="6560"/>
      <c r="E245" s="6560"/>
      <c r="F245" s="6560"/>
      <c r="G245" s="6561"/>
      <c r="H245" s="402" t="s">
        <v>1325</v>
      </c>
      <c r="I245" s="403">
        <f>B245</f>
        <v>68</v>
      </c>
      <c r="J245" s="6544" t="s">
        <v>6231</v>
      </c>
      <c r="K245" s="6544"/>
      <c r="L245" s="6544"/>
      <c r="M245" s="6529" t="e">
        <f>IF(C245=0,"",VLOOKUP(C245,'Tablas Magia'!$D$6:$Z$680,2,FALSE))</f>
        <v>#N/A</v>
      </c>
      <c r="N245" s="6529"/>
      <c r="O245" s="1705"/>
      <c r="P245" s="6550" t="str">
        <f>IFERROR(IF(M245="Libre Acceso","Aprendido",IF(IFERROR(VLOOKUP(M245,Místicos!$C$15:$H$25,6,0)&gt;=I245,FALSE),"Aprendido",IF(IFERROR(VLOOKUP(M245,Místicos!$E$15:$H$25,4,0)&gt;=I245,FALSE),"Aprendido",""))),"")</f>
        <v/>
      </c>
      <c r="Q245" s="6551"/>
      <c r="R245" s="398"/>
      <c r="S245" s="392"/>
      <c r="T245" s="392"/>
      <c r="U245" s="800">
        <f>U234+2</f>
        <v>78</v>
      </c>
      <c r="V245" s="6559" t="str">
        <f>IFERROR(VLOOKUP($J$6&amp;U245,'Tablas Magia'!$B$6:$D$680,3,FALSE),IFERROR(VLOOKUP($J$8&amp;U245,'Tablas Magia'!$B$6:$D$680,3,FALSE),IFERROR(VLOOKUP($J$6&amp;U245,Místicos!$AD$12:$AJ$50,4,FALSE),"Libre Acceso 1-"&amp;ROUNDUP(U245/10,0)*10)))</f>
        <v>Libre Acceso 1-80</v>
      </c>
      <c r="W245" s="6560"/>
      <c r="X245" s="6560"/>
      <c r="Y245" s="6560"/>
      <c r="Z245" s="6561"/>
      <c r="AA245" s="402" t="s">
        <v>1325</v>
      </c>
      <c r="AB245" s="403">
        <f>U245</f>
        <v>78</v>
      </c>
      <c r="AC245" s="6544" t="s">
        <v>6231</v>
      </c>
      <c r="AD245" s="6544"/>
      <c r="AE245" s="6544"/>
      <c r="AF245" s="6529" t="e">
        <f>IF(V245=0,"",VLOOKUP(V245,'Tablas Magia'!$D$6:$Z$680,2,FALSE))</f>
        <v>#N/A</v>
      </c>
      <c r="AG245" s="6529"/>
      <c r="AH245" s="1705"/>
      <c r="AI245" s="6550" t="str">
        <f>IFERROR(IF(AF245="Libre Acceso","Aprendido",IF(IFERROR(VLOOKUP(AF245,Místicos!$C$15:$H$25,6,0)&gt;=AB245,FALSE),"Aprendido",IF(IFERROR(VLOOKUP(AF245,Místicos!$E$15:$H$25,4,0)&gt;=AB245,FALSE),"Aprendido",""))),"")</f>
        <v/>
      </c>
      <c r="AJ245" s="6551"/>
      <c r="AK245" s="398"/>
      <c r="AL245" s="392"/>
    </row>
    <row r="246" spans="1:38" ht="12" customHeight="1" x14ac:dyDescent="0.2">
      <c r="A246" s="392"/>
      <c r="B246" s="800"/>
      <c r="C246" s="6531" t="s">
        <v>6232</v>
      </c>
      <c r="D246" s="6545"/>
      <c r="E246" s="2487" t="s">
        <v>6233</v>
      </c>
      <c r="F246" s="2487" t="s">
        <v>1508</v>
      </c>
      <c r="G246" s="2487" t="s">
        <v>2827</v>
      </c>
      <c r="H246" s="2488" t="s">
        <v>1835</v>
      </c>
      <c r="I246" s="6553" t="e">
        <f>IF(C245=0,"",VLOOKUP(C245,'Tablas Magia'!$D$6:$Z$680,5,FALSE))</f>
        <v>#N/A</v>
      </c>
      <c r="J246" s="6553"/>
      <c r="K246" s="6556" t="s">
        <v>6234</v>
      </c>
      <c r="L246" s="6556"/>
      <c r="M246" s="6553" t="e">
        <f>IF(C245=0,"",VLOOKUP(C245,'Tablas Magia'!$D$6:$Z$680,6,FALSE))</f>
        <v>#N/A</v>
      </c>
      <c r="N246" s="6553"/>
      <c r="O246" s="6554" t="s">
        <v>6235</v>
      </c>
      <c r="P246" s="6554"/>
      <c r="Q246" s="2489" t="e">
        <f>IF(C245=0,"",VLOOKUP(C245,'Tablas Magia'!$D$6:$Z$680,4,FALSE))</f>
        <v>#N/A</v>
      </c>
      <c r="R246" s="398"/>
      <c r="S246" s="392"/>
      <c r="T246" s="392"/>
      <c r="U246" s="800"/>
      <c r="V246" s="6531" t="s">
        <v>6232</v>
      </c>
      <c r="W246" s="6562"/>
      <c r="X246" s="1714" t="s">
        <v>6233</v>
      </c>
      <c r="Y246" s="1714" t="s">
        <v>1508</v>
      </c>
      <c r="Z246" s="1714" t="s">
        <v>2827</v>
      </c>
      <c r="AA246" s="1715" t="s">
        <v>1835</v>
      </c>
      <c r="AB246" s="6549" t="e">
        <f>IF(V245=0,"",VLOOKUP(V245,'Tablas Magia'!$D$6:$Z$680,5,FALSE))</f>
        <v>#N/A</v>
      </c>
      <c r="AC246" s="6549"/>
      <c r="AD246" s="6563" t="s">
        <v>6234</v>
      </c>
      <c r="AE246" s="6563"/>
      <c r="AF246" s="6549" t="e">
        <f>IF(V245=0,"",VLOOKUP(V245,'Tablas Magia'!$D$6:$Z$680,6,FALSE))</f>
        <v>#N/A</v>
      </c>
      <c r="AG246" s="6549"/>
      <c r="AH246" s="6564" t="s">
        <v>6235</v>
      </c>
      <c r="AI246" s="6564"/>
      <c r="AJ246" s="1716" t="e">
        <f>IF(V245=0,"",VLOOKUP(V245,'Tablas Magia'!$D$6:$Z$680,4,FALSE))</f>
        <v>#N/A</v>
      </c>
      <c r="AK246" s="398"/>
      <c r="AL246" s="392"/>
    </row>
    <row r="247" spans="1:38" ht="12" customHeight="1" x14ac:dyDescent="0.2">
      <c r="A247" s="392"/>
      <c r="B247" s="800"/>
      <c r="C247" s="6557" t="s">
        <v>1365</v>
      </c>
      <c r="D247" s="6558"/>
      <c r="E247" s="2490" t="e">
        <f>IF(C245=0,"",VLOOKUP(C245,'Tablas Magia'!$D$6:$Z$680,7,FALSE))</f>
        <v>#N/A</v>
      </c>
      <c r="F247" s="2490" t="e">
        <f>IF(C245=0,"",VLOOKUP(C245,'Tablas Magia'!$D$6:$Z$680,11,FALSE))</f>
        <v>#N/A</v>
      </c>
      <c r="G247" s="408" t="e">
        <f>IF(C245=0,"",VLOOKUP(C245,'Tablas Magia'!$D$6:$Z$680,15,FALSE))</f>
        <v>#N/A</v>
      </c>
      <c r="H247" s="6539" t="e">
        <f>IF(C245=0,"",VLOOKUP(C245,'Tablas Magia'!$D$6:$Z$680,19,FALSE))</f>
        <v>#N/A</v>
      </c>
      <c r="I247" s="6540"/>
      <c r="J247" s="6540"/>
      <c r="K247" s="6540"/>
      <c r="L247" s="6540"/>
      <c r="M247" s="6540"/>
      <c r="N247" s="6540"/>
      <c r="O247" s="6540"/>
      <c r="P247" s="6540"/>
      <c r="Q247" s="6541"/>
      <c r="R247" s="398"/>
      <c r="S247" s="392"/>
      <c r="T247" s="392"/>
      <c r="U247" s="800"/>
      <c r="V247" s="6507" t="s">
        <v>1365</v>
      </c>
      <c r="W247" s="6508"/>
      <c r="X247" s="407" t="e">
        <f>IF(V245=0,"",VLOOKUP(V245,'Tablas Magia'!$D$6:$Z$680,7,FALSE))</f>
        <v>#N/A</v>
      </c>
      <c r="Y247" s="407" t="e">
        <f>IF(V245=0,"",VLOOKUP(V245,'Tablas Magia'!$D$6:$Z$680,11,FALSE))</f>
        <v>#N/A</v>
      </c>
      <c r="Z247" s="408" t="e">
        <f>IF(V245=0,"",VLOOKUP(V245,'Tablas Magia'!$D$6:$Z$680,15,FALSE))</f>
        <v>#N/A</v>
      </c>
      <c r="AA247" s="6509" t="e">
        <f>IF(V245=0,"",VLOOKUP(V245,'Tablas Magia'!$D$6:$Z$680,19,FALSE))</f>
        <v>#N/A</v>
      </c>
      <c r="AB247" s="6510"/>
      <c r="AC247" s="6510"/>
      <c r="AD247" s="6510"/>
      <c r="AE247" s="6510"/>
      <c r="AF247" s="6510"/>
      <c r="AG247" s="6510"/>
      <c r="AH247" s="6510"/>
      <c r="AI247" s="6510"/>
      <c r="AJ247" s="6511"/>
      <c r="AK247" s="398"/>
      <c r="AL247" s="392"/>
    </row>
    <row r="248" spans="1:38" ht="12" customHeight="1" x14ac:dyDescent="0.2">
      <c r="A248" s="392"/>
      <c r="B248" s="800"/>
      <c r="C248" s="6502" t="s">
        <v>3196</v>
      </c>
      <c r="D248" s="6503"/>
      <c r="E248" s="2491" t="e">
        <f>IF(C245=0,"",VLOOKUP(C245,'Tablas Magia'!$D$6:$Z$680,8,FALSE))</f>
        <v>#N/A</v>
      </c>
      <c r="F248" s="2491" t="e">
        <f>IF(C245=0,"",VLOOKUP(C245,'Tablas Magia'!$D$6:$Z$680,12,FALSE))</f>
        <v>#N/A</v>
      </c>
      <c r="G248" s="410" t="e">
        <f>IF(C245=0,"",VLOOKUP(C245,'Tablas Magia'!$D$6:$Z$680,16,FALSE))</f>
        <v>#N/A</v>
      </c>
      <c r="H248" s="6504" t="e">
        <f>IF(C245=0,"",VLOOKUP(C245,'Tablas Magia'!$D$6:$Z$680,20,FALSE))</f>
        <v>#N/A</v>
      </c>
      <c r="I248" s="6542"/>
      <c r="J248" s="6542"/>
      <c r="K248" s="6542"/>
      <c r="L248" s="6542"/>
      <c r="M248" s="6542"/>
      <c r="N248" s="6542"/>
      <c r="O248" s="6542"/>
      <c r="P248" s="6542"/>
      <c r="Q248" s="6506"/>
      <c r="R248" s="398"/>
      <c r="S248" s="392"/>
      <c r="T248" s="392"/>
      <c r="U248" s="800"/>
      <c r="V248" s="6502" t="s">
        <v>3196</v>
      </c>
      <c r="W248" s="6503"/>
      <c r="X248" s="409" t="e">
        <f>IF(V245=0,"",VLOOKUP(V245,'Tablas Magia'!$D$6:$Z$680,8,FALSE))</f>
        <v>#N/A</v>
      </c>
      <c r="Y248" s="409" t="e">
        <f>IF(V245=0,"",VLOOKUP(V245,'Tablas Magia'!$D$6:$Z$680,12,FALSE))</f>
        <v>#N/A</v>
      </c>
      <c r="Z248" s="410" t="e">
        <f>IF(V245=0,"",VLOOKUP(V245,'Tablas Magia'!$D$6:$Z$680,16,FALSE))</f>
        <v>#N/A</v>
      </c>
      <c r="AA248" s="6504" t="e">
        <f>IF(V245=0,"",VLOOKUP(V245,'Tablas Magia'!$D$6:$Z$680,20,FALSE))</f>
        <v>#N/A</v>
      </c>
      <c r="AB248" s="6505"/>
      <c r="AC248" s="6505"/>
      <c r="AD248" s="6505"/>
      <c r="AE248" s="6505"/>
      <c r="AF248" s="6505"/>
      <c r="AG248" s="6505"/>
      <c r="AH248" s="6505"/>
      <c r="AI248" s="6505"/>
      <c r="AJ248" s="6506"/>
      <c r="AK248" s="398"/>
      <c r="AL248" s="392"/>
    </row>
    <row r="249" spans="1:38" ht="12" customHeight="1" x14ac:dyDescent="0.2">
      <c r="A249" s="392"/>
      <c r="B249" s="800"/>
      <c r="C249" s="6507" t="s">
        <v>3197</v>
      </c>
      <c r="D249" s="6508"/>
      <c r="E249" s="2490" t="e">
        <f>IF(C245=0,"",VLOOKUP(C245,'Tablas Magia'!$D$6:$Z$680,9,FALSE))</f>
        <v>#N/A</v>
      </c>
      <c r="F249" s="2490" t="e">
        <f>IF(C245=0,"",VLOOKUP(C245,'Tablas Magia'!$D$6:$Z$680,13,FALSE))</f>
        <v>#N/A</v>
      </c>
      <c r="G249" s="408" t="e">
        <f>IF(C245=0,"",VLOOKUP(C245,'Tablas Magia'!$D$6:$Z$680,17,FALSE))</f>
        <v>#N/A</v>
      </c>
      <c r="H249" s="6509" t="e">
        <f>IF(C245=0,"",VLOOKUP(C245,'Tablas Magia'!$D$6:$Z$680,21,FALSE))</f>
        <v>#N/A</v>
      </c>
      <c r="I249" s="6552"/>
      <c r="J249" s="6552"/>
      <c r="K249" s="6552"/>
      <c r="L249" s="6552"/>
      <c r="M249" s="6552"/>
      <c r="N249" s="6552"/>
      <c r="O249" s="6552"/>
      <c r="P249" s="6552"/>
      <c r="Q249" s="6511"/>
      <c r="R249" s="398"/>
      <c r="S249" s="392"/>
      <c r="T249" s="392"/>
      <c r="U249" s="800"/>
      <c r="V249" s="6507" t="s">
        <v>3197</v>
      </c>
      <c r="W249" s="6508"/>
      <c r="X249" s="407" t="e">
        <f>IF(V245=0,"",VLOOKUP(V245,'Tablas Magia'!$D$6:$Z$680,9,FALSE))</f>
        <v>#N/A</v>
      </c>
      <c r="Y249" s="407" t="e">
        <f>IF(V245=0,"",VLOOKUP(V245,'Tablas Magia'!$D$6:$Z$680,13,FALSE))</f>
        <v>#N/A</v>
      </c>
      <c r="Z249" s="408" t="e">
        <f>IF(V245=0,"",VLOOKUP(V245,'Tablas Magia'!$D$6:$Z$680,17,FALSE))</f>
        <v>#N/A</v>
      </c>
      <c r="AA249" s="6509" t="e">
        <f>IF(V245=0,"",VLOOKUP(V245,'Tablas Magia'!$D$6:$Z$680,21,FALSE))</f>
        <v>#N/A</v>
      </c>
      <c r="AB249" s="6510"/>
      <c r="AC249" s="6510"/>
      <c r="AD249" s="6510"/>
      <c r="AE249" s="6510"/>
      <c r="AF249" s="6510"/>
      <c r="AG249" s="6510"/>
      <c r="AH249" s="6510"/>
      <c r="AI249" s="6510"/>
      <c r="AJ249" s="6511"/>
      <c r="AK249" s="398"/>
      <c r="AL249" s="392"/>
    </row>
    <row r="250" spans="1:38" ht="12" customHeight="1" thickBot="1" x14ac:dyDescent="0.25">
      <c r="A250" s="392"/>
      <c r="B250" s="800"/>
      <c r="C250" s="6512" t="s">
        <v>3198</v>
      </c>
      <c r="D250" s="6513"/>
      <c r="E250" s="411" t="e">
        <f>IF(C245=0,"",VLOOKUP(C245,'Tablas Magia'!$D$6:$Z$680,10,FALSE))</f>
        <v>#N/A</v>
      </c>
      <c r="F250" s="411" t="e">
        <f>IF(C245=0,"",VLOOKUP(C245,'Tablas Magia'!$D$6:$Z$680,14,FALSE))</f>
        <v>#N/A</v>
      </c>
      <c r="G250" s="412" t="e">
        <f>IF(C245=0,"",VLOOKUP(C245,'Tablas Magia'!$D$6:$Z$680,18,FALSE))</f>
        <v>#N/A</v>
      </c>
      <c r="H250" s="6514" t="e">
        <f>IF(C245=0,"",VLOOKUP(C245,'Tablas Magia'!$D$6:$Z$680,22,FALSE))</f>
        <v>#N/A</v>
      </c>
      <c r="I250" s="6515"/>
      <c r="J250" s="6515"/>
      <c r="K250" s="6515"/>
      <c r="L250" s="6515"/>
      <c r="M250" s="6515"/>
      <c r="N250" s="6515"/>
      <c r="O250" s="6515"/>
      <c r="P250" s="6515"/>
      <c r="Q250" s="6516"/>
      <c r="R250" s="398"/>
      <c r="S250" s="392"/>
      <c r="T250" s="392"/>
      <c r="U250" s="800"/>
      <c r="V250" s="6512" t="s">
        <v>3198</v>
      </c>
      <c r="W250" s="6513"/>
      <c r="X250" s="411" t="e">
        <f>IF(V245=0,"",VLOOKUP(V245,'Tablas Magia'!$D$6:$Z$680,10,FALSE))</f>
        <v>#N/A</v>
      </c>
      <c r="Y250" s="411" t="e">
        <f>IF(V245=0,"",VLOOKUP(V245,'Tablas Magia'!$D$6:$Z$680,14,FALSE))</f>
        <v>#N/A</v>
      </c>
      <c r="Z250" s="412" t="e">
        <f>IF(V245=0,"",VLOOKUP(V245,'Tablas Magia'!$D$6:$Z$680,18,FALSE))</f>
        <v>#N/A</v>
      </c>
      <c r="AA250" s="6514" t="e">
        <f>IF(V245=0,"",VLOOKUP(V245,'Tablas Magia'!$D$6:$Z$680,22,FALSE))</f>
        <v>#N/A</v>
      </c>
      <c r="AB250" s="6515"/>
      <c r="AC250" s="6515"/>
      <c r="AD250" s="6515"/>
      <c r="AE250" s="6515"/>
      <c r="AF250" s="6515"/>
      <c r="AG250" s="6515"/>
      <c r="AH250" s="6515"/>
      <c r="AI250" s="6515"/>
      <c r="AJ250" s="6516"/>
      <c r="AK250" s="398"/>
      <c r="AL250" s="392"/>
    </row>
    <row r="251" spans="1:38" ht="12" customHeight="1" x14ac:dyDescent="0.2">
      <c r="A251" s="392"/>
      <c r="B251" s="800"/>
      <c r="C251" s="6517" t="e">
        <f>IF(C245=0,"",VLOOKUP(C245,'Tablas Magia'!$D$6:$Z$680,23,FALSE))</f>
        <v>#N/A</v>
      </c>
      <c r="D251" s="6518"/>
      <c r="E251" s="6518"/>
      <c r="F251" s="6518"/>
      <c r="G251" s="6518"/>
      <c r="H251" s="6518"/>
      <c r="I251" s="6518"/>
      <c r="J251" s="6518"/>
      <c r="K251" s="6518"/>
      <c r="L251" s="6518"/>
      <c r="M251" s="6518"/>
      <c r="N251" s="6518"/>
      <c r="O251" s="6518"/>
      <c r="P251" s="6518"/>
      <c r="Q251" s="6519"/>
      <c r="R251" s="398"/>
      <c r="S251" s="392"/>
      <c r="T251" s="392"/>
      <c r="U251" s="800"/>
      <c r="V251" s="6517" t="e">
        <f>IF(V245=0,"",VLOOKUP(V245,'Tablas Magia'!$D$6:$Z$680,23,FALSE))</f>
        <v>#N/A</v>
      </c>
      <c r="W251" s="6518"/>
      <c r="X251" s="6518"/>
      <c r="Y251" s="6518"/>
      <c r="Z251" s="6518"/>
      <c r="AA251" s="6518"/>
      <c r="AB251" s="6518"/>
      <c r="AC251" s="6518"/>
      <c r="AD251" s="6518"/>
      <c r="AE251" s="6518"/>
      <c r="AF251" s="6518"/>
      <c r="AG251" s="6518"/>
      <c r="AH251" s="6518"/>
      <c r="AI251" s="6518"/>
      <c r="AJ251" s="6519"/>
      <c r="AK251" s="398"/>
      <c r="AL251" s="392"/>
    </row>
    <row r="252" spans="1:38" ht="12" customHeight="1" x14ac:dyDescent="0.2">
      <c r="A252" s="392"/>
      <c r="B252" s="800"/>
      <c r="C252" s="6520"/>
      <c r="D252" s="6543"/>
      <c r="E252" s="6543"/>
      <c r="F252" s="6543"/>
      <c r="G252" s="6543"/>
      <c r="H252" s="6543"/>
      <c r="I252" s="6543"/>
      <c r="J252" s="6543"/>
      <c r="K252" s="6543"/>
      <c r="L252" s="6543"/>
      <c r="M252" s="6543"/>
      <c r="N252" s="6543"/>
      <c r="O252" s="6543"/>
      <c r="P252" s="6543"/>
      <c r="Q252" s="6522"/>
      <c r="R252" s="398"/>
      <c r="S252" s="392"/>
      <c r="T252" s="392"/>
      <c r="U252" s="800"/>
      <c r="V252" s="6520"/>
      <c r="W252" s="6521"/>
      <c r="X252" s="6521"/>
      <c r="Y252" s="6521"/>
      <c r="Z252" s="6521"/>
      <c r="AA252" s="6521"/>
      <c r="AB252" s="6521"/>
      <c r="AC252" s="6521"/>
      <c r="AD252" s="6521"/>
      <c r="AE252" s="6521"/>
      <c r="AF252" s="6521"/>
      <c r="AG252" s="6521"/>
      <c r="AH252" s="6521"/>
      <c r="AI252" s="6521"/>
      <c r="AJ252" s="6522"/>
      <c r="AK252" s="398"/>
      <c r="AL252" s="392"/>
    </row>
    <row r="253" spans="1:38" ht="12" customHeight="1" x14ac:dyDescent="0.2">
      <c r="A253" s="392"/>
      <c r="B253" s="800"/>
      <c r="C253" s="6520"/>
      <c r="D253" s="6543"/>
      <c r="E253" s="6543"/>
      <c r="F253" s="6543"/>
      <c r="G253" s="6543"/>
      <c r="H253" s="6543"/>
      <c r="I253" s="6543"/>
      <c r="J253" s="6543"/>
      <c r="K253" s="6543"/>
      <c r="L253" s="6543"/>
      <c r="M253" s="6543"/>
      <c r="N253" s="6543"/>
      <c r="O253" s="6543"/>
      <c r="P253" s="6543"/>
      <c r="Q253" s="6522"/>
      <c r="R253" s="398"/>
      <c r="S253" s="392"/>
      <c r="T253" s="392"/>
      <c r="U253" s="800"/>
      <c r="V253" s="6520"/>
      <c r="W253" s="6521"/>
      <c r="X253" s="6521"/>
      <c r="Y253" s="6521"/>
      <c r="Z253" s="6521"/>
      <c r="AA253" s="6521"/>
      <c r="AB253" s="6521"/>
      <c r="AC253" s="6521"/>
      <c r="AD253" s="6521"/>
      <c r="AE253" s="6521"/>
      <c r="AF253" s="6521"/>
      <c r="AG253" s="6521"/>
      <c r="AH253" s="6521"/>
      <c r="AI253" s="6521"/>
      <c r="AJ253" s="6522"/>
      <c r="AK253" s="398"/>
      <c r="AL253" s="392"/>
    </row>
    <row r="254" spans="1:38" ht="12" customHeight="1" thickBot="1" x14ac:dyDescent="0.25">
      <c r="A254" s="392"/>
      <c r="B254" s="800"/>
      <c r="C254" s="6523"/>
      <c r="D254" s="6524"/>
      <c r="E254" s="6524"/>
      <c r="F254" s="6524"/>
      <c r="G254" s="6524"/>
      <c r="H254" s="6524"/>
      <c r="I254" s="6524"/>
      <c r="J254" s="6524"/>
      <c r="K254" s="6524"/>
      <c r="L254" s="6524"/>
      <c r="M254" s="6524"/>
      <c r="N254" s="6524"/>
      <c r="O254" s="6524"/>
      <c r="P254" s="6524"/>
      <c r="Q254" s="6525"/>
      <c r="R254" s="398"/>
      <c r="S254" s="392"/>
      <c r="T254" s="392"/>
      <c r="U254" s="800"/>
      <c r="V254" s="6523"/>
      <c r="W254" s="6524"/>
      <c r="X254" s="6524"/>
      <c r="Y254" s="6524"/>
      <c r="Z254" s="6524"/>
      <c r="AA254" s="6524"/>
      <c r="AB254" s="6524"/>
      <c r="AC254" s="6524"/>
      <c r="AD254" s="6524"/>
      <c r="AE254" s="6524"/>
      <c r="AF254" s="6524"/>
      <c r="AG254" s="6524"/>
      <c r="AH254" s="6524"/>
      <c r="AI254" s="6524"/>
      <c r="AJ254" s="6525"/>
      <c r="AK254" s="398"/>
      <c r="AL254" s="392"/>
    </row>
    <row r="255" spans="1:38" ht="12" customHeight="1" thickBot="1" x14ac:dyDescent="0.25">
      <c r="A255" s="392"/>
      <c r="B255" s="800"/>
      <c r="C255" s="2499"/>
      <c r="D255" s="2499"/>
      <c r="E255" s="2491"/>
      <c r="F255" s="2491"/>
      <c r="G255" s="2491"/>
      <c r="H255" s="2500"/>
      <c r="I255" s="2500"/>
      <c r="J255" s="2500"/>
      <c r="K255" s="2500"/>
      <c r="L255" s="2500"/>
      <c r="M255" s="2500"/>
      <c r="N255" s="2500"/>
      <c r="O255" s="2500"/>
      <c r="P255" s="2500"/>
      <c r="Q255" s="2500"/>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59" t="str">
        <f>IFERROR(VLOOKUP($J$6&amp;B256,'Tablas Magia'!$B$6:$D$680,3,FALSE),IFERROR(VLOOKUP($J$8&amp;B256,'Tablas Magia'!$B$6:$D$680,3,FALSE),IFERROR(VLOOKUP($J$6&amp;B256,Místicos!$AD$12:$AJ$50,4,FALSE),"Libre Acceso 1-"&amp;ROUNDUP(B256/10,0)*10)))</f>
        <v>Libre Acceso 1-70</v>
      </c>
      <c r="D256" s="6560"/>
      <c r="E256" s="6560"/>
      <c r="F256" s="6560"/>
      <c r="G256" s="6561"/>
      <c r="H256" s="402" t="s">
        <v>1325</v>
      </c>
      <c r="I256" s="403">
        <f>B256</f>
        <v>70</v>
      </c>
      <c r="J256" s="6544" t="s">
        <v>6231</v>
      </c>
      <c r="K256" s="6544"/>
      <c r="L256" s="6544"/>
      <c r="M256" s="6529" t="e">
        <f>IF(C256=0,"",VLOOKUP(C256,'Tablas Magia'!$D$6:$Z$680,2,FALSE))</f>
        <v>#N/A</v>
      </c>
      <c r="N256" s="6529"/>
      <c r="O256" s="1705"/>
      <c r="P256" s="6550" t="str">
        <f>IFERROR(IF(M256="Libre Acceso","Aprendido",IF(IFERROR(VLOOKUP(M256,Místicos!$C$15:$H$25,6,0)&gt;=I256,FALSE),"Aprendido",IF(IFERROR(VLOOKUP(M256,Místicos!$E$15:$H$25,4,0)&gt;=I256,FALSE),"Aprendido",""))),"")</f>
        <v/>
      </c>
      <c r="Q256" s="6551"/>
      <c r="R256" s="398"/>
      <c r="S256" s="392"/>
      <c r="T256" s="392"/>
      <c r="U256" s="800">
        <f>U245+2</f>
        <v>80</v>
      </c>
      <c r="V256" s="6559" t="str">
        <f>IFERROR(VLOOKUP($J$6&amp;U256,'Tablas Magia'!$B$6:$D$680,3,FALSE),IFERROR(VLOOKUP($J$8&amp;U256,'Tablas Magia'!$B$6:$D$680,3,FALSE),IFERROR(VLOOKUP($J$6&amp;U256,Místicos!$AD$12:$AJ$50,4,FALSE),"Libre Acceso 1-"&amp;ROUNDUP(U256/10,0)*10)))</f>
        <v>Libre Acceso 1-80</v>
      </c>
      <c r="W256" s="6560"/>
      <c r="X256" s="6560"/>
      <c r="Y256" s="6560"/>
      <c r="Z256" s="6561"/>
      <c r="AA256" s="402" t="s">
        <v>1325</v>
      </c>
      <c r="AB256" s="403">
        <f>U256</f>
        <v>80</v>
      </c>
      <c r="AC256" s="6544" t="s">
        <v>6231</v>
      </c>
      <c r="AD256" s="6544"/>
      <c r="AE256" s="6544"/>
      <c r="AF256" s="6529" t="e">
        <f>IF(V256=0,"",VLOOKUP(V256,'Tablas Magia'!$D$6:$Z$680,2,FALSE))</f>
        <v>#N/A</v>
      </c>
      <c r="AG256" s="6529"/>
      <c r="AH256" s="1705"/>
      <c r="AI256" s="6550" t="str">
        <f>IFERROR(IF(AF256="Libre Acceso","Aprendido",IF(IFERROR(VLOOKUP(AF256,Místicos!$C$15:$H$25,6,0)&gt;=AB256,FALSE),"Aprendido",IF(IFERROR(VLOOKUP(AF256,Místicos!$E$15:$H$25,4,0)&gt;=AB256,FALSE),"Aprendido",""))),"")</f>
        <v/>
      </c>
      <c r="AJ256" s="6551"/>
      <c r="AK256" s="398"/>
      <c r="AL256" s="392"/>
    </row>
    <row r="257" spans="1:38" ht="12" customHeight="1" x14ac:dyDescent="0.2">
      <c r="A257" s="392"/>
      <c r="B257" s="800"/>
      <c r="C257" s="6531" t="s">
        <v>6232</v>
      </c>
      <c r="D257" s="6545"/>
      <c r="E257" s="2487" t="s">
        <v>6233</v>
      </c>
      <c r="F257" s="2487" t="s">
        <v>1508</v>
      </c>
      <c r="G257" s="2487" t="s">
        <v>2827</v>
      </c>
      <c r="H257" s="2488" t="s">
        <v>1835</v>
      </c>
      <c r="I257" s="6553" t="e">
        <f>IF(C256=0,"",VLOOKUP(C256,'Tablas Magia'!$D$6:$Z$680,5,FALSE))</f>
        <v>#N/A</v>
      </c>
      <c r="J257" s="6553"/>
      <c r="K257" s="6556" t="s">
        <v>6234</v>
      </c>
      <c r="L257" s="6556"/>
      <c r="M257" s="6553" t="e">
        <f>IF(C256=0,"",VLOOKUP(C256,'Tablas Magia'!$D$6:$Z$680,6,FALSE))</f>
        <v>#N/A</v>
      </c>
      <c r="N257" s="6553"/>
      <c r="O257" s="6554" t="s">
        <v>6235</v>
      </c>
      <c r="P257" s="6554"/>
      <c r="Q257" s="2489" t="e">
        <f>IF(C256=0,"",VLOOKUP(C256,'Tablas Magia'!$D$6:$Z$680,4,FALSE))</f>
        <v>#N/A</v>
      </c>
      <c r="R257" s="398"/>
      <c r="S257" s="392"/>
      <c r="T257" s="392"/>
      <c r="U257" s="800"/>
      <c r="V257" s="6531" t="s">
        <v>6232</v>
      </c>
      <c r="W257" s="6562"/>
      <c r="X257" s="1714" t="s">
        <v>6233</v>
      </c>
      <c r="Y257" s="1714" t="s">
        <v>1508</v>
      </c>
      <c r="Z257" s="1714" t="s">
        <v>2827</v>
      </c>
      <c r="AA257" s="1715" t="s">
        <v>1835</v>
      </c>
      <c r="AB257" s="6549" t="e">
        <f>IF(V256=0,"",VLOOKUP(V256,'Tablas Magia'!$D$6:$Z$680,5,FALSE))</f>
        <v>#N/A</v>
      </c>
      <c r="AC257" s="6549"/>
      <c r="AD257" s="6563" t="s">
        <v>6234</v>
      </c>
      <c r="AE257" s="6563"/>
      <c r="AF257" s="6549" t="e">
        <f>IF(V256=0,"",VLOOKUP(V256,'Tablas Magia'!$D$6:$Z$680,6,FALSE))</f>
        <v>#N/A</v>
      </c>
      <c r="AG257" s="6549"/>
      <c r="AH257" s="6564" t="s">
        <v>6235</v>
      </c>
      <c r="AI257" s="6564"/>
      <c r="AJ257" s="1716" t="e">
        <f>IF(V256=0,"",VLOOKUP(V256,'Tablas Magia'!$D$6:$Z$680,4,FALSE))</f>
        <v>#N/A</v>
      </c>
      <c r="AK257" s="398"/>
      <c r="AL257" s="392"/>
    </row>
    <row r="258" spans="1:38" ht="12" customHeight="1" x14ac:dyDescent="0.2">
      <c r="A258" s="392"/>
      <c r="B258" s="800"/>
      <c r="C258" s="6557" t="s">
        <v>1365</v>
      </c>
      <c r="D258" s="6558"/>
      <c r="E258" s="2490" t="e">
        <f>IF(C256=0,"",VLOOKUP(C256,'Tablas Magia'!$D$6:$Z$680,7,FALSE))</f>
        <v>#N/A</v>
      </c>
      <c r="F258" s="2490" t="e">
        <f>IF(C256=0,"",VLOOKUP(C256,'Tablas Magia'!$D$6:$Z$680,11,FALSE))</f>
        <v>#N/A</v>
      </c>
      <c r="G258" s="408" t="e">
        <f>IF(C256=0,"",VLOOKUP(C256,'Tablas Magia'!$D$6:$Z$680,15,FALSE))</f>
        <v>#N/A</v>
      </c>
      <c r="H258" s="6539" t="e">
        <f>IF(C256=0,"",VLOOKUP(C256,'Tablas Magia'!$D$6:$Z$680,19,FALSE))</f>
        <v>#N/A</v>
      </c>
      <c r="I258" s="6540"/>
      <c r="J258" s="6540"/>
      <c r="K258" s="6540"/>
      <c r="L258" s="6540"/>
      <c r="M258" s="6540"/>
      <c r="N258" s="6540"/>
      <c r="O258" s="6540"/>
      <c r="P258" s="6540"/>
      <c r="Q258" s="6541"/>
      <c r="R258" s="398"/>
      <c r="S258" s="392"/>
      <c r="T258" s="392"/>
      <c r="U258" s="800"/>
      <c r="V258" s="6507" t="s">
        <v>1365</v>
      </c>
      <c r="W258" s="6508"/>
      <c r="X258" s="407" t="e">
        <f>IF(V256=0,"",VLOOKUP(V256,'Tablas Magia'!$D$6:$Z$680,7,FALSE))</f>
        <v>#N/A</v>
      </c>
      <c r="Y258" s="407" t="e">
        <f>IF(V256=0,"",VLOOKUP(V256,'Tablas Magia'!$D$6:$Z$680,11,FALSE))</f>
        <v>#N/A</v>
      </c>
      <c r="Z258" s="408" t="e">
        <f>IF(V256=0,"",VLOOKUP(V256,'Tablas Magia'!$D$6:$Z$680,15,FALSE))</f>
        <v>#N/A</v>
      </c>
      <c r="AA258" s="6509" t="e">
        <f>IF(V256=0,"",VLOOKUP(V256,'Tablas Magia'!$D$6:$Z$680,19,FALSE))</f>
        <v>#N/A</v>
      </c>
      <c r="AB258" s="6510"/>
      <c r="AC258" s="6510"/>
      <c r="AD258" s="6510"/>
      <c r="AE258" s="6510"/>
      <c r="AF258" s="6510"/>
      <c r="AG258" s="6510"/>
      <c r="AH258" s="6510"/>
      <c r="AI258" s="6510"/>
      <c r="AJ258" s="6511"/>
      <c r="AK258" s="398"/>
      <c r="AL258" s="392"/>
    </row>
    <row r="259" spans="1:38" ht="12" customHeight="1" x14ac:dyDescent="0.2">
      <c r="A259" s="392"/>
      <c r="B259" s="800"/>
      <c r="C259" s="6502" t="s">
        <v>3196</v>
      </c>
      <c r="D259" s="6503"/>
      <c r="E259" s="2491" t="e">
        <f>IF(C256=0,"",VLOOKUP(C256,'Tablas Magia'!$D$6:$Z$680,8,FALSE))</f>
        <v>#N/A</v>
      </c>
      <c r="F259" s="2491" t="e">
        <f>IF(C256=0,"",VLOOKUP(C256,'Tablas Magia'!$D$6:$Z$680,12,FALSE))</f>
        <v>#N/A</v>
      </c>
      <c r="G259" s="410" t="e">
        <f>IF(C256=0,"",VLOOKUP(C256,'Tablas Magia'!$D$6:$Z$680,16,FALSE))</f>
        <v>#N/A</v>
      </c>
      <c r="H259" s="6504" t="e">
        <f>IF(C256=0,"",VLOOKUP(C256,'Tablas Magia'!$D$6:$Z$680,20,FALSE))</f>
        <v>#N/A</v>
      </c>
      <c r="I259" s="6542"/>
      <c r="J259" s="6542"/>
      <c r="K259" s="6542"/>
      <c r="L259" s="6542"/>
      <c r="M259" s="6542"/>
      <c r="N259" s="6542"/>
      <c r="O259" s="6542"/>
      <c r="P259" s="6542"/>
      <c r="Q259" s="6506"/>
      <c r="R259" s="398"/>
      <c r="S259" s="392"/>
      <c r="T259" s="392"/>
      <c r="U259" s="800"/>
      <c r="V259" s="6502" t="s">
        <v>3196</v>
      </c>
      <c r="W259" s="6503"/>
      <c r="X259" s="409" t="e">
        <f>IF(V256=0,"",VLOOKUP(V256,'Tablas Magia'!$D$6:$Z$680,8,FALSE))</f>
        <v>#N/A</v>
      </c>
      <c r="Y259" s="409" t="e">
        <f>IF(V256=0,"",VLOOKUP(V256,'Tablas Magia'!$D$6:$Z$680,12,FALSE))</f>
        <v>#N/A</v>
      </c>
      <c r="Z259" s="410" t="e">
        <f>IF(V256=0,"",VLOOKUP(V256,'Tablas Magia'!$D$6:$Z$680,16,FALSE))</f>
        <v>#N/A</v>
      </c>
      <c r="AA259" s="6504" t="e">
        <f>IF(V256=0,"",VLOOKUP(V256,'Tablas Magia'!$D$6:$Z$680,20,FALSE))</f>
        <v>#N/A</v>
      </c>
      <c r="AB259" s="6505"/>
      <c r="AC259" s="6505"/>
      <c r="AD259" s="6505"/>
      <c r="AE259" s="6505"/>
      <c r="AF259" s="6505"/>
      <c r="AG259" s="6505"/>
      <c r="AH259" s="6505"/>
      <c r="AI259" s="6505"/>
      <c r="AJ259" s="6506"/>
      <c r="AK259" s="398"/>
      <c r="AL259" s="392"/>
    </row>
    <row r="260" spans="1:38" ht="12" customHeight="1" x14ac:dyDescent="0.2">
      <c r="A260" s="392"/>
      <c r="B260" s="800"/>
      <c r="C260" s="6507" t="s">
        <v>3197</v>
      </c>
      <c r="D260" s="6508"/>
      <c r="E260" s="2490" t="e">
        <f>IF(C256=0,"",VLOOKUP(C256,'Tablas Magia'!$D$6:$Z$680,9,FALSE))</f>
        <v>#N/A</v>
      </c>
      <c r="F260" s="2490" t="e">
        <f>IF(C256=0,"",VLOOKUP(C256,'Tablas Magia'!$D$6:$Z$680,13,FALSE))</f>
        <v>#N/A</v>
      </c>
      <c r="G260" s="408" t="e">
        <f>IF(C256=0,"",VLOOKUP(C256,'Tablas Magia'!$D$6:$Z$680,17,FALSE))</f>
        <v>#N/A</v>
      </c>
      <c r="H260" s="6509" t="e">
        <f>IF(C256=0,"",VLOOKUP(C256,'Tablas Magia'!$D$6:$Z$680,21,FALSE))</f>
        <v>#N/A</v>
      </c>
      <c r="I260" s="6552"/>
      <c r="J260" s="6552"/>
      <c r="K260" s="6552"/>
      <c r="L260" s="6552"/>
      <c r="M260" s="6552"/>
      <c r="N260" s="6552"/>
      <c r="O260" s="6552"/>
      <c r="P260" s="6552"/>
      <c r="Q260" s="6511"/>
      <c r="R260" s="398"/>
      <c r="S260" s="392"/>
      <c r="T260" s="392"/>
      <c r="U260" s="800"/>
      <c r="V260" s="6507" t="s">
        <v>3197</v>
      </c>
      <c r="W260" s="6508"/>
      <c r="X260" s="407" t="e">
        <f>IF(V256=0,"",VLOOKUP(V256,'Tablas Magia'!$D$6:$Z$680,9,FALSE))</f>
        <v>#N/A</v>
      </c>
      <c r="Y260" s="407" t="e">
        <f>IF(V256=0,"",VLOOKUP(V256,'Tablas Magia'!$D$6:$Z$680,13,FALSE))</f>
        <v>#N/A</v>
      </c>
      <c r="Z260" s="408" t="e">
        <f>IF(V256=0,"",VLOOKUP(V256,'Tablas Magia'!$D$6:$Z$680,17,FALSE))</f>
        <v>#N/A</v>
      </c>
      <c r="AA260" s="6509" t="e">
        <f>IF(V256=0,"",VLOOKUP(V256,'Tablas Magia'!$D$6:$Z$680,21,FALSE))</f>
        <v>#N/A</v>
      </c>
      <c r="AB260" s="6510"/>
      <c r="AC260" s="6510"/>
      <c r="AD260" s="6510"/>
      <c r="AE260" s="6510"/>
      <c r="AF260" s="6510"/>
      <c r="AG260" s="6510"/>
      <c r="AH260" s="6510"/>
      <c r="AI260" s="6510"/>
      <c r="AJ260" s="6511"/>
      <c r="AK260" s="398"/>
      <c r="AL260" s="392"/>
    </row>
    <row r="261" spans="1:38" ht="12" customHeight="1" thickBot="1" x14ac:dyDescent="0.25">
      <c r="A261" s="392"/>
      <c r="B261" s="800"/>
      <c r="C261" s="6512" t="s">
        <v>3198</v>
      </c>
      <c r="D261" s="6513"/>
      <c r="E261" s="411" t="e">
        <f>IF(C256=0,"",VLOOKUP(C256,'Tablas Magia'!$D$6:$Z$680,10,FALSE))</f>
        <v>#N/A</v>
      </c>
      <c r="F261" s="411" t="e">
        <f>IF(C256=0,"",VLOOKUP(C256,'Tablas Magia'!$D$6:$Z$680,14,FALSE))</f>
        <v>#N/A</v>
      </c>
      <c r="G261" s="412" t="e">
        <f>IF(C256=0,"",VLOOKUP(C256,'Tablas Magia'!$D$6:$Z$680,18,FALSE))</f>
        <v>#N/A</v>
      </c>
      <c r="H261" s="6514" t="e">
        <f>IF(C256=0,"",VLOOKUP(C256,'Tablas Magia'!$D$6:$Z$680,22,FALSE))</f>
        <v>#N/A</v>
      </c>
      <c r="I261" s="6515"/>
      <c r="J261" s="6515"/>
      <c r="K261" s="6515"/>
      <c r="L261" s="6515"/>
      <c r="M261" s="6515"/>
      <c r="N261" s="6515"/>
      <c r="O261" s="6515"/>
      <c r="P261" s="6515"/>
      <c r="Q261" s="6516"/>
      <c r="R261" s="398"/>
      <c r="S261" s="392"/>
      <c r="T261" s="392"/>
      <c r="U261" s="800"/>
      <c r="V261" s="6512" t="s">
        <v>3198</v>
      </c>
      <c r="W261" s="6513"/>
      <c r="X261" s="411" t="e">
        <f>IF(V256=0,"",VLOOKUP(V256,'Tablas Magia'!$D$6:$Z$680,10,FALSE))</f>
        <v>#N/A</v>
      </c>
      <c r="Y261" s="411" t="e">
        <f>IF(V256=0,"",VLOOKUP(V256,'Tablas Magia'!$D$6:$Z$680,14,FALSE))</f>
        <v>#N/A</v>
      </c>
      <c r="Z261" s="412" t="e">
        <f>IF(V256=0,"",VLOOKUP(V256,'Tablas Magia'!$D$6:$Z$680,18,FALSE))</f>
        <v>#N/A</v>
      </c>
      <c r="AA261" s="6514" t="e">
        <f>IF(V256=0,"",VLOOKUP(V256,'Tablas Magia'!$D$6:$Z$680,22,FALSE))</f>
        <v>#N/A</v>
      </c>
      <c r="AB261" s="6515"/>
      <c r="AC261" s="6515"/>
      <c r="AD261" s="6515"/>
      <c r="AE261" s="6515"/>
      <c r="AF261" s="6515"/>
      <c r="AG261" s="6515"/>
      <c r="AH261" s="6515"/>
      <c r="AI261" s="6515"/>
      <c r="AJ261" s="6516"/>
      <c r="AK261" s="398"/>
      <c r="AL261" s="392"/>
    </row>
    <row r="262" spans="1:38" ht="12" customHeight="1" x14ac:dyDescent="0.2">
      <c r="A262" s="392"/>
      <c r="B262" s="800"/>
      <c r="C262" s="6517" t="e">
        <f>IF(C256=0,"",VLOOKUP(C256,'Tablas Magia'!$D$6:$Z$680,23,FALSE))</f>
        <v>#N/A</v>
      </c>
      <c r="D262" s="6518"/>
      <c r="E262" s="6518"/>
      <c r="F262" s="6518"/>
      <c r="G262" s="6518"/>
      <c r="H262" s="6518"/>
      <c r="I262" s="6518"/>
      <c r="J262" s="6518"/>
      <c r="K262" s="6518"/>
      <c r="L262" s="6518"/>
      <c r="M262" s="6518"/>
      <c r="N262" s="6518"/>
      <c r="O262" s="6518"/>
      <c r="P262" s="6518"/>
      <c r="Q262" s="6519"/>
      <c r="R262" s="398"/>
      <c r="S262" s="392"/>
      <c r="T262" s="392"/>
      <c r="U262" s="800"/>
      <c r="V262" s="6517" t="e">
        <f>IF(V256=0,"",VLOOKUP(V256,'Tablas Magia'!$D$6:$Z$680,23,FALSE))</f>
        <v>#N/A</v>
      </c>
      <c r="W262" s="6518"/>
      <c r="X262" s="6518"/>
      <c r="Y262" s="6518"/>
      <c r="Z262" s="6518"/>
      <c r="AA262" s="6518"/>
      <c r="AB262" s="6518"/>
      <c r="AC262" s="6518"/>
      <c r="AD262" s="6518"/>
      <c r="AE262" s="6518"/>
      <c r="AF262" s="6518"/>
      <c r="AG262" s="6518"/>
      <c r="AH262" s="6518"/>
      <c r="AI262" s="6518"/>
      <c r="AJ262" s="6519"/>
      <c r="AK262" s="398"/>
      <c r="AL262" s="392"/>
    </row>
    <row r="263" spans="1:38" ht="12" customHeight="1" x14ac:dyDescent="0.2">
      <c r="A263" s="392"/>
      <c r="B263" s="800"/>
      <c r="C263" s="6520"/>
      <c r="D263" s="6543"/>
      <c r="E263" s="6543"/>
      <c r="F263" s="6543"/>
      <c r="G263" s="6543"/>
      <c r="H263" s="6543"/>
      <c r="I263" s="6543"/>
      <c r="J263" s="6543"/>
      <c r="K263" s="6543"/>
      <c r="L263" s="6543"/>
      <c r="M263" s="6543"/>
      <c r="N263" s="6543"/>
      <c r="O263" s="6543"/>
      <c r="P263" s="6543"/>
      <c r="Q263" s="6522"/>
      <c r="R263" s="398"/>
      <c r="S263" s="392"/>
      <c r="T263" s="392"/>
      <c r="U263" s="800"/>
      <c r="V263" s="6520"/>
      <c r="W263" s="6521"/>
      <c r="X263" s="6521"/>
      <c r="Y263" s="6521"/>
      <c r="Z263" s="6521"/>
      <c r="AA263" s="6521"/>
      <c r="AB263" s="6521"/>
      <c r="AC263" s="6521"/>
      <c r="AD263" s="6521"/>
      <c r="AE263" s="6521"/>
      <c r="AF263" s="6521"/>
      <c r="AG263" s="6521"/>
      <c r="AH263" s="6521"/>
      <c r="AI263" s="6521"/>
      <c r="AJ263" s="6522"/>
      <c r="AK263" s="398"/>
      <c r="AL263" s="392"/>
    </row>
    <row r="264" spans="1:38" ht="12" customHeight="1" x14ac:dyDescent="0.2">
      <c r="A264" s="392"/>
      <c r="B264" s="800"/>
      <c r="C264" s="6520"/>
      <c r="D264" s="6543"/>
      <c r="E264" s="6543"/>
      <c r="F264" s="6543"/>
      <c r="G264" s="6543"/>
      <c r="H264" s="6543"/>
      <c r="I264" s="6543"/>
      <c r="J264" s="6543"/>
      <c r="K264" s="6543"/>
      <c r="L264" s="6543"/>
      <c r="M264" s="6543"/>
      <c r="N264" s="6543"/>
      <c r="O264" s="6543"/>
      <c r="P264" s="6543"/>
      <c r="Q264" s="6522"/>
      <c r="R264" s="398"/>
      <c r="S264" s="392"/>
      <c r="T264" s="392"/>
      <c r="U264" s="800"/>
      <c r="V264" s="6520"/>
      <c r="W264" s="6521"/>
      <c r="X264" s="6521"/>
      <c r="Y264" s="6521"/>
      <c r="Z264" s="6521"/>
      <c r="AA264" s="6521"/>
      <c r="AB264" s="6521"/>
      <c r="AC264" s="6521"/>
      <c r="AD264" s="6521"/>
      <c r="AE264" s="6521"/>
      <c r="AF264" s="6521"/>
      <c r="AG264" s="6521"/>
      <c r="AH264" s="6521"/>
      <c r="AI264" s="6521"/>
      <c r="AJ264" s="6522"/>
      <c r="AK264" s="398"/>
      <c r="AL264" s="392"/>
    </row>
    <row r="265" spans="1:38" ht="12" customHeight="1" thickBot="1" x14ac:dyDescent="0.25">
      <c r="A265" s="392"/>
      <c r="B265" s="800"/>
      <c r="C265" s="6523"/>
      <c r="D265" s="6524"/>
      <c r="E265" s="6524"/>
      <c r="F265" s="6524"/>
      <c r="G265" s="6524"/>
      <c r="H265" s="6524"/>
      <c r="I265" s="6524"/>
      <c r="J265" s="6524"/>
      <c r="K265" s="6524"/>
      <c r="L265" s="6524"/>
      <c r="M265" s="6524"/>
      <c r="N265" s="6524"/>
      <c r="O265" s="6524"/>
      <c r="P265" s="6524"/>
      <c r="Q265" s="6525"/>
      <c r="R265" s="398"/>
      <c r="S265" s="392"/>
      <c r="T265" s="392"/>
      <c r="U265" s="800"/>
      <c r="V265" s="6523"/>
      <c r="W265" s="6524"/>
      <c r="X265" s="6524"/>
      <c r="Y265" s="6524"/>
      <c r="Z265" s="6524"/>
      <c r="AA265" s="6524"/>
      <c r="AB265" s="6524"/>
      <c r="AC265" s="6524"/>
      <c r="AD265" s="6524"/>
      <c r="AE265" s="6524"/>
      <c r="AF265" s="6524"/>
      <c r="AG265" s="6524"/>
      <c r="AH265" s="6524"/>
      <c r="AI265" s="6524"/>
      <c r="AJ265" s="6525"/>
      <c r="AK265" s="398"/>
      <c r="AL265" s="392"/>
    </row>
    <row r="266" spans="1:38" ht="12" customHeight="1" x14ac:dyDescent="0.2">
      <c r="A266" s="2505"/>
      <c r="B266" s="800"/>
      <c r="C266" s="2511"/>
      <c r="D266" s="2511"/>
      <c r="E266" s="2511"/>
      <c r="F266" s="2511"/>
      <c r="G266" s="2511"/>
      <c r="H266" s="2511"/>
      <c r="I266" s="2511"/>
      <c r="J266" s="2511"/>
      <c r="K266" s="2511"/>
      <c r="L266" s="2511"/>
      <c r="M266" s="2511"/>
      <c r="N266" s="2511"/>
      <c r="O266" s="2511"/>
      <c r="P266" s="2511"/>
      <c r="Q266" s="2511"/>
      <c r="R266" s="398"/>
      <c r="S266" s="2505"/>
      <c r="T266" s="2505"/>
      <c r="U266" s="800"/>
      <c r="V266" s="2511"/>
      <c r="W266" s="2511"/>
      <c r="X266" s="2511"/>
      <c r="Y266" s="2511"/>
      <c r="Z266" s="2511"/>
      <c r="AA266" s="2511"/>
      <c r="AB266" s="2511"/>
      <c r="AC266" s="2511"/>
      <c r="AD266" s="2511"/>
      <c r="AE266" s="2511"/>
      <c r="AF266" s="2511"/>
      <c r="AG266" s="2511"/>
      <c r="AH266" s="2511"/>
      <c r="AI266" s="2511"/>
      <c r="AJ266" s="2511"/>
      <c r="AK266" s="398"/>
      <c r="AL266" s="2505"/>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2"/>
      <c r="C268" s="2503"/>
      <c r="D268" s="2503"/>
      <c r="E268" s="2503"/>
      <c r="F268" s="2503"/>
      <c r="G268" s="2503"/>
      <c r="H268" s="2503"/>
      <c r="I268" s="2503"/>
      <c r="J268" s="2503"/>
      <c r="K268" s="2503"/>
      <c r="L268" s="2503"/>
      <c r="M268" s="2503"/>
      <c r="N268" s="2503"/>
      <c r="O268" s="2503"/>
      <c r="P268" s="2503"/>
      <c r="Q268" s="2503"/>
      <c r="R268" s="2503"/>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5"/>
      <c r="B269" s="2505"/>
      <c r="C269" s="2505"/>
      <c r="D269" s="2505"/>
      <c r="E269" s="2505"/>
      <c r="F269" s="2505"/>
      <c r="G269" s="2505"/>
      <c r="H269" s="2505"/>
      <c r="I269" s="2505"/>
      <c r="J269" s="2505"/>
      <c r="K269" s="2505"/>
      <c r="L269" s="2505"/>
      <c r="M269" s="2505"/>
      <c r="N269" s="2505"/>
      <c r="O269" s="2505"/>
      <c r="P269" s="2505"/>
      <c r="Q269" s="2505"/>
      <c r="R269" s="2505"/>
      <c r="S269" s="2505"/>
      <c r="T269" s="2466"/>
      <c r="U269" s="798"/>
      <c r="V269" s="2466"/>
      <c r="W269" s="2466"/>
      <c r="X269" s="2466"/>
      <c r="Y269" s="2466"/>
      <c r="Z269" s="2466"/>
      <c r="AA269" s="2466"/>
      <c r="AB269" s="2466"/>
      <c r="AC269" s="2466"/>
      <c r="AD269" s="2466"/>
      <c r="AE269" s="2466"/>
      <c r="AF269" s="2466"/>
      <c r="AG269" s="2466"/>
      <c r="AH269" s="2466"/>
      <c r="AI269" s="2466"/>
      <c r="AJ269" s="2466"/>
      <c r="AK269" s="2466"/>
      <c r="AL269" s="2466"/>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6"/>
    </row>
    <row r="271" spans="1:38" ht="12" customHeight="1" x14ac:dyDescent="0.2">
      <c r="A271" s="1420"/>
      <c r="B271" s="1082"/>
      <c r="C271" s="6496"/>
      <c r="D271" s="6497"/>
      <c r="E271" s="6497"/>
      <c r="F271" s="6497"/>
      <c r="G271" s="6497"/>
      <c r="H271" s="6497"/>
      <c r="I271" s="2467"/>
      <c r="J271" s="2467"/>
      <c r="K271" s="2467"/>
      <c r="L271" s="2467"/>
      <c r="M271" s="2467"/>
      <c r="N271" s="2467"/>
      <c r="O271" s="2467"/>
      <c r="P271" s="2467"/>
      <c r="Q271" s="397"/>
      <c r="R271" s="398"/>
      <c r="S271" s="392"/>
      <c r="T271" s="1420"/>
      <c r="U271" s="1082"/>
      <c r="V271" s="6496"/>
      <c r="W271" s="6497"/>
      <c r="X271" s="6497"/>
      <c r="Y271" s="6497"/>
      <c r="Z271" s="6497"/>
      <c r="AA271" s="6497"/>
      <c r="AB271" s="2467"/>
      <c r="AC271" s="2467"/>
      <c r="AD271" s="2467"/>
      <c r="AE271" s="2467"/>
      <c r="AF271" s="2467"/>
      <c r="AG271" s="2467"/>
      <c r="AH271" s="2467"/>
      <c r="AI271" s="2467"/>
      <c r="AJ271" s="397"/>
      <c r="AK271" s="398"/>
      <c r="AL271" s="2466"/>
    </row>
    <row r="272" spans="1:38" ht="12" customHeight="1" x14ac:dyDescent="0.2">
      <c r="A272" s="1718"/>
      <c r="B272" s="1717"/>
      <c r="C272" s="6498"/>
      <c r="D272" s="6499"/>
      <c r="E272" s="6499"/>
      <c r="F272" s="6499"/>
      <c r="G272" s="6499"/>
      <c r="H272" s="6499"/>
      <c r="I272" s="2480"/>
      <c r="J272" s="6536" t="s">
        <v>10042</v>
      </c>
      <c r="K272" s="6537"/>
      <c r="L272" s="6537"/>
      <c r="M272" s="6537"/>
      <c r="N272" s="6537"/>
      <c r="O272" s="6537"/>
      <c r="P272" s="6537"/>
      <c r="Q272" s="352"/>
      <c r="R272" s="804"/>
      <c r="S272" s="803"/>
      <c r="T272" s="1718"/>
      <c r="U272" s="1717"/>
      <c r="V272" s="6498"/>
      <c r="W272" s="6499"/>
      <c r="X272" s="6499"/>
      <c r="Y272" s="6499"/>
      <c r="Z272" s="6499"/>
      <c r="AA272" s="6499"/>
      <c r="AB272" s="2468"/>
      <c r="AC272" s="6547" t="s">
        <v>10042</v>
      </c>
      <c r="AD272" s="6548"/>
      <c r="AE272" s="6548"/>
      <c r="AF272" s="6548"/>
      <c r="AG272" s="6548"/>
      <c r="AH272" s="6548"/>
      <c r="AI272" s="6548"/>
      <c r="AJ272" s="352"/>
      <c r="AK272" s="804"/>
      <c r="AL272" s="803"/>
    </row>
    <row r="273" spans="1:38" ht="12" customHeight="1" x14ac:dyDescent="0.2">
      <c r="A273" s="1420"/>
      <c r="B273" s="1082"/>
      <c r="C273" s="6498"/>
      <c r="D273" s="6499"/>
      <c r="E273" s="6499"/>
      <c r="F273" s="6499"/>
      <c r="G273" s="6499"/>
      <c r="H273" s="6499"/>
      <c r="I273" s="2480"/>
      <c r="J273" s="6537"/>
      <c r="K273" s="6537"/>
      <c r="L273" s="6537"/>
      <c r="M273" s="6537"/>
      <c r="N273" s="6537"/>
      <c r="O273" s="6537"/>
      <c r="P273" s="6537"/>
      <c r="Q273" s="399"/>
      <c r="R273" s="398"/>
      <c r="S273" s="392"/>
      <c r="T273" s="1420"/>
      <c r="U273" s="1082"/>
      <c r="V273" s="6498"/>
      <c r="W273" s="6499"/>
      <c r="X273" s="6499"/>
      <c r="Y273" s="6499"/>
      <c r="Z273" s="6499"/>
      <c r="AA273" s="6499"/>
      <c r="AB273" s="2468"/>
      <c r="AC273" s="6548"/>
      <c r="AD273" s="6548"/>
      <c r="AE273" s="6548"/>
      <c r="AF273" s="6548"/>
      <c r="AG273" s="6548"/>
      <c r="AH273" s="6548"/>
      <c r="AI273" s="6548"/>
      <c r="AJ273" s="399"/>
      <c r="AK273" s="398"/>
      <c r="AL273" s="2466"/>
    </row>
    <row r="274" spans="1:38" ht="12" customHeight="1" x14ac:dyDescent="0.2">
      <c r="A274" s="1420"/>
      <c r="B274" s="1082"/>
      <c r="C274" s="6498"/>
      <c r="D274" s="6499"/>
      <c r="E274" s="6499"/>
      <c r="F274" s="6499"/>
      <c r="G274" s="6499"/>
      <c r="H274" s="6499"/>
      <c r="I274" s="2481" t="s">
        <v>7039</v>
      </c>
      <c r="J274" s="6538" t="str">
        <f>IF($J$6="","",$J$6)</f>
        <v/>
      </c>
      <c r="K274" s="6538"/>
      <c r="L274" s="6538"/>
      <c r="M274" s="2482"/>
      <c r="N274" s="2482"/>
      <c r="O274" s="2483" t="str">
        <f>$O$6</f>
        <v>Nivel de vía aprendido</v>
      </c>
      <c r="P274" s="2484">
        <f>$P$6</f>
        <v>0</v>
      </c>
      <c r="Q274" s="399"/>
      <c r="R274" s="398"/>
      <c r="S274" s="392"/>
      <c r="T274" s="1420"/>
      <c r="U274" s="1082"/>
      <c r="V274" s="6498"/>
      <c r="W274" s="6499"/>
      <c r="X274" s="6499"/>
      <c r="Y274" s="6499"/>
      <c r="Z274" s="6499"/>
      <c r="AA274" s="6499"/>
      <c r="AB274" s="2259" t="s">
        <v>7039</v>
      </c>
      <c r="AC274" s="6546" t="str">
        <f>IF($J$6="","",$J$6)</f>
        <v/>
      </c>
      <c r="AD274" s="6546"/>
      <c r="AE274" s="6546"/>
      <c r="AF274" s="2255"/>
      <c r="AG274" s="2255"/>
      <c r="AH274" s="2256" t="str">
        <f>$O$6</f>
        <v>Nivel de vía aprendido</v>
      </c>
      <c r="AI274" s="2257">
        <f>$P$6</f>
        <v>0</v>
      </c>
      <c r="AJ274" s="399"/>
      <c r="AK274" s="398"/>
      <c r="AL274" s="2466"/>
    </row>
    <row r="275" spans="1:38" ht="12" customHeight="1" x14ac:dyDescent="0.2">
      <c r="A275" s="1420"/>
      <c r="B275" s="1082"/>
      <c r="C275" s="6498"/>
      <c r="D275" s="6499"/>
      <c r="E275" s="6499"/>
      <c r="F275" s="6499"/>
      <c r="G275" s="6499"/>
      <c r="H275" s="6499"/>
      <c r="I275" s="2485" t="s">
        <v>7040</v>
      </c>
      <c r="J275" s="6538" t="str">
        <f>IF($J$8="","",$J$8)</f>
        <v/>
      </c>
      <c r="K275" s="6538"/>
      <c r="L275" s="6538"/>
      <c r="M275" s="2482"/>
      <c r="N275" s="2482"/>
      <c r="O275" s="2482"/>
      <c r="P275" s="2482"/>
      <c r="Q275" s="399"/>
      <c r="R275" s="398"/>
      <c r="S275" s="392"/>
      <c r="T275" s="1420"/>
      <c r="U275" s="1082"/>
      <c r="V275" s="6498"/>
      <c r="W275" s="6499"/>
      <c r="X275" s="6499"/>
      <c r="Y275" s="6499"/>
      <c r="Z275" s="6499"/>
      <c r="AA275" s="6499"/>
      <c r="AB275" s="2260" t="s">
        <v>7040</v>
      </c>
      <c r="AC275" s="6546" t="str">
        <f>IF($J$8="","",$J$8)</f>
        <v/>
      </c>
      <c r="AD275" s="6546"/>
      <c r="AE275" s="6546"/>
      <c r="AF275" s="2255"/>
      <c r="AG275" s="2255"/>
      <c r="AH275" s="2255"/>
      <c r="AI275" s="2255"/>
      <c r="AJ275" s="399"/>
      <c r="AK275" s="398"/>
      <c r="AL275" s="2466"/>
    </row>
    <row r="276" spans="1:38" ht="12" customHeight="1" thickBot="1" x14ac:dyDescent="0.25">
      <c r="A276" s="1420"/>
      <c r="B276" s="1082"/>
      <c r="C276" s="6500"/>
      <c r="D276" s="6501"/>
      <c r="E276" s="6501"/>
      <c r="F276" s="6501"/>
      <c r="G276" s="6501"/>
      <c r="H276" s="6501"/>
      <c r="I276" s="2469"/>
      <c r="J276" s="2469"/>
      <c r="K276" s="2469"/>
      <c r="L276" s="2469"/>
      <c r="M276" s="2469"/>
      <c r="N276" s="2469"/>
      <c r="O276" s="2469"/>
      <c r="P276" s="2469"/>
      <c r="Q276" s="401"/>
      <c r="R276" s="398"/>
      <c r="S276" s="392"/>
      <c r="T276" s="1420"/>
      <c r="U276" s="1082"/>
      <c r="V276" s="6500"/>
      <c r="W276" s="6501"/>
      <c r="X276" s="6501"/>
      <c r="Y276" s="6501"/>
      <c r="Z276" s="6501"/>
      <c r="AA276" s="6501"/>
      <c r="AB276" s="2469"/>
      <c r="AC276" s="2469"/>
      <c r="AD276" s="2469"/>
      <c r="AE276" s="2469"/>
      <c r="AF276" s="2469"/>
      <c r="AG276" s="2469"/>
      <c r="AH276" s="2469"/>
      <c r="AI276" s="2469"/>
      <c r="AJ276" s="401"/>
      <c r="AK276" s="398"/>
      <c r="AL276" s="2466"/>
    </row>
    <row r="277" spans="1:38" ht="12" customHeight="1" x14ac:dyDescent="0.2">
      <c r="A277" s="1420"/>
      <c r="B277" s="1082"/>
      <c r="C277" s="2486"/>
      <c r="D277" s="2486"/>
      <c r="E277" s="2486"/>
      <c r="F277" s="2486"/>
      <c r="G277" s="2486"/>
      <c r="H277" s="2486"/>
      <c r="I277" s="2486"/>
      <c r="J277" s="2486"/>
      <c r="K277" s="2486"/>
      <c r="L277" s="2486"/>
      <c r="M277" s="2486"/>
      <c r="N277" s="2486"/>
      <c r="O277" s="2486"/>
      <c r="P277" s="2486"/>
      <c r="Q277" s="2486"/>
      <c r="R277" s="398"/>
      <c r="S277" s="392"/>
      <c r="T277" s="1420"/>
      <c r="U277" s="1082"/>
      <c r="AK277" s="398"/>
      <c r="AL277" s="2466"/>
    </row>
    <row r="278" spans="1:38" ht="12" customHeight="1" thickBot="1" x14ac:dyDescent="0.25">
      <c r="A278" s="1420"/>
      <c r="B278" s="808"/>
      <c r="C278" s="6555" t="str">
        <f>"Conjuros de nivel "&amp;B279&amp;"-"&amp;B323</f>
        <v>Conjuros de nivel 82-90</v>
      </c>
      <c r="D278" s="6555"/>
      <c r="E278" s="6555"/>
      <c r="F278" s="6555"/>
      <c r="G278" s="6555"/>
      <c r="H278" s="6555"/>
      <c r="I278" s="6555"/>
      <c r="J278" s="6555"/>
      <c r="K278" s="6555"/>
      <c r="L278" s="6555"/>
      <c r="M278" s="6555"/>
      <c r="N278" s="6555"/>
      <c r="O278" s="6555"/>
      <c r="P278" s="6555"/>
      <c r="Q278" s="6555"/>
      <c r="R278" s="806"/>
      <c r="S278" s="392"/>
      <c r="T278" s="392"/>
      <c r="U278" s="808"/>
      <c r="V278" s="6555" t="str">
        <f>"Conjuros de nivel "&amp;U279&amp;"-"&amp;U323</f>
        <v>Conjuros de nivel 92-100</v>
      </c>
      <c r="W278" s="6555"/>
      <c r="X278" s="6555"/>
      <c r="Y278" s="6555"/>
      <c r="Z278" s="6555"/>
      <c r="AA278" s="6555"/>
      <c r="AB278" s="6555"/>
      <c r="AC278" s="6555"/>
      <c r="AD278" s="6555"/>
      <c r="AE278" s="6555"/>
      <c r="AF278" s="6555"/>
      <c r="AG278" s="6555"/>
      <c r="AH278" s="6555"/>
      <c r="AI278" s="6555"/>
      <c r="AJ278" s="6555"/>
      <c r="AK278" s="806"/>
      <c r="AL278" s="392"/>
    </row>
    <row r="279" spans="1:38" ht="12" customHeight="1" x14ac:dyDescent="0.2">
      <c r="A279" s="392"/>
      <c r="B279" s="800">
        <f>B212+20</f>
        <v>82</v>
      </c>
      <c r="C279" s="6559" t="str">
        <f>IFERROR(VLOOKUP($J$6&amp;B279,'Tablas Magia'!$B$6:$D$680,3,FALSE),IFERROR(VLOOKUP($J$8&amp;B279,'Tablas Magia'!$B$6:$D$680,3,FALSE),IFERROR(VLOOKUP($J$6&amp;B279,Místicos!$AD$12:$AJ$50,4,FALSE),"Libre Acceso 1-"&amp;ROUNDUP(B279/10,0)*10)))</f>
        <v>Libre Acceso 1-90</v>
      </c>
      <c r="D279" s="6560"/>
      <c r="E279" s="6560"/>
      <c r="F279" s="6560"/>
      <c r="G279" s="6561"/>
      <c r="H279" s="402" t="s">
        <v>1325</v>
      </c>
      <c r="I279" s="403">
        <f>B279</f>
        <v>82</v>
      </c>
      <c r="J279" s="6544" t="s">
        <v>6231</v>
      </c>
      <c r="K279" s="6544"/>
      <c r="L279" s="6544"/>
      <c r="M279" s="6529" t="e">
        <f>IF(C279=0,"",VLOOKUP(C279,'Tablas Magia'!$D$6:$Z$680,2,FALSE))</f>
        <v>#N/A</v>
      </c>
      <c r="N279" s="6529"/>
      <c r="O279" s="1705"/>
      <c r="P279" s="6550" t="str">
        <f>IFERROR(IF(M279="Libre Acceso","Aprendido",IF(IFERROR(VLOOKUP(M279,Místicos!$C$15:$H$25,6,0)&gt;=I279,FALSE),"Aprendido",IF(IFERROR(VLOOKUP(M279,Místicos!$E$15:$H$25,4,0)&gt;=I279,FALSE),"Aprendido",""))),"")</f>
        <v/>
      </c>
      <c r="Q279" s="6551"/>
      <c r="R279" s="398"/>
      <c r="S279" s="392"/>
      <c r="T279" s="392"/>
      <c r="U279" s="800">
        <f>B323+2</f>
        <v>92</v>
      </c>
      <c r="V279" s="6559" t="str">
        <f>IFERROR(VLOOKUP($J$6&amp;U279,'Tablas Magia'!$B$6:$D$680,3,FALSE),IFERROR(VLOOKUP($J$8&amp;U279,'Tablas Magia'!$B$6:$D$680,3,FALSE),IFERROR(VLOOKUP($J$6&amp;U279,Místicos!$AD$12:$AJ$50,4,FALSE),"Libre Acceso 1-"&amp;ROUNDUP(U279/10,0)*10)))</f>
        <v>Libre Acceso 1-100</v>
      </c>
      <c r="W279" s="6560"/>
      <c r="X279" s="6560"/>
      <c r="Y279" s="6560"/>
      <c r="Z279" s="6561"/>
      <c r="AA279" s="402" t="s">
        <v>1325</v>
      </c>
      <c r="AB279" s="403">
        <f>U279</f>
        <v>92</v>
      </c>
      <c r="AC279" s="6544" t="s">
        <v>6231</v>
      </c>
      <c r="AD279" s="6544"/>
      <c r="AE279" s="6544"/>
      <c r="AF279" s="6529" t="e">
        <f>IF(V279=0,"",VLOOKUP(V279,'Tablas Magia'!$D$6:$Z$680,2,FALSE))</f>
        <v>#N/A</v>
      </c>
      <c r="AG279" s="6529"/>
      <c r="AH279" s="1705"/>
      <c r="AI279" s="6550" t="str">
        <f>IFERROR(IF(AF279="Libre Acceso","Aprendido",IF(IFERROR(VLOOKUP(AF279,Místicos!$C$15:$H$25,6,0)&gt;=AB279,FALSE),"Aprendido",IF(IFERROR(VLOOKUP(AF279,Místicos!$E$15:$H$25,4,0)&gt;=AB279,FALSE),"Aprendido",""))),"")</f>
        <v/>
      </c>
      <c r="AJ279" s="6551"/>
      <c r="AK279" s="398"/>
      <c r="AL279" s="392"/>
    </row>
    <row r="280" spans="1:38" ht="12" customHeight="1" x14ac:dyDescent="0.2">
      <c r="A280" s="392"/>
      <c r="B280" s="800"/>
      <c r="C280" s="6531" t="s">
        <v>6232</v>
      </c>
      <c r="D280" s="6545"/>
      <c r="E280" s="2487" t="s">
        <v>6233</v>
      </c>
      <c r="F280" s="2487" t="s">
        <v>1508</v>
      </c>
      <c r="G280" s="2487" t="s">
        <v>2827</v>
      </c>
      <c r="H280" s="2488" t="s">
        <v>1835</v>
      </c>
      <c r="I280" s="6553" t="e">
        <f>IF(C279=0,"",VLOOKUP(C279,'Tablas Magia'!$D$6:$Z$680,5,FALSE))</f>
        <v>#N/A</v>
      </c>
      <c r="J280" s="6553"/>
      <c r="K280" s="6556" t="s">
        <v>6234</v>
      </c>
      <c r="L280" s="6556"/>
      <c r="M280" s="6553" t="e">
        <f>IF(C279=0,"",VLOOKUP(C279,'Tablas Magia'!$D$6:$Z$680,6,FALSE))</f>
        <v>#N/A</v>
      </c>
      <c r="N280" s="6553"/>
      <c r="O280" s="6554" t="s">
        <v>6235</v>
      </c>
      <c r="P280" s="6554"/>
      <c r="Q280" s="2489" t="e">
        <f>IF(C279=0,"",VLOOKUP(C279,'Tablas Magia'!$D$6:$Z$680,4,FALSE))</f>
        <v>#N/A</v>
      </c>
      <c r="R280" s="398"/>
      <c r="S280" s="392"/>
      <c r="T280" s="392"/>
      <c r="U280" s="800"/>
      <c r="V280" s="6531" t="s">
        <v>6232</v>
      </c>
      <c r="W280" s="6562"/>
      <c r="X280" s="1714" t="s">
        <v>6233</v>
      </c>
      <c r="Y280" s="1714" t="s">
        <v>1508</v>
      </c>
      <c r="Z280" s="1714" t="s">
        <v>2827</v>
      </c>
      <c r="AA280" s="1715" t="s">
        <v>1835</v>
      </c>
      <c r="AB280" s="6549" t="e">
        <f>IF(V279=0,"",VLOOKUP(V279,'Tablas Magia'!$D$6:$Z$680,5,FALSE))</f>
        <v>#N/A</v>
      </c>
      <c r="AC280" s="6549"/>
      <c r="AD280" s="6563" t="s">
        <v>6234</v>
      </c>
      <c r="AE280" s="6563"/>
      <c r="AF280" s="6549" t="e">
        <f>IF(V279=0,"",VLOOKUP(V279,'Tablas Magia'!$D$6:$Z$680,6,FALSE))</f>
        <v>#N/A</v>
      </c>
      <c r="AG280" s="6549"/>
      <c r="AH280" s="6564" t="s">
        <v>6235</v>
      </c>
      <c r="AI280" s="6564"/>
      <c r="AJ280" s="1716" t="e">
        <f>IF(V279=0,"",VLOOKUP(V279,'Tablas Magia'!$D$6:$Z$680,4,FALSE))</f>
        <v>#N/A</v>
      </c>
      <c r="AK280" s="398"/>
      <c r="AL280" s="392"/>
    </row>
    <row r="281" spans="1:38" ht="12" customHeight="1" x14ac:dyDescent="0.2">
      <c r="A281" s="392"/>
      <c r="B281" s="800"/>
      <c r="C281" s="6507" t="s">
        <v>1365</v>
      </c>
      <c r="D281" s="6508"/>
      <c r="E281" s="2490" t="e">
        <f>IF(C279=0,"",VLOOKUP(C279,'Tablas Magia'!$D$6:$Z$680,7,FALSE))</f>
        <v>#N/A</v>
      </c>
      <c r="F281" s="2490" t="e">
        <f>IF(C279=0,"",VLOOKUP(C279,'Tablas Magia'!$D$6:$Z$680,11,FALSE))</f>
        <v>#N/A</v>
      </c>
      <c r="G281" s="408" t="e">
        <f>IF(C279=0,"",VLOOKUP(C279,'Tablas Magia'!$D$6:$Z$680,15,FALSE))</f>
        <v>#N/A</v>
      </c>
      <c r="H281" s="6509" t="e">
        <f>IF(C279=0,"",VLOOKUP(C279,'Tablas Magia'!$D$6:$Z$680,19,FALSE))</f>
        <v>#N/A</v>
      </c>
      <c r="I281" s="6552"/>
      <c r="J281" s="6552"/>
      <c r="K281" s="6552"/>
      <c r="L281" s="6552"/>
      <c r="M281" s="6552"/>
      <c r="N281" s="6552"/>
      <c r="O281" s="6552"/>
      <c r="P281" s="6552"/>
      <c r="Q281" s="6511"/>
      <c r="R281" s="398"/>
      <c r="S281" s="392"/>
      <c r="T281" s="392"/>
      <c r="U281" s="800"/>
      <c r="V281" s="6557" t="s">
        <v>1365</v>
      </c>
      <c r="W281" s="6558"/>
      <c r="X281" s="407" t="e">
        <f>IF(V279=0,"",VLOOKUP(V279,'Tablas Magia'!$D$6:$Z$680,7,FALSE))</f>
        <v>#N/A</v>
      </c>
      <c r="Y281" s="407" t="e">
        <f>IF(V279=0,"",VLOOKUP(V279,'Tablas Magia'!$D$6:$Z$680,11,FALSE))</f>
        <v>#N/A</v>
      </c>
      <c r="Z281" s="408" t="e">
        <f>IF(V279=0,"",VLOOKUP(V279,'Tablas Magia'!$D$6:$Z$680,15,FALSE))</f>
        <v>#N/A</v>
      </c>
      <c r="AA281" s="6539" t="e">
        <f>IF(V279=0,"",VLOOKUP(V279,'Tablas Magia'!$D$6:$Z$680,19,FALSE))</f>
        <v>#N/A</v>
      </c>
      <c r="AB281" s="6540"/>
      <c r="AC281" s="6540"/>
      <c r="AD281" s="6540"/>
      <c r="AE281" s="6540"/>
      <c r="AF281" s="6540"/>
      <c r="AG281" s="6540"/>
      <c r="AH281" s="6540"/>
      <c r="AI281" s="6540"/>
      <c r="AJ281" s="6541"/>
      <c r="AK281" s="398"/>
      <c r="AL281" s="392"/>
    </row>
    <row r="282" spans="1:38" ht="12" customHeight="1" x14ac:dyDescent="0.2">
      <c r="A282" s="392"/>
      <c r="B282" s="800"/>
      <c r="C282" s="6502" t="s">
        <v>3196</v>
      </c>
      <c r="D282" s="6503"/>
      <c r="E282" s="2491" t="e">
        <f>IF(C279=0,"",VLOOKUP(C279,'Tablas Magia'!$D$6:$Z$680,8,FALSE))</f>
        <v>#N/A</v>
      </c>
      <c r="F282" s="2491" t="e">
        <f>IF(C279=0,"",VLOOKUP(C279,'Tablas Magia'!$D$6:$Z$680,12,FALSE))</f>
        <v>#N/A</v>
      </c>
      <c r="G282" s="410" t="e">
        <f>IF(C279=0,"",VLOOKUP(C279,'Tablas Magia'!$D$6:$Z$680,16,FALSE))</f>
        <v>#N/A</v>
      </c>
      <c r="H282" s="6504" t="e">
        <f>IF(C279=0,"",VLOOKUP(C279,'Tablas Magia'!$D$6:$Z$680,20,FALSE))</f>
        <v>#N/A</v>
      </c>
      <c r="I282" s="6542"/>
      <c r="J282" s="6542"/>
      <c r="K282" s="6542"/>
      <c r="L282" s="6542"/>
      <c r="M282" s="6542"/>
      <c r="N282" s="6542"/>
      <c r="O282" s="6542"/>
      <c r="P282" s="6542"/>
      <c r="Q282" s="6506"/>
      <c r="R282" s="398"/>
      <c r="S282" s="392"/>
      <c r="T282" s="392"/>
      <c r="U282" s="800"/>
      <c r="V282" s="6502" t="s">
        <v>3196</v>
      </c>
      <c r="W282" s="6503"/>
      <c r="X282" s="409" t="e">
        <f>IF(V279=0,"",VLOOKUP(V279,'Tablas Magia'!$D$6:$Z$680,8,FALSE))</f>
        <v>#N/A</v>
      </c>
      <c r="Y282" s="409" t="e">
        <f>IF(V279=0,"",VLOOKUP(V279,'Tablas Magia'!$D$6:$Z$680,12,FALSE))</f>
        <v>#N/A</v>
      </c>
      <c r="Z282" s="410" t="e">
        <f>IF(V279=0,"",VLOOKUP(V279,'Tablas Magia'!$D$6:$Z$680,16,FALSE))</f>
        <v>#N/A</v>
      </c>
      <c r="AA282" s="6504" t="e">
        <f>IF(V279=0,"",VLOOKUP(V279,'Tablas Magia'!$D$6:$Z$680,20,FALSE))</f>
        <v>#N/A</v>
      </c>
      <c r="AB282" s="6505"/>
      <c r="AC282" s="6505"/>
      <c r="AD282" s="6505"/>
      <c r="AE282" s="6505"/>
      <c r="AF282" s="6505"/>
      <c r="AG282" s="6505"/>
      <c r="AH282" s="6505"/>
      <c r="AI282" s="6505"/>
      <c r="AJ282" s="6506"/>
      <c r="AK282" s="398"/>
      <c r="AL282" s="392"/>
    </row>
    <row r="283" spans="1:38" ht="12" customHeight="1" x14ac:dyDescent="0.2">
      <c r="A283" s="392"/>
      <c r="B283" s="800"/>
      <c r="C283" s="6507" t="s">
        <v>3197</v>
      </c>
      <c r="D283" s="6508"/>
      <c r="E283" s="2490" t="e">
        <f>IF(C279=0,"",VLOOKUP(C279,'Tablas Magia'!$D$6:$Z$680,9,FALSE))</f>
        <v>#N/A</v>
      </c>
      <c r="F283" s="2490" t="e">
        <f>IF(C279=0,"",VLOOKUP(C279,'Tablas Magia'!$D$6:$Z$680,13,FALSE))</f>
        <v>#N/A</v>
      </c>
      <c r="G283" s="408" t="e">
        <f>IF(C279=0,"",VLOOKUP(C279,'Tablas Magia'!$D$6:$Z$680,17,FALSE))</f>
        <v>#N/A</v>
      </c>
      <c r="H283" s="6509" t="e">
        <f>IF(C279=0,"",VLOOKUP(C279,'Tablas Magia'!$D$6:$Z$680,21,FALSE))</f>
        <v>#N/A</v>
      </c>
      <c r="I283" s="6552"/>
      <c r="J283" s="6552"/>
      <c r="K283" s="6552"/>
      <c r="L283" s="6552"/>
      <c r="M283" s="6552"/>
      <c r="N283" s="6552"/>
      <c r="O283" s="6552"/>
      <c r="P283" s="6552"/>
      <c r="Q283" s="6511"/>
      <c r="R283" s="398"/>
      <c r="S283" s="392"/>
      <c r="T283" s="392"/>
      <c r="U283" s="800"/>
      <c r="V283" s="6507" t="s">
        <v>3197</v>
      </c>
      <c r="W283" s="6508"/>
      <c r="X283" s="407" t="e">
        <f>IF(V279=0,"",VLOOKUP(V279,'Tablas Magia'!$D$6:$Z$680,9,FALSE))</f>
        <v>#N/A</v>
      </c>
      <c r="Y283" s="407" t="e">
        <f>IF(V279=0,"",VLOOKUP(V279,'Tablas Magia'!$D$6:$Z$680,13,FALSE))</f>
        <v>#N/A</v>
      </c>
      <c r="Z283" s="408" t="e">
        <f>IF(V279=0,"",VLOOKUP(V279,'Tablas Magia'!$D$6:$Z$680,17,FALSE))</f>
        <v>#N/A</v>
      </c>
      <c r="AA283" s="6509" t="e">
        <f>IF(V279=0,"",VLOOKUP(V279,'Tablas Magia'!$D$6:$Z$680,21,FALSE))</f>
        <v>#N/A</v>
      </c>
      <c r="AB283" s="6510"/>
      <c r="AC283" s="6510"/>
      <c r="AD283" s="6510"/>
      <c r="AE283" s="6510"/>
      <c r="AF283" s="6510"/>
      <c r="AG283" s="6510"/>
      <c r="AH283" s="6510"/>
      <c r="AI283" s="6510"/>
      <c r="AJ283" s="6511"/>
      <c r="AK283" s="398"/>
      <c r="AL283" s="392"/>
    </row>
    <row r="284" spans="1:38" ht="12" customHeight="1" thickBot="1" x14ac:dyDescent="0.25">
      <c r="A284" s="392"/>
      <c r="B284" s="800"/>
      <c r="C284" s="6512" t="s">
        <v>3198</v>
      </c>
      <c r="D284" s="6513"/>
      <c r="E284" s="411" t="e">
        <f>IF(C279=0,"",VLOOKUP(C279,'Tablas Magia'!$D$6:$Z$680,10,FALSE))</f>
        <v>#N/A</v>
      </c>
      <c r="F284" s="411" t="e">
        <f>IF(C279=0,"",VLOOKUP(C279,'Tablas Magia'!$D$6:$Z$680,14,FALSE))</f>
        <v>#N/A</v>
      </c>
      <c r="G284" s="412" t="e">
        <f>IF(C279=0,"",VLOOKUP(C279,'Tablas Magia'!$D$6:$Z$680,18,FALSE))</f>
        <v>#N/A</v>
      </c>
      <c r="H284" s="6514" t="e">
        <f>IF(C279=0,"",VLOOKUP(C279,'Tablas Magia'!$D$6:$Z$680,22,FALSE))</f>
        <v>#N/A</v>
      </c>
      <c r="I284" s="6515"/>
      <c r="J284" s="6515"/>
      <c r="K284" s="6515"/>
      <c r="L284" s="6515"/>
      <c r="M284" s="6515"/>
      <c r="N284" s="6515"/>
      <c r="O284" s="6515"/>
      <c r="P284" s="6515"/>
      <c r="Q284" s="6516"/>
      <c r="R284" s="398"/>
      <c r="S284" s="392"/>
      <c r="T284" s="392"/>
      <c r="U284" s="800"/>
      <c r="V284" s="6512" t="s">
        <v>3198</v>
      </c>
      <c r="W284" s="6513"/>
      <c r="X284" s="411" t="e">
        <f>IF(V279=0,"",VLOOKUP(V279,'Tablas Magia'!$D$6:$Z$680,10,FALSE))</f>
        <v>#N/A</v>
      </c>
      <c r="Y284" s="411" t="e">
        <f>IF(V279=0,"",VLOOKUP(V279,'Tablas Magia'!$D$6:$Z$680,14,FALSE))</f>
        <v>#N/A</v>
      </c>
      <c r="Z284" s="412" t="e">
        <f>IF(V279=0,"",VLOOKUP(V279,'Tablas Magia'!$D$6:$Z$680,18,FALSE))</f>
        <v>#N/A</v>
      </c>
      <c r="AA284" s="6514" t="e">
        <f>IF(V279=0,"",VLOOKUP(V279,'Tablas Magia'!$D$6:$Z$680,22,FALSE))</f>
        <v>#N/A</v>
      </c>
      <c r="AB284" s="6515"/>
      <c r="AC284" s="6515"/>
      <c r="AD284" s="6515"/>
      <c r="AE284" s="6515"/>
      <c r="AF284" s="6515"/>
      <c r="AG284" s="6515"/>
      <c r="AH284" s="6515"/>
      <c r="AI284" s="6515"/>
      <c r="AJ284" s="6516"/>
      <c r="AK284" s="398"/>
      <c r="AL284" s="392"/>
    </row>
    <row r="285" spans="1:38" ht="12" customHeight="1" x14ac:dyDescent="0.2">
      <c r="A285" s="392"/>
      <c r="B285" s="800"/>
      <c r="C285" s="6517" t="e">
        <f>IF(C279=0,"",VLOOKUP(C279,'Tablas Magia'!$D$6:$Z$680,23,FALSE))</f>
        <v>#N/A</v>
      </c>
      <c r="D285" s="6518"/>
      <c r="E285" s="6518"/>
      <c r="F285" s="6518"/>
      <c r="G285" s="6518"/>
      <c r="H285" s="6518"/>
      <c r="I285" s="6518"/>
      <c r="J285" s="6518"/>
      <c r="K285" s="6518"/>
      <c r="L285" s="6518"/>
      <c r="M285" s="6518"/>
      <c r="N285" s="6518"/>
      <c r="O285" s="6518"/>
      <c r="P285" s="6518"/>
      <c r="Q285" s="6519"/>
      <c r="R285" s="398"/>
      <c r="S285" s="392"/>
      <c r="T285" s="392"/>
      <c r="U285" s="800"/>
      <c r="V285" s="6517" t="e">
        <f>IF(V279=0,"",VLOOKUP(V279,'Tablas Magia'!$D$6:$Z$680,23,FALSE))</f>
        <v>#N/A</v>
      </c>
      <c r="W285" s="6518"/>
      <c r="X285" s="6518"/>
      <c r="Y285" s="6518"/>
      <c r="Z285" s="6518"/>
      <c r="AA285" s="6518"/>
      <c r="AB285" s="6518"/>
      <c r="AC285" s="6518"/>
      <c r="AD285" s="6518"/>
      <c r="AE285" s="6518"/>
      <c r="AF285" s="6518"/>
      <c r="AG285" s="6518"/>
      <c r="AH285" s="6518"/>
      <c r="AI285" s="6518"/>
      <c r="AJ285" s="6519"/>
      <c r="AK285" s="398"/>
      <c r="AL285" s="392"/>
    </row>
    <row r="286" spans="1:38" ht="12" customHeight="1" x14ac:dyDescent="0.2">
      <c r="A286" s="392"/>
      <c r="B286" s="800"/>
      <c r="C286" s="6520"/>
      <c r="D286" s="6543"/>
      <c r="E286" s="6543"/>
      <c r="F286" s="6543"/>
      <c r="G286" s="6543"/>
      <c r="H286" s="6543"/>
      <c r="I286" s="6543"/>
      <c r="J286" s="6543"/>
      <c r="K286" s="6543"/>
      <c r="L286" s="6543"/>
      <c r="M286" s="6543"/>
      <c r="N286" s="6543"/>
      <c r="O286" s="6543"/>
      <c r="P286" s="6543"/>
      <c r="Q286" s="6522"/>
      <c r="R286" s="398"/>
      <c r="S286" s="392"/>
      <c r="T286" s="392"/>
      <c r="U286" s="800"/>
      <c r="V286" s="6520"/>
      <c r="W286" s="6521"/>
      <c r="X286" s="6521"/>
      <c r="Y286" s="6521"/>
      <c r="Z286" s="6521"/>
      <c r="AA286" s="6521"/>
      <c r="AB286" s="6521"/>
      <c r="AC286" s="6521"/>
      <c r="AD286" s="6521"/>
      <c r="AE286" s="6521"/>
      <c r="AF286" s="6521"/>
      <c r="AG286" s="6521"/>
      <c r="AH286" s="6521"/>
      <c r="AI286" s="6521"/>
      <c r="AJ286" s="6522"/>
      <c r="AK286" s="398"/>
      <c r="AL286" s="392"/>
    </row>
    <row r="287" spans="1:38" ht="12" customHeight="1" x14ac:dyDescent="0.2">
      <c r="A287" s="392"/>
      <c r="B287" s="800"/>
      <c r="C287" s="6520"/>
      <c r="D287" s="6543"/>
      <c r="E287" s="6543"/>
      <c r="F287" s="6543"/>
      <c r="G287" s="6543"/>
      <c r="H287" s="6543"/>
      <c r="I287" s="6543"/>
      <c r="J287" s="6543"/>
      <c r="K287" s="6543"/>
      <c r="L287" s="6543"/>
      <c r="M287" s="6543"/>
      <c r="N287" s="6543"/>
      <c r="O287" s="6543"/>
      <c r="P287" s="6543"/>
      <c r="Q287" s="6522"/>
      <c r="R287" s="398"/>
      <c r="S287" s="392"/>
      <c r="T287" s="392"/>
      <c r="U287" s="800"/>
      <c r="V287" s="6520"/>
      <c r="W287" s="6521"/>
      <c r="X287" s="6521"/>
      <c r="Y287" s="6521"/>
      <c r="Z287" s="6521"/>
      <c r="AA287" s="6521"/>
      <c r="AB287" s="6521"/>
      <c r="AC287" s="6521"/>
      <c r="AD287" s="6521"/>
      <c r="AE287" s="6521"/>
      <c r="AF287" s="6521"/>
      <c r="AG287" s="6521"/>
      <c r="AH287" s="6521"/>
      <c r="AI287" s="6521"/>
      <c r="AJ287" s="6522"/>
      <c r="AK287" s="398"/>
      <c r="AL287" s="392"/>
    </row>
    <row r="288" spans="1:38" ht="12" customHeight="1" thickBot="1" x14ac:dyDescent="0.25">
      <c r="A288" s="392"/>
      <c r="B288" s="800"/>
      <c r="C288" s="6523"/>
      <c r="D288" s="6524"/>
      <c r="E288" s="6524"/>
      <c r="F288" s="6524"/>
      <c r="G288" s="6524"/>
      <c r="H288" s="6524"/>
      <c r="I288" s="6524"/>
      <c r="J288" s="6524"/>
      <c r="K288" s="6524"/>
      <c r="L288" s="6524"/>
      <c r="M288" s="6524"/>
      <c r="N288" s="6524"/>
      <c r="O288" s="6524"/>
      <c r="P288" s="6524"/>
      <c r="Q288" s="6525"/>
      <c r="R288" s="398"/>
      <c r="S288" s="392"/>
      <c r="T288" s="392"/>
      <c r="U288" s="800"/>
      <c r="V288" s="6523"/>
      <c r="W288" s="6524"/>
      <c r="X288" s="6524"/>
      <c r="Y288" s="6524"/>
      <c r="Z288" s="6524"/>
      <c r="AA288" s="6524"/>
      <c r="AB288" s="6524"/>
      <c r="AC288" s="6524"/>
      <c r="AD288" s="6524"/>
      <c r="AE288" s="6524"/>
      <c r="AF288" s="6524"/>
      <c r="AG288" s="6524"/>
      <c r="AH288" s="6524"/>
      <c r="AI288" s="6524"/>
      <c r="AJ288" s="6525"/>
      <c r="AK288" s="398"/>
      <c r="AL288" s="392"/>
    </row>
    <row r="289" spans="1:38" ht="12" customHeight="1" thickBot="1" x14ac:dyDescent="0.25">
      <c r="A289" s="392"/>
      <c r="B289" s="800"/>
      <c r="C289" s="2492"/>
      <c r="D289" s="2492"/>
      <c r="E289" s="2492"/>
      <c r="F289" s="2492"/>
      <c r="G289" s="2492"/>
      <c r="H289" s="2493"/>
      <c r="I289" s="2494"/>
      <c r="J289" s="2495"/>
      <c r="K289" s="2495"/>
      <c r="L289" s="2495"/>
      <c r="M289" s="2496"/>
      <c r="N289" s="2496"/>
      <c r="O289" s="2496"/>
      <c r="P289" s="2496"/>
      <c r="Q289" s="2496"/>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59" t="str">
        <f>IFERROR(VLOOKUP($J$6&amp;B290,'Tablas Magia'!$B$6:$D$680,3,FALSE),IFERROR(VLOOKUP($J$8&amp;B290,'Tablas Magia'!$B$6:$D$680,3,FALSE),IFERROR(VLOOKUP($J$6&amp;B290,Místicos!$AD$12:$AJ$50,4,FALSE),"Libre Acceso 1-"&amp;ROUNDUP(B290/10,0)*10)))</f>
        <v>Libre Acceso 1-90</v>
      </c>
      <c r="D290" s="6560"/>
      <c r="E290" s="6560"/>
      <c r="F290" s="6560"/>
      <c r="G290" s="6561"/>
      <c r="H290" s="402" t="s">
        <v>1325</v>
      </c>
      <c r="I290" s="403">
        <f>B290</f>
        <v>84</v>
      </c>
      <c r="J290" s="6544" t="s">
        <v>6231</v>
      </c>
      <c r="K290" s="6544"/>
      <c r="L290" s="6544"/>
      <c r="M290" s="6529" t="e">
        <f>IF(C290=0,"",VLOOKUP(C290,'Tablas Magia'!$D$6:$Z$680,2,FALSE))</f>
        <v>#N/A</v>
      </c>
      <c r="N290" s="6529"/>
      <c r="O290" s="1705"/>
      <c r="P290" s="6550" t="str">
        <f>IFERROR(IF(M290="Libre Acceso","Aprendido",IF(IFERROR(VLOOKUP(M290,Místicos!$C$15:$H$25,6,0)&gt;=I290,FALSE),"Aprendido",IF(IFERROR(VLOOKUP(M290,Místicos!$E$15:$H$25,4,0)&gt;=I290,FALSE),"Aprendido",""))),"")</f>
        <v/>
      </c>
      <c r="Q290" s="6551"/>
      <c r="R290" s="398"/>
      <c r="S290" s="392"/>
      <c r="T290" s="392"/>
      <c r="U290" s="800">
        <f>U279+2</f>
        <v>94</v>
      </c>
      <c r="V290" s="6559" t="str">
        <f>IFERROR(VLOOKUP($J$6&amp;U290,'Tablas Magia'!$B$6:$D$680,3,FALSE),IFERROR(VLOOKUP($J$8&amp;U290,'Tablas Magia'!$B$6:$D$680,3,FALSE),IFERROR(VLOOKUP($J$6&amp;U290,Místicos!$AD$12:$AJ$50,4,FALSE),"Libre Acceso 1-"&amp;ROUNDUP(U290/10,0)*10)))</f>
        <v>Libre Acceso 1-100</v>
      </c>
      <c r="W290" s="6560"/>
      <c r="X290" s="6560"/>
      <c r="Y290" s="6560"/>
      <c r="Z290" s="6561"/>
      <c r="AA290" s="402" t="s">
        <v>1325</v>
      </c>
      <c r="AB290" s="403">
        <f>U290</f>
        <v>94</v>
      </c>
      <c r="AC290" s="6544" t="s">
        <v>6231</v>
      </c>
      <c r="AD290" s="6544"/>
      <c r="AE290" s="6544"/>
      <c r="AF290" s="6529" t="e">
        <f>IF(V290=0,"",VLOOKUP(V290,'Tablas Magia'!$D$6:$Z$680,2,FALSE))</f>
        <v>#N/A</v>
      </c>
      <c r="AG290" s="6529"/>
      <c r="AH290" s="1705"/>
      <c r="AI290" s="6550" t="str">
        <f>IFERROR(IF(AF290="Libre Acceso","Aprendido",IF(IFERROR(VLOOKUP(AF290,Místicos!$C$15:$H$25,6,0)&gt;=AB290,FALSE),"Aprendido",IF(IFERROR(VLOOKUP(AF290,Místicos!$E$15:$H$25,4,0)&gt;=AB290,FALSE),"Aprendido",""))),"")</f>
        <v/>
      </c>
      <c r="AJ290" s="6551"/>
      <c r="AK290" s="398"/>
      <c r="AL290" s="392"/>
    </row>
    <row r="291" spans="1:38" ht="12" customHeight="1" x14ac:dyDescent="0.2">
      <c r="A291" s="392"/>
      <c r="B291" s="800"/>
      <c r="C291" s="6531" t="s">
        <v>6232</v>
      </c>
      <c r="D291" s="6545"/>
      <c r="E291" s="2487" t="s">
        <v>6233</v>
      </c>
      <c r="F291" s="2487" t="s">
        <v>1508</v>
      </c>
      <c r="G291" s="2487" t="s">
        <v>2827</v>
      </c>
      <c r="H291" s="2488" t="s">
        <v>1835</v>
      </c>
      <c r="I291" s="6553" t="e">
        <f>IF(C290=0,"",VLOOKUP(C290,'Tablas Magia'!$D$6:$Z$680,5,FALSE))</f>
        <v>#N/A</v>
      </c>
      <c r="J291" s="6553"/>
      <c r="K291" s="6556" t="s">
        <v>6234</v>
      </c>
      <c r="L291" s="6556"/>
      <c r="M291" s="6553" t="e">
        <f>IF(C290=0,"",VLOOKUP(C290,'Tablas Magia'!$D$6:$Z$680,6,FALSE))</f>
        <v>#N/A</v>
      </c>
      <c r="N291" s="6553"/>
      <c r="O291" s="6554" t="s">
        <v>6235</v>
      </c>
      <c r="P291" s="6554"/>
      <c r="Q291" s="2489" t="e">
        <f>IF(C290=0,"",VLOOKUP(C290,'Tablas Magia'!$D$6:$Z$680,4,FALSE))</f>
        <v>#N/A</v>
      </c>
      <c r="R291" s="398"/>
      <c r="S291" s="392"/>
      <c r="T291" s="392"/>
      <c r="U291" s="800"/>
      <c r="V291" s="6531" t="s">
        <v>6232</v>
      </c>
      <c r="W291" s="6562"/>
      <c r="X291" s="1714" t="s">
        <v>6233</v>
      </c>
      <c r="Y291" s="1714" t="s">
        <v>1508</v>
      </c>
      <c r="Z291" s="1714" t="s">
        <v>2827</v>
      </c>
      <c r="AA291" s="1715" t="s">
        <v>1835</v>
      </c>
      <c r="AB291" s="6549" t="e">
        <f>IF(V290=0,"",VLOOKUP(V290,'Tablas Magia'!$D$6:$Z$680,5,FALSE))</f>
        <v>#N/A</v>
      </c>
      <c r="AC291" s="6549"/>
      <c r="AD291" s="6563" t="s">
        <v>6234</v>
      </c>
      <c r="AE291" s="6563"/>
      <c r="AF291" s="6549" t="e">
        <f>IF(V290=0,"",VLOOKUP(V290,'Tablas Magia'!$D$6:$Z$680,6,FALSE))</f>
        <v>#N/A</v>
      </c>
      <c r="AG291" s="6549"/>
      <c r="AH291" s="6564" t="s">
        <v>6235</v>
      </c>
      <c r="AI291" s="6564"/>
      <c r="AJ291" s="1716" t="e">
        <f>IF(V290=0,"",VLOOKUP(V290,'Tablas Magia'!$D$6:$Z$680,4,FALSE))</f>
        <v>#N/A</v>
      </c>
      <c r="AK291" s="398"/>
      <c r="AL291" s="392"/>
    </row>
    <row r="292" spans="1:38" ht="12" customHeight="1" x14ac:dyDescent="0.2">
      <c r="A292" s="392"/>
      <c r="B292" s="800"/>
      <c r="C292" s="6557" t="s">
        <v>1365</v>
      </c>
      <c r="D292" s="6558"/>
      <c r="E292" s="2490" t="e">
        <f>IF(C290=0,"",VLOOKUP(C290,'Tablas Magia'!$D$6:$Z$680,7,FALSE))</f>
        <v>#N/A</v>
      </c>
      <c r="F292" s="2490" t="e">
        <f>IF(C290=0,"",VLOOKUP(C290,'Tablas Magia'!$D$6:$Z$680,11,FALSE))</f>
        <v>#N/A</v>
      </c>
      <c r="G292" s="408" t="e">
        <f>IF(C290=0,"",VLOOKUP(C290,'Tablas Magia'!$D$6:$Z$680,15,FALSE))</f>
        <v>#N/A</v>
      </c>
      <c r="H292" s="6539" t="e">
        <f>IF(C290=0,"",VLOOKUP(C290,'Tablas Magia'!$D$6:$Z$680,19,FALSE))</f>
        <v>#N/A</v>
      </c>
      <c r="I292" s="6540"/>
      <c r="J292" s="6540"/>
      <c r="K292" s="6540"/>
      <c r="L292" s="6540"/>
      <c r="M292" s="6540"/>
      <c r="N292" s="6540"/>
      <c r="O292" s="6540"/>
      <c r="P292" s="6540"/>
      <c r="Q292" s="6541"/>
      <c r="R292" s="398"/>
      <c r="S292" s="392"/>
      <c r="T292" s="392"/>
      <c r="U292" s="800"/>
      <c r="V292" s="6507" t="s">
        <v>1365</v>
      </c>
      <c r="W292" s="6508"/>
      <c r="X292" s="407" t="e">
        <f>IF(V290=0,"",VLOOKUP(V290,'Tablas Magia'!$D$6:$Z$680,7,FALSE))</f>
        <v>#N/A</v>
      </c>
      <c r="Y292" s="407" t="e">
        <f>IF(V290=0,"",VLOOKUP(V290,'Tablas Magia'!$D$6:$Z$680,11,FALSE))</f>
        <v>#N/A</v>
      </c>
      <c r="Z292" s="408" t="e">
        <f>IF(V290=0,"",VLOOKUP(V290,'Tablas Magia'!$D$6:$Z$680,15,FALSE))</f>
        <v>#N/A</v>
      </c>
      <c r="AA292" s="6509" t="e">
        <f>IF(V290=0,"",VLOOKUP(V290,'Tablas Magia'!$D$6:$Z$680,19,FALSE))</f>
        <v>#N/A</v>
      </c>
      <c r="AB292" s="6510"/>
      <c r="AC292" s="6510"/>
      <c r="AD292" s="6510"/>
      <c r="AE292" s="6510"/>
      <c r="AF292" s="6510"/>
      <c r="AG292" s="6510"/>
      <c r="AH292" s="6510"/>
      <c r="AI292" s="6510"/>
      <c r="AJ292" s="6511"/>
      <c r="AK292" s="398"/>
      <c r="AL292" s="392"/>
    </row>
    <row r="293" spans="1:38" ht="12" customHeight="1" x14ac:dyDescent="0.2">
      <c r="A293" s="392"/>
      <c r="B293" s="800"/>
      <c r="C293" s="6502" t="s">
        <v>3196</v>
      </c>
      <c r="D293" s="6503"/>
      <c r="E293" s="2491" t="e">
        <f>IF(C290=0,"",VLOOKUP(C290,'Tablas Magia'!$D$6:$Z$680,8,FALSE))</f>
        <v>#N/A</v>
      </c>
      <c r="F293" s="2491" t="e">
        <f>IF(C290=0,"",VLOOKUP(C290,'Tablas Magia'!$D$6:$Z$680,12,FALSE))</f>
        <v>#N/A</v>
      </c>
      <c r="G293" s="410" t="e">
        <f>IF(C290=0,"",VLOOKUP(C290,'Tablas Magia'!$D$6:$Z$680,16,FALSE))</f>
        <v>#N/A</v>
      </c>
      <c r="H293" s="6504" t="e">
        <f>IF(C290=0,"",VLOOKUP(C290,'Tablas Magia'!$D$6:$Z$680,20,FALSE))</f>
        <v>#N/A</v>
      </c>
      <c r="I293" s="6542"/>
      <c r="J293" s="6542"/>
      <c r="K293" s="6542"/>
      <c r="L293" s="6542"/>
      <c r="M293" s="6542"/>
      <c r="N293" s="6542"/>
      <c r="O293" s="6542"/>
      <c r="P293" s="6542"/>
      <c r="Q293" s="6506"/>
      <c r="R293" s="398"/>
      <c r="S293" s="392"/>
      <c r="T293" s="392"/>
      <c r="U293" s="800"/>
      <c r="V293" s="6502" t="s">
        <v>3196</v>
      </c>
      <c r="W293" s="6503"/>
      <c r="X293" s="409" t="e">
        <f>IF(V290=0,"",VLOOKUP(V290,'Tablas Magia'!$D$6:$Z$680,8,FALSE))</f>
        <v>#N/A</v>
      </c>
      <c r="Y293" s="409" t="e">
        <f>IF(V290=0,"",VLOOKUP(V290,'Tablas Magia'!$D$6:$Z$680,12,FALSE))</f>
        <v>#N/A</v>
      </c>
      <c r="Z293" s="410" t="e">
        <f>IF(V290=0,"",VLOOKUP(V290,'Tablas Magia'!$D$6:$Z$680,16,FALSE))</f>
        <v>#N/A</v>
      </c>
      <c r="AA293" s="6504" t="e">
        <f>IF(V290=0,"",VLOOKUP(V290,'Tablas Magia'!$D$6:$Z$680,20,FALSE))</f>
        <v>#N/A</v>
      </c>
      <c r="AB293" s="6505"/>
      <c r="AC293" s="6505"/>
      <c r="AD293" s="6505"/>
      <c r="AE293" s="6505"/>
      <c r="AF293" s="6505"/>
      <c r="AG293" s="6505"/>
      <c r="AH293" s="6505"/>
      <c r="AI293" s="6505"/>
      <c r="AJ293" s="6506"/>
      <c r="AK293" s="398"/>
      <c r="AL293" s="392"/>
    </row>
    <row r="294" spans="1:38" ht="12" customHeight="1" x14ac:dyDescent="0.2">
      <c r="A294" s="392"/>
      <c r="B294" s="800"/>
      <c r="C294" s="6507" t="s">
        <v>3197</v>
      </c>
      <c r="D294" s="6508"/>
      <c r="E294" s="2490" t="e">
        <f>IF(C290=0,"",VLOOKUP(C290,'Tablas Magia'!$D$6:$Z$680,9,FALSE))</f>
        <v>#N/A</v>
      </c>
      <c r="F294" s="2490" t="e">
        <f>IF(C290=0,"",VLOOKUP(C290,'Tablas Magia'!$D$6:$Z$680,13,FALSE))</f>
        <v>#N/A</v>
      </c>
      <c r="G294" s="408" t="e">
        <f>IF(C290=0,"",VLOOKUP(C290,'Tablas Magia'!$D$6:$Z$680,17,FALSE))</f>
        <v>#N/A</v>
      </c>
      <c r="H294" s="6509" t="e">
        <f>IF(C290=0,"",VLOOKUP(C290,'Tablas Magia'!$D$6:$Z$680,21,FALSE))</f>
        <v>#N/A</v>
      </c>
      <c r="I294" s="6552"/>
      <c r="J294" s="6552"/>
      <c r="K294" s="6552"/>
      <c r="L294" s="6552"/>
      <c r="M294" s="6552"/>
      <c r="N294" s="6552"/>
      <c r="O294" s="6552"/>
      <c r="P294" s="6552"/>
      <c r="Q294" s="6511"/>
      <c r="R294" s="398"/>
      <c r="S294" s="392"/>
      <c r="T294" s="392"/>
      <c r="U294" s="800"/>
      <c r="V294" s="6507" t="s">
        <v>3197</v>
      </c>
      <c r="W294" s="6508"/>
      <c r="X294" s="407" t="e">
        <f>IF(V290=0,"",VLOOKUP(V290,'Tablas Magia'!$D$6:$Z$680,9,FALSE))</f>
        <v>#N/A</v>
      </c>
      <c r="Y294" s="407" t="e">
        <f>IF(V290=0,"",VLOOKUP(V290,'Tablas Magia'!$D$6:$Z$680,13,FALSE))</f>
        <v>#N/A</v>
      </c>
      <c r="Z294" s="408" t="e">
        <f>IF(V290=0,"",VLOOKUP(V290,'Tablas Magia'!$D$6:$Z$680,17,FALSE))</f>
        <v>#N/A</v>
      </c>
      <c r="AA294" s="6509" t="e">
        <f>IF(V290=0,"",VLOOKUP(V290,'Tablas Magia'!$D$6:$Z$680,21,FALSE))</f>
        <v>#N/A</v>
      </c>
      <c r="AB294" s="6510"/>
      <c r="AC294" s="6510"/>
      <c r="AD294" s="6510"/>
      <c r="AE294" s="6510"/>
      <c r="AF294" s="6510"/>
      <c r="AG294" s="6510"/>
      <c r="AH294" s="6510"/>
      <c r="AI294" s="6510"/>
      <c r="AJ294" s="6511"/>
      <c r="AK294" s="398"/>
      <c r="AL294" s="392"/>
    </row>
    <row r="295" spans="1:38" ht="12" customHeight="1" thickBot="1" x14ac:dyDescent="0.25">
      <c r="A295" s="392"/>
      <c r="B295" s="800"/>
      <c r="C295" s="6512" t="s">
        <v>3198</v>
      </c>
      <c r="D295" s="6513"/>
      <c r="E295" s="411" t="e">
        <f>IF(C290=0,"",VLOOKUP(C290,'Tablas Magia'!$D$6:$Z$680,10,FALSE))</f>
        <v>#N/A</v>
      </c>
      <c r="F295" s="411" t="e">
        <f>IF(C290=0,"",VLOOKUP(C290,'Tablas Magia'!$D$6:$Z$680,14,FALSE))</f>
        <v>#N/A</v>
      </c>
      <c r="G295" s="412" t="e">
        <f>IF(C290=0,"",VLOOKUP(C290,'Tablas Magia'!$D$6:$Z$680,18,FALSE))</f>
        <v>#N/A</v>
      </c>
      <c r="H295" s="6514" t="e">
        <f>IF(C290=0,"",VLOOKUP(C290,'Tablas Magia'!$D$6:$Z$680,22,FALSE))</f>
        <v>#N/A</v>
      </c>
      <c r="I295" s="6515"/>
      <c r="J295" s="6515"/>
      <c r="K295" s="6515"/>
      <c r="L295" s="6515"/>
      <c r="M295" s="6515"/>
      <c r="N295" s="6515"/>
      <c r="O295" s="6515"/>
      <c r="P295" s="6515"/>
      <c r="Q295" s="6516"/>
      <c r="R295" s="398"/>
      <c r="S295" s="392"/>
      <c r="T295" s="392"/>
      <c r="U295" s="800"/>
      <c r="V295" s="6512" t="s">
        <v>3198</v>
      </c>
      <c r="W295" s="6513"/>
      <c r="X295" s="411" t="e">
        <f>IF(V290=0,"",VLOOKUP(V290,'Tablas Magia'!$D$6:$Z$680,10,FALSE))</f>
        <v>#N/A</v>
      </c>
      <c r="Y295" s="411" t="e">
        <f>IF(V290=0,"",VLOOKUP(V290,'Tablas Magia'!$D$6:$Z$680,14,FALSE))</f>
        <v>#N/A</v>
      </c>
      <c r="Z295" s="412" t="e">
        <f>IF(V290=0,"",VLOOKUP(V290,'Tablas Magia'!$D$6:$Z$680,18,FALSE))</f>
        <v>#N/A</v>
      </c>
      <c r="AA295" s="6514" t="e">
        <f>IF(V290=0,"",VLOOKUP(V290,'Tablas Magia'!$D$6:$Z$680,22,FALSE))</f>
        <v>#N/A</v>
      </c>
      <c r="AB295" s="6515"/>
      <c r="AC295" s="6515"/>
      <c r="AD295" s="6515"/>
      <c r="AE295" s="6515"/>
      <c r="AF295" s="6515"/>
      <c r="AG295" s="6515"/>
      <c r="AH295" s="6515"/>
      <c r="AI295" s="6515"/>
      <c r="AJ295" s="6516"/>
      <c r="AK295" s="398"/>
      <c r="AL295" s="392"/>
    </row>
    <row r="296" spans="1:38" ht="12" customHeight="1" x14ac:dyDescent="0.2">
      <c r="A296" s="392"/>
      <c r="B296" s="800"/>
      <c r="C296" s="6517" t="e">
        <f>IF(C290=0,"",VLOOKUP(C290,'Tablas Magia'!$D$6:$Z$680,23,FALSE))</f>
        <v>#N/A</v>
      </c>
      <c r="D296" s="6518"/>
      <c r="E296" s="6518"/>
      <c r="F296" s="6518"/>
      <c r="G296" s="6518"/>
      <c r="H296" s="6518"/>
      <c r="I296" s="6518"/>
      <c r="J296" s="6518"/>
      <c r="K296" s="6518"/>
      <c r="L296" s="6518"/>
      <c r="M296" s="6518"/>
      <c r="N296" s="6518"/>
      <c r="O296" s="6518"/>
      <c r="P296" s="6518"/>
      <c r="Q296" s="6519"/>
      <c r="R296" s="398"/>
      <c r="S296" s="392"/>
      <c r="T296" s="392"/>
      <c r="U296" s="800"/>
      <c r="V296" s="6517" t="e">
        <f>IF(V290=0,"",VLOOKUP(V290,'Tablas Magia'!$D$6:$Z$680,23,FALSE))</f>
        <v>#N/A</v>
      </c>
      <c r="W296" s="6518"/>
      <c r="X296" s="6518"/>
      <c r="Y296" s="6518"/>
      <c r="Z296" s="6518"/>
      <c r="AA296" s="6518"/>
      <c r="AB296" s="6518"/>
      <c r="AC296" s="6518"/>
      <c r="AD296" s="6518"/>
      <c r="AE296" s="6518"/>
      <c r="AF296" s="6518"/>
      <c r="AG296" s="6518"/>
      <c r="AH296" s="6518"/>
      <c r="AI296" s="6518"/>
      <c r="AJ296" s="6519"/>
      <c r="AK296" s="398"/>
      <c r="AL296" s="392"/>
    </row>
    <row r="297" spans="1:38" ht="12" customHeight="1" x14ac:dyDescent="0.2">
      <c r="A297" s="392"/>
      <c r="B297" s="800"/>
      <c r="C297" s="6520"/>
      <c r="D297" s="6543"/>
      <c r="E297" s="6543"/>
      <c r="F297" s="6543"/>
      <c r="G297" s="6543"/>
      <c r="H297" s="6543"/>
      <c r="I297" s="6543"/>
      <c r="J297" s="6543"/>
      <c r="K297" s="6543"/>
      <c r="L297" s="6543"/>
      <c r="M297" s="6543"/>
      <c r="N297" s="6543"/>
      <c r="O297" s="6543"/>
      <c r="P297" s="6543"/>
      <c r="Q297" s="6522"/>
      <c r="R297" s="398"/>
      <c r="S297" s="392"/>
      <c r="T297" s="392"/>
      <c r="U297" s="800"/>
      <c r="V297" s="6520"/>
      <c r="W297" s="6521"/>
      <c r="X297" s="6521"/>
      <c r="Y297" s="6521"/>
      <c r="Z297" s="6521"/>
      <c r="AA297" s="6521"/>
      <c r="AB297" s="6521"/>
      <c r="AC297" s="6521"/>
      <c r="AD297" s="6521"/>
      <c r="AE297" s="6521"/>
      <c r="AF297" s="6521"/>
      <c r="AG297" s="6521"/>
      <c r="AH297" s="6521"/>
      <c r="AI297" s="6521"/>
      <c r="AJ297" s="6522"/>
      <c r="AK297" s="398"/>
      <c r="AL297" s="392"/>
    </row>
    <row r="298" spans="1:38" ht="12" customHeight="1" x14ac:dyDescent="0.2">
      <c r="A298" s="392"/>
      <c r="B298" s="800"/>
      <c r="C298" s="6520"/>
      <c r="D298" s="6543"/>
      <c r="E298" s="6543"/>
      <c r="F298" s="6543"/>
      <c r="G298" s="6543"/>
      <c r="H298" s="6543"/>
      <c r="I298" s="6543"/>
      <c r="J298" s="6543"/>
      <c r="K298" s="6543"/>
      <c r="L298" s="6543"/>
      <c r="M298" s="6543"/>
      <c r="N298" s="6543"/>
      <c r="O298" s="6543"/>
      <c r="P298" s="6543"/>
      <c r="Q298" s="6522"/>
      <c r="R298" s="398"/>
      <c r="S298" s="392"/>
      <c r="T298" s="392"/>
      <c r="U298" s="800"/>
      <c r="V298" s="6520"/>
      <c r="W298" s="6521"/>
      <c r="X298" s="6521"/>
      <c r="Y298" s="6521"/>
      <c r="Z298" s="6521"/>
      <c r="AA298" s="6521"/>
      <c r="AB298" s="6521"/>
      <c r="AC298" s="6521"/>
      <c r="AD298" s="6521"/>
      <c r="AE298" s="6521"/>
      <c r="AF298" s="6521"/>
      <c r="AG298" s="6521"/>
      <c r="AH298" s="6521"/>
      <c r="AI298" s="6521"/>
      <c r="AJ298" s="6522"/>
      <c r="AK298" s="398"/>
      <c r="AL298" s="392"/>
    </row>
    <row r="299" spans="1:38" ht="12" customHeight="1" thickBot="1" x14ac:dyDescent="0.25">
      <c r="A299" s="392"/>
      <c r="B299" s="800"/>
      <c r="C299" s="6523"/>
      <c r="D299" s="6524"/>
      <c r="E299" s="6524"/>
      <c r="F299" s="6524"/>
      <c r="G299" s="6524"/>
      <c r="H299" s="6524"/>
      <c r="I299" s="6524"/>
      <c r="J299" s="6524"/>
      <c r="K299" s="6524"/>
      <c r="L299" s="6524"/>
      <c r="M299" s="6524"/>
      <c r="N299" s="6524"/>
      <c r="O299" s="6524"/>
      <c r="P299" s="6524"/>
      <c r="Q299" s="6525"/>
      <c r="R299" s="398"/>
      <c r="S299" s="392"/>
      <c r="T299" s="392"/>
      <c r="U299" s="800"/>
      <c r="V299" s="6523"/>
      <c r="W299" s="6524"/>
      <c r="X299" s="6524"/>
      <c r="Y299" s="6524"/>
      <c r="Z299" s="6524"/>
      <c r="AA299" s="6524"/>
      <c r="AB299" s="6524"/>
      <c r="AC299" s="6524"/>
      <c r="AD299" s="6524"/>
      <c r="AE299" s="6524"/>
      <c r="AF299" s="6524"/>
      <c r="AG299" s="6524"/>
      <c r="AH299" s="6524"/>
      <c r="AI299" s="6524"/>
      <c r="AJ299" s="6525"/>
      <c r="AK299" s="398"/>
      <c r="AL299" s="392"/>
    </row>
    <row r="300" spans="1:38" ht="12" customHeight="1" thickBot="1" x14ac:dyDescent="0.25">
      <c r="A300" s="392"/>
      <c r="B300" s="800"/>
      <c r="C300" s="2495"/>
      <c r="D300" s="2495"/>
      <c r="E300" s="2497"/>
      <c r="F300" s="2497"/>
      <c r="G300" s="2497"/>
      <c r="H300" s="2495"/>
      <c r="I300" s="2496"/>
      <c r="J300" s="2496"/>
      <c r="K300" s="2495"/>
      <c r="L300" s="2495"/>
      <c r="M300" s="2496"/>
      <c r="N300" s="2496"/>
      <c r="O300" s="2498"/>
      <c r="P300" s="2498"/>
      <c r="Q300" s="2496"/>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59" t="str">
        <f>IFERROR(VLOOKUP($J$6&amp;B301,'Tablas Magia'!$B$6:$D$680,3,FALSE),IFERROR(VLOOKUP($J$8&amp;B301,'Tablas Magia'!$B$6:$D$680,3,FALSE),IFERROR(VLOOKUP($J$6&amp;B301,Místicos!$AD$12:$AJ$50,4,FALSE),"Libre Acceso 1-"&amp;ROUNDUP(B301/10,0)*10)))</f>
        <v>Libre Acceso 1-90</v>
      </c>
      <c r="D301" s="6560"/>
      <c r="E301" s="6560"/>
      <c r="F301" s="6560"/>
      <c r="G301" s="6561"/>
      <c r="H301" s="402" t="s">
        <v>1325</v>
      </c>
      <c r="I301" s="403">
        <f>B301</f>
        <v>86</v>
      </c>
      <c r="J301" s="6544" t="s">
        <v>6231</v>
      </c>
      <c r="K301" s="6544"/>
      <c r="L301" s="6544"/>
      <c r="M301" s="6529" t="e">
        <f>IF(C301=0,"",VLOOKUP(C301,'Tablas Magia'!$D$6:$Z$680,2,FALSE))</f>
        <v>#N/A</v>
      </c>
      <c r="N301" s="6529"/>
      <c r="O301" s="1705"/>
      <c r="P301" s="6550" t="str">
        <f>IFERROR(IF(M301="Libre Acceso","Aprendido",IF(IFERROR(VLOOKUP(M301,Místicos!$C$15:$H$25,6,0)&gt;=I301,FALSE),"Aprendido",IF(IFERROR(VLOOKUP(M301,Místicos!$E$15:$H$25,4,0)&gt;=I301,FALSE),"Aprendido",""))),"")</f>
        <v/>
      </c>
      <c r="Q301" s="6551"/>
      <c r="R301" s="398"/>
      <c r="S301" s="392"/>
      <c r="T301" s="392"/>
      <c r="U301" s="800">
        <f>U290+2</f>
        <v>96</v>
      </c>
      <c r="V301" s="6559" t="str">
        <f>IFERROR(VLOOKUP($J$6&amp;U301,'Tablas Magia'!$B$6:$D$680,3,FALSE),IFERROR(VLOOKUP($J$8&amp;U301,'Tablas Magia'!$B$6:$D$680,3,FALSE),IFERROR(VLOOKUP($J$6&amp;U301,Místicos!$AD$12:$AJ$50,4,FALSE),"Libre Acceso 1-"&amp;ROUNDUP(U301/10,0)*10)))</f>
        <v>Libre Acceso 1-100</v>
      </c>
      <c r="W301" s="6560"/>
      <c r="X301" s="6560"/>
      <c r="Y301" s="6560"/>
      <c r="Z301" s="6561"/>
      <c r="AA301" s="402" t="s">
        <v>1325</v>
      </c>
      <c r="AB301" s="403">
        <f>U301</f>
        <v>96</v>
      </c>
      <c r="AC301" s="6544" t="s">
        <v>6231</v>
      </c>
      <c r="AD301" s="6544"/>
      <c r="AE301" s="6544"/>
      <c r="AF301" s="6529" t="e">
        <f>IF(V301=0,"",VLOOKUP(V301,'Tablas Magia'!$D$6:$Z$680,2,FALSE))</f>
        <v>#N/A</v>
      </c>
      <c r="AG301" s="6529"/>
      <c r="AH301" s="1705"/>
      <c r="AI301" s="6550" t="str">
        <f>IFERROR(IF(AF301="Libre Acceso","Aprendido",IF(IFERROR(VLOOKUP(AF301,Místicos!$C$15:$H$25,6,0)&gt;=AB301,FALSE),"Aprendido",IF(IFERROR(VLOOKUP(AF301,Místicos!$E$15:$H$25,4,0)&gt;=AB301,FALSE),"Aprendido",""))),"")</f>
        <v/>
      </c>
      <c r="AJ301" s="6551"/>
      <c r="AK301" s="398"/>
      <c r="AL301" s="392"/>
    </row>
    <row r="302" spans="1:38" ht="12" customHeight="1" x14ac:dyDescent="0.2">
      <c r="A302" s="392"/>
      <c r="B302" s="800"/>
      <c r="C302" s="6531" t="s">
        <v>6232</v>
      </c>
      <c r="D302" s="6545"/>
      <c r="E302" s="2487" t="s">
        <v>6233</v>
      </c>
      <c r="F302" s="2487" t="s">
        <v>1508</v>
      </c>
      <c r="G302" s="2487" t="s">
        <v>2827</v>
      </c>
      <c r="H302" s="2488" t="s">
        <v>1835</v>
      </c>
      <c r="I302" s="6553" t="e">
        <f>IF(C301=0,"",VLOOKUP(C301,'Tablas Magia'!$D$6:$Z$680,5,FALSE))</f>
        <v>#N/A</v>
      </c>
      <c r="J302" s="6553"/>
      <c r="K302" s="6556" t="s">
        <v>6234</v>
      </c>
      <c r="L302" s="6556"/>
      <c r="M302" s="6553" t="e">
        <f>IF(C301=0,"",VLOOKUP(C301,'Tablas Magia'!$D$6:$Z$680,6,FALSE))</f>
        <v>#N/A</v>
      </c>
      <c r="N302" s="6553"/>
      <c r="O302" s="6554" t="s">
        <v>6235</v>
      </c>
      <c r="P302" s="6554"/>
      <c r="Q302" s="2489" t="e">
        <f>IF(C301=0,"",VLOOKUP(C301,'Tablas Magia'!$D$6:$Z$680,4,FALSE))</f>
        <v>#N/A</v>
      </c>
      <c r="R302" s="398"/>
      <c r="S302" s="392"/>
      <c r="T302" s="392"/>
      <c r="U302" s="800"/>
      <c r="V302" s="6531" t="s">
        <v>6232</v>
      </c>
      <c r="W302" s="6562"/>
      <c r="X302" s="1714" t="s">
        <v>6233</v>
      </c>
      <c r="Y302" s="1714" t="s">
        <v>1508</v>
      </c>
      <c r="Z302" s="1714" t="s">
        <v>2827</v>
      </c>
      <c r="AA302" s="1715" t="s">
        <v>1835</v>
      </c>
      <c r="AB302" s="6549" t="e">
        <f>IF(V301=0,"",VLOOKUP(V301,'Tablas Magia'!$D$6:$Z$680,5,FALSE))</f>
        <v>#N/A</v>
      </c>
      <c r="AC302" s="6549"/>
      <c r="AD302" s="6563" t="s">
        <v>6234</v>
      </c>
      <c r="AE302" s="6563"/>
      <c r="AF302" s="6549" t="e">
        <f>IF(V301=0,"",VLOOKUP(V301,'Tablas Magia'!$D$6:$Z$680,6,FALSE))</f>
        <v>#N/A</v>
      </c>
      <c r="AG302" s="6549"/>
      <c r="AH302" s="6564" t="s">
        <v>6235</v>
      </c>
      <c r="AI302" s="6564"/>
      <c r="AJ302" s="1716" t="e">
        <f>IF(V301=0,"",VLOOKUP(V301,'Tablas Magia'!$D$6:$Z$680,4,FALSE))</f>
        <v>#N/A</v>
      </c>
      <c r="AK302" s="398"/>
      <c r="AL302" s="392"/>
    </row>
    <row r="303" spans="1:38" ht="12" customHeight="1" x14ac:dyDescent="0.2">
      <c r="A303" s="392"/>
      <c r="B303" s="800"/>
      <c r="C303" s="6557" t="s">
        <v>1365</v>
      </c>
      <c r="D303" s="6558"/>
      <c r="E303" s="2490" t="e">
        <f>IF(C301=0,"",VLOOKUP(C301,'Tablas Magia'!$D$6:$Z$680,7,FALSE))</f>
        <v>#N/A</v>
      </c>
      <c r="F303" s="2490" t="e">
        <f>IF(C301=0,"",VLOOKUP(C301,'Tablas Magia'!$D$6:$Z$680,11,FALSE))</f>
        <v>#N/A</v>
      </c>
      <c r="G303" s="408" t="e">
        <f>IF(C301=0,"",VLOOKUP(C301,'Tablas Magia'!$D$6:$Z$680,15,FALSE))</f>
        <v>#N/A</v>
      </c>
      <c r="H303" s="6539" t="e">
        <f>IF(C301=0,"",VLOOKUP(C301,'Tablas Magia'!$D$6:$Z$680,19,FALSE))</f>
        <v>#N/A</v>
      </c>
      <c r="I303" s="6540"/>
      <c r="J303" s="6540"/>
      <c r="K303" s="6540"/>
      <c r="L303" s="6540"/>
      <c r="M303" s="6540"/>
      <c r="N303" s="6540"/>
      <c r="O303" s="6540"/>
      <c r="P303" s="6540"/>
      <c r="Q303" s="6541"/>
      <c r="R303" s="398"/>
      <c r="S303" s="392"/>
      <c r="T303" s="392"/>
      <c r="U303" s="800"/>
      <c r="V303" s="6507" t="s">
        <v>1365</v>
      </c>
      <c r="W303" s="6508"/>
      <c r="X303" s="407" t="e">
        <f>IF(V301=0,"",VLOOKUP(V301,'Tablas Magia'!$D$6:$Z$680,7,FALSE))</f>
        <v>#N/A</v>
      </c>
      <c r="Y303" s="407" t="e">
        <f>IF(V301=0,"",VLOOKUP(V301,'Tablas Magia'!$D$6:$Z$680,11,FALSE))</f>
        <v>#N/A</v>
      </c>
      <c r="Z303" s="408" t="e">
        <f>IF(V301=0,"",VLOOKUP(V301,'Tablas Magia'!$D$6:$Z$680,15,FALSE))</f>
        <v>#N/A</v>
      </c>
      <c r="AA303" s="6509" t="e">
        <f>IF(V301=0,"",VLOOKUP(V301,'Tablas Magia'!$D$6:$Z$680,19,FALSE))</f>
        <v>#N/A</v>
      </c>
      <c r="AB303" s="6510"/>
      <c r="AC303" s="6510"/>
      <c r="AD303" s="6510"/>
      <c r="AE303" s="6510"/>
      <c r="AF303" s="6510"/>
      <c r="AG303" s="6510"/>
      <c r="AH303" s="6510"/>
      <c r="AI303" s="6510"/>
      <c r="AJ303" s="6511"/>
      <c r="AK303" s="398"/>
      <c r="AL303" s="392"/>
    </row>
    <row r="304" spans="1:38" ht="12" customHeight="1" x14ac:dyDescent="0.2">
      <c r="A304" s="392"/>
      <c r="B304" s="800"/>
      <c r="C304" s="6502" t="s">
        <v>3196</v>
      </c>
      <c r="D304" s="6503"/>
      <c r="E304" s="2491" t="e">
        <f>IF(C301=0,"",VLOOKUP(C301,'Tablas Magia'!$D$6:$Z$680,8,FALSE))</f>
        <v>#N/A</v>
      </c>
      <c r="F304" s="2491" t="e">
        <f>IF(C301=0,"",VLOOKUP(C301,'Tablas Magia'!$D$6:$Z$680,12,FALSE))</f>
        <v>#N/A</v>
      </c>
      <c r="G304" s="410" t="e">
        <f>IF(C301=0,"",VLOOKUP(C301,'Tablas Magia'!$D$6:$Z$680,16,FALSE))</f>
        <v>#N/A</v>
      </c>
      <c r="H304" s="6504" t="e">
        <f>IF(C301=0,"",VLOOKUP(C301,'Tablas Magia'!$D$6:$Z$680,20,FALSE))</f>
        <v>#N/A</v>
      </c>
      <c r="I304" s="6542"/>
      <c r="J304" s="6542"/>
      <c r="K304" s="6542"/>
      <c r="L304" s="6542"/>
      <c r="M304" s="6542"/>
      <c r="N304" s="6542"/>
      <c r="O304" s="6542"/>
      <c r="P304" s="6542"/>
      <c r="Q304" s="6506"/>
      <c r="R304" s="398"/>
      <c r="S304" s="392"/>
      <c r="T304" s="392"/>
      <c r="U304" s="800"/>
      <c r="V304" s="6502" t="s">
        <v>3196</v>
      </c>
      <c r="W304" s="6503"/>
      <c r="X304" s="409" t="e">
        <f>IF(V301=0,"",VLOOKUP(V301,'Tablas Magia'!$D$6:$Z$680,8,FALSE))</f>
        <v>#N/A</v>
      </c>
      <c r="Y304" s="409" t="e">
        <f>IF(V301=0,"",VLOOKUP(V301,'Tablas Magia'!$D$6:$Z$680,12,FALSE))</f>
        <v>#N/A</v>
      </c>
      <c r="Z304" s="410" t="e">
        <f>IF(V301=0,"",VLOOKUP(V301,'Tablas Magia'!$D$6:$Z$680,16,FALSE))</f>
        <v>#N/A</v>
      </c>
      <c r="AA304" s="6504" t="e">
        <f>IF(V301=0,"",VLOOKUP(V301,'Tablas Magia'!$D$6:$Z$680,20,FALSE))</f>
        <v>#N/A</v>
      </c>
      <c r="AB304" s="6505"/>
      <c r="AC304" s="6505"/>
      <c r="AD304" s="6505"/>
      <c r="AE304" s="6505"/>
      <c r="AF304" s="6505"/>
      <c r="AG304" s="6505"/>
      <c r="AH304" s="6505"/>
      <c r="AI304" s="6505"/>
      <c r="AJ304" s="6506"/>
      <c r="AK304" s="398"/>
      <c r="AL304" s="392"/>
    </row>
    <row r="305" spans="1:38" ht="12" customHeight="1" x14ac:dyDescent="0.2">
      <c r="A305" s="392"/>
      <c r="B305" s="800"/>
      <c r="C305" s="6507" t="s">
        <v>3197</v>
      </c>
      <c r="D305" s="6508"/>
      <c r="E305" s="2490" t="e">
        <f>IF(C301=0,"",VLOOKUP(C301,'Tablas Magia'!$D$6:$Z$680,9,FALSE))</f>
        <v>#N/A</v>
      </c>
      <c r="F305" s="2490" t="e">
        <f>IF(C301=0,"",VLOOKUP(C301,'Tablas Magia'!$D$6:$Z$680,13,FALSE))</f>
        <v>#N/A</v>
      </c>
      <c r="G305" s="408" t="e">
        <f>IF(C301=0,"",VLOOKUP(C301,'Tablas Magia'!$D$6:$Z$680,17,FALSE))</f>
        <v>#N/A</v>
      </c>
      <c r="H305" s="6509" t="e">
        <f>IF(C301=0,"",VLOOKUP(C301,'Tablas Magia'!$D$6:$Z$680,21,FALSE))</f>
        <v>#N/A</v>
      </c>
      <c r="I305" s="6552"/>
      <c r="J305" s="6552"/>
      <c r="K305" s="6552"/>
      <c r="L305" s="6552"/>
      <c r="M305" s="6552"/>
      <c r="N305" s="6552"/>
      <c r="O305" s="6552"/>
      <c r="P305" s="6552"/>
      <c r="Q305" s="6511"/>
      <c r="R305" s="398"/>
      <c r="S305" s="392"/>
      <c r="T305" s="392"/>
      <c r="U305" s="800"/>
      <c r="V305" s="6507" t="s">
        <v>3197</v>
      </c>
      <c r="W305" s="6508"/>
      <c r="X305" s="407" t="e">
        <f>IF(V301=0,"",VLOOKUP(V301,'Tablas Magia'!$D$6:$Z$680,9,FALSE))</f>
        <v>#N/A</v>
      </c>
      <c r="Y305" s="407" t="e">
        <f>IF(V301=0,"",VLOOKUP(V301,'Tablas Magia'!$D$6:$Z$680,13,FALSE))</f>
        <v>#N/A</v>
      </c>
      <c r="Z305" s="408" t="e">
        <f>IF(V301=0,"",VLOOKUP(V301,'Tablas Magia'!$D$6:$Z$680,17,FALSE))</f>
        <v>#N/A</v>
      </c>
      <c r="AA305" s="6509" t="e">
        <f>IF(V301=0,"",VLOOKUP(V301,'Tablas Magia'!$D$6:$Z$680,21,FALSE))</f>
        <v>#N/A</v>
      </c>
      <c r="AB305" s="6510"/>
      <c r="AC305" s="6510"/>
      <c r="AD305" s="6510"/>
      <c r="AE305" s="6510"/>
      <c r="AF305" s="6510"/>
      <c r="AG305" s="6510"/>
      <c r="AH305" s="6510"/>
      <c r="AI305" s="6510"/>
      <c r="AJ305" s="6511"/>
      <c r="AK305" s="398"/>
      <c r="AL305" s="392"/>
    </row>
    <row r="306" spans="1:38" ht="12" customHeight="1" thickBot="1" x14ac:dyDescent="0.25">
      <c r="A306" s="392"/>
      <c r="B306" s="800"/>
      <c r="C306" s="6512" t="s">
        <v>3198</v>
      </c>
      <c r="D306" s="6513"/>
      <c r="E306" s="411" t="e">
        <f>IF(C301=0,"",VLOOKUP(C301,'Tablas Magia'!$D$6:$Z$680,10,FALSE))</f>
        <v>#N/A</v>
      </c>
      <c r="F306" s="411" t="e">
        <f>IF(C301=0,"",VLOOKUP(C301,'Tablas Magia'!$D$6:$Z$680,14,FALSE))</f>
        <v>#N/A</v>
      </c>
      <c r="G306" s="412" t="e">
        <f>IF(C301=0,"",VLOOKUP(C301,'Tablas Magia'!$D$6:$Z$680,18,FALSE))</f>
        <v>#N/A</v>
      </c>
      <c r="H306" s="6514" t="e">
        <f>IF(C301=0,"",VLOOKUP(C301,'Tablas Magia'!$D$6:$Z$680,22,FALSE))</f>
        <v>#N/A</v>
      </c>
      <c r="I306" s="6515"/>
      <c r="J306" s="6515"/>
      <c r="K306" s="6515"/>
      <c r="L306" s="6515"/>
      <c r="M306" s="6515"/>
      <c r="N306" s="6515"/>
      <c r="O306" s="6515"/>
      <c r="P306" s="6515"/>
      <c r="Q306" s="6516"/>
      <c r="R306" s="398"/>
      <c r="S306" s="392"/>
      <c r="T306" s="392"/>
      <c r="U306" s="800"/>
      <c r="V306" s="6512" t="s">
        <v>3198</v>
      </c>
      <c r="W306" s="6513"/>
      <c r="X306" s="411" t="e">
        <f>IF(V301=0,"",VLOOKUP(V301,'Tablas Magia'!$D$6:$Z$680,10,FALSE))</f>
        <v>#N/A</v>
      </c>
      <c r="Y306" s="411" t="e">
        <f>IF(V301=0,"",VLOOKUP(V301,'Tablas Magia'!$D$6:$Z$680,14,FALSE))</f>
        <v>#N/A</v>
      </c>
      <c r="Z306" s="412" t="e">
        <f>IF(V301=0,"",VLOOKUP(V301,'Tablas Magia'!$D$6:$Z$680,18,FALSE))</f>
        <v>#N/A</v>
      </c>
      <c r="AA306" s="6514" t="e">
        <f>IF(V301=0,"",VLOOKUP(V301,'Tablas Magia'!$D$6:$Z$680,22,FALSE))</f>
        <v>#N/A</v>
      </c>
      <c r="AB306" s="6515"/>
      <c r="AC306" s="6515"/>
      <c r="AD306" s="6515"/>
      <c r="AE306" s="6515"/>
      <c r="AF306" s="6515"/>
      <c r="AG306" s="6515"/>
      <c r="AH306" s="6515"/>
      <c r="AI306" s="6515"/>
      <c r="AJ306" s="6516"/>
      <c r="AK306" s="398"/>
      <c r="AL306" s="392"/>
    </row>
    <row r="307" spans="1:38" ht="12" customHeight="1" x14ac:dyDescent="0.2">
      <c r="A307" s="392"/>
      <c r="B307" s="800"/>
      <c r="C307" s="6517" t="e">
        <f>IF(C301=0,"",VLOOKUP(C301,'Tablas Magia'!$D$6:$Z$680,23,FALSE))</f>
        <v>#N/A</v>
      </c>
      <c r="D307" s="6518"/>
      <c r="E307" s="6518"/>
      <c r="F307" s="6518"/>
      <c r="G307" s="6518"/>
      <c r="H307" s="6518"/>
      <c r="I307" s="6518"/>
      <c r="J307" s="6518"/>
      <c r="K307" s="6518"/>
      <c r="L307" s="6518"/>
      <c r="M307" s="6518"/>
      <c r="N307" s="6518"/>
      <c r="O307" s="6518"/>
      <c r="P307" s="6518"/>
      <c r="Q307" s="6519"/>
      <c r="R307" s="398"/>
      <c r="S307" s="392"/>
      <c r="T307" s="392"/>
      <c r="U307" s="800"/>
      <c r="V307" s="6517" t="e">
        <f>IF(V301=0,"",VLOOKUP(V301,'Tablas Magia'!$D$6:$Z$680,23,FALSE))</f>
        <v>#N/A</v>
      </c>
      <c r="W307" s="6518"/>
      <c r="X307" s="6518"/>
      <c r="Y307" s="6518"/>
      <c r="Z307" s="6518"/>
      <c r="AA307" s="6518"/>
      <c r="AB307" s="6518"/>
      <c r="AC307" s="6518"/>
      <c r="AD307" s="6518"/>
      <c r="AE307" s="6518"/>
      <c r="AF307" s="6518"/>
      <c r="AG307" s="6518"/>
      <c r="AH307" s="6518"/>
      <c r="AI307" s="6518"/>
      <c r="AJ307" s="6519"/>
      <c r="AK307" s="398"/>
      <c r="AL307" s="392"/>
    </row>
    <row r="308" spans="1:38" ht="12" customHeight="1" x14ac:dyDescent="0.2">
      <c r="A308" s="392"/>
      <c r="B308" s="800"/>
      <c r="C308" s="6520"/>
      <c r="D308" s="6543"/>
      <c r="E308" s="6543"/>
      <c r="F308" s="6543"/>
      <c r="G308" s="6543"/>
      <c r="H308" s="6543"/>
      <c r="I308" s="6543"/>
      <c r="J308" s="6543"/>
      <c r="K308" s="6543"/>
      <c r="L308" s="6543"/>
      <c r="M308" s="6543"/>
      <c r="N308" s="6543"/>
      <c r="O308" s="6543"/>
      <c r="P308" s="6543"/>
      <c r="Q308" s="6522"/>
      <c r="R308" s="398"/>
      <c r="S308" s="392"/>
      <c r="T308" s="392"/>
      <c r="U308" s="800"/>
      <c r="V308" s="6520"/>
      <c r="W308" s="6521"/>
      <c r="X308" s="6521"/>
      <c r="Y308" s="6521"/>
      <c r="Z308" s="6521"/>
      <c r="AA308" s="6521"/>
      <c r="AB308" s="6521"/>
      <c r="AC308" s="6521"/>
      <c r="AD308" s="6521"/>
      <c r="AE308" s="6521"/>
      <c r="AF308" s="6521"/>
      <c r="AG308" s="6521"/>
      <c r="AH308" s="6521"/>
      <c r="AI308" s="6521"/>
      <c r="AJ308" s="6522"/>
      <c r="AK308" s="398"/>
      <c r="AL308" s="392"/>
    </row>
    <row r="309" spans="1:38" ht="12" customHeight="1" x14ac:dyDescent="0.2">
      <c r="A309" s="392"/>
      <c r="B309" s="800"/>
      <c r="C309" s="6520"/>
      <c r="D309" s="6543"/>
      <c r="E309" s="6543"/>
      <c r="F309" s="6543"/>
      <c r="G309" s="6543"/>
      <c r="H309" s="6543"/>
      <c r="I309" s="6543"/>
      <c r="J309" s="6543"/>
      <c r="K309" s="6543"/>
      <c r="L309" s="6543"/>
      <c r="M309" s="6543"/>
      <c r="N309" s="6543"/>
      <c r="O309" s="6543"/>
      <c r="P309" s="6543"/>
      <c r="Q309" s="6522"/>
      <c r="R309" s="398"/>
      <c r="S309" s="392"/>
      <c r="T309" s="392"/>
      <c r="U309" s="800"/>
      <c r="V309" s="6520"/>
      <c r="W309" s="6521"/>
      <c r="X309" s="6521"/>
      <c r="Y309" s="6521"/>
      <c r="Z309" s="6521"/>
      <c r="AA309" s="6521"/>
      <c r="AB309" s="6521"/>
      <c r="AC309" s="6521"/>
      <c r="AD309" s="6521"/>
      <c r="AE309" s="6521"/>
      <c r="AF309" s="6521"/>
      <c r="AG309" s="6521"/>
      <c r="AH309" s="6521"/>
      <c r="AI309" s="6521"/>
      <c r="AJ309" s="6522"/>
      <c r="AK309" s="398"/>
      <c r="AL309" s="392"/>
    </row>
    <row r="310" spans="1:38" ht="12" customHeight="1" thickBot="1" x14ac:dyDescent="0.25">
      <c r="A310" s="392"/>
      <c r="B310" s="800"/>
      <c r="C310" s="6523"/>
      <c r="D310" s="6524"/>
      <c r="E310" s="6524"/>
      <c r="F310" s="6524"/>
      <c r="G310" s="6524"/>
      <c r="H310" s="6524"/>
      <c r="I310" s="6524"/>
      <c r="J310" s="6524"/>
      <c r="K310" s="6524"/>
      <c r="L310" s="6524"/>
      <c r="M310" s="6524"/>
      <c r="N310" s="6524"/>
      <c r="O310" s="6524"/>
      <c r="P310" s="6524"/>
      <c r="Q310" s="6525"/>
      <c r="R310" s="398"/>
      <c r="S310" s="392"/>
      <c r="T310" s="392"/>
      <c r="U310" s="800"/>
      <c r="V310" s="6523"/>
      <c r="W310" s="6524"/>
      <c r="X310" s="6524"/>
      <c r="Y310" s="6524"/>
      <c r="Z310" s="6524"/>
      <c r="AA310" s="6524"/>
      <c r="AB310" s="6524"/>
      <c r="AC310" s="6524"/>
      <c r="AD310" s="6524"/>
      <c r="AE310" s="6524"/>
      <c r="AF310" s="6524"/>
      <c r="AG310" s="6524"/>
      <c r="AH310" s="6524"/>
      <c r="AI310" s="6524"/>
      <c r="AJ310" s="6525"/>
      <c r="AK310" s="398"/>
      <c r="AL310" s="392"/>
    </row>
    <row r="311" spans="1:38" ht="12" customHeight="1" thickBot="1" x14ac:dyDescent="0.25">
      <c r="A311" s="392"/>
      <c r="B311" s="800"/>
      <c r="C311" s="2499"/>
      <c r="D311" s="2499"/>
      <c r="E311" s="2500"/>
      <c r="F311" s="2500"/>
      <c r="G311" s="2500"/>
      <c r="H311" s="2500"/>
      <c r="I311" s="2500"/>
      <c r="J311" s="2500"/>
      <c r="K311" s="2500"/>
      <c r="L311" s="2500"/>
      <c r="M311" s="2500"/>
      <c r="N311" s="2500"/>
      <c r="O311" s="2500"/>
      <c r="P311" s="2500"/>
      <c r="Q311" s="2500"/>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59" t="str">
        <f>IFERROR(VLOOKUP($J$6&amp;B312,'Tablas Magia'!$B$6:$D$680,3,FALSE),IFERROR(VLOOKUP($J$8&amp;B312,'Tablas Magia'!$B$6:$D$680,3,FALSE),IFERROR(VLOOKUP($J$6&amp;B312,Místicos!$AD$12:$AJ$50,4,FALSE),"Libre Acceso 1-"&amp;ROUNDUP(B312/10,0)*10)))</f>
        <v>Libre Acceso 1-90</v>
      </c>
      <c r="D312" s="6560"/>
      <c r="E312" s="6560"/>
      <c r="F312" s="6560"/>
      <c r="G312" s="6561"/>
      <c r="H312" s="402" t="s">
        <v>1325</v>
      </c>
      <c r="I312" s="403">
        <f>B312</f>
        <v>88</v>
      </c>
      <c r="J312" s="6544" t="s">
        <v>6231</v>
      </c>
      <c r="K312" s="6544"/>
      <c r="L312" s="6544"/>
      <c r="M312" s="6529" t="e">
        <f>IF(C312=0,"",VLOOKUP(C312,'Tablas Magia'!$D$6:$Z$680,2,FALSE))</f>
        <v>#N/A</v>
      </c>
      <c r="N312" s="6529"/>
      <c r="O312" s="1705"/>
      <c r="P312" s="6550" t="str">
        <f>IFERROR(IF(M312="Libre Acceso","Aprendido",IF(IFERROR(VLOOKUP(M312,Místicos!$C$15:$H$25,6,0)&gt;=I312,FALSE),"Aprendido",IF(IFERROR(VLOOKUP(M312,Místicos!$E$15:$H$25,4,0)&gt;=I312,FALSE),"Aprendido",""))),"")</f>
        <v/>
      </c>
      <c r="Q312" s="6551"/>
      <c r="R312" s="398"/>
      <c r="S312" s="392"/>
      <c r="T312" s="392"/>
      <c r="U312" s="800">
        <f>U301+2</f>
        <v>98</v>
      </c>
      <c r="V312" s="6559" t="str">
        <f>IFERROR(VLOOKUP($J$6&amp;U312,'Tablas Magia'!$B$6:$D$680,3,FALSE),IFERROR(VLOOKUP($J$8&amp;U312,'Tablas Magia'!$B$6:$D$680,3,FALSE),IFERROR(VLOOKUP($J$6&amp;U312,Místicos!$AD$12:$AJ$50,4,FALSE),"Libre Acceso 1-"&amp;ROUNDUP(U312/10,0)*10)))</f>
        <v>Libre Acceso 1-100</v>
      </c>
      <c r="W312" s="6560"/>
      <c r="X312" s="6560"/>
      <c r="Y312" s="6560"/>
      <c r="Z312" s="6561"/>
      <c r="AA312" s="402" t="s">
        <v>1325</v>
      </c>
      <c r="AB312" s="403">
        <f>U312</f>
        <v>98</v>
      </c>
      <c r="AC312" s="6544" t="s">
        <v>6231</v>
      </c>
      <c r="AD312" s="6544"/>
      <c r="AE312" s="6544"/>
      <c r="AF312" s="6529" t="e">
        <f>IF(V312=0,"",VLOOKUP(V312,'Tablas Magia'!$D$6:$Z$680,2,FALSE))</f>
        <v>#N/A</v>
      </c>
      <c r="AG312" s="6529"/>
      <c r="AH312" s="1705"/>
      <c r="AI312" s="6550" t="str">
        <f>IFERROR(IF(AF312="Libre Acceso","Aprendido",IF(IFERROR(VLOOKUP(AF312,Místicos!$C$15:$H$25,6,0)&gt;=AB312,FALSE),"Aprendido",IF(IFERROR(VLOOKUP(AF312,Místicos!$E$15:$H$25,4,0)&gt;=AB312,FALSE),"Aprendido",""))),"")</f>
        <v/>
      </c>
      <c r="AJ312" s="6551"/>
      <c r="AK312" s="398"/>
      <c r="AL312" s="392"/>
    </row>
    <row r="313" spans="1:38" ht="12" customHeight="1" x14ac:dyDescent="0.2">
      <c r="A313" s="392"/>
      <c r="B313" s="800"/>
      <c r="C313" s="6531" t="s">
        <v>6232</v>
      </c>
      <c r="D313" s="6545"/>
      <c r="E313" s="2487" t="s">
        <v>6233</v>
      </c>
      <c r="F313" s="2487" t="s">
        <v>1508</v>
      </c>
      <c r="G313" s="2487" t="s">
        <v>2827</v>
      </c>
      <c r="H313" s="2488" t="s">
        <v>1835</v>
      </c>
      <c r="I313" s="6553" t="e">
        <f>IF(C312=0,"",VLOOKUP(C312,'Tablas Magia'!$D$6:$Z$680,5,FALSE))</f>
        <v>#N/A</v>
      </c>
      <c r="J313" s="6553"/>
      <c r="K313" s="6556" t="s">
        <v>6234</v>
      </c>
      <c r="L313" s="6556"/>
      <c r="M313" s="6553" t="e">
        <f>IF(C312=0,"",VLOOKUP(C312,'Tablas Magia'!$D$6:$Z$680,6,FALSE))</f>
        <v>#N/A</v>
      </c>
      <c r="N313" s="6553"/>
      <c r="O313" s="6554" t="s">
        <v>6235</v>
      </c>
      <c r="P313" s="6554"/>
      <c r="Q313" s="2489" t="e">
        <f>IF(C312=0,"",VLOOKUP(C312,'Tablas Magia'!$D$6:$Z$680,4,FALSE))</f>
        <v>#N/A</v>
      </c>
      <c r="R313" s="398"/>
      <c r="S313" s="392"/>
      <c r="T313" s="392"/>
      <c r="U313" s="800"/>
      <c r="V313" s="6531" t="s">
        <v>6232</v>
      </c>
      <c r="W313" s="6562"/>
      <c r="X313" s="1714" t="s">
        <v>6233</v>
      </c>
      <c r="Y313" s="1714" t="s">
        <v>1508</v>
      </c>
      <c r="Z313" s="1714" t="s">
        <v>2827</v>
      </c>
      <c r="AA313" s="1715" t="s">
        <v>1835</v>
      </c>
      <c r="AB313" s="6549" t="e">
        <f>IF(V312=0,"",VLOOKUP(V312,'Tablas Magia'!$D$6:$Z$680,5,FALSE))</f>
        <v>#N/A</v>
      </c>
      <c r="AC313" s="6549"/>
      <c r="AD313" s="6563" t="s">
        <v>6234</v>
      </c>
      <c r="AE313" s="6563"/>
      <c r="AF313" s="6549" t="e">
        <f>IF(V312=0,"",VLOOKUP(V312,'Tablas Magia'!$D$6:$Z$680,6,FALSE))</f>
        <v>#N/A</v>
      </c>
      <c r="AG313" s="6549"/>
      <c r="AH313" s="6564" t="s">
        <v>6235</v>
      </c>
      <c r="AI313" s="6564"/>
      <c r="AJ313" s="1716" t="e">
        <f>IF(V312=0,"",VLOOKUP(V312,'Tablas Magia'!$D$6:$Z$680,4,FALSE))</f>
        <v>#N/A</v>
      </c>
      <c r="AK313" s="398"/>
      <c r="AL313" s="392"/>
    </row>
    <row r="314" spans="1:38" ht="12" customHeight="1" x14ac:dyDescent="0.2">
      <c r="A314" s="392"/>
      <c r="B314" s="800"/>
      <c r="C314" s="6557" t="s">
        <v>1365</v>
      </c>
      <c r="D314" s="6558"/>
      <c r="E314" s="2490" t="e">
        <f>IF(C312=0,"",VLOOKUP(C312,'Tablas Magia'!$D$6:$Z$680,7,FALSE))</f>
        <v>#N/A</v>
      </c>
      <c r="F314" s="2490" t="e">
        <f>IF(C312=0,"",VLOOKUP(C312,'Tablas Magia'!$D$6:$Z$680,11,FALSE))</f>
        <v>#N/A</v>
      </c>
      <c r="G314" s="408" t="e">
        <f>IF(C312=0,"",VLOOKUP(C312,'Tablas Magia'!$D$6:$Z$680,15,FALSE))</f>
        <v>#N/A</v>
      </c>
      <c r="H314" s="6539" t="e">
        <f>IF(C312=0,"",VLOOKUP(C312,'Tablas Magia'!$D$6:$Z$680,19,FALSE))</f>
        <v>#N/A</v>
      </c>
      <c r="I314" s="6540"/>
      <c r="J314" s="6540"/>
      <c r="K314" s="6540"/>
      <c r="L314" s="6540"/>
      <c r="M314" s="6540"/>
      <c r="N314" s="6540"/>
      <c r="O314" s="6540"/>
      <c r="P314" s="6540"/>
      <c r="Q314" s="6541"/>
      <c r="R314" s="398"/>
      <c r="S314" s="392"/>
      <c r="T314" s="392"/>
      <c r="U314" s="800"/>
      <c r="V314" s="6507" t="s">
        <v>1365</v>
      </c>
      <c r="W314" s="6508"/>
      <c r="X314" s="407" t="e">
        <f>IF(V312=0,"",VLOOKUP(V312,'Tablas Magia'!$D$6:$Z$680,7,FALSE))</f>
        <v>#N/A</v>
      </c>
      <c r="Y314" s="407" t="e">
        <f>IF(V312=0,"",VLOOKUP(V312,'Tablas Magia'!$D$6:$Z$680,11,FALSE))</f>
        <v>#N/A</v>
      </c>
      <c r="Z314" s="408" t="e">
        <f>IF(V312=0,"",VLOOKUP(V312,'Tablas Magia'!$D$6:$Z$680,15,FALSE))</f>
        <v>#N/A</v>
      </c>
      <c r="AA314" s="6509" t="e">
        <f>IF(V312=0,"",VLOOKUP(V312,'Tablas Magia'!$D$6:$Z$680,19,FALSE))</f>
        <v>#N/A</v>
      </c>
      <c r="AB314" s="6510"/>
      <c r="AC314" s="6510"/>
      <c r="AD314" s="6510"/>
      <c r="AE314" s="6510"/>
      <c r="AF314" s="6510"/>
      <c r="AG314" s="6510"/>
      <c r="AH314" s="6510"/>
      <c r="AI314" s="6510"/>
      <c r="AJ314" s="6511"/>
      <c r="AK314" s="398"/>
      <c r="AL314" s="392"/>
    </row>
    <row r="315" spans="1:38" ht="12" customHeight="1" x14ac:dyDescent="0.2">
      <c r="A315" s="392"/>
      <c r="B315" s="800"/>
      <c r="C315" s="6502" t="s">
        <v>3196</v>
      </c>
      <c r="D315" s="6503"/>
      <c r="E315" s="2491" t="e">
        <f>IF(C312=0,"",VLOOKUP(C312,'Tablas Magia'!$D$6:$Z$680,8,FALSE))</f>
        <v>#N/A</v>
      </c>
      <c r="F315" s="2491" t="e">
        <f>IF(C312=0,"",VLOOKUP(C312,'Tablas Magia'!$D$6:$Z$680,12,FALSE))</f>
        <v>#N/A</v>
      </c>
      <c r="G315" s="410" t="e">
        <f>IF(C312=0,"",VLOOKUP(C312,'Tablas Magia'!$D$6:$Z$680,16,FALSE))</f>
        <v>#N/A</v>
      </c>
      <c r="H315" s="6504" t="e">
        <f>IF(C312=0,"",VLOOKUP(C312,'Tablas Magia'!$D$6:$Z$680,20,FALSE))</f>
        <v>#N/A</v>
      </c>
      <c r="I315" s="6542"/>
      <c r="J315" s="6542"/>
      <c r="K315" s="6542"/>
      <c r="L315" s="6542"/>
      <c r="M315" s="6542"/>
      <c r="N315" s="6542"/>
      <c r="O315" s="6542"/>
      <c r="P315" s="6542"/>
      <c r="Q315" s="6506"/>
      <c r="R315" s="398"/>
      <c r="S315" s="392"/>
      <c r="T315" s="392"/>
      <c r="U315" s="800"/>
      <c r="V315" s="6502" t="s">
        <v>3196</v>
      </c>
      <c r="W315" s="6503"/>
      <c r="X315" s="409" t="e">
        <f>IF(V312=0,"",VLOOKUP(V312,'Tablas Magia'!$D$6:$Z$680,8,FALSE))</f>
        <v>#N/A</v>
      </c>
      <c r="Y315" s="409" t="e">
        <f>IF(V312=0,"",VLOOKUP(V312,'Tablas Magia'!$D$6:$Z$680,12,FALSE))</f>
        <v>#N/A</v>
      </c>
      <c r="Z315" s="410" t="e">
        <f>IF(V312=0,"",VLOOKUP(V312,'Tablas Magia'!$D$6:$Z$680,16,FALSE))</f>
        <v>#N/A</v>
      </c>
      <c r="AA315" s="6504" t="e">
        <f>IF(V312=0,"",VLOOKUP(V312,'Tablas Magia'!$D$6:$Z$680,20,FALSE))</f>
        <v>#N/A</v>
      </c>
      <c r="AB315" s="6505"/>
      <c r="AC315" s="6505"/>
      <c r="AD315" s="6505"/>
      <c r="AE315" s="6505"/>
      <c r="AF315" s="6505"/>
      <c r="AG315" s="6505"/>
      <c r="AH315" s="6505"/>
      <c r="AI315" s="6505"/>
      <c r="AJ315" s="6506"/>
      <c r="AK315" s="398"/>
      <c r="AL315" s="392"/>
    </row>
    <row r="316" spans="1:38" ht="12" customHeight="1" x14ac:dyDescent="0.2">
      <c r="A316" s="392"/>
      <c r="B316" s="800"/>
      <c r="C316" s="6507" t="s">
        <v>3197</v>
      </c>
      <c r="D316" s="6508"/>
      <c r="E316" s="2490" t="e">
        <f>IF(C312=0,"",VLOOKUP(C312,'Tablas Magia'!$D$6:$Z$680,9,FALSE))</f>
        <v>#N/A</v>
      </c>
      <c r="F316" s="2490" t="e">
        <f>IF(C312=0,"",VLOOKUP(C312,'Tablas Magia'!$D$6:$Z$680,13,FALSE))</f>
        <v>#N/A</v>
      </c>
      <c r="G316" s="408" t="e">
        <f>IF(C312=0,"",VLOOKUP(C312,'Tablas Magia'!$D$6:$Z$680,17,FALSE))</f>
        <v>#N/A</v>
      </c>
      <c r="H316" s="6509" t="e">
        <f>IF(C312=0,"",VLOOKUP(C312,'Tablas Magia'!$D$6:$Z$680,21,FALSE))</f>
        <v>#N/A</v>
      </c>
      <c r="I316" s="6552"/>
      <c r="J316" s="6552"/>
      <c r="K316" s="6552"/>
      <c r="L316" s="6552"/>
      <c r="M316" s="6552"/>
      <c r="N316" s="6552"/>
      <c r="O316" s="6552"/>
      <c r="P316" s="6552"/>
      <c r="Q316" s="6511"/>
      <c r="R316" s="398"/>
      <c r="S316" s="392"/>
      <c r="T316" s="392"/>
      <c r="U316" s="800"/>
      <c r="V316" s="6507" t="s">
        <v>3197</v>
      </c>
      <c r="W316" s="6508"/>
      <c r="X316" s="407" t="e">
        <f>IF(V312=0,"",VLOOKUP(V312,'Tablas Magia'!$D$6:$Z$680,9,FALSE))</f>
        <v>#N/A</v>
      </c>
      <c r="Y316" s="407" t="e">
        <f>IF(V312=0,"",VLOOKUP(V312,'Tablas Magia'!$D$6:$Z$680,13,FALSE))</f>
        <v>#N/A</v>
      </c>
      <c r="Z316" s="408" t="e">
        <f>IF(V312=0,"",VLOOKUP(V312,'Tablas Magia'!$D$6:$Z$680,17,FALSE))</f>
        <v>#N/A</v>
      </c>
      <c r="AA316" s="6509" t="e">
        <f>IF(V312=0,"",VLOOKUP(V312,'Tablas Magia'!$D$6:$Z$680,21,FALSE))</f>
        <v>#N/A</v>
      </c>
      <c r="AB316" s="6510"/>
      <c r="AC316" s="6510"/>
      <c r="AD316" s="6510"/>
      <c r="AE316" s="6510"/>
      <c r="AF316" s="6510"/>
      <c r="AG316" s="6510"/>
      <c r="AH316" s="6510"/>
      <c r="AI316" s="6510"/>
      <c r="AJ316" s="6511"/>
      <c r="AK316" s="398"/>
      <c r="AL316" s="392"/>
    </row>
    <row r="317" spans="1:38" ht="12" customHeight="1" thickBot="1" x14ac:dyDescent="0.25">
      <c r="A317" s="392"/>
      <c r="B317" s="800"/>
      <c r="C317" s="6512" t="s">
        <v>3198</v>
      </c>
      <c r="D317" s="6513"/>
      <c r="E317" s="411" t="e">
        <f>IF(C312=0,"",VLOOKUP(C312,'Tablas Magia'!$D$6:$Z$680,10,FALSE))</f>
        <v>#N/A</v>
      </c>
      <c r="F317" s="411" t="e">
        <f>IF(C312=0,"",VLOOKUP(C312,'Tablas Magia'!$D$6:$Z$680,14,FALSE))</f>
        <v>#N/A</v>
      </c>
      <c r="G317" s="412" t="e">
        <f>IF(C312=0,"",VLOOKUP(C312,'Tablas Magia'!$D$6:$Z$680,18,FALSE))</f>
        <v>#N/A</v>
      </c>
      <c r="H317" s="6514" t="e">
        <f>IF(C312=0,"",VLOOKUP(C312,'Tablas Magia'!$D$6:$Z$680,22,FALSE))</f>
        <v>#N/A</v>
      </c>
      <c r="I317" s="6515"/>
      <c r="J317" s="6515"/>
      <c r="K317" s="6515"/>
      <c r="L317" s="6515"/>
      <c r="M317" s="6515"/>
      <c r="N317" s="6515"/>
      <c r="O317" s="6515"/>
      <c r="P317" s="6515"/>
      <c r="Q317" s="6516"/>
      <c r="R317" s="398"/>
      <c r="S317" s="392"/>
      <c r="T317" s="392"/>
      <c r="U317" s="800"/>
      <c r="V317" s="6512" t="s">
        <v>3198</v>
      </c>
      <c r="W317" s="6513"/>
      <c r="X317" s="411" t="e">
        <f>IF(V312=0,"",VLOOKUP(V312,'Tablas Magia'!$D$6:$Z$680,10,FALSE))</f>
        <v>#N/A</v>
      </c>
      <c r="Y317" s="411" t="e">
        <f>IF(V312=0,"",VLOOKUP(V312,'Tablas Magia'!$D$6:$Z$680,14,FALSE))</f>
        <v>#N/A</v>
      </c>
      <c r="Z317" s="412" t="e">
        <f>IF(V312=0,"",VLOOKUP(V312,'Tablas Magia'!$D$6:$Z$680,18,FALSE))</f>
        <v>#N/A</v>
      </c>
      <c r="AA317" s="6514" t="e">
        <f>IF(V312=0,"",VLOOKUP(V312,'Tablas Magia'!$D$6:$Z$680,22,FALSE))</f>
        <v>#N/A</v>
      </c>
      <c r="AB317" s="6515"/>
      <c r="AC317" s="6515"/>
      <c r="AD317" s="6515"/>
      <c r="AE317" s="6515"/>
      <c r="AF317" s="6515"/>
      <c r="AG317" s="6515"/>
      <c r="AH317" s="6515"/>
      <c r="AI317" s="6515"/>
      <c r="AJ317" s="6516"/>
      <c r="AK317" s="398"/>
      <c r="AL317" s="392"/>
    </row>
    <row r="318" spans="1:38" ht="12" customHeight="1" x14ac:dyDescent="0.2">
      <c r="A318" s="392"/>
      <c r="B318" s="800"/>
      <c r="C318" s="6517" t="e">
        <f>IF(C312=0,"",VLOOKUP(C312,'Tablas Magia'!$D$6:$Z$680,23,FALSE))</f>
        <v>#N/A</v>
      </c>
      <c r="D318" s="6518"/>
      <c r="E318" s="6518"/>
      <c r="F318" s="6518"/>
      <c r="G318" s="6518"/>
      <c r="H318" s="6518"/>
      <c r="I318" s="6518"/>
      <c r="J318" s="6518"/>
      <c r="K318" s="6518"/>
      <c r="L318" s="6518"/>
      <c r="M318" s="6518"/>
      <c r="N318" s="6518"/>
      <c r="O318" s="6518"/>
      <c r="P318" s="6518"/>
      <c r="Q318" s="6519"/>
      <c r="R318" s="398"/>
      <c r="S318" s="392"/>
      <c r="T318" s="392"/>
      <c r="U318" s="800"/>
      <c r="V318" s="6517" t="e">
        <f>IF(V312=0,"",VLOOKUP(V312,'Tablas Magia'!$D$6:$Z$680,23,FALSE))</f>
        <v>#N/A</v>
      </c>
      <c r="W318" s="6518"/>
      <c r="X318" s="6518"/>
      <c r="Y318" s="6518"/>
      <c r="Z318" s="6518"/>
      <c r="AA318" s="6518"/>
      <c r="AB318" s="6518"/>
      <c r="AC318" s="6518"/>
      <c r="AD318" s="6518"/>
      <c r="AE318" s="6518"/>
      <c r="AF318" s="6518"/>
      <c r="AG318" s="6518"/>
      <c r="AH318" s="6518"/>
      <c r="AI318" s="6518"/>
      <c r="AJ318" s="6519"/>
      <c r="AK318" s="398"/>
      <c r="AL318" s="392"/>
    </row>
    <row r="319" spans="1:38" ht="12" customHeight="1" x14ac:dyDescent="0.2">
      <c r="A319" s="392"/>
      <c r="B319" s="800"/>
      <c r="C319" s="6520"/>
      <c r="D319" s="6543"/>
      <c r="E319" s="6543"/>
      <c r="F319" s="6543"/>
      <c r="G319" s="6543"/>
      <c r="H319" s="6543"/>
      <c r="I319" s="6543"/>
      <c r="J319" s="6543"/>
      <c r="K319" s="6543"/>
      <c r="L319" s="6543"/>
      <c r="M319" s="6543"/>
      <c r="N319" s="6543"/>
      <c r="O319" s="6543"/>
      <c r="P319" s="6543"/>
      <c r="Q319" s="6522"/>
      <c r="R319" s="398"/>
      <c r="S319" s="392"/>
      <c r="T319" s="392"/>
      <c r="U319" s="800"/>
      <c r="V319" s="6520"/>
      <c r="W319" s="6521"/>
      <c r="X319" s="6521"/>
      <c r="Y319" s="6521"/>
      <c r="Z319" s="6521"/>
      <c r="AA319" s="6521"/>
      <c r="AB319" s="6521"/>
      <c r="AC319" s="6521"/>
      <c r="AD319" s="6521"/>
      <c r="AE319" s="6521"/>
      <c r="AF319" s="6521"/>
      <c r="AG319" s="6521"/>
      <c r="AH319" s="6521"/>
      <c r="AI319" s="6521"/>
      <c r="AJ319" s="6522"/>
      <c r="AK319" s="398"/>
      <c r="AL319" s="392"/>
    </row>
    <row r="320" spans="1:38" ht="12" customHeight="1" x14ac:dyDescent="0.2">
      <c r="A320" s="392"/>
      <c r="B320" s="800"/>
      <c r="C320" s="6520"/>
      <c r="D320" s="6543"/>
      <c r="E320" s="6543"/>
      <c r="F320" s="6543"/>
      <c r="G320" s="6543"/>
      <c r="H320" s="6543"/>
      <c r="I320" s="6543"/>
      <c r="J320" s="6543"/>
      <c r="K320" s="6543"/>
      <c r="L320" s="6543"/>
      <c r="M320" s="6543"/>
      <c r="N320" s="6543"/>
      <c r="O320" s="6543"/>
      <c r="P320" s="6543"/>
      <c r="Q320" s="6522"/>
      <c r="R320" s="398"/>
      <c r="S320" s="392"/>
      <c r="T320" s="392"/>
      <c r="U320" s="800"/>
      <c r="V320" s="6520"/>
      <c r="W320" s="6521"/>
      <c r="X320" s="6521"/>
      <c r="Y320" s="6521"/>
      <c r="Z320" s="6521"/>
      <c r="AA320" s="6521"/>
      <c r="AB320" s="6521"/>
      <c r="AC320" s="6521"/>
      <c r="AD320" s="6521"/>
      <c r="AE320" s="6521"/>
      <c r="AF320" s="6521"/>
      <c r="AG320" s="6521"/>
      <c r="AH320" s="6521"/>
      <c r="AI320" s="6521"/>
      <c r="AJ320" s="6522"/>
      <c r="AK320" s="398"/>
      <c r="AL320" s="392"/>
    </row>
    <row r="321" spans="1:38" ht="12" customHeight="1" thickBot="1" x14ac:dyDescent="0.25">
      <c r="A321" s="392"/>
      <c r="B321" s="800"/>
      <c r="C321" s="6523"/>
      <c r="D321" s="6524"/>
      <c r="E321" s="6524"/>
      <c r="F321" s="6524"/>
      <c r="G321" s="6524"/>
      <c r="H321" s="6524"/>
      <c r="I321" s="6524"/>
      <c r="J321" s="6524"/>
      <c r="K321" s="6524"/>
      <c r="L321" s="6524"/>
      <c r="M321" s="6524"/>
      <c r="N321" s="6524"/>
      <c r="O321" s="6524"/>
      <c r="P321" s="6524"/>
      <c r="Q321" s="6525"/>
      <c r="R321" s="398"/>
      <c r="S321" s="392"/>
      <c r="T321" s="392"/>
      <c r="U321" s="800"/>
      <c r="V321" s="6523"/>
      <c r="W321" s="6524"/>
      <c r="X321" s="6524"/>
      <c r="Y321" s="6524"/>
      <c r="Z321" s="6524"/>
      <c r="AA321" s="6524"/>
      <c r="AB321" s="6524"/>
      <c r="AC321" s="6524"/>
      <c r="AD321" s="6524"/>
      <c r="AE321" s="6524"/>
      <c r="AF321" s="6524"/>
      <c r="AG321" s="6524"/>
      <c r="AH321" s="6524"/>
      <c r="AI321" s="6524"/>
      <c r="AJ321" s="6525"/>
      <c r="AK321" s="398"/>
      <c r="AL321" s="392"/>
    </row>
    <row r="322" spans="1:38" ht="12" customHeight="1" thickBot="1" x14ac:dyDescent="0.25">
      <c r="A322" s="392"/>
      <c r="B322" s="800"/>
      <c r="C322" s="2499"/>
      <c r="D322" s="2499"/>
      <c r="E322" s="2491"/>
      <c r="F322" s="2491"/>
      <c r="G322" s="2491"/>
      <c r="H322" s="2500"/>
      <c r="I322" s="2500"/>
      <c r="J322" s="2500"/>
      <c r="K322" s="2500"/>
      <c r="L322" s="2500"/>
      <c r="M322" s="2500"/>
      <c r="N322" s="2500"/>
      <c r="O322" s="2500"/>
      <c r="P322" s="2500"/>
      <c r="Q322" s="2500"/>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59" t="str">
        <f>IFERROR(VLOOKUP($J$6&amp;B323,'Tablas Magia'!$B$6:$D$680,3,FALSE),IFERROR(VLOOKUP($J$8&amp;B323,'Tablas Magia'!$B$6:$D$680,3,FALSE),IFERROR(VLOOKUP($J$6&amp;B323,Místicos!$AD$12:$AJ$50,4,FALSE),"Libre Acceso 1-"&amp;ROUNDUP(B323/10,0)*10)))</f>
        <v>Libre Acceso 1-90</v>
      </c>
      <c r="D323" s="6560"/>
      <c r="E323" s="6560"/>
      <c r="F323" s="6560"/>
      <c r="G323" s="6561"/>
      <c r="H323" s="402" t="s">
        <v>1325</v>
      </c>
      <c r="I323" s="403">
        <f>B323</f>
        <v>90</v>
      </c>
      <c r="J323" s="6544" t="s">
        <v>6231</v>
      </c>
      <c r="K323" s="6544"/>
      <c r="L323" s="6544"/>
      <c r="M323" s="6529" t="e">
        <f>IF(C323=0,"",VLOOKUP(C323,'Tablas Magia'!$D$6:$Z$680,2,FALSE))</f>
        <v>#N/A</v>
      </c>
      <c r="N323" s="6529"/>
      <c r="O323" s="1705"/>
      <c r="P323" s="6550" t="str">
        <f>IFERROR(IF(M323="Libre Acceso","Aprendido",IF(IFERROR(VLOOKUP(M323,Místicos!$C$15:$H$25,6,0)&gt;=I323,FALSE),"Aprendido",IF(IFERROR(VLOOKUP(M323,Místicos!$E$15:$H$25,4,0)&gt;=I323,FALSE),"Aprendido",""))),"")</f>
        <v/>
      </c>
      <c r="Q323" s="6551"/>
      <c r="R323" s="398"/>
      <c r="S323" s="392"/>
      <c r="T323" s="392"/>
      <c r="U323" s="800">
        <f>U312+2</f>
        <v>100</v>
      </c>
      <c r="V323" s="6559" t="str">
        <f>IFERROR(VLOOKUP($J$6&amp;U323,'Tablas Magia'!$B$6:$D$680,3,FALSE),IFERROR(VLOOKUP($J$8&amp;U323,'Tablas Magia'!$B$6:$D$680,3,FALSE),IFERROR(VLOOKUP($J$6&amp;U323,Místicos!$AD$12:$AJ$50,4,FALSE),"Libre Acceso 1-"&amp;ROUNDUP(U323/10,0)*10)))</f>
        <v>Libre Acceso 1-100</v>
      </c>
      <c r="W323" s="6560"/>
      <c r="X323" s="6560"/>
      <c r="Y323" s="6560"/>
      <c r="Z323" s="6561"/>
      <c r="AA323" s="402" t="s">
        <v>1325</v>
      </c>
      <c r="AB323" s="403">
        <f>U323</f>
        <v>100</v>
      </c>
      <c r="AC323" s="6544" t="s">
        <v>6231</v>
      </c>
      <c r="AD323" s="6544"/>
      <c r="AE323" s="6544"/>
      <c r="AF323" s="6529" t="e">
        <f>IF(V323=0,"",VLOOKUP(V323,'Tablas Magia'!$D$6:$Z$680,2,FALSE))</f>
        <v>#N/A</v>
      </c>
      <c r="AG323" s="6529"/>
      <c r="AH323" s="1705"/>
      <c r="AI323" s="6550" t="str">
        <f>IFERROR(IF(AF323="Libre Acceso","Aprendido",IF(IFERROR(VLOOKUP(AF323,Místicos!$C$15:$H$25,6,0)&gt;=AB323,FALSE),"Aprendido",IF(IFERROR(VLOOKUP(AF323,Místicos!$E$15:$H$25,4,0)&gt;=AB323,FALSE),"Aprendido",""))),"")</f>
        <v/>
      </c>
      <c r="AJ323" s="6551"/>
      <c r="AK323" s="398"/>
      <c r="AL323" s="392"/>
    </row>
    <row r="324" spans="1:38" ht="12" customHeight="1" x14ac:dyDescent="0.2">
      <c r="A324" s="392"/>
      <c r="B324" s="800"/>
      <c r="C324" s="6531" t="s">
        <v>6232</v>
      </c>
      <c r="D324" s="6545"/>
      <c r="E324" s="2487" t="s">
        <v>6233</v>
      </c>
      <c r="F324" s="2487" t="s">
        <v>1508</v>
      </c>
      <c r="G324" s="2487" t="s">
        <v>2827</v>
      </c>
      <c r="H324" s="2488" t="s">
        <v>1835</v>
      </c>
      <c r="I324" s="6553" t="e">
        <f>IF(C323=0,"",VLOOKUP(C323,'Tablas Magia'!$D$6:$Z$680,5,FALSE))</f>
        <v>#N/A</v>
      </c>
      <c r="J324" s="6553"/>
      <c r="K324" s="6556" t="s">
        <v>6234</v>
      </c>
      <c r="L324" s="6556"/>
      <c r="M324" s="6553" t="e">
        <f>IF(C323=0,"",VLOOKUP(C323,'Tablas Magia'!$D$6:$Z$680,6,FALSE))</f>
        <v>#N/A</v>
      </c>
      <c r="N324" s="6553"/>
      <c r="O324" s="6554" t="s">
        <v>6235</v>
      </c>
      <c r="P324" s="6554"/>
      <c r="Q324" s="2489" t="e">
        <f>IF(C323=0,"",VLOOKUP(C323,'Tablas Magia'!$D$6:$Z$680,4,FALSE))</f>
        <v>#N/A</v>
      </c>
      <c r="R324" s="398"/>
      <c r="S324" s="392"/>
      <c r="T324" s="392"/>
      <c r="U324" s="800"/>
      <c r="V324" s="6531" t="s">
        <v>6232</v>
      </c>
      <c r="W324" s="6562"/>
      <c r="X324" s="1714" t="s">
        <v>6233</v>
      </c>
      <c r="Y324" s="1714" t="s">
        <v>1508</v>
      </c>
      <c r="Z324" s="1714" t="s">
        <v>2827</v>
      </c>
      <c r="AA324" s="1715" t="s">
        <v>1835</v>
      </c>
      <c r="AB324" s="6549" t="e">
        <f>IF(V323=0,"",VLOOKUP(V323,'Tablas Magia'!$D$6:$Z$680,5,FALSE))</f>
        <v>#N/A</v>
      </c>
      <c r="AC324" s="6549"/>
      <c r="AD324" s="6563" t="s">
        <v>6234</v>
      </c>
      <c r="AE324" s="6563"/>
      <c r="AF324" s="6549" t="e">
        <f>IF(V323=0,"",VLOOKUP(V323,'Tablas Magia'!$D$6:$Z$680,6,FALSE))</f>
        <v>#N/A</v>
      </c>
      <c r="AG324" s="6549"/>
      <c r="AH324" s="6564" t="s">
        <v>6235</v>
      </c>
      <c r="AI324" s="6564"/>
      <c r="AJ324" s="1716" t="e">
        <f>IF(V323=0,"",VLOOKUP(V323,'Tablas Magia'!$D$6:$Z$680,4,FALSE))</f>
        <v>#N/A</v>
      </c>
      <c r="AK324" s="398"/>
      <c r="AL324" s="392"/>
    </row>
    <row r="325" spans="1:38" ht="12" customHeight="1" x14ac:dyDescent="0.2">
      <c r="A325" s="392"/>
      <c r="B325" s="800"/>
      <c r="C325" s="6557" t="s">
        <v>1365</v>
      </c>
      <c r="D325" s="6558"/>
      <c r="E325" s="2490" t="e">
        <f>IF(C323=0,"",VLOOKUP(C323,'Tablas Magia'!$D$6:$Z$680,7,FALSE))</f>
        <v>#N/A</v>
      </c>
      <c r="F325" s="2490" t="e">
        <f>IF(C323=0,"",VLOOKUP(C323,'Tablas Magia'!$D$6:$Z$680,11,FALSE))</f>
        <v>#N/A</v>
      </c>
      <c r="G325" s="408" t="e">
        <f>IF(C323=0,"",VLOOKUP(C323,'Tablas Magia'!$D$6:$Z$680,15,FALSE))</f>
        <v>#N/A</v>
      </c>
      <c r="H325" s="6539" t="e">
        <f>IF(C323=0,"",VLOOKUP(C323,'Tablas Magia'!$D$6:$Z$680,19,FALSE))</f>
        <v>#N/A</v>
      </c>
      <c r="I325" s="6540"/>
      <c r="J325" s="6540"/>
      <c r="K325" s="6540"/>
      <c r="L325" s="6540"/>
      <c r="M325" s="6540"/>
      <c r="N325" s="6540"/>
      <c r="O325" s="6540"/>
      <c r="P325" s="6540"/>
      <c r="Q325" s="6541"/>
      <c r="R325" s="398"/>
      <c r="S325" s="392"/>
      <c r="T325" s="392"/>
      <c r="U325" s="800"/>
      <c r="V325" s="6507" t="s">
        <v>1365</v>
      </c>
      <c r="W325" s="6508"/>
      <c r="X325" s="407" t="e">
        <f>IF(V323=0,"",VLOOKUP(V323,'Tablas Magia'!$D$6:$Z$680,7,FALSE))</f>
        <v>#N/A</v>
      </c>
      <c r="Y325" s="407" t="e">
        <f>IF(V323=0,"",VLOOKUP(V323,'Tablas Magia'!$D$6:$Z$680,11,FALSE))</f>
        <v>#N/A</v>
      </c>
      <c r="Z325" s="408" t="e">
        <f>IF(V323=0,"",VLOOKUP(V323,'Tablas Magia'!$D$6:$Z$680,15,FALSE))</f>
        <v>#N/A</v>
      </c>
      <c r="AA325" s="6509" t="e">
        <f>IF(V323=0,"",VLOOKUP(V323,'Tablas Magia'!$D$6:$Z$680,19,FALSE))</f>
        <v>#N/A</v>
      </c>
      <c r="AB325" s="6510"/>
      <c r="AC325" s="6510"/>
      <c r="AD325" s="6510"/>
      <c r="AE325" s="6510"/>
      <c r="AF325" s="6510"/>
      <c r="AG325" s="6510"/>
      <c r="AH325" s="6510"/>
      <c r="AI325" s="6510"/>
      <c r="AJ325" s="6511"/>
      <c r="AK325" s="398"/>
      <c r="AL325" s="392"/>
    </row>
    <row r="326" spans="1:38" ht="12" customHeight="1" x14ac:dyDescent="0.2">
      <c r="A326" s="392"/>
      <c r="B326" s="800"/>
      <c r="C326" s="6502" t="s">
        <v>3196</v>
      </c>
      <c r="D326" s="6503"/>
      <c r="E326" s="2491" t="e">
        <f>IF(C323=0,"",VLOOKUP(C323,'Tablas Magia'!$D$6:$Z$680,8,FALSE))</f>
        <v>#N/A</v>
      </c>
      <c r="F326" s="2491" t="e">
        <f>IF(C323=0,"",VLOOKUP(C323,'Tablas Magia'!$D$6:$Z$680,12,FALSE))</f>
        <v>#N/A</v>
      </c>
      <c r="G326" s="410" t="e">
        <f>IF(C323=0,"",VLOOKUP(C323,'Tablas Magia'!$D$6:$Z$680,16,FALSE))</f>
        <v>#N/A</v>
      </c>
      <c r="H326" s="6504" t="e">
        <f>IF(C323=0,"",VLOOKUP(C323,'Tablas Magia'!$D$6:$Z$680,20,FALSE))</f>
        <v>#N/A</v>
      </c>
      <c r="I326" s="6542"/>
      <c r="J326" s="6542"/>
      <c r="K326" s="6542"/>
      <c r="L326" s="6542"/>
      <c r="M326" s="6542"/>
      <c r="N326" s="6542"/>
      <c r="O326" s="6542"/>
      <c r="P326" s="6542"/>
      <c r="Q326" s="6506"/>
      <c r="R326" s="398"/>
      <c r="S326" s="392"/>
      <c r="T326" s="392"/>
      <c r="U326" s="800"/>
      <c r="V326" s="6502" t="s">
        <v>3196</v>
      </c>
      <c r="W326" s="6503"/>
      <c r="X326" s="409" t="e">
        <f>IF(V323=0,"",VLOOKUP(V323,'Tablas Magia'!$D$6:$Z$680,8,FALSE))</f>
        <v>#N/A</v>
      </c>
      <c r="Y326" s="409" t="e">
        <f>IF(V323=0,"",VLOOKUP(V323,'Tablas Magia'!$D$6:$Z$680,12,FALSE))</f>
        <v>#N/A</v>
      </c>
      <c r="Z326" s="410" t="e">
        <f>IF(V323=0,"",VLOOKUP(V323,'Tablas Magia'!$D$6:$Z$680,16,FALSE))</f>
        <v>#N/A</v>
      </c>
      <c r="AA326" s="6504" t="e">
        <f>IF(V323=0,"",VLOOKUP(V323,'Tablas Magia'!$D$6:$Z$680,20,FALSE))</f>
        <v>#N/A</v>
      </c>
      <c r="AB326" s="6505"/>
      <c r="AC326" s="6505"/>
      <c r="AD326" s="6505"/>
      <c r="AE326" s="6505"/>
      <c r="AF326" s="6505"/>
      <c r="AG326" s="6505"/>
      <c r="AH326" s="6505"/>
      <c r="AI326" s="6505"/>
      <c r="AJ326" s="6506"/>
      <c r="AK326" s="398"/>
      <c r="AL326" s="392"/>
    </row>
    <row r="327" spans="1:38" ht="12" customHeight="1" x14ac:dyDescent="0.2">
      <c r="A327" s="392"/>
      <c r="B327" s="800"/>
      <c r="C327" s="6507" t="s">
        <v>3197</v>
      </c>
      <c r="D327" s="6508"/>
      <c r="E327" s="2490" t="e">
        <f>IF(C323=0,"",VLOOKUP(C323,'Tablas Magia'!$D$6:$Z$680,9,FALSE))</f>
        <v>#N/A</v>
      </c>
      <c r="F327" s="2490" t="e">
        <f>IF(C323=0,"",VLOOKUP(C323,'Tablas Magia'!$D$6:$Z$680,13,FALSE))</f>
        <v>#N/A</v>
      </c>
      <c r="G327" s="408" t="e">
        <f>IF(C323=0,"",VLOOKUP(C323,'Tablas Magia'!$D$6:$Z$680,17,FALSE))</f>
        <v>#N/A</v>
      </c>
      <c r="H327" s="6509" t="e">
        <f>IF(C323=0,"",VLOOKUP(C323,'Tablas Magia'!$D$6:$Z$680,21,FALSE))</f>
        <v>#N/A</v>
      </c>
      <c r="I327" s="6552"/>
      <c r="J327" s="6552"/>
      <c r="K327" s="6552"/>
      <c r="L327" s="6552"/>
      <c r="M327" s="6552"/>
      <c r="N327" s="6552"/>
      <c r="O327" s="6552"/>
      <c r="P327" s="6552"/>
      <c r="Q327" s="6511"/>
      <c r="R327" s="398"/>
      <c r="S327" s="392"/>
      <c r="T327" s="392"/>
      <c r="U327" s="800"/>
      <c r="V327" s="6507" t="s">
        <v>3197</v>
      </c>
      <c r="W327" s="6508"/>
      <c r="X327" s="407" t="e">
        <f>IF(V323=0,"",VLOOKUP(V323,'Tablas Magia'!$D$6:$Z$680,9,FALSE))</f>
        <v>#N/A</v>
      </c>
      <c r="Y327" s="407" t="e">
        <f>IF(V323=0,"",VLOOKUP(V323,'Tablas Magia'!$D$6:$Z$680,13,FALSE))</f>
        <v>#N/A</v>
      </c>
      <c r="Z327" s="408" t="e">
        <f>IF(V323=0,"",VLOOKUP(V323,'Tablas Magia'!$D$6:$Z$680,17,FALSE))</f>
        <v>#N/A</v>
      </c>
      <c r="AA327" s="6509" t="e">
        <f>IF(V323=0,"",VLOOKUP(V323,'Tablas Magia'!$D$6:$Z$680,21,FALSE))</f>
        <v>#N/A</v>
      </c>
      <c r="AB327" s="6510"/>
      <c r="AC327" s="6510"/>
      <c r="AD327" s="6510"/>
      <c r="AE327" s="6510"/>
      <c r="AF327" s="6510"/>
      <c r="AG327" s="6510"/>
      <c r="AH327" s="6510"/>
      <c r="AI327" s="6510"/>
      <c r="AJ327" s="6511"/>
      <c r="AK327" s="398"/>
      <c r="AL327" s="392"/>
    </row>
    <row r="328" spans="1:38" ht="12" customHeight="1" thickBot="1" x14ac:dyDescent="0.25">
      <c r="A328" s="392"/>
      <c r="B328" s="800"/>
      <c r="C328" s="6512" t="s">
        <v>3198</v>
      </c>
      <c r="D328" s="6513"/>
      <c r="E328" s="411" t="e">
        <f>IF(C323=0,"",VLOOKUP(C323,'Tablas Magia'!$D$6:$Z$680,10,FALSE))</f>
        <v>#N/A</v>
      </c>
      <c r="F328" s="411" t="e">
        <f>IF(C323=0,"",VLOOKUP(C323,'Tablas Magia'!$D$6:$Z$680,14,FALSE))</f>
        <v>#N/A</v>
      </c>
      <c r="G328" s="412" t="e">
        <f>IF(C323=0,"",VLOOKUP(C323,'Tablas Magia'!$D$6:$Z$680,18,FALSE))</f>
        <v>#N/A</v>
      </c>
      <c r="H328" s="6514" t="e">
        <f>IF(C323=0,"",VLOOKUP(C323,'Tablas Magia'!$D$6:$Z$680,22,FALSE))</f>
        <v>#N/A</v>
      </c>
      <c r="I328" s="6515"/>
      <c r="J328" s="6515"/>
      <c r="K328" s="6515"/>
      <c r="L328" s="6515"/>
      <c r="M328" s="6515"/>
      <c r="N328" s="6515"/>
      <c r="O328" s="6515"/>
      <c r="P328" s="6515"/>
      <c r="Q328" s="6516"/>
      <c r="R328" s="398"/>
      <c r="S328" s="392"/>
      <c r="T328" s="392"/>
      <c r="U328" s="800"/>
      <c r="V328" s="6512" t="s">
        <v>3198</v>
      </c>
      <c r="W328" s="6513"/>
      <c r="X328" s="411" t="e">
        <f>IF(V323=0,"",VLOOKUP(V323,'Tablas Magia'!$D$6:$Z$680,10,FALSE))</f>
        <v>#N/A</v>
      </c>
      <c r="Y328" s="411" t="e">
        <f>IF(V323=0,"",VLOOKUP(V323,'Tablas Magia'!$D$6:$Z$680,14,FALSE))</f>
        <v>#N/A</v>
      </c>
      <c r="Z328" s="412" t="e">
        <f>IF(V323=0,"",VLOOKUP(V323,'Tablas Magia'!$D$6:$Z$680,18,FALSE))</f>
        <v>#N/A</v>
      </c>
      <c r="AA328" s="6514" t="e">
        <f>IF(V323=0,"",VLOOKUP(V323,'Tablas Magia'!$D$6:$Z$680,22,FALSE))</f>
        <v>#N/A</v>
      </c>
      <c r="AB328" s="6515"/>
      <c r="AC328" s="6515"/>
      <c r="AD328" s="6515"/>
      <c r="AE328" s="6515"/>
      <c r="AF328" s="6515"/>
      <c r="AG328" s="6515"/>
      <c r="AH328" s="6515"/>
      <c r="AI328" s="6515"/>
      <c r="AJ328" s="6516"/>
      <c r="AK328" s="398"/>
      <c r="AL328" s="392"/>
    </row>
    <row r="329" spans="1:38" ht="12" customHeight="1" x14ac:dyDescent="0.2">
      <c r="A329" s="392"/>
      <c r="B329" s="800"/>
      <c r="C329" s="6517" t="e">
        <f>IF(C323=0,"",VLOOKUP(C323,'Tablas Magia'!$D$6:$Z$680,23,FALSE))</f>
        <v>#N/A</v>
      </c>
      <c r="D329" s="6518"/>
      <c r="E329" s="6518"/>
      <c r="F329" s="6518"/>
      <c r="G329" s="6518"/>
      <c r="H329" s="6518"/>
      <c r="I329" s="6518"/>
      <c r="J329" s="6518"/>
      <c r="K329" s="6518"/>
      <c r="L329" s="6518"/>
      <c r="M329" s="6518"/>
      <c r="N329" s="6518"/>
      <c r="O329" s="6518"/>
      <c r="P329" s="6518"/>
      <c r="Q329" s="6519"/>
      <c r="R329" s="398"/>
      <c r="S329" s="392"/>
      <c r="T329" s="392"/>
      <c r="U329" s="800"/>
      <c r="V329" s="6517" t="e">
        <f>IF(V323=0,"",VLOOKUP(V323,'Tablas Magia'!$D$6:$Z$680,23,FALSE))</f>
        <v>#N/A</v>
      </c>
      <c r="W329" s="6518"/>
      <c r="X329" s="6518"/>
      <c r="Y329" s="6518"/>
      <c r="Z329" s="6518"/>
      <c r="AA329" s="6518"/>
      <c r="AB329" s="6518"/>
      <c r="AC329" s="6518"/>
      <c r="AD329" s="6518"/>
      <c r="AE329" s="6518"/>
      <c r="AF329" s="6518"/>
      <c r="AG329" s="6518"/>
      <c r="AH329" s="6518"/>
      <c r="AI329" s="6518"/>
      <c r="AJ329" s="6519"/>
      <c r="AK329" s="398"/>
      <c r="AL329" s="392"/>
    </row>
    <row r="330" spans="1:38" ht="12" customHeight="1" x14ac:dyDescent="0.2">
      <c r="A330" s="392"/>
      <c r="B330" s="800"/>
      <c r="C330" s="6520"/>
      <c r="D330" s="6543"/>
      <c r="E330" s="6543"/>
      <c r="F330" s="6543"/>
      <c r="G330" s="6543"/>
      <c r="H330" s="6543"/>
      <c r="I330" s="6543"/>
      <c r="J330" s="6543"/>
      <c r="K330" s="6543"/>
      <c r="L330" s="6543"/>
      <c r="M330" s="6543"/>
      <c r="N330" s="6543"/>
      <c r="O330" s="6543"/>
      <c r="P330" s="6543"/>
      <c r="Q330" s="6522"/>
      <c r="R330" s="398"/>
      <c r="S330" s="392"/>
      <c r="T330" s="392"/>
      <c r="U330" s="800"/>
      <c r="V330" s="6520"/>
      <c r="W330" s="6521"/>
      <c r="X330" s="6521"/>
      <c r="Y330" s="6521"/>
      <c r="Z330" s="6521"/>
      <c r="AA330" s="6521"/>
      <c r="AB330" s="6521"/>
      <c r="AC330" s="6521"/>
      <c r="AD330" s="6521"/>
      <c r="AE330" s="6521"/>
      <c r="AF330" s="6521"/>
      <c r="AG330" s="6521"/>
      <c r="AH330" s="6521"/>
      <c r="AI330" s="6521"/>
      <c r="AJ330" s="6522"/>
      <c r="AK330" s="398"/>
      <c r="AL330" s="392"/>
    </row>
    <row r="331" spans="1:38" ht="12" customHeight="1" x14ac:dyDescent="0.2">
      <c r="A331" s="392"/>
      <c r="B331" s="800"/>
      <c r="C331" s="6520"/>
      <c r="D331" s="6543"/>
      <c r="E331" s="6543"/>
      <c r="F331" s="6543"/>
      <c r="G331" s="6543"/>
      <c r="H331" s="6543"/>
      <c r="I331" s="6543"/>
      <c r="J331" s="6543"/>
      <c r="K331" s="6543"/>
      <c r="L331" s="6543"/>
      <c r="M331" s="6543"/>
      <c r="N331" s="6543"/>
      <c r="O331" s="6543"/>
      <c r="P331" s="6543"/>
      <c r="Q331" s="6522"/>
      <c r="R331" s="398"/>
      <c r="S331" s="392"/>
      <c r="T331" s="392"/>
      <c r="U331" s="800"/>
      <c r="V331" s="6520"/>
      <c r="W331" s="6521"/>
      <c r="X331" s="6521"/>
      <c r="Y331" s="6521"/>
      <c r="Z331" s="6521"/>
      <c r="AA331" s="6521"/>
      <c r="AB331" s="6521"/>
      <c r="AC331" s="6521"/>
      <c r="AD331" s="6521"/>
      <c r="AE331" s="6521"/>
      <c r="AF331" s="6521"/>
      <c r="AG331" s="6521"/>
      <c r="AH331" s="6521"/>
      <c r="AI331" s="6521"/>
      <c r="AJ331" s="6522"/>
      <c r="AK331" s="398"/>
      <c r="AL331" s="392"/>
    </row>
    <row r="332" spans="1:38" ht="12" customHeight="1" thickBot="1" x14ac:dyDescent="0.25">
      <c r="A332" s="392"/>
      <c r="B332" s="800"/>
      <c r="C332" s="6523"/>
      <c r="D332" s="6524"/>
      <c r="E332" s="6524"/>
      <c r="F332" s="6524"/>
      <c r="G332" s="6524"/>
      <c r="H332" s="6524"/>
      <c r="I332" s="6524"/>
      <c r="J332" s="6524"/>
      <c r="K332" s="6524"/>
      <c r="L332" s="6524"/>
      <c r="M332" s="6524"/>
      <c r="N332" s="6524"/>
      <c r="O332" s="6524"/>
      <c r="P332" s="6524"/>
      <c r="Q332" s="6525"/>
      <c r="R332" s="398"/>
      <c r="S332" s="392"/>
      <c r="T332" s="392"/>
      <c r="U332" s="800"/>
      <c r="V332" s="6523"/>
      <c r="W332" s="6524"/>
      <c r="X332" s="6524"/>
      <c r="Y332" s="6524"/>
      <c r="Z332" s="6524"/>
      <c r="AA332" s="6524"/>
      <c r="AB332" s="6524"/>
      <c r="AC332" s="6524"/>
      <c r="AD332" s="6524"/>
      <c r="AE332" s="6524"/>
      <c r="AF332" s="6524"/>
      <c r="AG332" s="6524"/>
      <c r="AH332" s="6524"/>
      <c r="AI332" s="6524"/>
      <c r="AJ332" s="6525"/>
      <c r="AK332" s="398"/>
      <c r="AL332" s="1420"/>
    </row>
    <row r="333" spans="1:38" ht="12" customHeight="1" x14ac:dyDescent="0.2">
      <c r="A333" s="2505"/>
      <c r="B333" s="800"/>
      <c r="C333" s="2511"/>
      <c r="D333" s="2511"/>
      <c r="E333" s="2511"/>
      <c r="F333" s="2511"/>
      <c r="G333" s="2511"/>
      <c r="H333" s="2511"/>
      <c r="I333" s="2511"/>
      <c r="J333" s="2511"/>
      <c r="K333" s="2511"/>
      <c r="L333" s="2511"/>
      <c r="M333" s="2511"/>
      <c r="N333" s="2511"/>
      <c r="O333" s="2511"/>
      <c r="P333" s="2511"/>
      <c r="Q333" s="2511"/>
      <c r="R333" s="398"/>
      <c r="S333" s="2505"/>
      <c r="T333" s="2505"/>
      <c r="U333" s="800"/>
      <c r="V333" s="2511"/>
      <c r="W333" s="2511"/>
      <c r="X333" s="2511"/>
      <c r="Y333" s="2511"/>
      <c r="Z333" s="2511"/>
      <c r="AA333" s="2511"/>
      <c r="AB333" s="2511"/>
      <c r="AC333" s="2511"/>
      <c r="AD333" s="2511"/>
      <c r="AE333" s="2511"/>
      <c r="AF333" s="2511"/>
      <c r="AG333" s="2511"/>
      <c r="AH333" s="2511"/>
      <c r="AI333" s="2511"/>
      <c r="AJ333" s="2511"/>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2"/>
      <c r="C335" s="2503"/>
      <c r="D335" s="2503"/>
      <c r="E335" s="2503"/>
      <c r="F335" s="2503"/>
      <c r="G335" s="2503"/>
      <c r="H335" s="2503"/>
      <c r="I335" s="2503"/>
      <c r="J335" s="2503"/>
      <c r="K335" s="2503"/>
      <c r="L335" s="2503"/>
      <c r="M335" s="2503"/>
      <c r="N335" s="2503"/>
      <c r="O335" s="2503"/>
      <c r="P335" s="2503"/>
      <c r="Q335" s="2503"/>
      <c r="R335" s="2503"/>
      <c r="S335" s="2466"/>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67"/>
      <c r="B1" s="6567"/>
      <c r="C1" s="6567"/>
      <c r="D1" s="6567"/>
      <c r="E1" s="6567"/>
      <c r="F1" s="6567"/>
      <c r="G1" s="6567"/>
      <c r="H1" s="6567"/>
      <c r="I1" s="6567"/>
      <c r="J1" s="6567"/>
      <c r="K1" s="6567"/>
      <c r="L1" s="6567"/>
      <c r="M1" s="6567"/>
      <c r="N1" s="6567"/>
      <c r="O1" s="6567"/>
      <c r="P1" s="6567"/>
      <c r="Q1" s="6567"/>
      <c r="R1" s="6567"/>
      <c r="S1" s="6567"/>
      <c r="T1" s="6567"/>
      <c r="U1" s="6567"/>
      <c r="V1" s="6567"/>
      <c r="W1" s="6567"/>
      <c r="X1" s="6567"/>
      <c r="Y1" s="6567"/>
      <c r="Z1" s="6567"/>
      <c r="AA1" s="6567"/>
      <c r="AB1" s="6567"/>
      <c r="AC1" s="6567"/>
      <c r="AD1" s="6567"/>
      <c r="AE1" s="6567"/>
      <c r="AF1" s="6567"/>
      <c r="AG1" s="6567"/>
      <c r="AH1" s="6567"/>
      <c r="AI1" s="6567"/>
      <c r="AJ1" s="6567"/>
      <c r="AK1" s="6567"/>
      <c r="AL1" s="6567"/>
      <c r="AM1" s="6567"/>
      <c r="AN1" s="6567"/>
      <c r="AO1" s="6567"/>
      <c r="AP1" s="6567"/>
      <c r="AQ1" s="6567"/>
      <c r="AR1" s="6567"/>
      <c r="AS1" s="6567"/>
      <c r="AT1" s="6567"/>
      <c r="AU1" s="6567"/>
      <c r="AV1" s="6567"/>
      <c r="AW1" s="6567"/>
      <c r="AX1" s="6567"/>
      <c r="AY1" s="6567"/>
      <c r="AZ1" s="6567"/>
      <c r="BA1" s="6567"/>
      <c r="BB1" s="6567"/>
      <c r="BC1" s="6567"/>
      <c r="BD1" s="6567"/>
      <c r="BE1" s="6567"/>
      <c r="BF1" s="6567"/>
      <c r="BG1" s="6567"/>
      <c r="BH1" s="6567"/>
      <c r="BI1" s="6567"/>
      <c r="BJ1" s="6567"/>
      <c r="BK1" s="6567"/>
      <c r="BL1" s="6567"/>
      <c r="BM1" s="6567"/>
      <c r="BN1" s="6567"/>
      <c r="BO1" s="6567"/>
      <c r="BP1" s="6567"/>
      <c r="BQ1" s="6567"/>
      <c r="BR1" s="6567"/>
      <c r="BS1" s="6567"/>
      <c r="BT1" s="6567"/>
      <c r="BU1" s="6567"/>
      <c r="BV1" s="6567"/>
      <c r="BW1" s="6567"/>
      <c r="BX1" s="6567"/>
      <c r="BY1" s="6567"/>
      <c r="BZ1" s="6567"/>
      <c r="CA1" s="6567"/>
      <c r="CB1" s="6567"/>
      <c r="CC1" s="6567"/>
      <c r="CD1" s="6567"/>
      <c r="CE1" s="6567"/>
      <c r="CF1" s="6567"/>
      <c r="CG1" s="6567"/>
      <c r="CH1" s="6567"/>
      <c r="CI1" s="6567"/>
      <c r="CJ1" s="6567"/>
      <c r="CK1" s="6567"/>
      <c r="CL1" s="6567"/>
      <c r="CM1" s="6567"/>
      <c r="CN1" s="6567"/>
      <c r="CO1" s="6567"/>
      <c r="CP1" s="6567"/>
      <c r="CQ1" s="6567"/>
      <c r="CR1" s="6567"/>
      <c r="CS1" s="6567"/>
      <c r="CT1" s="6567"/>
      <c r="CU1" s="6567"/>
      <c r="CV1" s="6567"/>
      <c r="CW1" s="6567"/>
      <c r="CX1" s="6567"/>
      <c r="CY1" s="6567"/>
      <c r="CZ1" s="6567"/>
      <c r="DA1" s="6567"/>
      <c r="DB1" s="6567"/>
      <c r="DC1" s="6567"/>
      <c r="DD1" s="6567"/>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496"/>
      <c r="D3" s="6497"/>
      <c r="E3" s="6497"/>
      <c r="F3" s="6497"/>
      <c r="G3" s="6497"/>
      <c r="H3" s="6497"/>
      <c r="I3" s="396"/>
      <c r="J3" s="396"/>
      <c r="K3" s="396"/>
      <c r="L3" s="396"/>
      <c r="M3" s="396"/>
      <c r="N3" s="396"/>
      <c r="O3" s="396"/>
      <c r="P3" s="396"/>
      <c r="Q3" s="396"/>
      <c r="R3" s="1641"/>
      <c r="S3" s="396"/>
      <c r="T3" s="396"/>
      <c r="U3" s="396"/>
      <c r="V3" s="396"/>
      <c r="W3" s="396"/>
      <c r="X3" s="396"/>
      <c r="Y3" s="397"/>
      <c r="Z3" s="398"/>
      <c r="AA3" s="392"/>
      <c r="AB3" s="392"/>
      <c r="AC3" s="279"/>
      <c r="AD3" s="6496"/>
      <c r="AE3" s="6497"/>
      <c r="AF3" s="6497"/>
      <c r="AG3" s="6497"/>
      <c r="AH3" s="6497"/>
      <c r="AI3" s="6497"/>
      <c r="AJ3" s="396"/>
      <c r="AK3" s="396"/>
      <c r="AL3" s="396"/>
      <c r="AM3" s="396"/>
      <c r="AN3" s="396"/>
      <c r="AO3" s="396"/>
      <c r="AP3" s="396"/>
      <c r="AQ3" s="396"/>
      <c r="AR3" s="396"/>
      <c r="AS3" s="1641"/>
      <c r="AT3" s="396"/>
      <c r="AU3" s="396"/>
      <c r="AV3" s="396"/>
      <c r="AW3" s="396"/>
      <c r="AX3" s="396"/>
      <c r="AY3" s="396"/>
      <c r="AZ3" s="397"/>
      <c r="BA3" s="398"/>
      <c r="BB3" s="392"/>
      <c r="BC3" s="392"/>
      <c r="BD3" s="279"/>
      <c r="BE3" s="6496"/>
      <c r="BF3" s="6497"/>
      <c r="BG3" s="6497"/>
      <c r="BH3" s="6497"/>
      <c r="BI3" s="6497"/>
      <c r="BJ3" s="6497"/>
      <c r="BK3" s="396"/>
      <c r="BL3" s="396"/>
      <c r="BM3" s="396"/>
      <c r="BN3" s="396"/>
      <c r="BO3" s="396"/>
      <c r="BP3" s="396"/>
      <c r="BQ3" s="396"/>
      <c r="BR3" s="396"/>
      <c r="BS3" s="396"/>
      <c r="BT3" s="1641"/>
      <c r="BU3" s="396"/>
      <c r="BV3" s="396"/>
      <c r="BW3" s="396"/>
      <c r="BX3" s="396"/>
      <c r="BY3" s="396"/>
      <c r="BZ3" s="396"/>
      <c r="CA3" s="397"/>
      <c r="CB3" s="398"/>
      <c r="CC3" s="392"/>
      <c r="CD3" s="392"/>
      <c r="CE3" s="279"/>
      <c r="CF3" s="6496"/>
      <c r="CG3" s="6497"/>
      <c r="CH3" s="6497"/>
      <c r="CI3" s="6497"/>
      <c r="CJ3" s="6497"/>
      <c r="CK3" s="6497"/>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498"/>
      <c r="D4" s="6499"/>
      <c r="E4" s="6499"/>
      <c r="F4" s="6499"/>
      <c r="G4" s="6499"/>
      <c r="H4" s="6499"/>
      <c r="I4" s="6568" t="s">
        <v>1323</v>
      </c>
      <c r="J4" s="6568"/>
      <c r="K4" s="4353" t="str">
        <f>IF(OR(General!$F$22="",General!$F$22=0),"",General!$F$22)</f>
        <v/>
      </c>
      <c r="L4" s="4353"/>
      <c r="M4" s="4353"/>
      <c r="N4" s="4353"/>
      <c r="O4" s="4353"/>
      <c r="P4" s="4353"/>
      <c r="Q4" s="4353"/>
      <c r="R4" s="1420"/>
      <c r="S4" s="4566" t="s">
        <v>8724</v>
      </c>
      <c r="T4" s="4567"/>
      <c r="U4" s="4567"/>
      <c r="V4" s="4567"/>
      <c r="W4" s="4567"/>
      <c r="X4" s="4567"/>
      <c r="Y4" s="399"/>
      <c r="Z4" s="398"/>
      <c r="AA4" s="392"/>
      <c r="AB4" s="392"/>
      <c r="AC4" s="279"/>
      <c r="AD4" s="6498"/>
      <c r="AE4" s="6499"/>
      <c r="AF4" s="6499"/>
      <c r="AG4" s="6499"/>
      <c r="AH4" s="6499"/>
      <c r="AI4" s="6499"/>
      <c r="AJ4" s="6568" t="s">
        <v>1323</v>
      </c>
      <c r="AK4" s="6568"/>
      <c r="AL4" s="4353" t="str">
        <f>IF(OR(General!$F$22="",General!$F$22=0),"",General!$F$22)</f>
        <v/>
      </c>
      <c r="AM4" s="4353"/>
      <c r="AN4" s="4353"/>
      <c r="AO4" s="4353"/>
      <c r="AP4" s="4353"/>
      <c r="AQ4" s="4353"/>
      <c r="AR4" s="4353"/>
      <c r="AS4" s="1420"/>
      <c r="AT4" s="4566" t="s">
        <v>8725</v>
      </c>
      <c r="AU4" s="4567"/>
      <c r="AV4" s="4567"/>
      <c r="AW4" s="4567"/>
      <c r="AX4" s="4567"/>
      <c r="AY4" s="4567"/>
      <c r="AZ4" s="399"/>
      <c r="BA4" s="398"/>
      <c r="BB4" s="392"/>
      <c r="BC4" s="392"/>
      <c r="BD4" s="279"/>
      <c r="BE4" s="6498"/>
      <c r="BF4" s="6499"/>
      <c r="BG4" s="6499"/>
      <c r="BH4" s="6499"/>
      <c r="BI4" s="6499"/>
      <c r="BJ4" s="6499"/>
      <c r="BK4" s="6568" t="s">
        <v>1323</v>
      </c>
      <c r="BL4" s="6568"/>
      <c r="BM4" s="4353" t="str">
        <f>IF(OR(General!$F$22="",General!$F$22=0),"",General!$F$22)</f>
        <v/>
      </c>
      <c r="BN4" s="4353"/>
      <c r="BO4" s="4353"/>
      <c r="BP4" s="4353"/>
      <c r="BQ4" s="4353"/>
      <c r="BR4" s="4353"/>
      <c r="BS4" s="4353"/>
      <c r="BT4" s="1420"/>
      <c r="BU4" s="4566" t="s">
        <v>8726</v>
      </c>
      <c r="BV4" s="4567"/>
      <c r="BW4" s="4567"/>
      <c r="BX4" s="4567"/>
      <c r="BY4" s="4567"/>
      <c r="BZ4" s="4567"/>
      <c r="CA4" s="399"/>
      <c r="CB4" s="398"/>
      <c r="CC4" s="392"/>
      <c r="CD4" s="392"/>
      <c r="CE4" s="279"/>
      <c r="CF4" s="6498"/>
      <c r="CG4" s="6499"/>
      <c r="CH4" s="6499"/>
      <c r="CI4" s="6499"/>
      <c r="CJ4" s="6499"/>
      <c r="CK4" s="6499"/>
      <c r="CL4" s="6568" t="s">
        <v>1323</v>
      </c>
      <c r="CM4" s="6568"/>
      <c r="CN4" s="4353" t="str">
        <f>IF(OR(General!$F$22="",General!$F$22=0),"",General!$F$22)</f>
        <v/>
      </c>
      <c r="CO4" s="4353"/>
      <c r="CP4" s="4353"/>
      <c r="CQ4" s="4353"/>
      <c r="CR4" s="4353"/>
      <c r="CS4" s="4353"/>
      <c r="CT4" s="4353"/>
      <c r="CU4" s="1420"/>
      <c r="CV4" s="4566" t="s">
        <v>8727</v>
      </c>
      <c r="CW4" s="4567"/>
      <c r="CX4" s="4567"/>
      <c r="CY4" s="4567"/>
      <c r="CZ4" s="4567"/>
      <c r="DA4" s="4567"/>
      <c r="DB4" s="399"/>
      <c r="DC4" s="398"/>
      <c r="DD4" s="392"/>
    </row>
    <row r="5" spans="1:108" ht="12" customHeight="1" x14ac:dyDescent="0.2">
      <c r="A5" s="392"/>
      <c r="B5" s="1082">
        <v>32</v>
      </c>
      <c r="C5" s="6498"/>
      <c r="D5" s="6499"/>
      <c r="E5" s="6499"/>
      <c r="F5" s="6499"/>
      <c r="G5" s="6499"/>
      <c r="H5" s="6499"/>
      <c r="I5" s="6569" t="s">
        <v>1324</v>
      </c>
      <c r="J5" s="6569"/>
      <c r="K5" s="6570" t="str">
        <f>IF(LEN(PDs!$E$11)&lt;=$B$5,PDs!$E$11,"… /"&amp;RIGHT(PDs!$E$11,$B$5-FIND("/",RIGHT(PDs!$E$11,$B$5))))</f>
        <v/>
      </c>
      <c r="L5" s="6570"/>
      <c r="M5" s="6570"/>
      <c r="N5" s="6570"/>
      <c r="O5" s="6570"/>
      <c r="P5" s="2250" t="s">
        <v>1325</v>
      </c>
      <c r="Q5" s="2251" t="str">
        <f>Principal!$O$6</f>
        <v>0</v>
      </c>
      <c r="R5" s="1420"/>
      <c r="S5" s="4567"/>
      <c r="T5" s="4567"/>
      <c r="U5" s="4567"/>
      <c r="V5" s="4567"/>
      <c r="W5" s="4567"/>
      <c r="X5" s="4567"/>
      <c r="Y5" s="399"/>
      <c r="Z5" s="398"/>
      <c r="AA5" s="392"/>
      <c r="AB5" s="392"/>
      <c r="AC5" s="279"/>
      <c r="AD5" s="6498"/>
      <c r="AE5" s="6499"/>
      <c r="AF5" s="6499"/>
      <c r="AG5" s="6499"/>
      <c r="AH5" s="6499"/>
      <c r="AI5" s="6499"/>
      <c r="AJ5" s="6569" t="s">
        <v>1324</v>
      </c>
      <c r="AK5" s="6569"/>
      <c r="AL5" s="6570" t="str">
        <f>$K$5</f>
        <v/>
      </c>
      <c r="AM5" s="6570"/>
      <c r="AN5" s="6570"/>
      <c r="AO5" s="6570"/>
      <c r="AP5" s="6570"/>
      <c r="AQ5" s="2250" t="s">
        <v>1325</v>
      </c>
      <c r="AR5" s="2251" t="str">
        <f>Principal!$O$6</f>
        <v>0</v>
      </c>
      <c r="AS5" s="1420"/>
      <c r="AT5" s="4567"/>
      <c r="AU5" s="4567"/>
      <c r="AV5" s="4567"/>
      <c r="AW5" s="4567"/>
      <c r="AX5" s="4567"/>
      <c r="AY5" s="4567"/>
      <c r="AZ5" s="399"/>
      <c r="BA5" s="398"/>
      <c r="BB5" s="392"/>
      <c r="BC5" s="392"/>
      <c r="BD5" s="279"/>
      <c r="BE5" s="6498"/>
      <c r="BF5" s="6499"/>
      <c r="BG5" s="6499"/>
      <c r="BH5" s="6499"/>
      <c r="BI5" s="6499"/>
      <c r="BJ5" s="6499"/>
      <c r="BK5" s="6569" t="s">
        <v>1324</v>
      </c>
      <c r="BL5" s="6569"/>
      <c r="BM5" s="6570" t="str">
        <f>$K$5</f>
        <v/>
      </c>
      <c r="BN5" s="6570"/>
      <c r="BO5" s="6570"/>
      <c r="BP5" s="6570"/>
      <c r="BQ5" s="6570"/>
      <c r="BR5" s="2250" t="s">
        <v>1325</v>
      </c>
      <c r="BS5" s="2251" t="str">
        <f>Principal!$O$6</f>
        <v>0</v>
      </c>
      <c r="BT5" s="1420"/>
      <c r="BU5" s="4567"/>
      <c r="BV5" s="4567"/>
      <c r="BW5" s="4567"/>
      <c r="BX5" s="4567"/>
      <c r="BY5" s="4567"/>
      <c r="BZ5" s="4567"/>
      <c r="CA5" s="399"/>
      <c r="CB5" s="398"/>
      <c r="CC5" s="392"/>
      <c r="CD5" s="392"/>
      <c r="CE5" s="279"/>
      <c r="CF5" s="6498"/>
      <c r="CG5" s="6499"/>
      <c r="CH5" s="6499"/>
      <c r="CI5" s="6499"/>
      <c r="CJ5" s="6499"/>
      <c r="CK5" s="6499"/>
      <c r="CL5" s="6569" t="s">
        <v>1324</v>
      </c>
      <c r="CM5" s="6569"/>
      <c r="CN5" s="6570" t="str">
        <f>$K$5</f>
        <v/>
      </c>
      <c r="CO5" s="6570"/>
      <c r="CP5" s="6570"/>
      <c r="CQ5" s="6570"/>
      <c r="CR5" s="6570"/>
      <c r="CS5" s="2250" t="s">
        <v>1325</v>
      </c>
      <c r="CT5" s="2251" t="str">
        <f>Principal!$O$6</f>
        <v>0</v>
      </c>
      <c r="CU5" s="1420"/>
      <c r="CV5" s="4567"/>
      <c r="CW5" s="4567"/>
      <c r="CX5" s="4567"/>
      <c r="CY5" s="4567"/>
      <c r="CZ5" s="4567"/>
      <c r="DA5" s="4567"/>
      <c r="DB5" s="399"/>
      <c r="DC5" s="398"/>
      <c r="DD5" s="392"/>
    </row>
    <row r="6" spans="1:108" ht="12" customHeight="1" x14ac:dyDescent="0.2">
      <c r="A6" s="392"/>
      <c r="B6" s="279"/>
      <c r="C6" s="6498"/>
      <c r="D6" s="6499"/>
      <c r="E6" s="6499"/>
      <c r="F6" s="6499"/>
      <c r="G6" s="6499"/>
      <c r="H6" s="6499"/>
      <c r="I6" s="330"/>
      <c r="J6" s="4566" t="s">
        <v>6236</v>
      </c>
      <c r="K6" s="4567"/>
      <c r="L6" s="4567"/>
      <c r="M6" s="4567"/>
      <c r="N6" s="4567"/>
      <c r="O6" s="4567"/>
      <c r="P6" s="4567"/>
      <c r="Q6" s="330"/>
      <c r="R6" s="1420"/>
      <c r="S6" s="4552"/>
      <c r="T6" s="4553"/>
      <c r="U6" s="4553"/>
      <c r="V6" s="4553"/>
      <c r="W6" s="4553"/>
      <c r="X6" s="6578"/>
      <c r="Y6" s="399"/>
      <c r="Z6" s="398"/>
      <c r="AA6" s="392"/>
      <c r="AB6" s="392"/>
      <c r="AC6" s="279"/>
      <c r="AD6" s="6498"/>
      <c r="AE6" s="6499"/>
      <c r="AF6" s="6499"/>
      <c r="AG6" s="6499"/>
      <c r="AH6" s="6499"/>
      <c r="AI6" s="6499"/>
      <c r="AJ6" s="330"/>
      <c r="AK6" s="4566" t="s">
        <v>6236</v>
      </c>
      <c r="AL6" s="4567"/>
      <c r="AM6" s="4567"/>
      <c r="AN6" s="4567"/>
      <c r="AO6" s="4567"/>
      <c r="AP6" s="4567"/>
      <c r="AQ6" s="4567"/>
      <c r="AR6" s="330"/>
      <c r="AS6" s="1420"/>
      <c r="AT6" s="4552"/>
      <c r="AU6" s="4553"/>
      <c r="AV6" s="4553"/>
      <c r="AW6" s="4553"/>
      <c r="AX6" s="4553"/>
      <c r="AY6" s="6578"/>
      <c r="AZ6" s="399"/>
      <c r="BA6" s="398"/>
      <c r="BB6" s="392"/>
      <c r="BC6" s="392"/>
      <c r="BD6" s="279"/>
      <c r="BE6" s="6498"/>
      <c r="BF6" s="6499"/>
      <c r="BG6" s="6499"/>
      <c r="BH6" s="6499"/>
      <c r="BI6" s="6499"/>
      <c r="BJ6" s="6499"/>
      <c r="BK6" s="330"/>
      <c r="BL6" s="4566" t="s">
        <v>6236</v>
      </c>
      <c r="BM6" s="4567"/>
      <c r="BN6" s="4567"/>
      <c r="BO6" s="4567"/>
      <c r="BP6" s="4567"/>
      <c r="BQ6" s="4567"/>
      <c r="BR6" s="4567"/>
      <c r="BS6" s="330"/>
      <c r="BT6" s="1420"/>
      <c r="BU6" s="4552"/>
      <c r="BV6" s="4553"/>
      <c r="BW6" s="4553"/>
      <c r="BX6" s="4553"/>
      <c r="BY6" s="4553"/>
      <c r="BZ6" s="6578"/>
      <c r="CA6" s="399"/>
      <c r="CB6" s="398"/>
      <c r="CC6" s="392"/>
      <c r="CD6" s="392"/>
      <c r="CE6" s="279"/>
      <c r="CF6" s="6498"/>
      <c r="CG6" s="6499"/>
      <c r="CH6" s="6499"/>
      <c r="CI6" s="6499"/>
      <c r="CJ6" s="6499"/>
      <c r="CK6" s="6499"/>
      <c r="CL6" s="330"/>
      <c r="CM6" s="4566" t="s">
        <v>6236</v>
      </c>
      <c r="CN6" s="4567"/>
      <c r="CO6" s="4567"/>
      <c r="CP6" s="4567"/>
      <c r="CQ6" s="4567"/>
      <c r="CR6" s="4567"/>
      <c r="CS6" s="4567"/>
      <c r="CT6" s="330"/>
      <c r="CU6" s="1420"/>
      <c r="CV6" s="4552"/>
      <c r="CW6" s="4553"/>
      <c r="CX6" s="4553"/>
      <c r="CY6" s="4553"/>
      <c r="CZ6" s="4553"/>
      <c r="DA6" s="6578"/>
      <c r="DB6" s="399"/>
      <c r="DC6" s="398"/>
      <c r="DD6" s="392"/>
    </row>
    <row r="7" spans="1:108" ht="12" customHeight="1" x14ac:dyDescent="0.2">
      <c r="A7" s="392"/>
      <c r="B7" s="279"/>
      <c r="C7" s="6498"/>
      <c r="D7" s="6499"/>
      <c r="E7" s="6499"/>
      <c r="F7" s="6499"/>
      <c r="G7" s="6499"/>
      <c r="H7" s="6499"/>
      <c r="I7" s="330"/>
      <c r="J7" s="4567"/>
      <c r="K7" s="4567"/>
      <c r="L7" s="4567"/>
      <c r="M7" s="4567"/>
      <c r="N7" s="4567"/>
      <c r="O7" s="4567"/>
      <c r="P7" s="4567"/>
      <c r="Q7" s="330"/>
      <c r="R7" s="1420"/>
      <c r="S7" s="6579"/>
      <c r="T7" s="6580"/>
      <c r="U7" s="6580"/>
      <c r="V7" s="6580"/>
      <c r="W7" s="6580"/>
      <c r="X7" s="6581"/>
      <c r="Y7" s="1643" t="e">
        <f>MATCH(S6,'Tablas psiquica'!$U$114:$AH$114,0)</f>
        <v>#N/A</v>
      </c>
      <c r="Z7" s="398"/>
      <c r="AA7" s="392"/>
      <c r="AB7" s="392"/>
      <c r="AC7" s="279"/>
      <c r="AD7" s="6498"/>
      <c r="AE7" s="6499"/>
      <c r="AF7" s="6499"/>
      <c r="AG7" s="6499"/>
      <c r="AH7" s="6499"/>
      <c r="AI7" s="6499"/>
      <c r="AJ7" s="330"/>
      <c r="AK7" s="4567"/>
      <c r="AL7" s="4567"/>
      <c r="AM7" s="4567"/>
      <c r="AN7" s="4567"/>
      <c r="AO7" s="4567"/>
      <c r="AP7" s="4567"/>
      <c r="AQ7" s="4567"/>
      <c r="AR7" s="330"/>
      <c r="AS7" s="1420"/>
      <c r="AT7" s="6579"/>
      <c r="AU7" s="6580"/>
      <c r="AV7" s="6580"/>
      <c r="AW7" s="6580"/>
      <c r="AX7" s="6580"/>
      <c r="AY7" s="6581"/>
      <c r="AZ7" s="1643" t="e">
        <f>MATCH(AT6,'Tablas psiquica'!$U$114:$AH$114,0)</f>
        <v>#N/A</v>
      </c>
      <c r="BA7" s="398"/>
      <c r="BB7" s="392"/>
      <c r="BC7" s="392"/>
      <c r="BD7" s="279"/>
      <c r="BE7" s="6498"/>
      <c r="BF7" s="6499"/>
      <c r="BG7" s="6499"/>
      <c r="BH7" s="6499"/>
      <c r="BI7" s="6499"/>
      <c r="BJ7" s="6499"/>
      <c r="BK7" s="330"/>
      <c r="BL7" s="4567"/>
      <c r="BM7" s="4567"/>
      <c r="BN7" s="4567"/>
      <c r="BO7" s="4567"/>
      <c r="BP7" s="4567"/>
      <c r="BQ7" s="4567"/>
      <c r="BR7" s="4567"/>
      <c r="BS7" s="330"/>
      <c r="BT7" s="1420"/>
      <c r="BU7" s="6579"/>
      <c r="BV7" s="6580"/>
      <c r="BW7" s="6580"/>
      <c r="BX7" s="6580"/>
      <c r="BY7" s="6580"/>
      <c r="BZ7" s="6581"/>
      <c r="CA7" s="1643" t="e">
        <f>MATCH(BU6,'Tablas psiquica'!$U$114:$AH$114,0)</f>
        <v>#N/A</v>
      </c>
      <c r="CB7" s="398"/>
      <c r="CC7" s="392"/>
      <c r="CD7" s="392"/>
      <c r="CE7" s="279"/>
      <c r="CF7" s="6498"/>
      <c r="CG7" s="6499"/>
      <c r="CH7" s="6499"/>
      <c r="CI7" s="6499"/>
      <c r="CJ7" s="6499"/>
      <c r="CK7" s="6499"/>
      <c r="CL7" s="330"/>
      <c r="CM7" s="4567"/>
      <c r="CN7" s="4567"/>
      <c r="CO7" s="4567"/>
      <c r="CP7" s="4567"/>
      <c r="CQ7" s="4567"/>
      <c r="CR7" s="4567"/>
      <c r="CS7" s="4567"/>
      <c r="CT7" s="330"/>
      <c r="CU7" s="1420"/>
      <c r="CV7" s="6579"/>
      <c r="CW7" s="6580"/>
      <c r="CX7" s="6580"/>
      <c r="CY7" s="6580"/>
      <c r="CZ7" s="6580"/>
      <c r="DA7" s="6581"/>
      <c r="DB7" s="1643" t="e">
        <f>MATCH(CV6,'Tablas psiquica'!$U$114:$AH$114,0)</f>
        <v>#N/A</v>
      </c>
      <c r="DC7" s="398"/>
      <c r="DD7" s="392"/>
    </row>
    <row r="8" spans="1:108" ht="12" customHeight="1" thickBot="1" x14ac:dyDescent="0.25">
      <c r="A8" s="392"/>
      <c r="B8" s="279"/>
      <c r="C8" s="6500"/>
      <c r="D8" s="6501"/>
      <c r="E8" s="6501"/>
      <c r="F8" s="6501"/>
      <c r="G8" s="6501"/>
      <c r="H8" s="6501"/>
      <c r="I8" s="400"/>
      <c r="J8" s="400"/>
      <c r="K8" s="400"/>
      <c r="L8" s="400"/>
      <c r="M8" s="400"/>
      <c r="N8" s="400"/>
      <c r="O8" s="400"/>
      <c r="P8" s="400"/>
      <c r="Q8" s="400"/>
      <c r="R8" s="1644"/>
      <c r="S8" s="400"/>
      <c r="T8" s="400"/>
      <c r="U8" s="400"/>
      <c r="V8" s="400"/>
      <c r="W8" s="400"/>
      <c r="X8" s="400"/>
      <c r="Y8" s="401"/>
      <c r="Z8" s="398"/>
      <c r="AA8" s="392"/>
      <c r="AB8" s="392"/>
      <c r="AC8" s="279"/>
      <c r="AD8" s="6500"/>
      <c r="AE8" s="6501"/>
      <c r="AF8" s="6501"/>
      <c r="AG8" s="6501"/>
      <c r="AH8" s="6501"/>
      <c r="AI8" s="6501"/>
      <c r="AJ8" s="400"/>
      <c r="AK8" s="400"/>
      <c r="AL8" s="400"/>
      <c r="AM8" s="400"/>
      <c r="AN8" s="400"/>
      <c r="AO8" s="400"/>
      <c r="AP8" s="400"/>
      <c r="AQ8" s="400"/>
      <c r="AR8" s="400"/>
      <c r="AS8" s="1644"/>
      <c r="AT8" s="400"/>
      <c r="AU8" s="400"/>
      <c r="AV8" s="400"/>
      <c r="AW8" s="400"/>
      <c r="AX8" s="400"/>
      <c r="AY8" s="400"/>
      <c r="AZ8" s="401"/>
      <c r="BA8" s="398"/>
      <c r="BB8" s="392"/>
      <c r="BC8" s="392"/>
      <c r="BD8" s="279"/>
      <c r="BE8" s="6500"/>
      <c r="BF8" s="6501"/>
      <c r="BG8" s="6501"/>
      <c r="BH8" s="6501"/>
      <c r="BI8" s="6501"/>
      <c r="BJ8" s="6501"/>
      <c r="BK8" s="400"/>
      <c r="BL8" s="400"/>
      <c r="BM8" s="400"/>
      <c r="BN8" s="400"/>
      <c r="BO8" s="400"/>
      <c r="BP8" s="400"/>
      <c r="BQ8" s="400"/>
      <c r="BR8" s="400"/>
      <c r="BS8" s="400"/>
      <c r="BT8" s="1644"/>
      <c r="BU8" s="400"/>
      <c r="BV8" s="400"/>
      <c r="BW8" s="400"/>
      <c r="BX8" s="400"/>
      <c r="BY8" s="400"/>
      <c r="BZ8" s="400"/>
      <c r="CA8" s="401"/>
      <c r="CB8" s="398"/>
      <c r="CC8" s="392"/>
      <c r="CD8" s="392"/>
      <c r="CE8" s="279"/>
      <c r="CF8" s="6500"/>
      <c r="CG8" s="6501"/>
      <c r="CH8" s="6501"/>
      <c r="CI8" s="6501"/>
      <c r="CJ8" s="6501"/>
      <c r="CK8" s="6501"/>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71">
        <f>IFERROR(INDEX('Tablas psiquica'!$U$116:$AH$130,B10,Y$7),0)</f>
        <v>0</v>
      </c>
      <c r="D10" s="6572"/>
      <c r="E10" s="6572"/>
      <c r="F10" s="6572"/>
      <c r="G10" s="6572"/>
      <c r="H10" s="6572"/>
      <c r="I10" s="423" t="s">
        <v>1402</v>
      </c>
      <c r="J10" s="654">
        <v>2</v>
      </c>
      <c r="K10" s="6571">
        <f>IFERROR(INDEX('Tablas psiquica'!$U$116:$AH$130,J10,Y$7),0)</f>
        <v>0</v>
      </c>
      <c r="L10" s="6572"/>
      <c r="M10" s="6572"/>
      <c r="N10" s="6572"/>
      <c r="O10" s="6572"/>
      <c r="P10" s="6572"/>
      <c r="Q10" s="423" t="s">
        <v>1402</v>
      </c>
      <c r="R10" s="1082">
        <v>3</v>
      </c>
      <c r="S10" s="6571">
        <f>IFERROR(INDEX('Tablas psiquica'!$U$116:$AH$130,R10,Y$7),0)</f>
        <v>0</v>
      </c>
      <c r="T10" s="6572"/>
      <c r="U10" s="6572"/>
      <c r="V10" s="6572"/>
      <c r="W10" s="6572"/>
      <c r="X10" s="6572"/>
      <c r="Y10" s="423" t="s">
        <v>1402</v>
      </c>
      <c r="Z10" s="398"/>
      <c r="AA10" s="392"/>
      <c r="AB10" s="392"/>
      <c r="AC10" s="1082">
        <v>1</v>
      </c>
      <c r="AD10" s="6571">
        <f>IFERROR(INDEX('Tablas psiquica'!$U$116:$AH$130,AC10,AZ$7),0)</f>
        <v>0</v>
      </c>
      <c r="AE10" s="6572"/>
      <c r="AF10" s="6572"/>
      <c r="AG10" s="6572"/>
      <c r="AH10" s="6572"/>
      <c r="AI10" s="6572"/>
      <c r="AJ10" s="423" t="s">
        <v>1402</v>
      </c>
      <c r="AK10" s="654">
        <v>2</v>
      </c>
      <c r="AL10" s="6571">
        <f>IFERROR(INDEX('Tablas psiquica'!$U$116:$AH$130,AK10,AZ$7),0)</f>
        <v>0</v>
      </c>
      <c r="AM10" s="6572"/>
      <c r="AN10" s="6572"/>
      <c r="AO10" s="6572"/>
      <c r="AP10" s="6572"/>
      <c r="AQ10" s="6572"/>
      <c r="AR10" s="423" t="s">
        <v>1402</v>
      </c>
      <c r="AS10" s="1082">
        <v>3</v>
      </c>
      <c r="AT10" s="6571">
        <f>IFERROR(INDEX('Tablas psiquica'!$U$116:$AH$130,AS10,AZ$7),0)</f>
        <v>0</v>
      </c>
      <c r="AU10" s="6572"/>
      <c r="AV10" s="6572"/>
      <c r="AW10" s="6572"/>
      <c r="AX10" s="6572"/>
      <c r="AY10" s="6572"/>
      <c r="AZ10" s="423" t="s">
        <v>1402</v>
      </c>
      <c r="BA10" s="398"/>
      <c r="BB10" s="392"/>
      <c r="BC10" s="392"/>
      <c r="BD10" s="1082">
        <v>1</v>
      </c>
      <c r="BE10" s="6571">
        <f>IFERROR(INDEX('Tablas psiquica'!$U$116:$AH$130,BD10,CA$7),0)</f>
        <v>0</v>
      </c>
      <c r="BF10" s="6572"/>
      <c r="BG10" s="6572"/>
      <c r="BH10" s="6572"/>
      <c r="BI10" s="6572"/>
      <c r="BJ10" s="6572"/>
      <c r="BK10" s="423" t="s">
        <v>1402</v>
      </c>
      <c r="BL10" s="654">
        <v>2</v>
      </c>
      <c r="BM10" s="6571">
        <f>IFERROR(INDEX('Tablas psiquica'!$U$116:$AH$130,BL10,CA$7),0)</f>
        <v>0</v>
      </c>
      <c r="BN10" s="6572"/>
      <c r="BO10" s="6572"/>
      <c r="BP10" s="6572"/>
      <c r="BQ10" s="6572"/>
      <c r="BR10" s="6572"/>
      <c r="BS10" s="423" t="s">
        <v>1402</v>
      </c>
      <c r="BT10" s="1082">
        <v>3</v>
      </c>
      <c r="BU10" s="6571">
        <f>IFERROR(INDEX('Tablas psiquica'!$U$116:$AH$130,BT10,CA$7),0)</f>
        <v>0</v>
      </c>
      <c r="BV10" s="6572"/>
      <c r="BW10" s="6572"/>
      <c r="BX10" s="6572"/>
      <c r="BY10" s="6572"/>
      <c r="BZ10" s="6572"/>
      <c r="CA10" s="423" t="s">
        <v>1402</v>
      </c>
      <c r="CB10" s="398"/>
      <c r="CC10" s="392"/>
      <c r="CD10" s="392"/>
      <c r="CE10" s="1082">
        <v>1</v>
      </c>
      <c r="CF10" s="6571">
        <f>IFERROR(INDEX('Tablas psiquica'!$U$116:$AH$130,CE10,DB$7),0)</f>
        <v>0</v>
      </c>
      <c r="CG10" s="6572"/>
      <c r="CH10" s="6572"/>
      <c r="CI10" s="6572"/>
      <c r="CJ10" s="6572"/>
      <c r="CK10" s="6572"/>
      <c r="CL10" s="423" t="s">
        <v>1402</v>
      </c>
      <c r="CM10" s="654">
        <v>2</v>
      </c>
      <c r="CN10" s="6571">
        <f>IFERROR(INDEX('Tablas psiquica'!$U$116:$AH$130,CM10,DB$7),0)</f>
        <v>0</v>
      </c>
      <c r="CO10" s="6572"/>
      <c r="CP10" s="6572"/>
      <c r="CQ10" s="6572"/>
      <c r="CR10" s="6572"/>
      <c r="CS10" s="6572"/>
      <c r="CT10" s="423" t="s">
        <v>1402</v>
      </c>
      <c r="CU10" s="1082">
        <v>3</v>
      </c>
      <c r="CV10" s="6571">
        <f>IFERROR(INDEX('Tablas psiquica'!$U$116:$AH$130,CU10,DB$7),0)</f>
        <v>0</v>
      </c>
      <c r="CW10" s="6572"/>
      <c r="CX10" s="6572"/>
      <c r="CY10" s="6572"/>
      <c r="CZ10" s="6572"/>
      <c r="DA10" s="6572"/>
      <c r="DB10" s="423" t="s">
        <v>1402</v>
      </c>
      <c r="DC10" s="398"/>
      <c r="DD10" s="392"/>
    </row>
    <row r="11" spans="1:108" ht="12" customHeight="1" x14ac:dyDescent="0.2">
      <c r="A11" s="392"/>
      <c r="B11" s="1082"/>
      <c r="C11" s="6573" t="str">
        <f>IF(C10=0,"",VLOOKUP(C10,'Tablas psiquica'!$D$7:$R$145,2,FALSE))</f>
        <v/>
      </c>
      <c r="D11" s="6574"/>
      <c r="E11" s="6574"/>
      <c r="F11" s="6575"/>
      <c r="G11" s="6576" t="str">
        <f>IF(C10=0,"",IF(INDEX('Tablas psiquica'!$U$115:$AH$115,1,$Y$7)=0,"No Accesible",IF(ISNA(VLOOKUP(C10,Psíquicos!$AS$17:$AS$43,1,0)),"Accesible CV","Aprendido")))</f>
        <v/>
      </c>
      <c r="H11" s="6577"/>
      <c r="I11" s="1645" t="str">
        <f>IF(C10=0,"",VLOOKUP(C10,'Tablas psiquica'!$D$7:$R$145,3,FALSE))</f>
        <v/>
      </c>
      <c r="J11" s="654"/>
      <c r="K11" s="6573" t="str">
        <f>IF(K10=0,"",VLOOKUP(K10,'Tablas psiquica'!$D$7:$R$145,2,FALSE))</f>
        <v/>
      </c>
      <c r="L11" s="6574"/>
      <c r="M11" s="6574"/>
      <c r="N11" s="6575"/>
      <c r="O11" s="6576" t="str">
        <f>IF(K10=0,"",IF(INDEX('Tablas psiquica'!$U$115:$AH$115,1,$Y$7)=0,"No Accesible",IF(ISNA(VLOOKUP(K10,Psíquicos!$AS$17:$AS$43,1,0)),"Accesible CV","Aprendido")))</f>
        <v/>
      </c>
      <c r="P11" s="6577"/>
      <c r="Q11" s="1645" t="str">
        <f>IF(K10=0,"",VLOOKUP(K10,'Tablas psiquica'!$D$7:$R$145,3,FALSE))</f>
        <v/>
      </c>
      <c r="R11" s="1082"/>
      <c r="S11" s="6573" t="str">
        <f>IF(S10=0,"",VLOOKUP(S10,'Tablas psiquica'!$D$7:$R$145,2,FALSE))</f>
        <v/>
      </c>
      <c r="T11" s="6574"/>
      <c r="U11" s="6574"/>
      <c r="V11" s="6575"/>
      <c r="W11" s="6576" t="str">
        <f>IF(S10=0,"",IF(INDEX('Tablas psiquica'!$U$115:$AH$115,1,$Y$7)=0,"No Accesible",IF(ISNA(VLOOKUP(S10,Psíquicos!$AS$17:$AS$43,1,0)),"Accesible CV","Aprendido")))</f>
        <v/>
      </c>
      <c r="X11" s="6577"/>
      <c r="Y11" s="1645" t="str">
        <f>IF(S10=0,"",VLOOKUP(S10,'Tablas psiquica'!$D$7:$R$145,3,FALSE))</f>
        <v/>
      </c>
      <c r="Z11" s="398"/>
      <c r="AA11" s="392"/>
      <c r="AB11" s="392"/>
      <c r="AC11" s="1082"/>
      <c r="AD11" s="6573" t="str">
        <f>IF(AD10=0,"",VLOOKUP(AD10,'Tablas psiquica'!$D$7:$R$145,2,FALSE))</f>
        <v/>
      </c>
      <c r="AE11" s="6574"/>
      <c r="AF11" s="6574"/>
      <c r="AG11" s="6575"/>
      <c r="AH11" s="6576" t="str">
        <f>IF(AD10=0,"",IF(INDEX('Tablas psiquica'!$U$115:$AH$115,1,$AZ$7)=0,"No Accesible",IF(ISNA(VLOOKUP(AD10,Psíquicos!$AS$17:$AS$43,1,0)),"Accesible CV","Aprendido")))</f>
        <v/>
      </c>
      <c r="AI11" s="6577"/>
      <c r="AJ11" s="1645" t="str">
        <f>IF(AD10=0,"",VLOOKUP(AD10,'Tablas psiquica'!$D$7:$R$145,3,FALSE))</f>
        <v/>
      </c>
      <c r="AK11" s="654"/>
      <c r="AL11" s="6573" t="str">
        <f>IF(AL10=0,"",VLOOKUP(AL10,'Tablas psiquica'!$D$7:$R$145,2,FALSE))</f>
        <v/>
      </c>
      <c r="AM11" s="6574"/>
      <c r="AN11" s="6574"/>
      <c r="AO11" s="6575"/>
      <c r="AP11" s="6576" t="str">
        <f>IF(AL10=0,"",IF(INDEX('Tablas psiquica'!$U$115:$AH$115,1,$AZ$7)=0,"No Accesible",IF(ISNA(VLOOKUP(AL10,Psíquicos!$AS$17:$AS$43,1,0)),"Accesible CV","Aprendido")))</f>
        <v/>
      </c>
      <c r="AQ11" s="6577"/>
      <c r="AR11" s="1645" t="str">
        <f>IF(AL10=0,"",VLOOKUP(AL10,'Tablas psiquica'!$D$7:$R$145,3,FALSE))</f>
        <v/>
      </c>
      <c r="AS11" s="1082"/>
      <c r="AT11" s="6573" t="str">
        <f>IF(AT10=0,"",VLOOKUP(AT10,'Tablas psiquica'!$D$7:$R$145,2,FALSE))</f>
        <v/>
      </c>
      <c r="AU11" s="6574"/>
      <c r="AV11" s="6574"/>
      <c r="AW11" s="6575"/>
      <c r="AX11" s="6576" t="str">
        <f>IF(AT10=0,"",IF(INDEX('Tablas psiquica'!$U$115:$AH$115,1,$AZ$7)=0,"No Accesible",IF(ISNA(VLOOKUP(AT10,Psíquicos!$AS$17:$AS$43,1,0)),"Accesible CV","Aprendido")))</f>
        <v/>
      </c>
      <c r="AY11" s="6577"/>
      <c r="AZ11" s="1645" t="str">
        <f>IF(AT10=0,"",VLOOKUP(AT10,'Tablas psiquica'!$D$7:$R$145,3,FALSE))</f>
        <v/>
      </c>
      <c r="BA11" s="398"/>
      <c r="BB11" s="392"/>
      <c r="BC11" s="392"/>
      <c r="BD11" s="1082"/>
      <c r="BE11" s="6573" t="str">
        <f>IF(BE10=0,"",VLOOKUP(BE10,'Tablas psiquica'!$D$7:$R$145,2,FALSE))</f>
        <v/>
      </c>
      <c r="BF11" s="6574"/>
      <c r="BG11" s="6574"/>
      <c r="BH11" s="6575"/>
      <c r="BI11" s="6576" t="str">
        <f>IF(BE10=0,"",IF(INDEX('Tablas psiquica'!$U$115:$AH$115,1,$CA$7)=0,"No Accesible",IF(ISNA(VLOOKUP(BE10,Psíquicos!$AS$17:$AS$43,1,0)),"Accesible CV","Aprendido")))</f>
        <v/>
      </c>
      <c r="BJ11" s="6577"/>
      <c r="BK11" s="1645" t="str">
        <f>IF(BE10=0,"",VLOOKUP(BE10,'Tablas psiquica'!$D$7:$R$145,3,FALSE))</f>
        <v/>
      </c>
      <c r="BL11" s="654"/>
      <c r="BM11" s="6573" t="str">
        <f>IF(BM10=0,"",VLOOKUP(BM10,'Tablas psiquica'!$D$7:$R$145,2,FALSE))</f>
        <v/>
      </c>
      <c r="BN11" s="6574"/>
      <c r="BO11" s="6574"/>
      <c r="BP11" s="6575"/>
      <c r="BQ11" s="6576" t="str">
        <f>IF(BM10=0,"",IF(INDEX('Tablas psiquica'!$U$115:$AH$115,1,$CA$7)=0,"No Accesible",IF(ISNA(VLOOKUP(BM10,Psíquicos!$AS$17:$AS$43,1,0)),"Accesible CV","Aprendido")))</f>
        <v/>
      </c>
      <c r="BR11" s="6577"/>
      <c r="BS11" s="1645" t="str">
        <f>IF(BM10=0,"",VLOOKUP(BM10,'Tablas psiquica'!$D$7:$R$145,3,FALSE))</f>
        <v/>
      </c>
      <c r="BT11" s="1082"/>
      <c r="BU11" s="6573" t="str">
        <f>IF(BU10=0,"",VLOOKUP(BU10,'Tablas psiquica'!$D$7:$R$145,2,FALSE))</f>
        <v/>
      </c>
      <c r="BV11" s="6574"/>
      <c r="BW11" s="6574"/>
      <c r="BX11" s="6575"/>
      <c r="BY11" s="6576" t="str">
        <f>IF(BU10=0,"",IF(INDEX('Tablas psiquica'!$U$115:$AH$115,1,$CA$7)=0,"No Accesible",IF(ISNA(VLOOKUP(BU10,Psíquicos!$AS$17:$AS$43,1,0)),"Accesible CV","Aprendido")))</f>
        <v/>
      </c>
      <c r="BZ11" s="6577"/>
      <c r="CA11" s="1645" t="str">
        <f>IF(BU10=0,"",VLOOKUP(BU10,'Tablas psiquica'!$D$7:$R$145,3,FALSE))</f>
        <v/>
      </c>
      <c r="CB11" s="398"/>
      <c r="CC11" s="392"/>
      <c r="CD11" s="392"/>
      <c r="CE11" s="1082"/>
      <c r="CF11" s="6573" t="str">
        <f>IF(CF10=0,"",VLOOKUP(CF10,'Tablas psiquica'!$D$7:$R$145,2,FALSE))</f>
        <v/>
      </c>
      <c r="CG11" s="6574"/>
      <c r="CH11" s="6574"/>
      <c r="CI11" s="6575"/>
      <c r="CJ11" s="6576" t="str">
        <f>IF(CF10=0,"",IF(INDEX('Tablas psiquica'!$U$115:$AH$115,1,$DB$7)=0,"No Accesible",IF(ISNA(VLOOKUP(CF10,Psíquicos!$AS$17:$AS$43,1,0)),"Accesible CV","Aprendido")))</f>
        <v/>
      </c>
      <c r="CK11" s="6577"/>
      <c r="CL11" s="1645" t="str">
        <f>IF(CF10=0,"",VLOOKUP(CF10,'Tablas psiquica'!$D$7:$R$145,3,FALSE))</f>
        <v/>
      </c>
      <c r="CM11" s="654"/>
      <c r="CN11" s="6573" t="str">
        <f>IF(CN10=0,"",VLOOKUP(CN10,'Tablas psiquica'!$D$7:$R$145,2,FALSE))</f>
        <v/>
      </c>
      <c r="CO11" s="6574"/>
      <c r="CP11" s="6574"/>
      <c r="CQ11" s="6575"/>
      <c r="CR11" s="6576" t="str">
        <f>IF(CN10=0,"",IF(INDEX('Tablas psiquica'!$U$115:$AH$115,1,$DB$7)=0,"No Accesible",IF(ISNA(VLOOKUP(CN10,Psíquicos!$AS$17:$AS$43,1,0)),"Accesible CV","Aprendido")))</f>
        <v/>
      </c>
      <c r="CS11" s="6577"/>
      <c r="CT11" s="1645" t="str">
        <f>IF(CN10=0,"",VLOOKUP(CN10,'Tablas psiquica'!$D$7:$R$145,3,FALSE))</f>
        <v/>
      </c>
      <c r="CU11" s="1082"/>
      <c r="CV11" s="6573" t="str">
        <f>IF(CV10=0,"",VLOOKUP(CV10,'Tablas psiquica'!$D$7:$R$145,2,FALSE))</f>
        <v/>
      </c>
      <c r="CW11" s="6574"/>
      <c r="CX11" s="6574"/>
      <c r="CY11" s="6575"/>
      <c r="CZ11" s="6576" t="str">
        <f>IF(CV10=0,"",IF(INDEX('Tablas psiquica'!$U$115:$AH$115,1,$DB$7)=0,"No Accesible",IF(ISNA(VLOOKUP(CV10,Psíquicos!$AS$17:$AS$43,1,0)),"Accesible CV","Aprendido")))</f>
        <v/>
      </c>
      <c r="DA11" s="6577"/>
      <c r="DB11" s="1645" t="str">
        <f>IF(CV10=0,"",VLOOKUP(CV10,'Tablas psiquica'!$D$7:$R$145,3,FALSE))</f>
        <v/>
      </c>
      <c r="DC11" s="398"/>
      <c r="DD11" s="392"/>
    </row>
    <row r="12" spans="1:108" ht="12" customHeight="1" x14ac:dyDescent="0.2">
      <c r="A12" s="392"/>
      <c r="B12" s="1082"/>
      <c r="C12" s="1614">
        <v>20</v>
      </c>
      <c r="D12" s="6586" t="s">
        <v>1722</v>
      </c>
      <c r="E12" s="6508"/>
      <c r="F12" s="6587" t="str">
        <f>IF(C10=0,"",VLOOKUP(C10,'Tablas psiquica'!$D$7:$R$145,6,FALSE))</f>
        <v/>
      </c>
      <c r="G12" s="6042"/>
      <c r="H12" s="6042"/>
      <c r="I12" s="6588"/>
      <c r="J12" s="654"/>
      <c r="K12" s="1614">
        <v>20</v>
      </c>
      <c r="L12" s="6586" t="s">
        <v>1722</v>
      </c>
      <c r="M12" s="6508"/>
      <c r="N12" s="6587" t="str">
        <f>IF(K10=0,"",VLOOKUP(K10,'Tablas psiquica'!$D$7:$R$145,6,FALSE))</f>
        <v/>
      </c>
      <c r="O12" s="6042"/>
      <c r="P12" s="6042"/>
      <c r="Q12" s="6588"/>
      <c r="R12" s="1082"/>
      <c r="S12" s="1614">
        <v>20</v>
      </c>
      <c r="T12" s="6586" t="s">
        <v>1722</v>
      </c>
      <c r="U12" s="6508"/>
      <c r="V12" s="6587" t="str">
        <f>IF(S10=0,"",VLOOKUP(S10,'Tablas psiquica'!$D$7:$R$145,6,FALSE))</f>
        <v/>
      </c>
      <c r="W12" s="6042"/>
      <c r="X12" s="6042"/>
      <c r="Y12" s="6588"/>
      <c r="Z12" s="398"/>
      <c r="AA12" s="392"/>
      <c r="AB12" s="392"/>
      <c r="AC12" s="1082"/>
      <c r="AD12" s="1614">
        <v>20</v>
      </c>
      <c r="AE12" s="6586" t="s">
        <v>1722</v>
      </c>
      <c r="AF12" s="6508"/>
      <c r="AG12" s="6587" t="str">
        <f>IF(AD10=0,"",VLOOKUP(AD10,'Tablas psiquica'!$D$7:$R$145,6,FALSE))</f>
        <v/>
      </c>
      <c r="AH12" s="6042"/>
      <c r="AI12" s="6042"/>
      <c r="AJ12" s="6588"/>
      <c r="AK12" s="654"/>
      <c r="AL12" s="1614">
        <v>20</v>
      </c>
      <c r="AM12" s="6586" t="s">
        <v>1722</v>
      </c>
      <c r="AN12" s="6508"/>
      <c r="AO12" s="6587" t="str">
        <f>IF(AL10=0,"",VLOOKUP(AL10,'Tablas psiquica'!$D$7:$R$145,6,FALSE))</f>
        <v/>
      </c>
      <c r="AP12" s="6042"/>
      <c r="AQ12" s="6042"/>
      <c r="AR12" s="6588"/>
      <c r="AS12" s="1082"/>
      <c r="AT12" s="1614">
        <v>20</v>
      </c>
      <c r="AU12" s="6586" t="s">
        <v>1722</v>
      </c>
      <c r="AV12" s="6508"/>
      <c r="AW12" s="6587" t="str">
        <f>IF(AT10=0,"",VLOOKUP(AT10,'Tablas psiquica'!$D$7:$R$145,6,FALSE))</f>
        <v/>
      </c>
      <c r="AX12" s="6042"/>
      <c r="AY12" s="6042"/>
      <c r="AZ12" s="6588"/>
      <c r="BA12" s="398"/>
      <c r="BB12" s="392"/>
      <c r="BC12" s="392"/>
      <c r="BD12" s="1082"/>
      <c r="BE12" s="1614">
        <v>20</v>
      </c>
      <c r="BF12" s="6586" t="s">
        <v>1722</v>
      </c>
      <c r="BG12" s="6508"/>
      <c r="BH12" s="6587" t="str">
        <f>IF(BE10=0,"",VLOOKUP(BE10,'Tablas psiquica'!$D$7:$R$145,6,FALSE))</f>
        <v/>
      </c>
      <c r="BI12" s="6042"/>
      <c r="BJ12" s="6042"/>
      <c r="BK12" s="6588"/>
      <c r="BL12" s="654"/>
      <c r="BM12" s="1614">
        <v>20</v>
      </c>
      <c r="BN12" s="6586" t="s">
        <v>1722</v>
      </c>
      <c r="BO12" s="6508"/>
      <c r="BP12" s="6587" t="str">
        <f>IF(BM10=0,"",VLOOKUP(BM10,'Tablas psiquica'!$D$7:$R$145,6,FALSE))</f>
        <v/>
      </c>
      <c r="BQ12" s="6042"/>
      <c r="BR12" s="6042"/>
      <c r="BS12" s="6588"/>
      <c r="BT12" s="1082"/>
      <c r="BU12" s="1614">
        <v>20</v>
      </c>
      <c r="BV12" s="6586" t="s">
        <v>1722</v>
      </c>
      <c r="BW12" s="6508"/>
      <c r="BX12" s="6587" t="str">
        <f>IF(BU10=0,"",VLOOKUP(BU10,'Tablas psiquica'!$D$7:$R$145,6,FALSE))</f>
        <v/>
      </c>
      <c r="BY12" s="6042"/>
      <c r="BZ12" s="6042"/>
      <c r="CA12" s="6588"/>
      <c r="CB12" s="398"/>
      <c r="CC12" s="392"/>
      <c r="CD12" s="392"/>
      <c r="CE12" s="1082"/>
      <c r="CF12" s="1614">
        <v>20</v>
      </c>
      <c r="CG12" s="6586" t="s">
        <v>1722</v>
      </c>
      <c r="CH12" s="6508"/>
      <c r="CI12" s="6587" t="str">
        <f>IF(CF10=0,"",VLOOKUP(CF10,'Tablas psiquica'!$D$7:$R$145,6,FALSE))</f>
        <v/>
      </c>
      <c r="CJ12" s="6042"/>
      <c r="CK12" s="6042"/>
      <c r="CL12" s="6588"/>
      <c r="CM12" s="654"/>
      <c r="CN12" s="1614">
        <v>20</v>
      </c>
      <c r="CO12" s="6586" t="s">
        <v>1722</v>
      </c>
      <c r="CP12" s="6508"/>
      <c r="CQ12" s="6587" t="str">
        <f>IF(CN10=0,"",VLOOKUP(CN10,'Tablas psiquica'!$D$7:$R$145,6,FALSE))</f>
        <v/>
      </c>
      <c r="CR12" s="6042"/>
      <c r="CS12" s="6042"/>
      <c r="CT12" s="6588"/>
      <c r="CU12" s="1082"/>
      <c r="CV12" s="1614">
        <v>20</v>
      </c>
      <c r="CW12" s="6586" t="s">
        <v>1722</v>
      </c>
      <c r="CX12" s="6508"/>
      <c r="CY12" s="6587" t="str">
        <f>IF(CV10=0,"",VLOOKUP(CV10,'Tablas psiquica'!$D$7:$R$145,6,FALSE))</f>
        <v/>
      </c>
      <c r="CZ12" s="6042"/>
      <c r="DA12" s="6042"/>
      <c r="DB12" s="6588"/>
      <c r="DC12" s="398"/>
      <c r="DD12" s="392"/>
    </row>
    <row r="13" spans="1:108" ht="12" customHeight="1" x14ac:dyDescent="0.2">
      <c r="A13" s="392"/>
      <c r="B13" s="1082"/>
      <c r="C13" s="1613">
        <v>40</v>
      </c>
      <c r="D13" s="6582" t="s">
        <v>1724</v>
      </c>
      <c r="E13" s="6503"/>
      <c r="F13" s="6583" t="str">
        <f>IF(C10=0,"",VLOOKUP(C10,'Tablas psiquica'!$D$7:$R$145,7,FALSE))</f>
        <v/>
      </c>
      <c r="G13" s="6584"/>
      <c r="H13" s="6584"/>
      <c r="I13" s="6585"/>
      <c r="J13" s="654"/>
      <c r="K13" s="1613">
        <v>40</v>
      </c>
      <c r="L13" s="6582" t="s">
        <v>1724</v>
      </c>
      <c r="M13" s="6503"/>
      <c r="N13" s="6583" t="str">
        <f>IF(K10=0,"",VLOOKUP(K10,'Tablas psiquica'!$D$7:$R$145,7,FALSE))</f>
        <v/>
      </c>
      <c r="O13" s="6584"/>
      <c r="P13" s="6584"/>
      <c r="Q13" s="6585"/>
      <c r="R13" s="1082"/>
      <c r="S13" s="1613">
        <v>40</v>
      </c>
      <c r="T13" s="6582" t="s">
        <v>1724</v>
      </c>
      <c r="U13" s="6503"/>
      <c r="V13" s="6583" t="str">
        <f>IF(S10=0,"",VLOOKUP(S10,'Tablas psiquica'!$D$7:$R$145,7,FALSE))</f>
        <v/>
      </c>
      <c r="W13" s="6584"/>
      <c r="X13" s="6584"/>
      <c r="Y13" s="6585"/>
      <c r="Z13" s="398"/>
      <c r="AA13" s="392"/>
      <c r="AB13" s="392"/>
      <c r="AC13" s="1082"/>
      <c r="AD13" s="1613">
        <v>40</v>
      </c>
      <c r="AE13" s="6582" t="s">
        <v>1724</v>
      </c>
      <c r="AF13" s="6503"/>
      <c r="AG13" s="6583" t="str">
        <f>IF(AD10=0,"",VLOOKUP(AD10,'Tablas psiquica'!$D$7:$R$145,7,FALSE))</f>
        <v/>
      </c>
      <c r="AH13" s="6584"/>
      <c r="AI13" s="6584"/>
      <c r="AJ13" s="6585"/>
      <c r="AK13" s="654"/>
      <c r="AL13" s="1613">
        <v>40</v>
      </c>
      <c r="AM13" s="6582" t="s">
        <v>1724</v>
      </c>
      <c r="AN13" s="6503"/>
      <c r="AO13" s="6583" t="str">
        <f>IF(AL10=0,"",VLOOKUP(AL10,'Tablas psiquica'!$D$7:$R$145,7,FALSE))</f>
        <v/>
      </c>
      <c r="AP13" s="6584"/>
      <c r="AQ13" s="6584"/>
      <c r="AR13" s="6585"/>
      <c r="AS13" s="1082"/>
      <c r="AT13" s="1613">
        <v>40</v>
      </c>
      <c r="AU13" s="6582" t="s">
        <v>1724</v>
      </c>
      <c r="AV13" s="6503"/>
      <c r="AW13" s="6583" t="str">
        <f>IF(AT10=0,"",VLOOKUP(AT10,'Tablas psiquica'!$D$7:$R$145,7,FALSE))</f>
        <v/>
      </c>
      <c r="AX13" s="6584"/>
      <c r="AY13" s="6584"/>
      <c r="AZ13" s="6585"/>
      <c r="BA13" s="398"/>
      <c r="BB13" s="392"/>
      <c r="BC13" s="392"/>
      <c r="BD13" s="1082"/>
      <c r="BE13" s="1613">
        <v>40</v>
      </c>
      <c r="BF13" s="6582" t="s">
        <v>1724</v>
      </c>
      <c r="BG13" s="6503"/>
      <c r="BH13" s="6583" t="str">
        <f>IF(BE10=0,"",VLOOKUP(BE10,'Tablas psiquica'!$D$7:$R$145,7,FALSE))</f>
        <v/>
      </c>
      <c r="BI13" s="6584"/>
      <c r="BJ13" s="6584"/>
      <c r="BK13" s="6585"/>
      <c r="BL13" s="654"/>
      <c r="BM13" s="1613">
        <v>40</v>
      </c>
      <c r="BN13" s="6582" t="s">
        <v>1724</v>
      </c>
      <c r="BO13" s="6503"/>
      <c r="BP13" s="6583" t="str">
        <f>IF(BM10=0,"",VLOOKUP(BM10,'Tablas psiquica'!$D$7:$R$145,7,FALSE))</f>
        <v/>
      </c>
      <c r="BQ13" s="6584"/>
      <c r="BR13" s="6584"/>
      <c r="BS13" s="6585"/>
      <c r="BT13" s="1082"/>
      <c r="BU13" s="1613">
        <v>40</v>
      </c>
      <c r="BV13" s="6582" t="s">
        <v>1724</v>
      </c>
      <c r="BW13" s="6503"/>
      <c r="BX13" s="6583" t="str">
        <f>IF(BU10=0,"",VLOOKUP(BU10,'Tablas psiquica'!$D$7:$R$145,7,FALSE))</f>
        <v/>
      </c>
      <c r="BY13" s="6584"/>
      <c r="BZ13" s="6584"/>
      <c r="CA13" s="6585"/>
      <c r="CB13" s="398"/>
      <c r="CC13" s="392"/>
      <c r="CD13" s="392"/>
      <c r="CE13" s="1082"/>
      <c r="CF13" s="1613">
        <v>40</v>
      </c>
      <c r="CG13" s="6582" t="s">
        <v>1724</v>
      </c>
      <c r="CH13" s="6503"/>
      <c r="CI13" s="6583" t="str">
        <f>IF(CF10=0,"",VLOOKUP(CF10,'Tablas psiquica'!$D$7:$R$145,7,FALSE))</f>
        <v/>
      </c>
      <c r="CJ13" s="6584"/>
      <c r="CK13" s="6584"/>
      <c r="CL13" s="6585"/>
      <c r="CM13" s="654"/>
      <c r="CN13" s="1613">
        <v>40</v>
      </c>
      <c r="CO13" s="6582" t="s">
        <v>1724</v>
      </c>
      <c r="CP13" s="6503"/>
      <c r="CQ13" s="6583" t="str">
        <f>IF(CN10=0,"",VLOOKUP(CN10,'Tablas psiquica'!$D$7:$R$145,7,FALSE))</f>
        <v/>
      </c>
      <c r="CR13" s="6584"/>
      <c r="CS13" s="6584"/>
      <c r="CT13" s="6585"/>
      <c r="CU13" s="1082"/>
      <c r="CV13" s="1613">
        <v>40</v>
      </c>
      <c r="CW13" s="6582" t="s">
        <v>1724</v>
      </c>
      <c r="CX13" s="6503"/>
      <c r="CY13" s="6583" t="str">
        <f>IF(CV10=0,"",VLOOKUP(CV10,'Tablas psiquica'!$D$7:$R$145,7,FALSE))</f>
        <v/>
      </c>
      <c r="CZ13" s="6584"/>
      <c r="DA13" s="6584"/>
      <c r="DB13" s="6585"/>
      <c r="DC13" s="398"/>
      <c r="DD13" s="392"/>
    </row>
    <row r="14" spans="1:108" ht="12" customHeight="1" x14ac:dyDescent="0.2">
      <c r="A14" s="392"/>
      <c r="B14" s="1082"/>
      <c r="C14" s="1614">
        <v>80</v>
      </c>
      <c r="D14" s="6586" t="s">
        <v>1727</v>
      </c>
      <c r="E14" s="6508"/>
      <c r="F14" s="6587" t="str">
        <f>IF(C10=0,"",VLOOKUP(C10,'Tablas psiquica'!$D$7:$R$145,8,FALSE))</f>
        <v/>
      </c>
      <c r="G14" s="6042"/>
      <c r="H14" s="6042"/>
      <c r="I14" s="6588"/>
      <c r="J14" s="654"/>
      <c r="K14" s="1614">
        <v>80</v>
      </c>
      <c r="L14" s="6586" t="s">
        <v>1727</v>
      </c>
      <c r="M14" s="6508"/>
      <c r="N14" s="6587" t="str">
        <f>IF(K10=0,"",VLOOKUP(K10,'Tablas psiquica'!$D$7:$R$145,8,FALSE))</f>
        <v/>
      </c>
      <c r="O14" s="6042"/>
      <c r="P14" s="6042"/>
      <c r="Q14" s="6588"/>
      <c r="R14" s="1082"/>
      <c r="S14" s="1614">
        <v>80</v>
      </c>
      <c r="T14" s="6586" t="s">
        <v>1727</v>
      </c>
      <c r="U14" s="6508"/>
      <c r="V14" s="6587" t="str">
        <f>IF(S10=0,"",VLOOKUP(S10,'Tablas psiquica'!$D$7:$R$145,8,FALSE))</f>
        <v/>
      </c>
      <c r="W14" s="6042"/>
      <c r="X14" s="6042"/>
      <c r="Y14" s="6588"/>
      <c r="Z14" s="398"/>
      <c r="AA14" s="392"/>
      <c r="AB14" s="392"/>
      <c r="AC14" s="1082"/>
      <c r="AD14" s="1614">
        <v>80</v>
      </c>
      <c r="AE14" s="6586" t="s">
        <v>1727</v>
      </c>
      <c r="AF14" s="6508"/>
      <c r="AG14" s="6587" t="str">
        <f>IF(AD10=0,"",VLOOKUP(AD10,'Tablas psiquica'!$D$7:$R$145,8,FALSE))</f>
        <v/>
      </c>
      <c r="AH14" s="6042"/>
      <c r="AI14" s="6042"/>
      <c r="AJ14" s="6588"/>
      <c r="AK14" s="654"/>
      <c r="AL14" s="1614">
        <v>80</v>
      </c>
      <c r="AM14" s="6586" t="s">
        <v>1727</v>
      </c>
      <c r="AN14" s="6508"/>
      <c r="AO14" s="6587" t="str">
        <f>IF(AL10=0,"",VLOOKUP(AL10,'Tablas psiquica'!$D$7:$R$145,8,FALSE))</f>
        <v/>
      </c>
      <c r="AP14" s="6042"/>
      <c r="AQ14" s="6042"/>
      <c r="AR14" s="6588"/>
      <c r="AS14" s="1082"/>
      <c r="AT14" s="1614">
        <v>80</v>
      </c>
      <c r="AU14" s="6586" t="s">
        <v>1727</v>
      </c>
      <c r="AV14" s="6508"/>
      <c r="AW14" s="6587" t="str">
        <f>IF(AT10=0,"",VLOOKUP(AT10,'Tablas psiquica'!$D$7:$R$145,8,FALSE))</f>
        <v/>
      </c>
      <c r="AX14" s="6042"/>
      <c r="AY14" s="6042"/>
      <c r="AZ14" s="6588"/>
      <c r="BA14" s="398"/>
      <c r="BB14" s="392"/>
      <c r="BC14" s="392"/>
      <c r="BD14" s="1082"/>
      <c r="BE14" s="1614">
        <v>80</v>
      </c>
      <c r="BF14" s="6586" t="s">
        <v>1727</v>
      </c>
      <c r="BG14" s="6508"/>
      <c r="BH14" s="6587" t="str">
        <f>IF(BE10=0,"",VLOOKUP(BE10,'Tablas psiquica'!$D$7:$R$145,8,FALSE))</f>
        <v/>
      </c>
      <c r="BI14" s="6042"/>
      <c r="BJ14" s="6042"/>
      <c r="BK14" s="6588"/>
      <c r="BL14" s="654"/>
      <c r="BM14" s="1614">
        <v>80</v>
      </c>
      <c r="BN14" s="6586" t="s">
        <v>1727</v>
      </c>
      <c r="BO14" s="6508"/>
      <c r="BP14" s="6587" t="str">
        <f>IF(BM10=0,"",VLOOKUP(BM10,'Tablas psiquica'!$D$7:$R$145,8,FALSE))</f>
        <v/>
      </c>
      <c r="BQ14" s="6042"/>
      <c r="BR14" s="6042"/>
      <c r="BS14" s="6588"/>
      <c r="BT14" s="1082"/>
      <c r="BU14" s="1614">
        <v>80</v>
      </c>
      <c r="BV14" s="6586" t="s">
        <v>1727</v>
      </c>
      <c r="BW14" s="6508"/>
      <c r="BX14" s="6587" t="str">
        <f>IF(BU10=0,"",VLOOKUP(BU10,'Tablas psiquica'!$D$7:$R$145,8,FALSE))</f>
        <v/>
      </c>
      <c r="BY14" s="6042"/>
      <c r="BZ14" s="6042"/>
      <c r="CA14" s="6588"/>
      <c r="CB14" s="398"/>
      <c r="CC14" s="392"/>
      <c r="CD14" s="392"/>
      <c r="CE14" s="1082"/>
      <c r="CF14" s="1614">
        <v>80</v>
      </c>
      <c r="CG14" s="6586" t="s">
        <v>1727</v>
      </c>
      <c r="CH14" s="6508"/>
      <c r="CI14" s="6587" t="str">
        <f>IF(CF10=0,"",VLOOKUP(CF10,'Tablas psiquica'!$D$7:$R$145,8,FALSE))</f>
        <v/>
      </c>
      <c r="CJ14" s="6042"/>
      <c r="CK14" s="6042"/>
      <c r="CL14" s="6588"/>
      <c r="CM14" s="654"/>
      <c r="CN14" s="1614">
        <v>80</v>
      </c>
      <c r="CO14" s="6586" t="s">
        <v>1727</v>
      </c>
      <c r="CP14" s="6508"/>
      <c r="CQ14" s="6587" t="str">
        <f>IF(CN10=0,"",VLOOKUP(CN10,'Tablas psiquica'!$D$7:$R$145,8,FALSE))</f>
        <v/>
      </c>
      <c r="CR14" s="6042"/>
      <c r="CS14" s="6042"/>
      <c r="CT14" s="6588"/>
      <c r="CU14" s="1082"/>
      <c r="CV14" s="1614">
        <v>80</v>
      </c>
      <c r="CW14" s="6586" t="s">
        <v>1727</v>
      </c>
      <c r="CX14" s="6508"/>
      <c r="CY14" s="6587" t="str">
        <f>IF(CV10=0,"",VLOOKUP(CV10,'Tablas psiquica'!$D$7:$R$145,8,FALSE))</f>
        <v/>
      </c>
      <c r="CZ14" s="6042"/>
      <c r="DA14" s="6042"/>
      <c r="DB14" s="6588"/>
      <c r="DC14" s="398"/>
      <c r="DD14" s="392"/>
    </row>
    <row r="15" spans="1:108" ht="12" customHeight="1" x14ac:dyDescent="0.2">
      <c r="A15" s="392"/>
      <c r="B15" s="1082"/>
      <c r="C15" s="1613">
        <v>120</v>
      </c>
      <c r="D15" s="6582" t="s">
        <v>1730</v>
      </c>
      <c r="E15" s="6503"/>
      <c r="F15" s="6583" t="str">
        <f>IF(C10=0,"",VLOOKUP(C10,'Tablas psiquica'!$D$7:$R$145,9,FALSE))</f>
        <v/>
      </c>
      <c r="G15" s="6584"/>
      <c r="H15" s="6584"/>
      <c r="I15" s="6585"/>
      <c r="J15" s="654"/>
      <c r="K15" s="1613">
        <v>120</v>
      </c>
      <c r="L15" s="6582" t="s">
        <v>1730</v>
      </c>
      <c r="M15" s="6503"/>
      <c r="N15" s="6583" t="str">
        <f>IF(K10=0,"",VLOOKUP(K10,'Tablas psiquica'!$D$7:$R$145,9,FALSE))</f>
        <v/>
      </c>
      <c r="O15" s="6584"/>
      <c r="P15" s="6584"/>
      <c r="Q15" s="6585"/>
      <c r="R15" s="1082"/>
      <c r="S15" s="1613">
        <v>120</v>
      </c>
      <c r="T15" s="6582" t="s">
        <v>1730</v>
      </c>
      <c r="U15" s="6503"/>
      <c r="V15" s="6583" t="str">
        <f>IF(S10=0,"",VLOOKUP(S10,'Tablas psiquica'!$D$7:$R$145,9,FALSE))</f>
        <v/>
      </c>
      <c r="W15" s="6584"/>
      <c r="X15" s="6584"/>
      <c r="Y15" s="6585"/>
      <c r="Z15" s="398"/>
      <c r="AA15" s="392"/>
      <c r="AB15" s="392"/>
      <c r="AC15" s="1082"/>
      <c r="AD15" s="1613">
        <v>120</v>
      </c>
      <c r="AE15" s="6582" t="s">
        <v>1730</v>
      </c>
      <c r="AF15" s="6503"/>
      <c r="AG15" s="6583" t="str">
        <f>IF(AD10=0,"",VLOOKUP(AD10,'Tablas psiquica'!$D$7:$R$145,9,FALSE))</f>
        <v/>
      </c>
      <c r="AH15" s="6584"/>
      <c r="AI15" s="6584"/>
      <c r="AJ15" s="6585"/>
      <c r="AK15" s="654"/>
      <c r="AL15" s="1613">
        <v>120</v>
      </c>
      <c r="AM15" s="6582" t="s">
        <v>1730</v>
      </c>
      <c r="AN15" s="6503"/>
      <c r="AO15" s="6583" t="str">
        <f>IF(AL10=0,"",VLOOKUP(AL10,'Tablas psiquica'!$D$7:$R$145,9,FALSE))</f>
        <v/>
      </c>
      <c r="AP15" s="6584"/>
      <c r="AQ15" s="6584"/>
      <c r="AR15" s="6585"/>
      <c r="AS15" s="1082"/>
      <c r="AT15" s="1613">
        <v>120</v>
      </c>
      <c r="AU15" s="6582" t="s">
        <v>1730</v>
      </c>
      <c r="AV15" s="6503"/>
      <c r="AW15" s="6583" t="str">
        <f>IF(AT10=0,"",VLOOKUP(AT10,'Tablas psiquica'!$D$7:$R$145,9,FALSE))</f>
        <v/>
      </c>
      <c r="AX15" s="6584"/>
      <c r="AY15" s="6584"/>
      <c r="AZ15" s="6585"/>
      <c r="BA15" s="398"/>
      <c r="BB15" s="392"/>
      <c r="BC15" s="392"/>
      <c r="BD15" s="1082"/>
      <c r="BE15" s="1613">
        <v>120</v>
      </c>
      <c r="BF15" s="6582" t="s">
        <v>1730</v>
      </c>
      <c r="BG15" s="6503"/>
      <c r="BH15" s="6583" t="str">
        <f>IF(BE10=0,"",VLOOKUP(BE10,'Tablas psiquica'!$D$7:$R$145,9,FALSE))</f>
        <v/>
      </c>
      <c r="BI15" s="6584"/>
      <c r="BJ15" s="6584"/>
      <c r="BK15" s="6585"/>
      <c r="BL15" s="654"/>
      <c r="BM15" s="1613">
        <v>120</v>
      </c>
      <c r="BN15" s="6582" t="s">
        <v>1730</v>
      </c>
      <c r="BO15" s="6503"/>
      <c r="BP15" s="6583" t="str">
        <f>IF(BM10=0,"",VLOOKUP(BM10,'Tablas psiquica'!$D$7:$R$145,9,FALSE))</f>
        <v/>
      </c>
      <c r="BQ15" s="6584"/>
      <c r="BR15" s="6584"/>
      <c r="BS15" s="6585"/>
      <c r="BT15" s="1082"/>
      <c r="BU15" s="1613">
        <v>120</v>
      </c>
      <c r="BV15" s="6582" t="s">
        <v>1730</v>
      </c>
      <c r="BW15" s="6503"/>
      <c r="BX15" s="6583" t="str">
        <f>IF(BU10=0,"",VLOOKUP(BU10,'Tablas psiquica'!$D$7:$R$145,9,FALSE))</f>
        <v/>
      </c>
      <c r="BY15" s="6584"/>
      <c r="BZ15" s="6584"/>
      <c r="CA15" s="6585"/>
      <c r="CB15" s="398"/>
      <c r="CC15" s="392"/>
      <c r="CD15" s="392"/>
      <c r="CE15" s="1082"/>
      <c r="CF15" s="1613">
        <v>120</v>
      </c>
      <c r="CG15" s="6582" t="s">
        <v>1730</v>
      </c>
      <c r="CH15" s="6503"/>
      <c r="CI15" s="6583" t="str">
        <f>IF(CF10=0,"",VLOOKUP(CF10,'Tablas psiquica'!$D$7:$R$145,9,FALSE))</f>
        <v/>
      </c>
      <c r="CJ15" s="6584"/>
      <c r="CK15" s="6584"/>
      <c r="CL15" s="6585"/>
      <c r="CM15" s="654"/>
      <c r="CN15" s="1613">
        <v>120</v>
      </c>
      <c r="CO15" s="6582" t="s">
        <v>1730</v>
      </c>
      <c r="CP15" s="6503"/>
      <c r="CQ15" s="6583" t="str">
        <f>IF(CN10=0,"",VLOOKUP(CN10,'Tablas psiquica'!$D$7:$R$145,9,FALSE))</f>
        <v/>
      </c>
      <c r="CR15" s="6584"/>
      <c r="CS15" s="6584"/>
      <c r="CT15" s="6585"/>
      <c r="CU15" s="1082"/>
      <c r="CV15" s="1613">
        <v>120</v>
      </c>
      <c r="CW15" s="6582" t="s">
        <v>1730</v>
      </c>
      <c r="CX15" s="6503"/>
      <c r="CY15" s="6583" t="str">
        <f>IF(CV10=0,"",VLOOKUP(CV10,'Tablas psiquica'!$D$7:$R$145,9,FALSE))</f>
        <v/>
      </c>
      <c r="CZ15" s="6584"/>
      <c r="DA15" s="6584"/>
      <c r="DB15" s="6585"/>
      <c r="DC15" s="398"/>
      <c r="DD15" s="392"/>
    </row>
    <row r="16" spans="1:108" ht="12" customHeight="1" x14ac:dyDescent="0.2">
      <c r="A16" s="392"/>
      <c r="B16" s="1082"/>
      <c r="C16" s="1614">
        <v>140</v>
      </c>
      <c r="D16" s="6586" t="s">
        <v>6237</v>
      </c>
      <c r="E16" s="6508"/>
      <c r="F16" s="6587" t="str">
        <f>IF(C10=0,"",VLOOKUP(C10,'Tablas psiquica'!$D$7:$R$145,10,FALSE))</f>
        <v/>
      </c>
      <c r="G16" s="6042"/>
      <c r="H16" s="6042"/>
      <c r="I16" s="6588"/>
      <c r="J16" s="654"/>
      <c r="K16" s="1614">
        <v>140</v>
      </c>
      <c r="L16" s="6586" t="s">
        <v>6237</v>
      </c>
      <c r="M16" s="6508"/>
      <c r="N16" s="6587" t="str">
        <f>IF(K10=0,"",VLOOKUP(K10,'Tablas psiquica'!$D$7:$R$145,10,FALSE))</f>
        <v/>
      </c>
      <c r="O16" s="6042"/>
      <c r="P16" s="6042"/>
      <c r="Q16" s="6588"/>
      <c r="R16" s="1082"/>
      <c r="S16" s="1614">
        <v>140</v>
      </c>
      <c r="T16" s="6586" t="s">
        <v>6237</v>
      </c>
      <c r="U16" s="6508"/>
      <c r="V16" s="6587" t="str">
        <f>IF(S10=0,"",VLOOKUP(S10,'Tablas psiquica'!$D$7:$R$145,10,FALSE))</f>
        <v/>
      </c>
      <c r="W16" s="6042"/>
      <c r="X16" s="6042"/>
      <c r="Y16" s="6588"/>
      <c r="Z16" s="398"/>
      <c r="AA16" s="392"/>
      <c r="AB16" s="392"/>
      <c r="AC16" s="1082"/>
      <c r="AD16" s="1614">
        <v>140</v>
      </c>
      <c r="AE16" s="6586" t="s">
        <v>6237</v>
      </c>
      <c r="AF16" s="6508"/>
      <c r="AG16" s="6587" t="str">
        <f>IF(AD10=0,"",VLOOKUP(AD10,'Tablas psiquica'!$D$7:$R$145,10,FALSE))</f>
        <v/>
      </c>
      <c r="AH16" s="6042"/>
      <c r="AI16" s="6042"/>
      <c r="AJ16" s="6588"/>
      <c r="AK16" s="654"/>
      <c r="AL16" s="1614">
        <v>140</v>
      </c>
      <c r="AM16" s="6586" t="s">
        <v>6237</v>
      </c>
      <c r="AN16" s="6508"/>
      <c r="AO16" s="6587" t="str">
        <f>IF(AL10=0,"",VLOOKUP(AL10,'Tablas psiquica'!$D$7:$R$145,10,FALSE))</f>
        <v/>
      </c>
      <c r="AP16" s="6042"/>
      <c r="AQ16" s="6042"/>
      <c r="AR16" s="6588"/>
      <c r="AS16" s="1082"/>
      <c r="AT16" s="1614">
        <v>140</v>
      </c>
      <c r="AU16" s="6586" t="s">
        <v>6237</v>
      </c>
      <c r="AV16" s="6508"/>
      <c r="AW16" s="6587" t="str">
        <f>IF(AT10=0,"",VLOOKUP(AT10,'Tablas psiquica'!$D$7:$R$145,10,FALSE))</f>
        <v/>
      </c>
      <c r="AX16" s="6042"/>
      <c r="AY16" s="6042"/>
      <c r="AZ16" s="6588"/>
      <c r="BA16" s="398"/>
      <c r="BB16" s="392"/>
      <c r="BC16" s="392"/>
      <c r="BD16" s="1082"/>
      <c r="BE16" s="1614">
        <v>140</v>
      </c>
      <c r="BF16" s="6586" t="s">
        <v>6237</v>
      </c>
      <c r="BG16" s="6508"/>
      <c r="BH16" s="6587" t="str">
        <f>IF(BE10=0,"",VLOOKUP(BE10,'Tablas psiquica'!$D$7:$R$145,10,FALSE))</f>
        <v/>
      </c>
      <c r="BI16" s="6042"/>
      <c r="BJ16" s="6042"/>
      <c r="BK16" s="6588"/>
      <c r="BL16" s="654"/>
      <c r="BM16" s="1614">
        <v>140</v>
      </c>
      <c r="BN16" s="6586" t="s">
        <v>6237</v>
      </c>
      <c r="BO16" s="6508"/>
      <c r="BP16" s="6587" t="str">
        <f>IF(BM10=0,"",VLOOKUP(BM10,'Tablas psiquica'!$D$7:$R$145,10,FALSE))</f>
        <v/>
      </c>
      <c r="BQ16" s="6042"/>
      <c r="BR16" s="6042"/>
      <c r="BS16" s="6588"/>
      <c r="BT16" s="1082"/>
      <c r="BU16" s="1614">
        <v>140</v>
      </c>
      <c r="BV16" s="6586" t="s">
        <v>6237</v>
      </c>
      <c r="BW16" s="6508"/>
      <c r="BX16" s="6587" t="str">
        <f>IF(BU10=0,"",VLOOKUP(BU10,'Tablas psiquica'!$D$7:$R$145,10,FALSE))</f>
        <v/>
      </c>
      <c r="BY16" s="6042"/>
      <c r="BZ16" s="6042"/>
      <c r="CA16" s="6588"/>
      <c r="CB16" s="398"/>
      <c r="CC16" s="392"/>
      <c r="CD16" s="392"/>
      <c r="CE16" s="1082"/>
      <c r="CF16" s="1614">
        <v>140</v>
      </c>
      <c r="CG16" s="6586" t="s">
        <v>6237</v>
      </c>
      <c r="CH16" s="6508"/>
      <c r="CI16" s="6587" t="str">
        <f>IF(CF10=0,"",VLOOKUP(CF10,'Tablas psiquica'!$D$7:$R$145,10,FALSE))</f>
        <v/>
      </c>
      <c r="CJ16" s="6042"/>
      <c r="CK16" s="6042"/>
      <c r="CL16" s="6588"/>
      <c r="CM16" s="654"/>
      <c r="CN16" s="1614">
        <v>140</v>
      </c>
      <c r="CO16" s="6586" t="s">
        <v>6237</v>
      </c>
      <c r="CP16" s="6508"/>
      <c r="CQ16" s="6587" t="str">
        <f>IF(CN10=0,"",VLOOKUP(CN10,'Tablas psiquica'!$D$7:$R$145,10,FALSE))</f>
        <v/>
      </c>
      <c r="CR16" s="6042"/>
      <c r="CS16" s="6042"/>
      <c r="CT16" s="6588"/>
      <c r="CU16" s="1082"/>
      <c r="CV16" s="1614">
        <v>140</v>
      </c>
      <c r="CW16" s="6586" t="s">
        <v>6237</v>
      </c>
      <c r="CX16" s="6508"/>
      <c r="CY16" s="6587" t="str">
        <f>IF(CV10=0,"",VLOOKUP(CV10,'Tablas psiquica'!$D$7:$R$145,10,FALSE))</f>
        <v/>
      </c>
      <c r="CZ16" s="6042"/>
      <c r="DA16" s="6042"/>
      <c r="DB16" s="6588"/>
      <c r="DC16" s="398"/>
      <c r="DD16" s="392"/>
    </row>
    <row r="17" spans="1:108" ht="12" customHeight="1" x14ac:dyDescent="0.2">
      <c r="A17" s="392"/>
      <c r="B17" s="1082"/>
      <c r="C17" s="1613">
        <v>180</v>
      </c>
      <c r="D17" s="6582" t="s">
        <v>1734</v>
      </c>
      <c r="E17" s="6503"/>
      <c r="F17" s="6583" t="str">
        <f>IF(C10=0,"",VLOOKUP(C10,'Tablas psiquica'!$D$7:$R$145,11,FALSE))</f>
        <v/>
      </c>
      <c r="G17" s="6584"/>
      <c r="H17" s="6584"/>
      <c r="I17" s="6585"/>
      <c r="J17" s="654"/>
      <c r="K17" s="1613">
        <v>180</v>
      </c>
      <c r="L17" s="6582" t="s">
        <v>1734</v>
      </c>
      <c r="M17" s="6503"/>
      <c r="N17" s="6583" t="str">
        <f>IF(K10=0,"",VLOOKUP(K10,'Tablas psiquica'!$D$7:$R$145,11,FALSE))</f>
        <v/>
      </c>
      <c r="O17" s="6584"/>
      <c r="P17" s="6584"/>
      <c r="Q17" s="6585"/>
      <c r="R17" s="1082"/>
      <c r="S17" s="1613">
        <v>180</v>
      </c>
      <c r="T17" s="6582" t="s">
        <v>1734</v>
      </c>
      <c r="U17" s="6503"/>
      <c r="V17" s="6583" t="str">
        <f>IF(S10=0,"",VLOOKUP(S10,'Tablas psiquica'!$D$7:$R$145,11,FALSE))</f>
        <v/>
      </c>
      <c r="W17" s="6584"/>
      <c r="X17" s="6584"/>
      <c r="Y17" s="6585"/>
      <c r="Z17" s="398"/>
      <c r="AA17" s="392"/>
      <c r="AB17" s="392"/>
      <c r="AC17" s="1082"/>
      <c r="AD17" s="1613">
        <v>180</v>
      </c>
      <c r="AE17" s="6582" t="s">
        <v>1734</v>
      </c>
      <c r="AF17" s="6503"/>
      <c r="AG17" s="6583" t="str">
        <f>IF(AD10=0,"",VLOOKUP(AD10,'Tablas psiquica'!$D$7:$R$145,11,FALSE))</f>
        <v/>
      </c>
      <c r="AH17" s="6584"/>
      <c r="AI17" s="6584"/>
      <c r="AJ17" s="6585"/>
      <c r="AK17" s="654"/>
      <c r="AL17" s="1613">
        <v>180</v>
      </c>
      <c r="AM17" s="6582" t="s">
        <v>1734</v>
      </c>
      <c r="AN17" s="6503"/>
      <c r="AO17" s="6583" t="str">
        <f>IF(AL10=0,"",VLOOKUP(AL10,'Tablas psiquica'!$D$7:$R$145,11,FALSE))</f>
        <v/>
      </c>
      <c r="AP17" s="6584"/>
      <c r="AQ17" s="6584"/>
      <c r="AR17" s="6585"/>
      <c r="AS17" s="1082"/>
      <c r="AT17" s="1613">
        <v>180</v>
      </c>
      <c r="AU17" s="6582" t="s">
        <v>1734</v>
      </c>
      <c r="AV17" s="6503"/>
      <c r="AW17" s="6583" t="str">
        <f>IF(AT10=0,"",VLOOKUP(AT10,'Tablas psiquica'!$D$7:$R$145,11,FALSE))</f>
        <v/>
      </c>
      <c r="AX17" s="6584"/>
      <c r="AY17" s="6584"/>
      <c r="AZ17" s="6585"/>
      <c r="BA17" s="398"/>
      <c r="BB17" s="392"/>
      <c r="BC17" s="392"/>
      <c r="BD17" s="1082"/>
      <c r="BE17" s="1613">
        <v>180</v>
      </c>
      <c r="BF17" s="6582" t="s">
        <v>1734</v>
      </c>
      <c r="BG17" s="6503"/>
      <c r="BH17" s="6583" t="str">
        <f>IF(BE10=0,"",VLOOKUP(BE10,'Tablas psiquica'!$D$7:$R$145,11,FALSE))</f>
        <v/>
      </c>
      <c r="BI17" s="6584"/>
      <c r="BJ17" s="6584"/>
      <c r="BK17" s="6585"/>
      <c r="BL17" s="654"/>
      <c r="BM17" s="1613">
        <v>180</v>
      </c>
      <c r="BN17" s="6582" t="s">
        <v>1734</v>
      </c>
      <c r="BO17" s="6503"/>
      <c r="BP17" s="6583" t="str">
        <f>IF(BM10=0,"",VLOOKUP(BM10,'Tablas psiquica'!$D$7:$R$145,11,FALSE))</f>
        <v/>
      </c>
      <c r="BQ17" s="6584"/>
      <c r="BR17" s="6584"/>
      <c r="BS17" s="6585"/>
      <c r="BT17" s="1082"/>
      <c r="BU17" s="1613">
        <v>180</v>
      </c>
      <c r="BV17" s="6582" t="s">
        <v>1734</v>
      </c>
      <c r="BW17" s="6503"/>
      <c r="BX17" s="6583" t="str">
        <f>IF(BU10=0,"",VLOOKUP(BU10,'Tablas psiquica'!$D$7:$R$145,11,FALSE))</f>
        <v/>
      </c>
      <c r="BY17" s="6584"/>
      <c r="BZ17" s="6584"/>
      <c r="CA17" s="6585"/>
      <c r="CB17" s="398"/>
      <c r="CC17" s="392"/>
      <c r="CD17" s="392"/>
      <c r="CE17" s="1082"/>
      <c r="CF17" s="1613">
        <v>180</v>
      </c>
      <c r="CG17" s="6582" t="s">
        <v>1734</v>
      </c>
      <c r="CH17" s="6503"/>
      <c r="CI17" s="6583" t="str">
        <f>IF(CF10=0,"",VLOOKUP(CF10,'Tablas psiquica'!$D$7:$R$145,11,FALSE))</f>
        <v/>
      </c>
      <c r="CJ17" s="6584"/>
      <c r="CK17" s="6584"/>
      <c r="CL17" s="6585"/>
      <c r="CM17" s="654"/>
      <c r="CN17" s="1613">
        <v>180</v>
      </c>
      <c r="CO17" s="6582" t="s">
        <v>1734</v>
      </c>
      <c r="CP17" s="6503"/>
      <c r="CQ17" s="6583" t="str">
        <f>IF(CN10=0,"",VLOOKUP(CN10,'Tablas psiquica'!$D$7:$R$145,11,FALSE))</f>
        <v/>
      </c>
      <c r="CR17" s="6584"/>
      <c r="CS17" s="6584"/>
      <c r="CT17" s="6585"/>
      <c r="CU17" s="1082"/>
      <c r="CV17" s="1613">
        <v>180</v>
      </c>
      <c r="CW17" s="6582" t="s">
        <v>1734</v>
      </c>
      <c r="CX17" s="6503"/>
      <c r="CY17" s="6583" t="str">
        <f>IF(CV10=0,"",VLOOKUP(CV10,'Tablas psiquica'!$D$7:$R$145,11,FALSE))</f>
        <v/>
      </c>
      <c r="CZ17" s="6584"/>
      <c r="DA17" s="6584"/>
      <c r="DB17" s="6585"/>
      <c r="DC17" s="398"/>
      <c r="DD17" s="392"/>
    </row>
    <row r="18" spans="1:108" ht="12" customHeight="1" x14ac:dyDescent="0.2">
      <c r="A18" s="392"/>
      <c r="B18" s="1082"/>
      <c r="C18" s="1614">
        <v>240</v>
      </c>
      <c r="D18" s="6586" t="s">
        <v>6238</v>
      </c>
      <c r="E18" s="6508"/>
      <c r="F18" s="6587" t="str">
        <f>IF(C10=0,"",VLOOKUP(C10,'Tablas psiquica'!$D$7:$R$145,12,FALSE))</f>
        <v/>
      </c>
      <c r="G18" s="6042"/>
      <c r="H18" s="6042"/>
      <c r="I18" s="6588"/>
      <c r="J18" s="654"/>
      <c r="K18" s="1614">
        <v>240</v>
      </c>
      <c r="L18" s="6586" t="s">
        <v>6238</v>
      </c>
      <c r="M18" s="6508"/>
      <c r="N18" s="6587" t="str">
        <f>IF(K10=0,"",VLOOKUP(K10,'Tablas psiquica'!$D$7:$R$145,12,FALSE))</f>
        <v/>
      </c>
      <c r="O18" s="6042"/>
      <c r="P18" s="6042"/>
      <c r="Q18" s="6588"/>
      <c r="R18" s="1082"/>
      <c r="S18" s="1614">
        <v>240</v>
      </c>
      <c r="T18" s="6586" t="s">
        <v>6238</v>
      </c>
      <c r="U18" s="6508"/>
      <c r="V18" s="6587" t="str">
        <f>IF(S10=0,"",VLOOKUP(S10,'Tablas psiquica'!$D$7:$R$145,12,FALSE))</f>
        <v/>
      </c>
      <c r="W18" s="6042"/>
      <c r="X18" s="6042"/>
      <c r="Y18" s="6588"/>
      <c r="Z18" s="398"/>
      <c r="AA18" s="392"/>
      <c r="AB18" s="392"/>
      <c r="AC18" s="1082"/>
      <c r="AD18" s="1614">
        <v>240</v>
      </c>
      <c r="AE18" s="6586" t="s">
        <v>6238</v>
      </c>
      <c r="AF18" s="6508"/>
      <c r="AG18" s="6587" t="str">
        <f>IF(AD10=0,"",VLOOKUP(AD10,'Tablas psiquica'!$D$7:$R$145,12,FALSE))</f>
        <v/>
      </c>
      <c r="AH18" s="6042"/>
      <c r="AI18" s="6042"/>
      <c r="AJ18" s="6588"/>
      <c r="AK18" s="654"/>
      <c r="AL18" s="1614">
        <v>240</v>
      </c>
      <c r="AM18" s="6586" t="s">
        <v>6238</v>
      </c>
      <c r="AN18" s="6508"/>
      <c r="AO18" s="6587" t="str">
        <f>IF(AL10=0,"",VLOOKUP(AL10,'Tablas psiquica'!$D$7:$R$145,12,FALSE))</f>
        <v/>
      </c>
      <c r="AP18" s="6042"/>
      <c r="AQ18" s="6042"/>
      <c r="AR18" s="6588"/>
      <c r="AS18" s="1082"/>
      <c r="AT18" s="1614">
        <v>240</v>
      </c>
      <c r="AU18" s="6586" t="s">
        <v>6238</v>
      </c>
      <c r="AV18" s="6508"/>
      <c r="AW18" s="6587" t="str">
        <f>IF(AT10=0,"",VLOOKUP(AT10,'Tablas psiquica'!$D$7:$R$145,12,FALSE))</f>
        <v/>
      </c>
      <c r="AX18" s="6042"/>
      <c r="AY18" s="6042"/>
      <c r="AZ18" s="6588"/>
      <c r="BA18" s="398"/>
      <c r="BB18" s="392"/>
      <c r="BC18" s="392"/>
      <c r="BD18" s="1082"/>
      <c r="BE18" s="1614">
        <v>240</v>
      </c>
      <c r="BF18" s="6586" t="s">
        <v>6238</v>
      </c>
      <c r="BG18" s="6508"/>
      <c r="BH18" s="6587" t="str">
        <f>IF(BE10=0,"",VLOOKUP(BE10,'Tablas psiquica'!$D$7:$R$145,12,FALSE))</f>
        <v/>
      </c>
      <c r="BI18" s="6042"/>
      <c r="BJ18" s="6042"/>
      <c r="BK18" s="6588"/>
      <c r="BL18" s="654"/>
      <c r="BM18" s="1614">
        <v>240</v>
      </c>
      <c r="BN18" s="6586" t="s">
        <v>6238</v>
      </c>
      <c r="BO18" s="6508"/>
      <c r="BP18" s="6587" t="str">
        <f>IF(BM10=0,"",VLOOKUP(BM10,'Tablas psiquica'!$D$7:$R$145,12,FALSE))</f>
        <v/>
      </c>
      <c r="BQ18" s="6042"/>
      <c r="BR18" s="6042"/>
      <c r="BS18" s="6588"/>
      <c r="BT18" s="1082"/>
      <c r="BU18" s="1614">
        <v>240</v>
      </c>
      <c r="BV18" s="6586" t="s">
        <v>6238</v>
      </c>
      <c r="BW18" s="6508"/>
      <c r="BX18" s="6587" t="str">
        <f>IF(BU10=0,"",VLOOKUP(BU10,'Tablas psiquica'!$D$7:$R$145,12,FALSE))</f>
        <v/>
      </c>
      <c r="BY18" s="6042"/>
      <c r="BZ18" s="6042"/>
      <c r="CA18" s="6588"/>
      <c r="CB18" s="398"/>
      <c r="CC18" s="392"/>
      <c r="CD18" s="392"/>
      <c r="CE18" s="1082"/>
      <c r="CF18" s="1614">
        <v>240</v>
      </c>
      <c r="CG18" s="6586" t="s">
        <v>6238</v>
      </c>
      <c r="CH18" s="6508"/>
      <c r="CI18" s="6587" t="str">
        <f>IF(CF10=0,"",VLOOKUP(CF10,'Tablas psiquica'!$D$7:$R$145,12,FALSE))</f>
        <v/>
      </c>
      <c r="CJ18" s="6042"/>
      <c r="CK18" s="6042"/>
      <c r="CL18" s="6588"/>
      <c r="CM18" s="654"/>
      <c r="CN18" s="1614">
        <v>240</v>
      </c>
      <c r="CO18" s="6586" t="s">
        <v>6238</v>
      </c>
      <c r="CP18" s="6508"/>
      <c r="CQ18" s="6587" t="str">
        <f>IF(CN10=0,"",VLOOKUP(CN10,'Tablas psiquica'!$D$7:$R$145,12,FALSE))</f>
        <v/>
      </c>
      <c r="CR18" s="6042"/>
      <c r="CS18" s="6042"/>
      <c r="CT18" s="6588"/>
      <c r="CU18" s="1082"/>
      <c r="CV18" s="1614">
        <v>240</v>
      </c>
      <c r="CW18" s="6586" t="s">
        <v>6238</v>
      </c>
      <c r="CX18" s="6508"/>
      <c r="CY18" s="6587" t="str">
        <f>IF(CV10=0,"",VLOOKUP(CV10,'Tablas psiquica'!$D$7:$R$145,12,FALSE))</f>
        <v/>
      </c>
      <c r="CZ18" s="6042"/>
      <c r="DA18" s="6042"/>
      <c r="DB18" s="6588"/>
      <c r="DC18" s="398"/>
      <c r="DD18" s="392"/>
    </row>
    <row r="19" spans="1:108" ht="12" customHeight="1" x14ac:dyDescent="0.2">
      <c r="A19" s="392"/>
      <c r="B19" s="1082"/>
      <c r="C19" s="1613">
        <v>280</v>
      </c>
      <c r="D19" s="6582" t="s">
        <v>1737</v>
      </c>
      <c r="E19" s="6503"/>
      <c r="F19" s="6583" t="str">
        <f>IF(C10=0,"",VLOOKUP(C10,'Tablas psiquica'!$D$7:$R$145,13,FALSE))</f>
        <v/>
      </c>
      <c r="G19" s="6584"/>
      <c r="H19" s="6584"/>
      <c r="I19" s="6585"/>
      <c r="J19" s="654"/>
      <c r="K19" s="1613">
        <v>280</v>
      </c>
      <c r="L19" s="6582" t="s">
        <v>1737</v>
      </c>
      <c r="M19" s="6503"/>
      <c r="N19" s="6583" t="str">
        <f>IF(K10=0,"",VLOOKUP(K10,'Tablas psiquica'!$D$7:$R$145,13,FALSE))</f>
        <v/>
      </c>
      <c r="O19" s="6584"/>
      <c r="P19" s="6584"/>
      <c r="Q19" s="6585"/>
      <c r="R19" s="1082"/>
      <c r="S19" s="1613">
        <v>280</v>
      </c>
      <c r="T19" s="6582" t="s">
        <v>1737</v>
      </c>
      <c r="U19" s="6503"/>
      <c r="V19" s="6583" t="str">
        <f>IF(S10=0,"",VLOOKUP(S10,'Tablas psiquica'!$D$7:$R$145,13,FALSE))</f>
        <v/>
      </c>
      <c r="W19" s="6584"/>
      <c r="X19" s="6584"/>
      <c r="Y19" s="6585"/>
      <c r="Z19" s="398"/>
      <c r="AA19" s="392"/>
      <c r="AB19" s="392"/>
      <c r="AC19" s="1082"/>
      <c r="AD19" s="1613">
        <v>280</v>
      </c>
      <c r="AE19" s="6582" t="s">
        <v>1737</v>
      </c>
      <c r="AF19" s="6503"/>
      <c r="AG19" s="6583" t="str">
        <f>IF(AD10=0,"",VLOOKUP(AD10,'Tablas psiquica'!$D$7:$R$145,13,FALSE))</f>
        <v/>
      </c>
      <c r="AH19" s="6584"/>
      <c r="AI19" s="6584"/>
      <c r="AJ19" s="6585"/>
      <c r="AK19" s="654"/>
      <c r="AL19" s="1613">
        <v>280</v>
      </c>
      <c r="AM19" s="6582" t="s">
        <v>1737</v>
      </c>
      <c r="AN19" s="6503"/>
      <c r="AO19" s="6583" t="str">
        <f>IF(AL10=0,"",VLOOKUP(AL10,'Tablas psiquica'!$D$7:$R$145,13,FALSE))</f>
        <v/>
      </c>
      <c r="AP19" s="6584"/>
      <c r="AQ19" s="6584"/>
      <c r="AR19" s="6585"/>
      <c r="AS19" s="1082"/>
      <c r="AT19" s="1613">
        <v>280</v>
      </c>
      <c r="AU19" s="6582" t="s">
        <v>1737</v>
      </c>
      <c r="AV19" s="6503"/>
      <c r="AW19" s="6583" t="str">
        <f>IF(AT10=0,"",VLOOKUP(AT10,'Tablas psiquica'!$D$7:$R$145,13,FALSE))</f>
        <v/>
      </c>
      <c r="AX19" s="6584"/>
      <c r="AY19" s="6584"/>
      <c r="AZ19" s="6585"/>
      <c r="BA19" s="398"/>
      <c r="BB19" s="392"/>
      <c r="BC19" s="392"/>
      <c r="BD19" s="1082"/>
      <c r="BE19" s="1613">
        <v>280</v>
      </c>
      <c r="BF19" s="6582" t="s">
        <v>1737</v>
      </c>
      <c r="BG19" s="6503"/>
      <c r="BH19" s="6583" t="str">
        <f>IF(BE10=0,"",VLOOKUP(BE10,'Tablas psiquica'!$D$7:$R$145,13,FALSE))</f>
        <v/>
      </c>
      <c r="BI19" s="6584"/>
      <c r="BJ19" s="6584"/>
      <c r="BK19" s="6585"/>
      <c r="BL19" s="654"/>
      <c r="BM19" s="1613">
        <v>280</v>
      </c>
      <c r="BN19" s="6582" t="s">
        <v>1737</v>
      </c>
      <c r="BO19" s="6503"/>
      <c r="BP19" s="6583" t="str">
        <f>IF(BM10=0,"",VLOOKUP(BM10,'Tablas psiquica'!$D$7:$R$145,13,FALSE))</f>
        <v/>
      </c>
      <c r="BQ19" s="6584"/>
      <c r="BR19" s="6584"/>
      <c r="BS19" s="6585"/>
      <c r="BT19" s="1082"/>
      <c r="BU19" s="1613">
        <v>280</v>
      </c>
      <c r="BV19" s="6582" t="s">
        <v>1737</v>
      </c>
      <c r="BW19" s="6503"/>
      <c r="BX19" s="6583" t="str">
        <f>IF(BU10=0,"",VLOOKUP(BU10,'Tablas psiquica'!$D$7:$R$145,13,FALSE))</f>
        <v/>
      </c>
      <c r="BY19" s="6584"/>
      <c r="BZ19" s="6584"/>
      <c r="CA19" s="6585"/>
      <c r="CB19" s="398"/>
      <c r="CC19" s="392"/>
      <c r="CD19" s="392"/>
      <c r="CE19" s="1082"/>
      <c r="CF19" s="1613">
        <v>280</v>
      </c>
      <c r="CG19" s="6582" t="s">
        <v>1737</v>
      </c>
      <c r="CH19" s="6503"/>
      <c r="CI19" s="6583" t="str">
        <f>IF(CF10=0,"",VLOOKUP(CF10,'Tablas psiquica'!$D$7:$R$145,13,FALSE))</f>
        <v/>
      </c>
      <c r="CJ19" s="6584"/>
      <c r="CK19" s="6584"/>
      <c r="CL19" s="6585"/>
      <c r="CM19" s="654"/>
      <c r="CN19" s="1613">
        <v>280</v>
      </c>
      <c r="CO19" s="6582" t="s">
        <v>1737</v>
      </c>
      <c r="CP19" s="6503"/>
      <c r="CQ19" s="6583" t="str">
        <f>IF(CN10=0,"",VLOOKUP(CN10,'Tablas psiquica'!$D$7:$R$145,13,FALSE))</f>
        <v/>
      </c>
      <c r="CR19" s="6584"/>
      <c r="CS19" s="6584"/>
      <c r="CT19" s="6585"/>
      <c r="CU19" s="1082"/>
      <c r="CV19" s="1613">
        <v>280</v>
      </c>
      <c r="CW19" s="6582" t="s">
        <v>1737</v>
      </c>
      <c r="CX19" s="6503"/>
      <c r="CY19" s="6583" t="str">
        <f>IF(CV10=0,"",VLOOKUP(CV10,'Tablas psiquica'!$D$7:$R$145,13,FALSE))</f>
        <v/>
      </c>
      <c r="CZ19" s="6584"/>
      <c r="DA19" s="6584"/>
      <c r="DB19" s="6585"/>
      <c r="DC19" s="398"/>
      <c r="DD19" s="392"/>
    </row>
    <row r="20" spans="1:108" ht="12" customHeight="1" x14ac:dyDescent="0.2">
      <c r="A20" s="392"/>
      <c r="B20" s="1082"/>
      <c r="C20" s="1614">
        <v>320</v>
      </c>
      <c r="D20" s="6586" t="s">
        <v>1739</v>
      </c>
      <c r="E20" s="6508"/>
      <c r="F20" s="6587" t="str">
        <f>IF(C10=0,"",VLOOKUP(C10,'Tablas psiquica'!$D$7:$R$145,14,FALSE))</f>
        <v/>
      </c>
      <c r="G20" s="6042"/>
      <c r="H20" s="6042"/>
      <c r="I20" s="6588"/>
      <c r="J20" s="654"/>
      <c r="K20" s="1614">
        <v>320</v>
      </c>
      <c r="L20" s="6586" t="s">
        <v>1739</v>
      </c>
      <c r="M20" s="6508"/>
      <c r="N20" s="6587" t="str">
        <f>IF(K10=0,"",VLOOKUP(K10,'Tablas psiquica'!$D$7:$R$145,14,FALSE))</f>
        <v/>
      </c>
      <c r="O20" s="6042"/>
      <c r="P20" s="6042"/>
      <c r="Q20" s="6588"/>
      <c r="R20" s="1082"/>
      <c r="S20" s="1614">
        <v>320</v>
      </c>
      <c r="T20" s="6586" t="s">
        <v>1739</v>
      </c>
      <c r="U20" s="6508"/>
      <c r="V20" s="6587" t="str">
        <f>IF(S10=0,"",VLOOKUP(S10,'Tablas psiquica'!$D$7:$R$145,14,FALSE))</f>
        <v/>
      </c>
      <c r="W20" s="6042"/>
      <c r="X20" s="6042"/>
      <c r="Y20" s="6588"/>
      <c r="Z20" s="398"/>
      <c r="AA20" s="392"/>
      <c r="AB20" s="392"/>
      <c r="AC20" s="1082"/>
      <c r="AD20" s="1614">
        <v>320</v>
      </c>
      <c r="AE20" s="6586" t="s">
        <v>1739</v>
      </c>
      <c r="AF20" s="6508"/>
      <c r="AG20" s="6587" t="str">
        <f>IF(AD10=0,"",VLOOKUP(AD10,'Tablas psiquica'!$D$7:$R$145,14,FALSE))</f>
        <v/>
      </c>
      <c r="AH20" s="6042"/>
      <c r="AI20" s="6042"/>
      <c r="AJ20" s="6588"/>
      <c r="AK20" s="654"/>
      <c r="AL20" s="1614">
        <v>320</v>
      </c>
      <c r="AM20" s="6586" t="s">
        <v>1739</v>
      </c>
      <c r="AN20" s="6508"/>
      <c r="AO20" s="6587" t="str">
        <f>IF(AL10=0,"",VLOOKUP(AL10,'Tablas psiquica'!$D$7:$R$145,14,FALSE))</f>
        <v/>
      </c>
      <c r="AP20" s="6042"/>
      <c r="AQ20" s="6042"/>
      <c r="AR20" s="6588"/>
      <c r="AS20" s="1082"/>
      <c r="AT20" s="1614">
        <v>320</v>
      </c>
      <c r="AU20" s="6586" t="s">
        <v>1739</v>
      </c>
      <c r="AV20" s="6508"/>
      <c r="AW20" s="6587" t="str">
        <f>IF(AT10=0,"",VLOOKUP(AT10,'Tablas psiquica'!$D$7:$R$145,14,FALSE))</f>
        <v/>
      </c>
      <c r="AX20" s="6042"/>
      <c r="AY20" s="6042"/>
      <c r="AZ20" s="6588"/>
      <c r="BA20" s="398"/>
      <c r="BB20" s="392"/>
      <c r="BC20" s="392"/>
      <c r="BD20" s="1082"/>
      <c r="BE20" s="1614">
        <v>320</v>
      </c>
      <c r="BF20" s="6586" t="s">
        <v>1739</v>
      </c>
      <c r="BG20" s="6508"/>
      <c r="BH20" s="6587" t="str">
        <f>IF(BE10=0,"",VLOOKUP(BE10,'Tablas psiquica'!$D$7:$R$145,14,FALSE))</f>
        <v/>
      </c>
      <c r="BI20" s="6042"/>
      <c r="BJ20" s="6042"/>
      <c r="BK20" s="6588"/>
      <c r="BL20" s="654"/>
      <c r="BM20" s="1614">
        <v>320</v>
      </c>
      <c r="BN20" s="6586" t="s">
        <v>1739</v>
      </c>
      <c r="BO20" s="6508"/>
      <c r="BP20" s="6587" t="str">
        <f>IF(BM10=0,"",VLOOKUP(BM10,'Tablas psiquica'!$D$7:$R$145,14,FALSE))</f>
        <v/>
      </c>
      <c r="BQ20" s="6042"/>
      <c r="BR20" s="6042"/>
      <c r="BS20" s="6588"/>
      <c r="BT20" s="1082"/>
      <c r="BU20" s="1614">
        <v>320</v>
      </c>
      <c r="BV20" s="6586" t="s">
        <v>1739</v>
      </c>
      <c r="BW20" s="6508"/>
      <c r="BX20" s="6587" t="str">
        <f>IF(BU10=0,"",VLOOKUP(BU10,'Tablas psiquica'!$D$7:$R$145,14,FALSE))</f>
        <v/>
      </c>
      <c r="BY20" s="6042"/>
      <c r="BZ20" s="6042"/>
      <c r="CA20" s="6588"/>
      <c r="CB20" s="398"/>
      <c r="CC20" s="392"/>
      <c r="CD20" s="392"/>
      <c r="CE20" s="1082"/>
      <c r="CF20" s="1614">
        <v>320</v>
      </c>
      <c r="CG20" s="6586" t="s">
        <v>1739</v>
      </c>
      <c r="CH20" s="6508"/>
      <c r="CI20" s="6587" t="str">
        <f>IF(CF10=0,"",VLOOKUP(CF10,'Tablas psiquica'!$D$7:$R$145,14,FALSE))</f>
        <v/>
      </c>
      <c r="CJ20" s="6042"/>
      <c r="CK20" s="6042"/>
      <c r="CL20" s="6588"/>
      <c r="CM20" s="654"/>
      <c r="CN20" s="1614">
        <v>320</v>
      </c>
      <c r="CO20" s="6586" t="s">
        <v>1739</v>
      </c>
      <c r="CP20" s="6508"/>
      <c r="CQ20" s="6587" t="str">
        <f>IF(CN10=0,"",VLOOKUP(CN10,'Tablas psiquica'!$D$7:$R$145,14,FALSE))</f>
        <v/>
      </c>
      <c r="CR20" s="6042"/>
      <c r="CS20" s="6042"/>
      <c r="CT20" s="6588"/>
      <c r="CU20" s="1082"/>
      <c r="CV20" s="1614">
        <v>320</v>
      </c>
      <c r="CW20" s="6586" t="s">
        <v>1739</v>
      </c>
      <c r="CX20" s="6508"/>
      <c r="CY20" s="6587" t="str">
        <f>IF(CV10=0,"",VLOOKUP(CV10,'Tablas psiquica'!$D$7:$R$145,14,FALSE))</f>
        <v/>
      </c>
      <c r="CZ20" s="6042"/>
      <c r="DA20" s="6042"/>
      <c r="DB20" s="6588"/>
      <c r="DC20" s="398"/>
      <c r="DD20" s="392"/>
    </row>
    <row r="21" spans="1:108" ht="12" customHeight="1" x14ac:dyDescent="0.2">
      <c r="A21" s="392"/>
      <c r="B21" s="1082"/>
      <c r="C21" s="424">
        <v>440</v>
      </c>
      <c r="D21" s="6589" t="s">
        <v>1682</v>
      </c>
      <c r="E21" s="6590"/>
      <c r="F21" s="6591" t="str">
        <f>IF(C10=0,"",VLOOKUP(C10,'Tablas psiquica'!$D$7:$R$145,15,FALSE))</f>
        <v/>
      </c>
      <c r="G21" s="6592"/>
      <c r="H21" s="6592"/>
      <c r="I21" s="6593"/>
      <c r="J21" s="654"/>
      <c r="K21" s="424">
        <v>440</v>
      </c>
      <c r="L21" s="6589" t="s">
        <v>1682</v>
      </c>
      <c r="M21" s="6590"/>
      <c r="N21" s="6591" t="str">
        <f>IF(K10=0,"",VLOOKUP(K10,'Tablas psiquica'!$D$7:$R$145,15,FALSE))</f>
        <v/>
      </c>
      <c r="O21" s="6592"/>
      <c r="P21" s="6592"/>
      <c r="Q21" s="6593"/>
      <c r="R21" s="1082"/>
      <c r="S21" s="424">
        <v>440</v>
      </c>
      <c r="T21" s="6589" t="s">
        <v>1682</v>
      </c>
      <c r="U21" s="6590"/>
      <c r="V21" s="6591" t="str">
        <f>IF(S10=0,"",VLOOKUP(S10,'Tablas psiquica'!$D$7:$R$145,15,FALSE))</f>
        <v/>
      </c>
      <c r="W21" s="6592"/>
      <c r="X21" s="6592"/>
      <c r="Y21" s="6593"/>
      <c r="Z21" s="398"/>
      <c r="AA21" s="392"/>
      <c r="AB21" s="392"/>
      <c r="AC21" s="1082"/>
      <c r="AD21" s="424">
        <v>440</v>
      </c>
      <c r="AE21" s="6589" t="s">
        <v>1682</v>
      </c>
      <c r="AF21" s="6590"/>
      <c r="AG21" s="6591" t="str">
        <f>IF(AD10=0,"",VLOOKUP(AD10,'Tablas psiquica'!$D$7:$R$145,15,FALSE))</f>
        <v/>
      </c>
      <c r="AH21" s="6592"/>
      <c r="AI21" s="6592"/>
      <c r="AJ21" s="6593"/>
      <c r="AK21" s="654"/>
      <c r="AL21" s="424">
        <v>440</v>
      </c>
      <c r="AM21" s="6589" t="s">
        <v>1682</v>
      </c>
      <c r="AN21" s="6590"/>
      <c r="AO21" s="6591" t="str">
        <f>IF(AL10=0,"",VLOOKUP(AL10,'Tablas psiquica'!$D$7:$R$145,15,FALSE))</f>
        <v/>
      </c>
      <c r="AP21" s="6592"/>
      <c r="AQ21" s="6592"/>
      <c r="AR21" s="6593"/>
      <c r="AS21" s="1082"/>
      <c r="AT21" s="424">
        <v>440</v>
      </c>
      <c r="AU21" s="6589" t="s">
        <v>1682</v>
      </c>
      <c r="AV21" s="6590"/>
      <c r="AW21" s="6591" t="str">
        <f>IF(AT10=0,"",VLOOKUP(AT10,'Tablas psiquica'!$D$7:$R$145,15,FALSE))</f>
        <v/>
      </c>
      <c r="AX21" s="6592"/>
      <c r="AY21" s="6592"/>
      <c r="AZ21" s="6593"/>
      <c r="BA21" s="398"/>
      <c r="BB21" s="392"/>
      <c r="BC21" s="392"/>
      <c r="BD21" s="1082"/>
      <c r="BE21" s="424">
        <v>440</v>
      </c>
      <c r="BF21" s="6589" t="s">
        <v>1682</v>
      </c>
      <c r="BG21" s="6590"/>
      <c r="BH21" s="6591" t="str">
        <f>IF(BE10=0,"",VLOOKUP(BE10,'Tablas psiquica'!$D$7:$R$145,15,FALSE))</f>
        <v/>
      </c>
      <c r="BI21" s="6592"/>
      <c r="BJ21" s="6592"/>
      <c r="BK21" s="6593"/>
      <c r="BL21" s="654"/>
      <c r="BM21" s="424">
        <v>440</v>
      </c>
      <c r="BN21" s="6589" t="s">
        <v>1682</v>
      </c>
      <c r="BO21" s="6590"/>
      <c r="BP21" s="6591" t="str">
        <f>IF(BM10=0,"",VLOOKUP(BM10,'Tablas psiquica'!$D$7:$R$145,15,FALSE))</f>
        <v/>
      </c>
      <c r="BQ21" s="6592"/>
      <c r="BR21" s="6592"/>
      <c r="BS21" s="6593"/>
      <c r="BT21" s="1082"/>
      <c r="BU21" s="424">
        <v>440</v>
      </c>
      <c r="BV21" s="6589" t="s">
        <v>1682</v>
      </c>
      <c r="BW21" s="6590"/>
      <c r="BX21" s="6591" t="str">
        <f>IF(BU10=0,"",VLOOKUP(BU10,'Tablas psiquica'!$D$7:$R$145,15,FALSE))</f>
        <v/>
      </c>
      <c r="BY21" s="6592"/>
      <c r="BZ21" s="6592"/>
      <c r="CA21" s="6593"/>
      <c r="CB21" s="398"/>
      <c r="CC21" s="392"/>
      <c r="CD21" s="392"/>
      <c r="CE21" s="1082"/>
      <c r="CF21" s="424">
        <v>440</v>
      </c>
      <c r="CG21" s="6589" t="s">
        <v>1682</v>
      </c>
      <c r="CH21" s="6590"/>
      <c r="CI21" s="6591" t="str">
        <f>IF(CF10=0,"",VLOOKUP(CF10,'Tablas psiquica'!$D$7:$R$145,15,FALSE))</f>
        <v/>
      </c>
      <c r="CJ21" s="6592"/>
      <c r="CK21" s="6592"/>
      <c r="CL21" s="6593"/>
      <c r="CM21" s="654"/>
      <c r="CN21" s="424">
        <v>440</v>
      </c>
      <c r="CO21" s="6589" t="s">
        <v>1682</v>
      </c>
      <c r="CP21" s="6590"/>
      <c r="CQ21" s="6591" t="str">
        <f>IF(CN10=0,"",VLOOKUP(CN10,'Tablas psiquica'!$D$7:$R$145,15,FALSE))</f>
        <v/>
      </c>
      <c r="CR21" s="6592"/>
      <c r="CS21" s="6592"/>
      <c r="CT21" s="6593"/>
      <c r="CU21" s="1082"/>
      <c r="CV21" s="424">
        <v>440</v>
      </c>
      <c r="CW21" s="6589" t="s">
        <v>1682</v>
      </c>
      <c r="CX21" s="6590"/>
      <c r="CY21" s="6591" t="str">
        <f>IF(CV10=0,"",VLOOKUP(CV10,'Tablas psiquica'!$D$7:$R$145,15,FALSE))</f>
        <v/>
      </c>
      <c r="CZ21" s="6592"/>
      <c r="DA21" s="6592"/>
      <c r="DB21" s="6593"/>
      <c r="DC21" s="398"/>
      <c r="DD21" s="392"/>
    </row>
    <row r="22" spans="1:108" ht="12" customHeight="1" thickBot="1" x14ac:dyDescent="0.25">
      <c r="A22" s="392"/>
      <c r="B22" s="1082"/>
      <c r="C22" s="6594" t="s">
        <v>6239</v>
      </c>
      <c r="D22" s="6595"/>
      <c r="E22" s="425" t="str">
        <f>IF(C10=0,"",VLOOKUP(C10,'Tablas psiquica'!$D$7:$R$145,4,FALSE))</f>
        <v/>
      </c>
      <c r="F22" s="6596" t="s">
        <v>6234</v>
      </c>
      <c r="G22" s="6596"/>
      <c r="H22" s="6597" t="str">
        <f>IF(C10=0,"",VLOOKUP(C10,'Tablas psiquica'!$D$7:$R$145,5,FALSE))</f>
        <v/>
      </c>
      <c r="I22" s="6598"/>
      <c r="J22" s="654"/>
      <c r="K22" s="6594" t="s">
        <v>6239</v>
      </c>
      <c r="L22" s="6595"/>
      <c r="M22" s="425" t="str">
        <f>IF(K10=0,"",VLOOKUP(K10,'Tablas psiquica'!$D$7:$R$145,4,FALSE))</f>
        <v/>
      </c>
      <c r="N22" s="6596" t="s">
        <v>6234</v>
      </c>
      <c r="O22" s="6596"/>
      <c r="P22" s="6597" t="str">
        <f>IF(K10=0,"",VLOOKUP(K10,'Tablas psiquica'!$D$7:$R$145,5,FALSE))</f>
        <v/>
      </c>
      <c r="Q22" s="6598"/>
      <c r="R22" s="1082"/>
      <c r="S22" s="6594" t="s">
        <v>6239</v>
      </c>
      <c r="T22" s="6595"/>
      <c r="U22" s="425" t="str">
        <f>IF(S10=0,"",VLOOKUP(S10,'Tablas psiquica'!$D$7:$R$145,4,FALSE))</f>
        <v/>
      </c>
      <c r="V22" s="6596" t="s">
        <v>6234</v>
      </c>
      <c r="W22" s="6596"/>
      <c r="X22" s="6597" t="str">
        <f>IF(S10=0,"",VLOOKUP(S10,'Tablas psiquica'!$D$7:$R$145,5,FALSE))</f>
        <v/>
      </c>
      <c r="Y22" s="6598"/>
      <c r="Z22" s="398"/>
      <c r="AA22" s="392"/>
      <c r="AB22" s="392"/>
      <c r="AC22" s="1082"/>
      <c r="AD22" s="6594" t="s">
        <v>6239</v>
      </c>
      <c r="AE22" s="6595"/>
      <c r="AF22" s="425" t="str">
        <f>IF(AD10=0,"",VLOOKUP(AD10,'Tablas psiquica'!$D$7:$R$145,4,FALSE))</f>
        <v/>
      </c>
      <c r="AG22" s="6596" t="s">
        <v>6234</v>
      </c>
      <c r="AH22" s="6596"/>
      <c r="AI22" s="6597" t="str">
        <f>IF(AD10=0,"",VLOOKUP(AD10,'Tablas psiquica'!$D$7:$R$145,5,FALSE))</f>
        <v/>
      </c>
      <c r="AJ22" s="6598"/>
      <c r="AK22" s="654"/>
      <c r="AL22" s="6594" t="s">
        <v>6239</v>
      </c>
      <c r="AM22" s="6595"/>
      <c r="AN22" s="425" t="str">
        <f>IF(AL10=0,"",VLOOKUP(AL10,'Tablas psiquica'!$D$7:$R$145,4,FALSE))</f>
        <v/>
      </c>
      <c r="AO22" s="6596" t="s">
        <v>6234</v>
      </c>
      <c r="AP22" s="6596"/>
      <c r="AQ22" s="6597" t="str">
        <f>IF(AL10=0,"",VLOOKUP(AL10,'Tablas psiquica'!$D$7:$R$145,5,FALSE))</f>
        <v/>
      </c>
      <c r="AR22" s="6598"/>
      <c r="AS22" s="1082"/>
      <c r="AT22" s="6594" t="s">
        <v>6239</v>
      </c>
      <c r="AU22" s="6595"/>
      <c r="AV22" s="425" t="str">
        <f>IF(AT10=0,"",VLOOKUP(AT10,'Tablas psiquica'!$D$7:$R$145,4,FALSE))</f>
        <v/>
      </c>
      <c r="AW22" s="6596" t="s">
        <v>6234</v>
      </c>
      <c r="AX22" s="6596"/>
      <c r="AY22" s="6597" t="str">
        <f>IF(AT10=0,"",VLOOKUP(AT10,'Tablas psiquica'!$D$7:$R$145,5,FALSE))</f>
        <v/>
      </c>
      <c r="AZ22" s="6598"/>
      <c r="BA22" s="398"/>
      <c r="BB22" s="392"/>
      <c r="BC22" s="392"/>
      <c r="BD22" s="1082"/>
      <c r="BE22" s="6594" t="s">
        <v>6239</v>
      </c>
      <c r="BF22" s="6595"/>
      <c r="BG22" s="425" t="str">
        <f>IF(BE10=0,"",VLOOKUP(BE10,'Tablas psiquica'!$D$7:$R$145,4,FALSE))</f>
        <v/>
      </c>
      <c r="BH22" s="6596" t="s">
        <v>6234</v>
      </c>
      <c r="BI22" s="6596"/>
      <c r="BJ22" s="6597" t="str">
        <f>IF(BE10=0,"",VLOOKUP(BE10,'Tablas psiquica'!$D$7:$R$145,5,FALSE))</f>
        <v/>
      </c>
      <c r="BK22" s="6598"/>
      <c r="BL22" s="654"/>
      <c r="BM22" s="6594" t="s">
        <v>6239</v>
      </c>
      <c r="BN22" s="6595"/>
      <c r="BO22" s="425" t="str">
        <f>IF(BM10=0,"",VLOOKUP(BM10,'Tablas psiquica'!$D$7:$R$145,4,FALSE))</f>
        <v/>
      </c>
      <c r="BP22" s="6596" t="s">
        <v>6234</v>
      </c>
      <c r="BQ22" s="6596"/>
      <c r="BR22" s="6597" t="str">
        <f>IF(BM10=0,"",VLOOKUP(BM10,'Tablas psiquica'!$D$7:$R$145,5,FALSE))</f>
        <v/>
      </c>
      <c r="BS22" s="6598"/>
      <c r="BT22" s="1082"/>
      <c r="BU22" s="6594" t="s">
        <v>6239</v>
      </c>
      <c r="BV22" s="6595"/>
      <c r="BW22" s="425" t="str">
        <f>IF(BU10=0,"",VLOOKUP(BU10,'Tablas psiquica'!$D$7:$R$145,4,FALSE))</f>
        <v/>
      </c>
      <c r="BX22" s="6596" t="s">
        <v>6234</v>
      </c>
      <c r="BY22" s="6596"/>
      <c r="BZ22" s="6597" t="str">
        <f>IF(BU10=0,"",VLOOKUP(BU10,'Tablas psiquica'!$D$7:$R$145,5,FALSE))</f>
        <v/>
      </c>
      <c r="CA22" s="6598"/>
      <c r="CB22" s="398"/>
      <c r="CC22" s="392"/>
      <c r="CD22" s="392"/>
      <c r="CE22" s="1082"/>
      <c r="CF22" s="6594" t="s">
        <v>6239</v>
      </c>
      <c r="CG22" s="6595"/>
      <c r="CH22" s="425" t="str">
        <f>IF(CF10=0,"",VLOOKUP(CF10,'Tablas psiquica'!$D$7:$R$145,4,FALSE))</f>
        <v/>
      </c>
      <c r="CI22" s="6596" t="s">
        <v>6234</v>
      </c>
      <c r="CJ22" s="6596"/>
      <c r="CK22" s="6597" t="str">
        <f>IF(CF10=0,"",VLOOKUP(CF10,'Tablas psiquica'!$D$7:$R$145,5,FALSE))</f>
        <v/>
      </c>
      <c r="CL22" s="6598"/>
      <c r="CM22" s="654"/>
      <c r="CN22" s="6594" t="s">
        <v>6239</v>
      </c>
      <c r="CO22" s="6595"/>
      <c r="CP22" s="425" t="str">
        <f>IF(CN10=0,"",VLOOKUP(CN10,'Tablas psiquica'!$D$7:$R$145,4,FALSE))</f>
        <v/>
      </c>
      <c r="CQ22" s="6596" t="s">
        <v>6234</v>
      </c>
      <c r="CR22" s="6596"/>
      <c r="CS22" s="6597" t="str">
        <f>IF(CN10=0,"",VLOOKUP(CN10,'Tablas psiquica'!$D$7:$R$145,5,FALSE))</f>
        <v/>
      </c>
      <c r="CT22" s="6598"/>
      <c r="CU22" s="1082"/>
      <c r="CV22" s="6594" t="s">
        <v>6239</v>
      </c>
      <c r="CW22" s="6595"/>
      <c r="CX22" s="425" t="str">
        <f>IF(CV10=0,"",VLOOKUP(CV10,'Tablas psiquica'!$D$7:$R$145,4,FALSE))</f>
        <v/>
      </c>
      <c r="CY22" s="6596" t="s">
        <v>6234</v>
      </c>
      <c r="CZ22" s="6596"/>
      <c r="DA22" s="6597" t="str">
        <f>IF(CV10=0,"",VLOOKUP(CV10,'Tablas psiquica'!$D$7:$R$145,5,FALSE))</f>
        <v/>
      </c>
      <c r="DB22" s="6598"/>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71">
        <f>IFERROR(INDEX('Tablas psiquica'!$U$116:$AH$130,B24,Y$7),0)</f>
        <v>0</v>
      </c>
      <c r="D24" s="6572"/>
      <c r="E24" s="6572"/>
      <c r="F24" s="6572"/>
      <c r="G24" s="6572"/>
      <c r="H24" s="6572"/>
      <c r="I24" s="423" t="s">
        <v>1402</v>
      </c>
      <c r="J24" s="654">
        <v>5</v>
      </c>
      <c r="K24" s="6571">
        <f>IFERROR(INDEX('Tablas psiquica'!$U$116:$AH$130,J24,Y$7),0)</f>
        <v>0</v>
      </c>
      <c r="L24" s="6572"/>
      <c r="M24" s="6572"/>
      <c r="N24" s="6572"/>
      <c r="O24" s="6572"/>
      <c r="P24" s="6572"/>
      <c r="Q24" s="423" t="s">
        <v>1402</v>
      </c>
      <c r="R24" s="1082">
        <v>6</v>
      </c>
      <c r="S24" s="6571">
        <f>IFERROR(INDEX('Tablas psiquica'!$U$116:$AH$130,R24,Y$7),0)</f>
        <v>0</v>
      </c>
      <c r="T24" s="6572"/>
      <c r="U24" s="6572"/>
      <c r="V24" s="6572"/>
      <c r="W24" s="6572"/>
      <c r="X24" s="6572"/>
      <c r="Y24" s="423" t="s">
        <v>1402</v>
      </c>
      <c r="Z24" s="398"/>
      <c r="AA24" s="392"/>
      <c r="AB24" s="392"/>
      <c r="AC24" s="1082">
        <v>4</v>
      </c>
      <c r="AD24" s="6571">
        <f>IFERROR(INDEX('Tablas psiquica'!$U$116:$AH$130,AC24,AZ$7),0)</f>
        <v>0</v>
      </c>
      <c r="AE24" s="6572"/>
      <c r="AF24" s="6572"/>
      <c r="AG24" s="6572"/>
      <c r="AH24" s="6572"/>
      <c r="AI24" s="6572"/>
      <c r="AJ24" s="423" t="s">
        <v>1402</v>
      </c>
      <c r="AK24" s="654">
        <v>5</v>
      </c>
      <c r="AL24" s="6571">
        <f>IFERROR(INDEX('Tablas psiquica'!$U$116:$AH$130,AK24,AZ$7),0)</f>
        <v>0</v>
      </c>
      <c r="AM24" s="6572"/>
      <c r="AN24" s="6572"/>
      <c r="AO24" s="6572"/>
      <c r="AP24" s="6572"/>
      <c r="AQ24" s="6572"/>
      <c r="AR24" s="423" t="s">
        <v>1402</v>
      </c>
      <c r="AS24" s="1082">
        <v>6</v>
      </c>
      <c r="AT24" s="6571">
        <f>IFERROR(INDEX('Tablas psiquica'!$U$116:$AH$130,AS24,AZ$7),0)</f>
        <v>0</v>
      </c>
      <c r="AU24" s="6572"/>
      <c r="AV24" s="6572"/>
      <c r="AW24" s="6572"/>
      <c r="AX24" s="6572"/>
      <c r="AY24" s="6572"/>
      <c r="AZ24" s="423" t="s">
        <v>1402</v>
      </c>
      <c r="BA24" s="398"/>
      <c r="BB24" s="392"/>
      <c r="BC24" s="392"/>
      <c r="BD24" s="1082">
        <v>4</v>
      </c>
      <c r="BE24" s="6571">
        <f>IFERROR(INDEX('Tablas psiquica'!$U$116:$AH$130,BD24,CA$7),0)</f>
        <v>0</v>
      </c>
      <c r="BF24" s="6572"/>
      <c r="BG24" s="6572"/>
      <c r="BH24" s="6572"/>
      <c r="BI24" s="6572"/>
      <c r="BJ24" s="6572"/>
      <c r="BK24" s="423" t="s">
        <v>1402</v>
      </c>
      <c r="BL24" s="654">
        <v>5</v>
      </c>
      <c r="BM24" s="6571">
        <f>IFERROR(INDEX('Tablas psiquica'!$U$116:$AH$130,BL24,CA$7),0)</f>
        <v>0</v>
      </c>
      <c r="BN24" s="6572"/>
      <c r="BO24" s="6572"/>
      <c r="BP24" s="6572"/>
      <c r="BQ24" s="6572"/>
      <c r="BR24" s="6572"/>
      <c r="BS24" s="423" t="s">
        <v>1402</v>
      </c>
      <c r="BT24" s="1082">
        <v>6</v>
      </c>
      <c r="BU24" s="6571">
        <f>IFERROR(INDEX('Tablas psiquica'!$U$116:$AH$130,BT24,CA$7),0)</f>
        <v>0</v>
      </c>
      <c r="BV24" s="6572"/>
      <c r="BW24" s="6572"/>
      <c r="BX24" s="6572"/>
      <c r="BY24" s="6572"/>
      <c r="BZ24" s="6572"/>
      <c r="CA24" s="423" t="s">
        <v>1402</v>
      </c>
      <c r="CB24" s="398"/>
      <c r="CC24" s="392"/>
      <c r="CD24" s="392"/>
      <c r="CE24" s="1082">
        <v>4</v>
      </c>
      <c r="CF24" s="6571">
        <f>IFERROR(INDEX('Tablas psiquica'!$U$116:$AH$130,CE24,DB$7),0)</f>
        <v>0</v>
      </c>
      <c r="CG24" s="6572"/>
      <c r="CH24" s="6572"/>
      <c r="CI24" s="6572"/>
      <c r="CJ24" s="6572"/>
      <c r="CK24" s="6572"/>
      <c r="CL24" s="423" t="s">
        <v>1402</v>
      </c>
      <c r="CM24" s="654">
        <v>5</v>
      </c>
      <c r="CN24" s="6571">
        <f>IFERROR(INDEX('Tablas psiquica'!$U$116:$AH$130,CM24,DB$7),0)</f>
        <v>0</v>
      </c>
      <c r="CO24" s="6572"/>
      <c r="CP24" s="6572"/>
      <c r="CQ24" s="6572"/>
      <c r="CR24" s="6572"/>
      <c r="CS24" s="6572"/>
      <c r="CT24" s="423" t="s">
        <v>1402</v>
      </c>
      <c r="CU24" s="1082">
        <v>6</v>
      </c>
      <c r="CV24" s="6571">
        <f>IFERROR(INDEX('Tablas psiquica'!$U$116:$AH$130,CU24,DB$7),0)</f>
        <v>0</v>
      </c>
      <c r="CW24" s="6572"/>
      <c r="CX24" s="6572"/>
      <c r="CY24" s="6572"/>
      <c r="CZ24" s="6572"/>
      <c r="DA24" s="6572"/>
      <c r="DB24" s="423" t="s">
        <v>1402</v>
      </c>
      <c r="DC24" s="398"/>
      <c r="DD24" s="392"/>
    </row>
    <row r="25" spans="1:108" ht="12" customHeight="1" x14ac:dyDescent="0.2">
      <c r="A25" s="392"/>
      <c r="B25" s="1082"/>
      <c r="C25" s="6573" t="str">
        <f>IF(C24=0,"",VLOOKUP(C24,'Tablas psiquica'!$D$7:$R$145,2,FALSE))</f>
        <v/>
      </c>
      <c r="D25" s="6574"/>
      <c r="E25" s="6574"/>
      <c r="F25" s="6575"/>
      <c r="G25" s="6576" t="str">
        <f>IF(C24=0,"",IF(INDEX('Tablas psiquica'!$U$115:$AH$115,1,$Y$7)=0,"No Accesible",IF(ISNA(VLOOKUP(C24,Psíquicos!$AS$17:$AS$43,1,0)),"Accesible CV","Aprendido")))</f>
        <v/>
      </c>
      <c r="H25" s="6577"/>
      <c r="I25" s="1645" t="str">
        <f>IF(C24=0,"",VLOOKUP(C24,'Tablas psiquica'!$D$7:$R$145,3,FALSE))</f>
        <v/>
      </c>
      <c r="J25" s="654"/>
      <c r="K25" s="6573" t="str">
        <f>IF(K24=0,"",VLOOKUP(K24,'Tablas psiquica'!$D$7:$R$145,2,FALSE))</f>
        <v/>
      </c>
      <c r="L25" s="6574"/>
      <c r="M25" s="6574"/>
      <c r="N25" s="6575"/>
      <c r="O25" s="6576" t="str">
        <f>IF(K24=0,"",IF(INDEX('Tablas psiquica'!$U$115:$AH$115,1,$Y$7)=0,"No Accesible",IF(ISNA(VLOOKUP(K24,Psíquicos!$AS$17:$AS$43,1,0)),"Accesible CV","Aprendido")))</f>
        <v/>
      </c>
      <c r="P25" s="6577"/>
      <c r="Q25" s="1645" t="str">
        <f>IF(K24=0,"",VLOOKUP(K24,'Tablas psiquica'!$D$7:$R$145,3,FALSE))</f>
        <v/>
      </c>
      <c r="R25" s="1082"/>
      <c r="S25" s="6573" t="str">
        <f>IF(S24=0,"",VLOOKUP(S24,'Tablas psiquica'!$D$7:$R$145,2,FALSE))</f>
        <v/>
      </c>
      <c r="T25" s="6574"/>
      <c r="U25" s="6574"/>
      <c r="V25" s="6575"/>
      <c r="W25" s="6576" t="str">
        <f>IF(S24=0,"",IF(INDEX('Tablas psiquica'!$U$115:$AH$115,1,$Y$7)=0,"No Accesible",IF(ISNA(VLOOKUP(S24,Psíquicos!$AS$17:$AS$43,1,0)),"Accesible CV","Aprendido")))</f>
        <v/>
      </c>
      <c r="X25" s="6577"/>
      <c r="Y25" s="1645" t="str">
        <f>IF(S24=0,"",VLOOKUP(S24,'Tablas psiquica'!$D$7:$R$145,3,FALSE))</f>
        <v/>
      </c>
      <c r="Z25" s="398"/>
      <c r="AA25" s="392"/>
      <c r="AB25" s="392"/>
      <c r="AC25" s="1082"/>
      <c r="AD25" s="6573" t="str">
        <f>IF(AD24=0,"",VLOOKUP(AD24,'Tablas psiquica'!$D$7:$R$145,2,FALSE))</f>
        <v/>
      </c>
      <c r="AE25" s="6574"/>
      <c r="AF25" s="6574"/>
      <c r="AG25" s="6575"/>
      <c r="AH25" s="6576" t="str">
        <f>IF(AD24=0,"",IF(INDEX('Tablas psiquica'!$U$115:$AH$115,1,$AZ$7)=0,"No Accesible",IF(ISNA(VLOOKUP(AD24,Psíquicos!$AS$17:$AS$43,1,0)),"Accesible CV","Aprendido")))</f>
        <v/>
      </c>
      <c r="AI25" s="6577"/>
      <c r="AJ25" s="1645" t="str">
        <f>IF(AD24=0,"",VLOOKUP(AD24,'Tablas psiquica'!$D$7:$R$145,3,FALSE))</f>
        <v/>
      </c>
      <c r="AK25" s="654"/>
      <c r="AL25" s="6573" t="str">
        <f>IF(AL24=0,"",VLOOKUP(AL24,'Tablas psiquica'!$D$7:$R$145,2,FALSE))</f>
        <v/>
      </c>
      <c r="AM25" s="6574"/>
      <c r="AN25" s="6574"/>
      <c r="AO25" s="6575"/>
      <c r="AP25" s="6576" t="str">
        <f>IF(AL24=0,"",IF(INDEX('Tablas psiquica'!$U$115:$AH$115,1,$AZ$7)=0,"No Accesible",IF(ISNA(VLOOKUP(AL24,Psíquicos!$AS$17:$AS$43,1,0)),"Accesible CV","Aprendido")))</f>
        <v/>
      </c>
      <c r="AQ25" s="6577"/>
      <c r="AR25" s="1645" t="str">
        <f>IF(AL24=0,"",VLOOKUP(AL24,'Tablas psiquica'!$D$7:$R$145,3,FALSE))</f>
        <v/>
      </c>
      <c r="AS25" s="1082"/>
      <c r="AT25" s="6573" t="str">
        <f>IF(AT24=0,"",VLOOKUP(AT24,'Tablas psiquica'!$D$7:$R$145,2,FALSE))</f>
        <v/>
      </c>
      <c r="AU25" s="6574"/>
      <c r="AV25" s="6574"/>
      <c r="AW25" s="6575"/>
      <c r="AX25" s="6576" t="str">
        <f>IF(AT24=0,"",IF(INDEX('Tablas psiquica'!$U$115:$AH$115,1,$AZ$7)=0,"No Accesible",IF(ISNA(VLOOKUP(AT24,Psíquicos!$AS$17:$AS$43,1,0)),"Accesible CV","Aprendido")))</f>
        <v/>
      </c>
      <c r="AY25" s="6577"/>
      <c r="AZ25" s="1645" t="str">
        <f>IF(AT24=0,"",VLOOKUP(AT24,'Tablas psiquica'!$D$7:$R$145,3,FALSE))</f>
        <v/>
      </c>
      <c r="BA25" s="398"/>
      <c r="BB25" s="392"/>
      <c r="BC25" s="392"/>
      <c r="BD25" s="1082"/>
      <c r="BE25" s="6573" t="str">
        <f>IF(BE24=0,"",VLOOKUP(BE24,'Tablas psiquica'!$D$7:$R$145,2,FALSE))</f>
        <v/>
      </c>
      <c r="BF25" s="6574"/>
      <c r="BG25" s="6574"/>
      <c r="BH25" s="6575"/>
      <c r="BI25" s="6576" t="str">
        <f>IF(BE24=0,"",IF(INDEX('Tablas psiquica'!$U$115:$AH$115,1,$CA$7)=0,"No Accesible",IF(ISNA(VLOOKUP(BE24,Psíquicos!$AS$17:$AS$43,1,0)),"Accesible CV","Aprendido")))</f>
        <v/>
      </c>
      <c r="BJ25" s="6577"/>
      <c r="BK25" s="1645" t="str">
        <f>IF(BE24=0,"",VLOOKUP(BE24,'Tablas psiquica'!$D$7:$R$145,3,FALSE))</f>
        <v/>
      </c>
      <c r="BL25" s="654"/>
      <c r="BM25" s="6573" t="str">
        <f>IF(BM24=0,"",VLOOKUP(BM24,'Tablas psiquica'!$D$7:$R$145,2,FALSE))</f>
        <v/>
      </c>
      <c r="BN25" s="6574"/>
      <c r="BO25" s="6574"/>
      <c r="BP25" s="6575"/>
      <c r="BQ25" s="6576" t="str">
        <f>IF(BM24=0,"",IF(INDEX('Tablas psiquica'!$U$115:$AH$115,1,$CA$7)=0,"No Accesible",IF(ISNA(VLOOKUP(BM24,Psíquicos!$AS$17:$AS$43,1,0)),"Accesible CV","Aprendido")))</f>
        <v/>
      </c>
      <c r="BR25" s="6577"/>
      <c r="BS25" s="1645" t="str">
        <f>IF(BM24=0,"",VLOOKUP(BM24,'Tablas psiquica'!$D$7:$R$145,3,FALSE))</f>
        <v/>
      </c>
      <c r="BT25" s="1082"/>
      <c r="BU25" s="6573" t="str">
        <f>IF(BU24=0,"",VLOOKUP(BU24,'Tablas psiquica'!$D$7:$R$145,2,FALSE))</f>
        <v/>
      </c>
      <c r="BV25" s="6574"/>
      <c r="BW25" s="6574"/>
      <c r="BX25" s="6575"/>
      <c r="BY25" s="6576" t="str">
        <f>IF(BU24=0,"",IF(INDEX('Tablas psiquica'!$U$115:$AH$115,1,$CA$7)=0,"No Accesible",IF(ISNA(VLOOKUP(BU24,Psíquicos!$AS$17:$AS$43,1,0)),"Accesible CV","Aprendido")))</f>
        <v/>
      </c>
      <c r="BZ25" s="6577"/>
      <c r="CA25" s="1645" t="str">
        <f>IF(BU24=0,"",VLOOKUP(BU24,'Tablas psiquica'!$D$7:$R$145,3,FALSE))</f>
        <v/>
      </c>
      <c r="CB25" s="398"/>
      <c r="CC25" s="392"/>
      <c r="CD25" s="392"/>
      <c r="CE25" s="1082"/>
      <c r="CF25" s="6573" t="str">
        <f>IF(CF24=0,"",VLOOKUP(CF24,'Tablas psiquica'!$D$7:$R$145,2,FALSE))</f>
        <v/>
      </c>
      <c r="CG25" s="6574"/>
      <c r="CH25" s="6574"/>
      <c r="CI25" s="6575"/>
      <c r="CJ25" s="6576" t="str">
        <f>IF(CF24=0,"",IF(INDEX('Tablas psiquica'!$U$115:$AH$115,1,$DB$7)=0,"No Accesible",IF(ISNA(VLOOKUP(CF24,Psíquicos!$AS$17:$AS$43,1,0)),"Accesible CV","Aprendido")))</f>
        <v/>
      </c>
      <c r="CK25" s="6577"/>
      <c r="CL25" s="1645" t="str">
        <f>IF(CF24=0,"",VLOOKUP(CF24,'Tablas psiquica'!$D$7:$R$145,3,FALSE))</f>
        <v/>
      </c>
      <c r="CM25" s="654"/>
      <c r="CN25" s="6573" t="str">
        <f>IF(CN24=0,"",VLOOKUP(CN24,'Tablas psiquica'!$D$7:$R$145,2,FALSE))</f>
        <v/>
      </c>
      <c r="CO25" s="6574"/>
      <c r="CP25" s="6574"/>
      <c r="CQ25" s="6575"/>
      <c r="CR25" s="6576" t="str">
        <f>IF(CN24=0,"",IF(INDEX('Tablas psiquica'!$U$115:$AH$115,1,$DB$7)=0,"No Accesible",IF(ISNA(VLOOKUP(CN24,Psíquicos!$AS$17:$AS$43,1,0)),"Accesible CV","Aprendido")))</f>
        <v/>
      </c>
      <c r="CS25" s="6577"/>
      <c r="CT25" s="1645" t="str">
        <f>IF(CN24=0,"",VLOOKUP(CN24,'Tablas psiquica'!$D$7:$R$145,3,FALSE))</f>
        <v/>
      </c>
      <c r="CU25" s="1082"/>
      <c r="CV25" s="6573" t="str">
        <f>IF(CV24=0,"",VLOOKUP(CV24,'Tablas psiquica'!$D$7:$R$145,2,FALSE))</f>
        <v/>
      </c>
      <c r="CW25" s="6574"/>
      <c r="CX25" s="6574"/>
      <c r="CY25" s="6575"/>
      <c r="CZ25" s="6576" t="str">
        <f>IF(CV24=0,"",IF(INDEX('Tablas psiquica'!$U$115:$AH$115,1,$DB$7)=0,"No Accesible",IF(ISNA(VLOOKUP(CV24,Psíquicos!$AS$17:$AS$43,1,0)),"Accesible CV","Aprendido")))</f>
        <v/>
      </c>
      <c r="DA25" s="6577"/>
      <c r="DB25" s="1645" t="str">
        <f>IF(CV24=0,"",VLOOKUP(CV24,'Tablas psiquica'!$D$7:$R$145,3,FALSE))</f>
        <v/>
      </c>
      <c r="DC25" s="398"/>
      <c r="DD25" s="392"/>
    </row>
    <row r="26" spans="1:108" ht="12" customHeight="1" x14ac:dyDescent="0.2">
      <c r="A26" s="392"/>
      <c r="B26" s="1082"/>
      <c r="C26" s="1614">
        <v>20</v>
      </c>
      <c r="D26" s="6586" t="s">
        <v>1722</v>
      </c>
      <c r="E26" s="6508"/>
      <c r="F26" s="6587" t="str">
        <f>IF(C24=0,"",VLOOKUP(C24,'Tablas psiquica'!$D$7:$R$145,6,FALSE))</f>
        <v/>
      </c>
      <c r="G26" s="6042"/>
      <c r="H26" s="6042"/>
      <c r="I26" s="6588"/>
      <c r="J26" s="654"/>
      <c r="K26" s="1614">
        <v>20</v>
      </c>
      <c r="L26" s="6586" t="s">
        <v>1722</v>
      </c>
      <c r="M26" s="6508"/>
      <c r="N26" s="6587" t="str">
        <f>IF(K24=0,"",VLOOKUP(K24,'Tablas psiquica'!$D$7:$R$145,6,FALSE))</f>
        <v/>
      </c>
      <c r="O26" s="6042"/>
      <c r="P26" s="6042"/>
      <c r="Q26" s="6588"/>
      <c r="R26" s="1082"/>
      <c r="S26" s="1614">
        <v>20</v>
      </c>
      <c r="T26" s="6586" t="s">
        <v>1722</v>
      </c>
      <c r="U26" s="6508"/>
      <c r="V26" s="6587" t="str">
        <f>IF(S24=0,"",VLOOKUP(S24,'Tablas psiquica'!$D$7:$R$145,6,FALSE))</f>
        <v/>
      </c>
      <c r="W26" s="6042"/>
      <c r="X26" s="6042"/>
      <c r="Y26" s="6588"/>
      <c r="Z26" s="398"/>
      <c r="AA26" s="392"/>
      <c r="AB26" s="392"/>
      <c r="AC26" s="1082"/>
      <c r="AD26" s="1614">
        <v>20</v>
      </c>
      <c r="AE26" s="6586" t="s">
        <v>1722</v>
      </c>
      <c r="AF26" s="6508"/>
      <c r="AG26" s="6587" t="str">
        <f>IF(AD24=0,"",VLOOKUP(AD24,'Tablas psiquica'!$D$7:$R$145,6,FALSE))</f>
        <v/>
      </c>
      <c r="AH26" s="6042"/>
      <c r="AI26" s="6042"/>
      <c r="AJ26" s="6588"/>
      <c r="AK26" s="654"/>
      <c r="AL26" s="1614">
        <v>20</v>
      </c>
      <c r="AM26" s="6586" t="s">
        <v>1722</v>
      </c>
      <c r="AN26" s="6508"/>
      <c r="AO26" s="6587" t="str">
        <f>IF(AL24=0,"",VLOOKUP(AL24,'Tablas psiquica'!$D$7:$R$145,6,FALSE))</f>
        <v/>
      </c>
      <c r="AP26" s="6042"/>
      <c r="AQ26" s="6042"/>
      <c r="AR26" s="6588"/>
      <c r="AS26" s="1082"/>
      <c r="AT26" s="1614">
        <v>20</v>
      </c>
      <c r="AU26" s="6586" t="s">
        <v>1722</v>
      </c>
      <c r="AV26" s="6508"/>
      <c r="AW26" s="6587" t="str">
        <f>IF(AT24=0,"",VLOOKUP(AT24,'Tablas psiquica'!$D$7:$R$145,6,FALSE))</f>
        <v/>
      </c>
      <c r="AX26" s="6042"/>
      <c r="AY26" s="6042"/>
      <c r="AZ26" s="6588"/>
      <c r="BA26" s="398"/>
      <c r="BB26" s="392"/>
      <c r="BC26" s="392"/>
      <c r="BD26" s="1082"/>
      <c r="BE26" s="1614">
        <v>20</v>
      </c>
      <c r="BF26" s="6586" t="s">
        <v>1722</v>
      </c>
      <c r="BG26" s="6508"/>
      <c r="BH26" s="6587" t="str">
        <f>IF(BE24=0,"",VLOOKUP(BE24,'Tablas psiquica'!$D$7:$R$145,6,FALSE))</f>
        <v/>
      </c>
      <c r="BI26" s="6042"/>
      <c r="BJ26" s="6042"/>
      <c r="BK26" s="6588"/>
      <c r="BL26" s="654"/>
      <c r="BM26" s="1614">
        <v>20</v>
      </c>
      <c r="BN26" s="6586" t="s">
        <v>1722</v>
      </c>
      <c r="BO26" s="6508"/>
      <c r="BP26" s="6587" t="str">
        <f>IF(BM24=0,"",VLOOKUP(BM24,'Tablas psiquica'!$D$7:$R$145,6,FALSE))</f>
        <v/>
      </c>
      <c r="BQ26" s="6042"/>
      <c r="BR26" s="6042"/>
      <c r="BS26" s="6588"/>
      <c r="BT26" s="1082"/>
      <c r="BU26" s="1614">
        <v>20</v>
      </c>
      <c r="BV26" s="6586" t="s">
        <v>1722</v>
      </c>
      <c r="BW26" s="6508"/>
      <c r="BX26" s="6587" t="str">
        <f>IF(BU24=0,"",VLOOKUP(BU24,'Tablas psiquica'!$D$7:$R$145,6,FALSE))</f>
        <v/>
      </c>
      <c r="BY26" s="6042"/>
      <c r="BZ26" s="6042"/>
      <c r="CA26" s="6588"/>
      <c r="CB26" s="398"/>
      <c r="CC26" s="392"/>
      <c r="CD26" s="392"/>
      <c r="CE26" s="1082"/>
      <c r="CF26" s="1614">
        <v>20</v>
      </c>
      <c r="CG26" s="6586" t="s">
        <v>1722</v>
      </c>
      <c r="CH26" s="6508"/>
      <c r="CI26" s="6587" t="str">
        <f>IF(CF24=0,"",VLOOKUP(CF24,'Tablas psiquica'!$D$7:$R$145,6,FALSE))</f>
        <v/>
      </c>
      <c r="CJ26" s="6042"/>
      <c r="CK26" s="6042"/>
      <c r="CL26" s="6588"/>
      <c r="CM26" s="654"/>
      <c r="CN26" s="1614">
        <v>20</v>
      </c>
      <c r="CO26" s="6586" t="s">
        <v>1722</v>
      </c>
      <c r="CP26" s="6508"/>
      <c r="CQ26" s="6587" t="str">
        <f>IF(CN24=0,"",VLOOKUP(CN24,'Tablas psiquica'!$D$7:$R$145,6,FALSE))</f>
        <v/>
      </c>
      <c r="CR26" s="6042"/>
      <c r="CS26" s="6042"/>
      <c r="CT26" s="6588"/>
      <c r="CU26" s="1082"/>
      <c r="CV26" s="1614">
        <v>20</v>
      </c>
      <c r="CW26" s="6586" t="s">
        <v>1722</v>
      </c>
      <c r="CX26" s="6508"/>
      <c r="CY26" s="6587" t="str">
        <f>IF(CV24=0,"",VLOOKUP(CV24,'Tablas psiquica'!$D$7:$R$145,6,FALSE))</f>
        <v/>
      </c>
      <c r="CZ26" s="6042"/>
      <c r="DA26" s="6042"/>
      <c r="DB26" s="6588"/>
      <c r="DC26" s="398"/>
      <c r="DD26" s="392"/>
    </row>
    <row r="27" spans="1:108" ht="12" customHeight="1" x14ac:dyDescent="0.2">
      <c r="A27" s="392"/>
      <c r="B27" s="1082"/>
      <c r="C27" s="1613">
        <v>40</v>
      </c>
      <c r="D27" s="6582" t="s">
        <v>1724</v>
      </c>
      <c r="E27" s="6503"/>
      <c r="F27" s="6583" t="str">
        <f>IF(C24=0,"",VLOOKUP(C24,'Tablas psiquica'!$D$7:$R$145,7,FALSE))</f>
        <v/>
      </c>
      <c r="G27" s="6584"/>
      <c r="H27" s="6584"/>
      <c r="I27" s="6585"/>
      <c r="J27" s="654"/>
      <c r="K27" s="1613">
        <v>40</v>
      </c>
      <c r="L27" s="6582" t="s">
        <v>1724</v>
      </c>
      <c r="M27" s="6503"/>
      <c r="N27" s="6583" t="str">
        <f>IF(K24=0,"",VLOOKUP(K24,'Tablas psiquica'!$D$7:$R$145,7,FALSE))</f>
        <v/>
      </c>
      <c r="O27" s="6584"/>
      <c r="P27" s="6584"/>
      <c r="Q27" s="6585"/>
      <c r="R27" s="1082"/>
      <c r="S27" s="1613">
        <v>40</v>
      </c>
      <c r="T27" s="6582" t="s">
        <v>1724</v>
      </c>
      <c r="U27" s="6503"/>
      <c r="V27" s="6583" t="str">
        <f>IF(S24=0,"",VLOOKUP(S24,'Tablas psiquica'!$D$7:$R$145,7,FALSE))</f>
        <v/>
      </c>
      <c r="W27" s="6584"/>
      <c r="X27" s="6584"/>
      <c r="Y27" s="6585"/>
      <c r="Z27" s="398"/>
      <c r="AA27" s="392"/>
      <c r="AB27" s="392"/>
      <c r="AC27" s="1082"/>
      <c r="AD27" s="1613">
        <v>40</v>
      </c>
      <c r="AE27" s="6582" t="s">
        <v>1724</v>
      </c>
      <c r="AF27" s="6503"/>
      <c r="AG27" s="6583" t="str">
        <f>IF(AD24=0,"",VLOOKUP(AD24,'Tablas psiquica'!$D$7:$R$145,7,FALSE))</f>
        <v/>
      </c>
      <c r="AH27" s="6584"/>
      <c r="AI27" s="6584"/>
      <c r="AJ27" s="6585"/>
      <c r="AK27" s="654"/>
      <c r="AL27" s="1613">
        <v>40</v>
      </c>
      <c r="AM27" s="6582" t="s">
        <v>1724</v>
      </c>
      <c r="AN27" s="6503"/>
      <c r="AO27" s="6583" t="str">
        <f>IF(AL24=0,"",VLOOKUP(AL24,'Tablas psiquica'!$D$7:$R$145,7,FALSE))</f>
        <v/>
      </c>
      <c r="AP27" s="6584"/>
      <c r="AQ27" s="6584"/>
      <c r="AR27" s="6585"/>
      <c r="AS27" s="1082"/>
      <c r="AT27" s="1613">
        <v>40</v>
      </c>
      <c r="AU27" s="6582" t="s">
        <v>1724</v>
      </c>
      <c r="AV27" s="6503"/>
      <c r="AW27" s="6583" t="str">
        <f>IF(AT24=0,"",VLOOKUP(AT24,'Tablas psiquica'!$D$7:$R$145,7,FALSE))</f>
        <v/>
      </c>
      <c r="AX27" s="6584"/>
      <c r="AY27" s="6584"/>
      <c r="AZ27" s="6585"/>
      <c r="BA27" s="398"/>
      <c r="BB27" s="392"/>
      <c r="BC27" s="392"/>
      <c r="BD27" s="1082"/>
      <c r="BE27" s="1613">
        <v>40</v>
      </c>
      <c r="BF27" s="6582" t="s">
        <v>1724</v>
      </c>
      <c r="BG27" s="6503"/>
      <c r="BH27" s="6583" t="str">
        <f>IF(BE24=0,"",VLOOKUP(BE24,'Tablas psiquica'!$D$7:$R$145,7,FALSE))</f>
        <v/>
      </c>
      <c r="BI27" s="6584"/>
      <c r="BJ27" s="6584"/>
      <c r="BK27" s="6585"/>
      <c r="BL27" s="654"/>
      <c r="BM27" s="1613">
        <v>40</v>
      </c>
      <c r="BN27" s="6582" t="s">
        <v>1724</v>
      </c>
      <c r="BO27" s="6503"/>
      <c r="BP27" s="6583" t="str">
        <f>IF(BM24=0,"",VLOOKUP(BM24,'Tablas psiquica'!$D$7:$R$145,7,FALSE))</f>
        <v/>
      </c>
      <c r="BQ27" s="6584"/>
      <c r="BR27" s="6584"/>
      <c r="BS27" s="6585"/>
      <c r="BT27" s="1082"/>
      <c r="BU27" s="1613">
        <v>40</v>
      </c>
      <c r="BV27" s="6582" t="s">
        <v>1724</v>
      </c>
      <c r="BW27" s="6503"/>
      <c r="BX27" s="6583" t="str">
        <f>IF(BU24=0,"",VLOOKUP(BU24,'Tablas psiquica'!$D$7:$R$145,7,FALSE))</f>
        <v/>
      </c>
      <c r="BY27" s="6584"/>
      <c r="BZ27" s="6584"/>
      <c r="CA27" s="6585"/>
      <c r="CB27" s="398"/>
      <c r="CC27" s="392"/>
      <c r="CD27" s="392"/>
      <c r="CE27" s="1082"/>
      <c r="CF27" s="1613">
        <v>40</v>
      </c>
      <c r="CG27" s="6582" t="s">
        <v>1724</v>
      </c>
      <c r="CH27" s="6503"/>
      <c r="CI27" s="6583" t="str">
        <f>IF(CF24=0,"",VLOOKUP(CF24,'Tablas psiquica'!$D$7:$R$145,7,FALSE))</f>
        <v/>
      </c>
      <c r="CJ27" s="6584"/>
      <c r="CK27" s="6584"/>
      <c r="CL27" s="6585"/>
      <c r="CM27" s="654"/>
      <c r="CN27" s="1613">
        <v>40</v>
      </c>
      <c r="CO27" s="6582" t="s">
        <v>1724</v>
      </c>
      <c r="CP27" s="6503"/>
      <c r="CQ27" s="6583" t="str">
        <f>IF(CN24=0,"",VLOOKUP(CN24,'Tablas psiquica'!$D$7:$R$145,7,FALSE))</f>
        <v/>
      </c>
      <c r="CR27" s="6584"/>
      <c r="CS27" s="6584"/>
      <c r="CT27" s="6585"/>
      <c r="CU27" s="1082"/>
      <c r="CV27" s="1613">
        <v>40</v>
      </c>
      <c r="CW27" s="6582" t="s">
        <v>1724</v>
      </c>
      <c r="CX27" s="6503"/>
      <c r="CY27" s="6583" t="str">
        <f>IF(CV24=0,"",VLOOKUP(CV24,'Tablas psiquica'!$D$7:$R$145,7,FALSE))</f>
        <v/>
      </c>
      <c r="CZ27" s="6584"/>
      <c r="DA27" s="6584"/>
      <c r="DB27" s="6585"/>
      <c r="DC27" s="398"/>
      <c r="DD27" s="392"/>
    </row>
    <row r="28" spans="1:108" ht="12" customHeight="1" x14ac:dyDescent="0.2">
      <c r="A28" s="392"/>
      <c r="B28" s="1082"/>
      <c r="C28" s="1614">
        <v>80</v>
      </c>
      <c r="D28" s="6586" t="s">
        <v>1727</v>
      </c>
      <c r="E28" s="6508"/>
      <c r="F28" s="6587" t="str">
        <f>IF(C24=0,"",VLOOKUP(C24,'Tablas psiquica'!$D$7:$R$145,8,FALSE))</f>
        <v/>
      </c>
      <c r="G28" s="6042"/>
      <c r="H28" s="6042"/>
      <c r="I28" s="6588"/>
      <c r="J28" s="654"/>
      <c r="K28" s="1614">
        <v>80</v>
      </c>
      <c r="L28" s="6586" t="s">
        <v>1727</v>
      </c>
      <c r="M28" s="6508"/>
      <c r="N28" s="6587" t="str">
        <f>IF(K24=0,"",VLOOKUP(K24,'Tablas psiquica'!$D$7:$R$145,8,FALSE))</f>
        <v/>
      </c>
      <c r="O28" s="6042"/>
      <c r="P28" s="6042"/>
      <c r="Q28" s="6588"/>
      <c r="R28" s="1082"/>
      <c r="S28" s="1614">
        <v>80</v>
      </c>
      <c r="T28" s="6586" t="s">
        <v>1727</v>
      </c>
      <c r="U28" s="6508"/>
      <c r="V28" s="6587" t="str">
        <f>IF(S24=0,"",VLOOKUP(S24,'Tablas psiquica'!$D$7:$R$145,8,FALSE))</f>
        <v/>
      </c>
      <c r="W28" s="6042"/>
      <c r="X28" s="6042"/>
      <c r="Y28" s="6588"/>
      <c r="Z28" s="398"/>
      <c r="AA28" s="392"/>
      <c r="AB28" s="392"/>
      <c r="AC28" s="1082"/>
      <c r="AD28" s="1614">
        <v>80</v>
      </c>
      <c r="AE28" s="6586" t="s">
        <v>1727</v>
      </c>
      <c r="AF28" s="6508"/>
      <c r="AG28" s="6587" t="str">
        <f>IF(AD24=0,"",VLOOKUP(AD24,'Tablas psiquica'!$D$7:$R$145,8,FALSE))</f>
        <v/>
      </c>
      <c r="AH28" s="6042"/>
      <c r="AI28" s="6042"/>
      <c r="AJ28" s="6588"/>
      <c r="AK28" s="654"/>
      <c r="AL28" s="1614">
        <v>80</v>
      </c>
      <c r="AM28" s="6586" t="s">
        <v>1727</v>
      </c>
      <c r="AN28" s="6508"/>
      <c r="AO28" s="6587" t="str">
        <f>IF(AL24=0,"",VLOOKUP(AL24,'Tablas psiquica'!$D$7:$R$145,8,FALSE))</f>
        <v/>
      </c>
      <c r="AP28" s="6042"/>
      <c r="AQ28" s="6042"/>
      <c r="AR28" s="6588"/>
      <c r="AS28" s="1082"/>
      <c r="AT28" s="1614">
        <v>80</v>
      </c>
      <c r="AU28" s="6586" t="s">
        <v>1727</v>
      </c>
      <c r="AV28" s="6508"/>
      <c r="AW28" s="6587" t="str">
        <f>IF(AT24=0,"",VLOOKUP(AT24,'Tablas psiquica'!$D$7:$R$145,8,FALSE))</f>
        <v/>
      </c>
      <c r="AX28" s="6042"/>
      <c r="AY28" s="6042"/>
      <c r="AZ28" s="6588"/>
      <c r="BA28" s="398"/>
      <c r="BB28" s="392"/>
      <c r="BC28" s="392"/>
      <c r="BD28" s="1082"/>
      <c r="BE28" s="1614">
        <v>80</v>
      </c>
      <c r="BF28" s="6586" t="s">
        <v>1727</v>
      </c>
      <c r="BG28" s="6508"/>
      <c r="BH28" s="6587" t="str">
        <f>IF(BE24=0,"",VLOOKUP(BE24,'Tablas psiquica'!$D$7:$R$145,8,FALSE))</f>
        <v/>
      </c>
      <c r="BI28" s="6042"/>
      <c r="BJ28" s="6042"/>
      <c r="BK28" s="6588"/>
      <c r="BL28" s="654"/>
      <c r="BM28" s="1614">
        <v>80</v>
      </c>
      <c r="BN28" s="6586" t="s">
        <v>1727</v>
      </c>
      <c r="BO28" s="6508"/>
      <c r="BP28" s="6587" t="str">
        <f>IF(BM24=0,"",VLOOKUP(BM24,'Tablas psiquica'!$D$7:$R$145,8,FALSE))</f>
        <v/>
      </c>
      <c r="BQ28" s="6042"/>
      <c r="BR28" s="6042"/>
      <c r="BS28" s="6588"/>
      <c r="BT28" s="1082"/>
      <c r="BU28" s="1614">
        <v>80</v>
      </c>
      <c r="BV28" s="6586" t="s">
        <v>1727</v>
      </c>
      <c r="BW28" s="6508"/>
      <c r="BX28" s="6587" t="str">
        <f>IF(BU24=0,"",VLOOKUP(BU24,'Tablas psiquica'!$D$7:$R$145,8,FALSE))</f>
        <v/>
      </c>
      <c r="BY28" s="6042"/>
      <c r="BZ28" s="6042"/>
      <c r="CA28" s="6588"/>
      <c r="CB28" s="398"/>
      <c r="CC28" s="392"/>
      <c r="CD28" s="392"/>
      <c r="CE28" s="1082"/>
      <c r="CF28" s="1614">
        <v>80</v>
      </c>
      <c r="CG28" s="6586" t="s">
        <v>1727</v>
      </c>
      <c r="CH28" s="6508"/>
      <c r="CI28" s="6587" t="str">
        <f>IF(CF24=0,"",VLOOKUP(CF24,'Tablas psiquica'!$D$7:$R$145,8,FALSE))</f>
        <v/>
      </c>
      <c r="CJ28" s="6042"/>
      <c r="CK28" s="6042"/>
      <c r="CL28" s="6588"/>
      <c r="CM28" s="654"/>
      <c r="CN28" s="1614">
        <v>80</v>
      </c>
      <c r="CO28" s="6586" t="s">
        <v>1727</v>
      </c>
      <c r="CP28" s="6508"/>
      <c r="CQ28" s="6587" t="str">
        <f>IF(CN24=0,"",VLOOKUP(CN24,'Tablas psiquica'!$D$7:$R$145,8,FALSE))</f>
        <v/>
      </c>
      <c r="CR28" s="6042"/>
      <c r="CS28" s="6042"/>
      <c r="CT28" s="6588"/>
      <c r="CU28" s="1082"/>
      <c r="CV28" s="1614">
        <v>80</v>
      </c>
      <c r="CW28" s="6586" t="s">
        <v>1727</v>
      </c>
      <c r="CX28" s="6508"/>
      <c r="CY28" s="6587" t="str">
        <f>IF(CV24=0,"",VLOOKUP(CV24,'Tablas psiquica'!$D$7:$R$145,8,FALSE))</f>
        <v/>
      </c>
      <c r="CZ28" s="6042"/>
      <c r="DA28" s="6042"/>
      <c r="DB28" s="6588"/>
      <c r="DC28" s="398"/>
      <c r="DD28" s="392"/>
    </row>
    <row r="29" spans="1:108" ht="12" customHeight="1" x14ac:dyDescent="0.2">
      <c r="A29" s="392"/>
      <c r="B29" s="1082"/>
      <c r="C29" s="1613">
        <v>120</v>
      </c>
      <c r="D29" s="6582" t="s">
        <v>1730</v>
      </c>
      <c r="E29" s="6503"/>
      <c r="F29" s="6583" t="str">
        <f>IF(C24=0,"",VLOOKUP(C24,'Tablas psiquica'!$D$7:$R$145,9,FALSE))</f>
        <v/>
      </c>
      <c r="G29" s="6584"/>
      <c r="H29" s="6584"/>
      <c r="I29" s="6585"/>
      <c r="J29" s="654"/>
      <c r="K29" s="1613">
        <v>120</v>
      </c>
      <c r="L29" s="6582" t="s">
        <v>1730</v>
      </c>
      <c r="M29" s="6503"/>
      <c r="N29" s="6583" t="str">
        <f>IF(K24=0,"",VLOOKUP(K24,'Tablas psiquica'!$D$7:$R$145,9,FALSE))</f>
        <v/>
      </c>
      <c r="O29" s="6584"/>
      <c r="P29" s="6584"/>
      <c r="Q29" s="6585"/>
      <c r="R29" s="1082"/>
      <c r="S29" s="1613">
        <v>120</v>
      </c>
      <c r="T29" s="6582" t="s">
        <v>1730</v>
      </c>
      <c r="U29" s="6503"/>
      <c r="V29" s="6583" t="str">
        <f>IF(S24=0,"",VLOOKUP(S24,'Tablas psiquica'!$D$7:$R$145,9,FALSE))</f>
        <v/>
      </c>
      <c r="W29" s="6584"/>
      <c r="X29" s="6584"/>
      <c r="Y29" s="6585"/>
      <c r="Z29" s="398"/>
      <c r="AA29" s="392"/>
      <c r="AB29" s="392"/>
      <c r="AC29" s="1082"/>
      <c r="AD29" s="1613">
        <v>120</v>
      </c>
      <c r="AE29" s="6582" t="s">
        <v>1730</v>
      </c>
      <c r="AF29" s="6503"/>
      <c r="AG29" s="6583" t="str">
        <f>IF(AD24=0,"",VLOOKUP(AD24,'Tablas psiquica'!$D$7:$R$145,9,FALSE))</f>
        <v/>
      </c>
      <c r="AH29" s="6584"/>
      <c r="AI29" s="6584"/>
      <c r="AJ29" s="6585"/>
      <c r="AK29" s="654"/>
      <c r="AL29" s="1613">
        <v>120</v>
      </c>
      <c r="AM29" s="6582" t="s">
        <v>1730</v>
      </c>
      <c r="AN29" s="6503"/>
      <c r="AO29" s="6583" t="str">
        <f>IF(AL24=0,"",VLOOKUP(AL24,'Tablas psiquica'!$D$7:$R$145,9,FALSE))</f>
        <v/>
      </c>
      <c r="AP29" s="6584"/>
      <c r="AQ29" s="6584"/>
      <c r="AR29" s="6585"/>
      <c r="AS29" s="1082"/>
      <c r="AT29" s="1613">
        <v>120</v>
      </c>
      <c r="AU29" s="6582" t="s">
        <v>1730</v>
      </c>
      <c r="AV29" s="6503"/>
      <c r="AW29" s="6583" t="str">
        <f>IF(AT24=0,"",VLOOKUP(AT24,'Tablas psiquica'!$D$7:$R$145,9,FALSE))</f>
        <v/>
      </c>
      <c r="AX29" s="6584"/>
      <c r="AY29" s="6584"/>
      <c r="AZ29" s="6585"/>
      <c r="BA29" s="398"/>
      <c r="BB29" s="392"/>
      <c r="BC29" s="392"/>
      <c r="BD29" s="1082"/>
      <c r="BE29" s="1613">
        <v>120</v>
      </c>
      <c r="BF29" s="6582" t="s">
        <v>1730</v>
      </c>
      <c r="BG29" s="6503"/>
      <c r="BH29" s="6583" t="str">
        <f>IF(BE24=0,"",VLOOKUP(BE24,'Tablas psiquica'!$D$7:$R$145,9,FALSE))</f>
        <v/>
      </c>
      <c r="BI29" s="6584"/>
      <c r="BJ29" s="6584"/>
      <c r="BK29" s="6585"/>
      <c r="BL29" s="654"/>
      <c r="BM29" s="1613">
        <v>120</v>
      </c>
      <c r="BN29" s="6582" t="s">
        <v>1730</v>
      </c>
      <c r="BO29" s="6503"/>
      <c r="BP29" s="6583" t="str">
        <f>IF(BM24=0,"",VLOOKUP(BM24,'Tablas psiquica'!$D$7:$R$145,9,FALSE))</f>
        <v/>
      </c>
      <c r="BQ29" s="6584"/>
      <c r="BR29" s="6584"/>
      <c r="BS29" s="6585"/>
      <c r="BT29" s="1082"/>
      <c r="BU29" s="1613">
        <v>120</v>
      </c>
      <c r="BV29" s="6582" t="s">
        <v>1730</v>
      </c>
      <c r="BW29" s="6503"/>
      <c r="BX29" s="6583" t="str">
        <f>IF(BU24=0,"",VLOOKUP(BU24,'Tablas psiquica'!$D$7:$R$145,9,FALSE))</f>
        <v/>
      </c>
      <c r="BY29" s="6584"/>
      <c r="BZ29" s="6584"/>
      <c r="CA29" s="6585"/>
      <c r="CB29" s="398"/>
      <c r="CC29" s="392"/>
      <c r="CD29" s="392"/>
      <c r="CE29" s="1082"/>
      <c r="CF29" s="1613">
        <v>120</v>
      </c>
      <c r="CG29" s="6582" t="s">
        <v>1730</v>
      </c>
      <c r="CH29" s="6503"/>
      <c r="CI29" s="6583" t="str">
        <f>IF(CF24=0,"",VLOOKUP(CF24,'Tablas psiquica'!$D$7:$R$145,9,FALSE))</f>
        <v/>
      </c>
      <c r="CJ29" s="6584"/>
      <c r="CK29" s="6584"/>
      <c r="CL29" s="6585"/>
      <c r="CM29" s="654"/>
      <c r="CN29" s="1613">
        <v>120</v>
      </c>
      <c r="CO29" s="6582" t="s">
        <v>1730</v>
      </c>
      <c r="CP29" s="6503"/>
      <c r="CQ29" s="6583" t="str">
        <f>IF(CN24=0,"",VLOOKUP(CN24,'Tablas psiquica'!$D$7:$R$145,9,FALSE))</f>
        <v/>
      </c>
      <c r="CR29" s="6584"/>
      <c r="CS29" s="6584"/>
      <c r="CT29" s="6585"/>
      <c r="CU29" s="1082"/>
      <c r="CV29" s="1613">
        <v>120</v>
      </c>
      <c r="CW29" s="6582" t="s">
        <v>1730</v>
      </c>
      <c r="CX29" s="6503"/>
      <c r="CY29" s="6583" t="str">
        <f>IF(CV24=0,"",VLOOKUP(CV24,'Tablas psiquica'!$D$7:$R$145,9,FALSE))</f>
        <v/>
      </c>
      <c r="CZ29" s="6584"/>
      <c r="DA29" s="6584"/>
      <c r="DB29" s="6585"/>
      <c r="DC29" s="398"/>
      <c r="DD29" s="392"/>
    </row>
    <row r="30" spans="1:108" ht="12" customHeight="1" x14ac:dyDescent="0.2">
      <c r="A30" s="392"/>
      <c r="B30" s="1082"/>
      <c r="C30" s="1614">
        <v>140</v>
      </c>
      <c r="D30" s="6586" t="s">
        <v>6237</v>
      </c>
      <c r="E30" s="6508"/>
      <c r="F30" s="6587" t="str">
        <f>IF(C24=0,"",VLOOKUP(C24,'Tablas psiquica'!$D$7:$R$145,10,FALSE))</f>
        <v/>
      </c>
      <c r="G30" s="6042"/>
      <c r="H30" s="6042"/>
      <c r="I30" s="6588"/>
      <c r="J30" s="654"/>
      <c r="K30" s="1614">
        <v>140</v>
      </c>
      <c r="L30" s="6586" t="s">
        <v>6237</v>
      </c>
      <c r="M30" s="6508"/>
      <c r="N30" s="6587" t="str">
        <f>IF(K24=0,"",VLOOKUP(K24,'Tablas psiquica'!$D$7:$R$145,10,FALSE))</f>
        <v/>
      </c>
      <c r="O30" s="6042"/>
      <c r="P30" s="6042"/>
      <c r="Q30" s="6588"/>
      <c r="R30" s="1082"/>
      <c r="S30" s="1614">
        <v>140</v>
      </c>
      <c r="T30" s="6586" t="s">
        <v>6237</v>
      </c>
      <c r="U30" s="6508"/>
      <c r="V30" s="6587" t="str">
        <f>IF(S24=0,"",VLOOKUP(S24,'Tablas psiquica'!$D$7:$R$145,10,FALSE))</f>
        <v/>
      </c>
      <c r="W30" s="6042"/>
      <c r="X30" s="6042"/>
      <c r="Y30" s="6588"/>
      <c r="Z30" s="398"/>
      <c r="AA30" s="392"/>
      <c r="AB30" s="392"/>
      <c r="AC30" s="1082"/>
      <c r="AD30" s="1614">
        <v>140</v>
      </c>
      <c r="AE30" s="6586" t="s">
        <v>6237</v>
      </c>
      <c r="AF30" s="6508"/>
      <c r="AG30" s="6587" t="str">
        <f>IF(AD24=0,"",VLOOKUP(AD24,'Tablas psiquica'!$D$7:$R$145,10,FALSE))</f>
        <v/>
      </c>
      <c r="AH30" s="6042"/>
      <c r="AI30" s="6042"/>
      <c r="AJ30" s="6588"/>
      <c r="AK30" s="654"/>
      <c r="AL30" s="1614">
        <v>140</v>
      </c>
      <c r="AM30" s="6586" t="s">
        <v>6237</v>
      </c>
      <c r="AN30" s="6508"/>
      <c r="AO30" s="6587" t="str">
        <f>IF(AL24=0,"",VLOOKUP(AL24,'Tablas psiquica'!$D$7:$R$145,10,FALSE))</f>
        <v/>
      </c>
      <c r="AP30" s="6042"/>
      <c r="AQ30" s="6042"/>
      <c r="AR30" s="6588"/>
      <c r="AS30" s="1082"/>
      <c r="AT30" s="1614">
        <v>140</v>
      </c>
      <c r="AU30" s="6586" t="s">
        <v>6237</v>
      </c>
      <c r="AV30" s="6508"/>
      <c r="AW30" s="6587" t="str">
        <f>IF(AT24=0,"",VLOOKUP(AT24,'Tablas psiquica'!$D$7:$R$145,10,FALSE))</f>
        <v/>
      </c>
      <c r="AX30" s="6042"/>
      <c r="AY30" s="6042"/>
      <c r="AZ30" s="6588"/>
      <c r="BA30" s="398"/>
      <c r="BB30" s="392"/>
      <c r="BC30" s="392"/>
      <c r="BD30" s="1082"/>
      <c r="BE30" s="1614">
        <v>140</v>
      </c>
      <c r="BF30" s="6586" t="s">
        <v>6237</v>
      </c>
      <c r="BG30" s="6508"/>
      <c r="BH30" s="6587" t="str">
        <f>IF(BE24=0,"",VLOOKUP(BE24,'Tablas psiquica'!$D$7:$R$145,10,FALSE))</f>
        <v/>
      </c>
      <c r="BI30" s="6042"/>
      <c r="BJ30" s="6042"/>
      <c r="BK30" s="6588"/>
      <c r="BL30" s="654"/>
      <c r="BM30" s="1614">
        <v>140</v>
      </c>
      <c r="BN30" s="6586" t="s">
        <v>6237</v>
      </c>
      <c r="BO30" s="6508"/>
      <c r="BP30" s="6587" t="str">
        <f>IF(BM24=0,"",VLOOKUP(BM24,'Tablas psiquica'!$D$7:$R$145,10,FALSE))</f>
        <v/>
      </c>
      <c r="BQ30" s="6042"/>
      <c r="BR30" s="6042"/>
      <c r="BS30" s="6588"/>
      <c r="BT30" s="1082"/>
      <c r="BU30" s="1614">
        <v>140</v>
      </c>
      <c r="BV30" s="6586" t="s">
        <v>6237</v>
      </c>
      <c r="BW30" s="6508"/>
      <c r="BX30" s="6587" t="str">
        <f>IF(BU24=0,"",VLOOKUP(BU24,'Tablas psiquica'!$D$7:$R$145,10,FALSE))</f>
        <v/>
      </c>
      <c r="BY30" s="6042"/>
      <c r="BZ30" s="6042"/>
      <c r="CA30" s="6588"/>
      <c r="CB30" s="398"/>
      <c r="CC30" s="392"/>
      <c r="CD30" s="392"/>
      <c r="CE30" s="1082"/>
      <c r="CF30" s="1614">
        <v>140</v>
      </c>
      <c r="CG30" s="6586" t="s">
        <v>6237</v>
      </c>
      <c r="CH30" s="6508"/>
      <c r="CI30" s="6587" t="str">
        <f>IF(CF24=0,"",VLOOKUP(CF24,'Tablas psiquica'!$D$7:$R$145,10,FALSE))</f>
        <v/>
      </c>
      <c r="CJ30" s="6042"/>
      <c r="CK30" s="6042"/>
      <c r="CL30" s="6588"/>
      <c r="CM30" s="654"/>
      <c r="CN30" s="1614">
        <v>140</v>
      </c>
      <c r="CO30" s="6586" t="s">
        <v>6237</v>
      </c>
      <c r="CP30" s="6508"/>
      <c r="CQ30" s="6587" t="str">
        <f>IF(CN24=0,"",VLOOKUP(CN24,'Tablas psiquica'!$D$7:$R$145,10,FALSE))</f>
        <v/>
      </c>
      <c r="CR30" s="6042"/>
      <c r="CS30" s="6042"/>
      <c r="CT30" s="6588"/>
      <c r="CU30" s="1082"/>
      <c r="CV30" s="1614">
        <v>140</v>
      </c>
      <c r="CW30" s="6586" t="s">
        <v>6237</v>
      </c>
      <c r="CX30" s="6508"/>
      <c r="CY30" s="6587" t="str">
        <f>IF(CV24=0,"",VLOOKUP(CV24,'Tablas psiquica'!$D$7:$R$145,10,FALSE))</f>
        <v/>
      </c>
      <c r="CZ30" s="6042"/>
      <c r="DA30" s="6042"/>
      <c r="DB30" s="6588"/>
      <c r="DC30" s="398"/>
      <c r="DD30" s="392"/>
    </row>
    <row r="31" spans="1:108" ht="12" customHeight="1" x14ac:dyDescent="0.2">
      <c r="A31" s="392"/>
      <c r="B31" s="1082"/>
      <c r="C31" s="1613">
        <v>180</v>
      </c>
      <c r="D31" s="6582" t="s">
        <v>1734</v>
      </c>
      <c r="E31" s="6503"/>
      <c r="F31" s="6583" t="str">
        <f>IF(C24=0,"",VLOOKUP(C24,'Tablas psiquica'!$D$7:$R$145,11,FALSE))</f>
        <v/>
      </c>
      <c r="G31" s="6584"/>
      <c r="H31" s="6584"/>
      <c r="I31" s="6585"/>
      <c r="J31" s="654"/>
      <c r="K31" s="1613">
        <v>180</v>
      </c>
      <c r="L31" s="6582" t="s">
        <v>1734</v>
      </c>
      <c r="M31" s="6503"/>
      <c r="N31" s="6583" t="str">
        <f>IF(K24=0,"",VLOOKUP(K24,'Tablas psiquica'!$D$7:$R$145,11,FALSE))</f>
        <v/>
      </c>
      <c r="O31" s="6584"/>
      <c r="P31" s="6584"/>
      <c r="Q31" s="6585"/>
      <c r="R31" s="1082"/>
      <c r="S31" s="1613">
        <v>180</v>
      </c>
      <c r="T31" s="6582" t="s">
        <v>1734</v>
      </c>
      <c r="U31" s="6503"/>
      <c r="V31" s="6583" t="str">
        <f>IF(S24=0,"",VLOOKUP(S24,'Tablas psiquica'!$D$7:$R$145,11,FALSE))</f>
        <v/>
      </c>
      <c r="W31" s="6584"/>
      <c r="X31" s="6584"/>
      <c r="Y31" s="6585"/>
      <c r="Z31" s="398"/>
      <c r="AA31" s="392"/>
      <c r="AB31" s="392"/>
      <c r="AC31" s="1082"/>
      <c r="AD31" s="1613">
        <v>180</v>
      </c>
      <c r="AE31" s="6582" t="s">
        <v>1734</v>
      </c>
      <c r="AF31" s="6503"/>
      <c r="AG31" s="6583" t="str">
        <f>IF(AD24=0,"",VLOOKUP(AD24,'Tablas psiquica'!$D$7:$R$145,11,FALSE))</f>
        <v/>
      </c>
      <c r="AH31" s="6584"/>
      <c r="AI31" s="6584"/>
      <c r="AJ31" s="6585"/>
      <c r="AK31" s="654"/>
      <c r="AL31" s="1613">
        <v>180</v>
      </c>
      <c r="AM31" s="6582" t="s">
        <v>1734</v>
      </c>
      <c r="AN31" s="6503"/>
      <c r="AO31" s="6583" t="str">
        <f>IF(AL24=0,"",VLOOKUP(AL24,'Tablas psiquica'!$D$7:$R$145,11,FALSE))</f>
        <v/>
      </c>
      <c r="AP31" s="6584"/>
      <c r="AQ31" s="6584"/>
      <c r="AR31" s="6585"/>
      <c r="AS31" s="1082"/>
      <c r="AT31" s="1613">
        <v>180</v>
      </c>
      <c r="AU31" s="6582" t="s">
        <v>1734</v>
      </c>
      <c r="AV31" s="6503"/>
      <c r="AW31" s="6583" t="str">
        <f>IF(AT24=0,"",VLOOKUP(AT24,'Tablas psiquica'!$D$7:$R$145,11,FALSE))</f>
        <v/>
      </c>
      <c r="AX31" s="6584"/>
      <c r="AY31" s="6584"/>
      <c r="AZ31" s="6585"/>
      <c r="BA31" s="398"/>
      <c r="BB31" s="392"/>
      <c r="BC31" s="392"/>
      <c r="BD31" s="1082"/>
      <c r="BE31" s="1613">
        <v>180</v>
      </c>
      <c r="BF31" s="6582" t="s">
        <v>1734</v>
      </c>
      <c r="BG31" s="6503"/>
      <c r="BH31" s="6583" t="str">
        <f>IF(BE24=0,"",VLOOKUP(BE24,'Tablas psiquica'!$D$7:$R$145,11,FALSE))</f>
        <v/>
      </c>
      <c r="BI31" s="6584"/>
      <c r="BJ31" s="6584"/>
      <c r="BK31" s="6585"/>
      <c r="BL31" s="654"/>
      <c r="BM31" s="1613">
        <v>180</v>
      </c>
      <c r="BN31" s="6582" t="s">
        <v>1734</v>
      </c>
      <c r="BO31" s="6503"/>
      <c r="BP31" s="6583" t="str">
        <f>IF(BM24=0,"",VLOOKUP(BM24,'Tablas psiquica'!$D$7:$R$145,11,FALSE))</f>
        <v/>
      </c>
      <c r="BQ31" s="6584"/>
      <c r="BR31" s="6584"/>
      <c r="BS31" s="6585"/>
      <c r="BT31" s="1082"/>
      <c r="BU31" s="1613">
        <v>180</v>
      </c>
      <c r="BV31" s="6582" t="s">
        <v>1734</v>
      </c>
      <c r="BW31" s="6503"/>
      <c r="BX31" s="6583" t="str">
        <f>IF(BU24=0,"",VLOOKUP(BU24,'Tablas psiquica'!$D$7:$R$145,11,FALSE))</f>
        <v/>
      </c>
      <c r="BY31" s="6584"/>
      <c r="BZ31" s="6584"/>
      <c r="CA31" s="6585"/>
      <c r="CB31" s="398"/>
      <c r="CC31" s="392"/>
      <c r="CD31" s="392"/>
      <c r="CE31" s="1082"/>
      <c r="CF31" s="1613">
        <v>180</v>
      </c>
      <c r="CG31" s="6582" t="s">
        <v>1734</v>
      </c>
      <c r="CH31" s="6503"/>
      <c r="CI31" s="6583" t="str">
        <f>IF(CF24=0,"",VLOOKUP(CF24,'Tablas psiquica'!$D$7:$R$145,11,FALSE))</f>
        <v/>
      </c>
      <c r="CJ31" s="6584"/>
      <c r="CK31" s="6584"/>
      <c r="CL31" s="6585"/>
      <c r="CM31" s="654"/>
      <c r="CN31" s="1613">
        <v>180</v>
      </c>
      <c r="CO31" s="6582" t="s">
        <v>1734</v>
      </c>
      <c r="CP31" s="6503"/>
      <c r="CQ31" s="6583" t="str">
        <f>IF(CN24=0,"",VLOOKUP(CN24,'Tablas psiquica'!$D$7:$R$145,11,FALSE))</f>
        <v/>
      </c>
      <c r="CR31" s="6584"/>
      <c r="CS31" s="6584"/>
      <c r="CT31" s="6585"/>
      <c r="CU31" s="1082"/>
      <c r="CV31" s="1613">
        <v>180</v>
      </c>
      <c r="CW31" s="6582" t="s">
        <v>1734</v>
      </c>
      <c r="CX31" s="6503"/>
      <c r="CY31" s="6583" t="str">
        <f>IF(CV24=0,"",VLOOKUP(CV24,'Tablas psiquica'!$D$7:$R$145,11,FALSE))</f>
        <v/>
      </c>
      <c r="CZ31" s="6584"/>
      <c r="DA31" s="6584"/>
      <c r="DB31" s="6585"/>
      <c r="DC31" s="398"/>
      <c r="DD31" s="392"/>
    </row>
    <row r="32" spans="1:108" ht="12" customHeight="1" x14ac:dyDescent="0.2">
      <c r="A32" s="392"/>
      <c r="B32" s="1082"/>
      <c r="C32" s="1614">
        <v>240</v>
      </c>
      <c r="D32" s="6586" t="s">
        <v>6238</v>
      </c>
      <c r="E32" s="6508"/>
      <c r="F32" s="6587" t="str">
        <f>IF(C24=0,"",VLOOKUP(C24,'Tablas psiquica'!$D$7:$R$145,12,FALSE))</f>
        <v/>
      </c>
      <c r="G32" s="6042"/>
      <c r="H32" s="6042"/>
      <c r="I32" s="6588"/>
      <c r="J32" s="654"/>
      <c r="K32" s="1614">
        <v>240</v>
      </c>
      <c r="L32" s="6586" t="s">
        <v>6238</v>
      </c>
      <c r="M32" s="6508"/>
      <c r="N32" s="6587" t="str">
        <f>IF(K24=0,"",VLOOKUP(K24,'Tablas psiquica'!$D$7:$R$145,12,FALSE))</f>
        <v/>
      </c>
      <c r="O32" s="6042"/>
      <c r="P32" s="6042"/>
      <c r="Q32" s="6588"/>
      <c r="R32" s="1082"/>
      <c r="S32" s="1614">
        <v>240</v>
      </c>
      <c r="T32" s="6586" t="s">
        <v>6238</v>
      </c>
      <c r="U32" s="6508"/>
      <c r="V32" s="6587" t="str">
        <f>IF(S24=0,"",VLOOKUP(S24,'Tablas psiquica'!$D$7:$R$145,12,FALSE))</f>
        <v/>
      </c>
      <c r="W32" s="6042"/>
      <c r="X32" s="6042"/>
      <c r="Y32" s="6588"/>
      <c r="Z32" s="398"/>
      <c r="AA32" s="392"/>
      <c r="AB32" s="392"/>
      <c r="AC32" s="1082"/>
      <c r="AD32" s="1614">
        <v>240</v>
      </c>
      <c r="AE32" s="6586" t="s">
        <v>6238</v>
      </c>
      <c r="AF32" s="6508"/>
      <c r="AG32" s="6587" t="str">
        <f>IF(AD24=0,"",VLOOKUP(AD24,'Tablas psiquica'!$D$7:$R$145,12,FALSE))</f>
        <v/>
      </c>
      <c r="AH32" s="6042"/>
      <c r="AI32" s="6042"/>
      <c r="AJ32" s="6588"/>
      <c r="AK32" s="654"/>
      <c r="AL32" s="1614">
        <v>240</v>
      </c>
      <c r="AM32" s="6586" t="s">
        <v>6238</v>
      </c>
      <c r="AN32" s="6508"/>
      <c r="AO32" s="6587" t="str">
        <f>IF(AL24=0,"",VLOOKUP(AL24,'Tablas psiquica'!$D$7:$R$145,12,FALSE))</f>
        <v/>
      </c>
      <c r="AP32" s="6042"/>
      <c r="AQ32" s="6042"/>
      <c r="AR32" s="6588"/>
      <c r="AS32" s="1082"/>
      <c r="AT32" s="1614">
        <v>240</v>
      </c>
      <c r="AU32" s="6586" t="s">
        <v>6238</v>
      </c>
      <c r="AV32" s="6508"/>
      <c r="AW32" s="6587" t="str">
        <f>IF(AT24=0,"",VLOOKUP(AT24,'Tablas psiquica'!$D$7:$R$145,12,FALSE))</f>
        <v/>
      </c>
      <c r="AX32" s="6042"/>
      <c r="AY32" s="6042"/>
      <c r="AZ32" s="6588"/>
      <c r="BA32" s="398"/>
      <c r="BB32" s="392"/>
      <c r="BC32" s="392"/>
      <c r="BD32" s="1082"/>
      <c r="BE32" s="1614">
        <v>240</v>
      </c>
      <c r="BF32" s="6586" t="s">
        <v>6238</v>
      </c>
      <c r="BG32" s="6508"/>
      <c r="BH32" s="6587" t="str">
        <f>IF(BE24=0,"",VLOOKUP(BE24,'Tablas psiquica'!$D$7:$R$145,12,FALSE))</f>
        <v/>
      </c>
      <c r="BI32" s="6042"/>
      <c r="BJ32" s="6042"/>
      <c r="BK32" s="6588"/>
      <c r="BL32" s="654"/>
      <c r="BM32" s="1614">
        <v>240</v>
      </c>
      <c r="BN32" s="6586" t="s">
        <v>6238</v>
      </c>
      <c r="BO32" s="6508"/>
      <c r="BP32" s="6587" t="str">
        <f>IF(BM24=0,"",VLOOKUP(BM24,'Tablas psiquica'!$D$7:$R$145,12,FALSE))</f>
        <v/>
      </c>
      <c r="BQ32" s="6042"/>
      <c r="BR32" s="6042"/>
      <c r="BS32" s="6588"/>
      <c r="BT32" s="1082"/>
      <c r="BU32" s="1614">
        <v>240</v>
      </c>
      <c r="BV32" s="6586" t="s">
        <v>6238</v>
      </c>
      <c r="BW32" s="6508"/>
      <c r="BX32" s="6587" t="str">
        <f>IF(BU24=0,"",VLOOKUP(BU24,'Tablas psiquica'!$D$7:$R$145,12,FALSE))</f>
        <v/>
      </c>
      <c r="BY32" s="6042"/>
      <c r="BZ32" s="6042"/>
      <c r="CA32" s="6588"/>
      <c r="CB32" s="398"/>
      <c r="CC32" s="392"/>
      <c r="CD32" s="392"/>
      <c r="CE32" s="1082"/>
      <c r="CF32" s="1614">
        <v>240</v>
      </c>
      <c r="CG32" s="6586" t="s">
        <v>6238</v>
      </c>
      <c r="CH32" s="6508"/>
      <c r="CI32" s="6587" t="str">
        <f>IF(CF24=0,"",VLOOKUP(CF24,'Tablas psiquica'!$D$7:$R$145,12,FALSE))</f>
        <v/>
      </c>
      <c r="CJ32" s="6042"/>
      <c r="CK32" s="6042"/>
      <c r="CL32" s="6588"/>
      <c r="CM32" s="654"/>
      <c r="CN32" s="1614">
        <v>240</v>
      </c>
      <c r="CO32" s="6586" t="s">
        <v>6238</v>
      </c>
      <c r="CP32" s="6508"/>
      <c r="CQ32" s="6587" t="str">
        <f>IF(CN24=0,"",VLOOKUP(CN24,'Tablas psiquica'!$D$7:$R$145,12,FALSE))</f>
        <v/>
      </c>
      <c r="CR32" s="6042"/>
      <c r="CS32" s="6042"/>
      <c r="CT32" s="6588"/>
      <c r="CU32" s="1082"/>
      <c r="CV32" s="1614">
        <v>240</v>
      </c>
      <c r="CW32" s="6586" t="s">
        <v>6238</v>
      </c>
      <c r="CX32" s="6508"/>
      <c r="CY32" s="6587" t="str">
        <f>IF(CV24=0,"",VLOOKUP(CV24,'Tablas psiquica'!$D$7:$R$145,12,FALSE))</f>
        <v/>
      </c>
      <c r="CZ32" s="6042"/>
      <c r="DA32" s="6042"/>
      <c r="DB32" s="6588"/>
      <c r="DC32" s="398"/>
      <c r="DD32" s="392"/>
    </row>
    <row r="33" spans="1:108" ht="12" customHeight="1" x14ac:dyDescent="0.2">
      <c r="A33" s="392"/>
      <c r="B33" s="1082"/>
      <c r="C33" s="1613">
        <v>280</v>
      </c>
      <c r="D33" s="6582" t="s">
        <v>1737</v>
      </c>
      <c r="E33" s="6503"/>
      <c r="F33" s="6583" t="str">
        <f>IF(C24=0,"",VLOOKUP(C24,'Tablas psiquica'!$D$7:$R$145,13,FALSE))</f>
        <v/>
      </c>
      <c r="G33" s="6584"/>
      <c r="H33" s="6584"/>
      <c r="I33" s="6585"/>
      <c r="J33" s="654"/>
      <c r="K33" s="1613">
        <v>280</v>
      </c>
      <c r="L33" s="6582" t="s">
        <v>1737</v>
      </c>
      <c r="M33" s="6503"/>
      <c r="N33" s="6583" t="str">
        <f>IF(K24=0,"",VLOOKUP(K24,'Tablas psiquica'!$D$7:$R$145,13,FALSE))</f>
        <v/>
      </c>
      <c r="O33" s="6584"/>
      <c r="P33" s="6584"/>
      <c r="Q33" s="6585"/>
      <c r="R33" s="1082"/>
      <c r="S33" s="1613">
        <v>280</v>
      </c>
      <c r="T33" s="6582" t="s">
        <v>1737</v>
      </c>
      <c r="U33" s="6503"/>
      <c r="V33" s="6583" t="str">
        <f>IF(S24=0,"",VLOOKUP(S24,'Tablas psiquica'!$D$7:$R$145,13,FALSE))</f>
        <v/>
      </c>
      <c r="W33" s="6584"/>
      <c r="X33" s="6584"/>
      <c r="Y33" s="6585"/>
      <c r="Z33" s="398"/>
      <c r="AA33" s="392"/>
      <c r="AB33" s="392"/>
      <c r="AC33" s="1082"/>
      <c r="AD33" s="1613">
        <v>280</v>
      </c>
      <c r="AE33" s="6582" t="s">
        <v>1737</v>
      </c>
      <c r="AF33" s="6503"/>
      <c r="AG33" s="6583" t="str">
        <f>IF(AD24=0,"",VLOOKUP(AD24,'Tablas psiquica'!$D$7:$R$145,13,FALSE))</f>
        <v/>
      </c>
      <c r="AH33" s="6584"/>
      <c r="AI33" s="6584"/>
      <c r="AJ33" s="6585"/>
      <c r="AK33" s="654"/>
      <c r="AL33" s="1613">
        <v>280</v>
      </c>
      <c r="AM33" s="6582" t="s">
        <v>1737</v>
      </c>
      <c r="AN33" s="6503"/>
      <c r="AO33" s="6583" t="str">
        <f>IF(AL24=0,"",VLOOKUP(AL24,'Tablas psiquica'!$D$7:$R$145,13,FALSE))</f>
        <v/>
      </c>
      <c r="AP33" s="6584"/>
      <c r="AQ33" s="6584"/>
      <c r="AR33" s="6585"/>
      <c r="AS33" s="1082"/>
      <c r="AT33" s="1613">
        <v>280</v>
      </c>
      <c r="AU33" s="6582" t="s">
        <v>1737</v>
      </c>
      <c r="AV33" s="6503"/>
      <c r="AW33" s="6583" t="str">
        <f>IF(AT24=0,"",VLOOKUP(AT24,'Tablas psiquica'!$D$7:$R$145,13,FALSE))</f>
        <v/>
      </c>
      <c r="AX33" s="6584"/>
      <c r="AY33" s="6584"/>
      <c r="AZ33" s="6585"/>
      <c r="BA33" s="398"/>
      <c r="BB33" s="392"/>
      <c r="BC33" s="392"/>
      <c r="BD33" s="1082"/>
      <c r="BE33" s="1613">
        <v>280</v>
      </c>
      <c r="BF33" s="6582" t="s">
        <v>1737</v>
      </c>
      <c r="BG33" s="6503"/>
      <c r="BH33" s="6583" t="str">
        <f>IF(BE24=0,"",VLOOKUP(BE24,'Tablas psiquica'!$D$7:$R$145,13,FALSE))</f>
        <v/>
      </c>
      <c r="BI33" s="6584"/>
      <c r="BJ33" s="6584"/>
      <c r="BK33" s="6585"/>
      <c r="BL33" s="654"/>
      <c r="BM33" s="1613">
        <v>280</v>
      </c>
      <c r="BN33" s="6582" t="s">
        <v>1737</v>
      </c>
      <c r="BO33" s="6503"/>
      <c r="BP33" s="6583" t="str">
        <f>IF(BM24=0,"",VLOOKUP(BM24,'Tablas psiquica'!$D$7:$R$145,13,FALSE))</f>
        <v/>
      </c>
      <c r="BQ33" s="6584"/>
      <c r="BR33" s="6584"/>
      <c r="BS33" s="6585"/>
      <c r="BT33" s="1082"/>
      <c r="BU33" s="1613">
        <v>280</v>
      </c>
      <c r="BV33" s="6582" t="s">
        <v>1737</v>
      </c>
      <c r="BW33" s="6503"/>
      <c r="BX33" s="6583" t="str">
        <f>IF(BU24=0,"",VLOOKUP(BU24,'Tablas psiquica'!$D$7:$R$145,13,FALSE))</f>
        <v/>
      </c>
      <c r="BY33" s="6584"/>
      <c r="BZ33" s="6584"/>
      <c r="CA33" s="6585"/>
      <c r="CB33" s="398"/>
      <c r="CC33" s="392"/>
      <c r="CD33" s="392"/>
      <c r="CE33" s="1082"/>
      <c r="CF33" s="1613">
        <v>280</v>
      </c>
      <c r="CG33" s="6582" t="s">
        <v>1737</v>
      </c>
      <c r="CH33" s="6503"/>
      <c r="CI33" s="6583" t="str">
        <f>IF(CF24=0,"",VLOOKUP(CF24,'Tablas psiquica'!$D$7:$R$145,13,FALSE))</f>
        <v/>
      </c>
      <c r="CJ33" s="6584"/>
      <c r="CK33" s="6584"/>
      <c r="CL33" s="6585"/>
      <c r="CM33" s="654"/>
      <c r="CN33" s="1613">
        <v>280</v>
      </c>
      <c r="CO33" s="6582" t="s">
        <v>1737</v>
      </c>
      <c r="CP33" s="6503"/>
      <c r="CQ33" s="6583" t="str">
        <f>IF(CN24=0,"",VLOOKUP(CN24,'Tablas psiquica'!$D$7:$R$145,13,FALSE))</f>
        <v/>
      </c>
      <c r="CR33" s="6584"/>
      <c r="CS33" s="6584"/>
      <c r="CT33" s="6585"/>
      <c r="CU33" s="1082"/>
      <c r="CV33" s="1613">
        <v>280</v>
      </c>
      <c r="CW33" s="6582" t="s">
        <v>1737</v>
      </c>
      <c r="CX33" s="6503"/>
      <c r="CY33" s="6583" t="str">
        <f>IF(CV24=0,"",VLOOKUP(CV24,'Tablas psiquica'!$D$7:$R$145,13,FALSE))</f>
        <v/>
      </c>
      <c r="CZ33" s="6584"/>
      <c r="DA33" s="6584"/>
      <c r="DB33" s="6585"/>
      <c r="DC33" s="398"/>
      <c r="DD33" s="392"/>
    </row>
    <row r="34" spans="1:108" ht="12" customHeight="1" x14ac:dyDescent="0.2">
      <c r="A34" s="392"/>
      <c r="B34" s="1082"/>
      <c r="C34" s="1614">
        <v>320</v>
      </c>
      <c r="D34" s="6586" t="s">
        <v>1739</v>
      </c>
      <c r="E34" s="6508"/>
      <c r="F34" s="6587" t="str">
        <f>IF(C24=0,"",VLOOKUP(C24,'Tablas psiquica'!$D$7:$R$145,14,FALSE))</f>
        <v/>
      </c>
      <c r="G34" s="6042"/>
      <c r="H34" s="6042"/>
      <c r="I34" s="6588"/>
      <c r="J34" s="654"/>
      <c r="K34" s="1614">
        <v>320</v>
      </c>
      <c r="L34" s="6586" t="s">
        <v>1739</v>
      </c>
      <c r="M34" s="6508"/>
      <c r="N34" s="6587" t="str">
        <f>IF(K24=0,"",VLOOKUP(K24,'Tablas psiquica'!$D$7:$R$145,14,FALSE))</f>
        <v/>
      </c>
      <c r="O34" s="6042"/>
      <c r="P34" s="6042"/>
      <c r="Q34" s="6588"/>
      <c r="R34" s="1082"/>
      <c r="S34" s="1614">
        <v>320</v>
      </c>
      <c r="T34" s="6586" t="s">
        <v>1739</v>
      </c>
      <c r="U34" s="6508"/>
      <c r="V34" s="6587" t="str">
        <f>IF(S24=0,"",VLOOKUP(S24,'Tablas psiquica'!$D$7:$R$145,14,FALSE))</f>
        <v/>
      </c>
      <c r="W34" s="6042"/>
      <c r="X34" s="6042"/>
      <c r="Y34" s="6588"/>
      <c r="Z34" s="398"/>
      <c r="AA34" s="392"/>
      <c r="AB34" s="392"/>
      <c r="AC34" s="1082"/>
      <c r="AD34" s="1614">
        <v>320</v>
      </c>
      <c r="AE34" s="6586" t="s">
        <v>1739</v>
      </c>
      <c r="AF34" s="6508"/>
      <c r="AG34" s="6587" t="str">
        <f>IF(AD24=0,"",VLOOKUP(AD24,'Tablas psiquica'!$D$7:$R$145,14,FALSE))</f>
        <v/>
      </c>
      <c r="AH34" s="6042"/>
      <c r="AI34" s="6042"/>
      <c r="AJ34" s="6588"/>
      <c r="AK34" s="654"/>
      <c r="AL34" s="1614">
        <v>320</v>
      </c>
      <c r="AM34" s="6586" t="s">
        <v>1739</v>
      </c>
      <c r="AN34" s="6508"/>
      <c r="AO34" s="6587" t="str">
        <f>IF(AL24=0,"",VLOOKUP(AL24,'Tablas psiquica'!$D$7:$R$145,14,FALSE))</f>
        <v/>
      </c>
      <c r="AP34" s="6042"/>
      <c r="AQ34" s="6042"/>
      <c r="AR34" s="6588"/>
      <c r="AS34" s="1082"/>
      <c r="AT34" s="1614">
        <v>320</v>
      </c>
      <c r="AU34" s="6586" t="s">
        <v>1739</v>
      </c>
      <c r="AV34" s="6508"/>
      <c r="AW34" s="6587" t="str">
        <f>IF(AT24=0,"",VLOOKUP(AT24,'Tablas psiquica'!$D$7:$R$145,14,FALSE))</f>
        <v/>
      </c>
      <c r="AX34" s="6042"/>
      <c r="AY34" s="6042"/>
      <c r="AZ34" s="6588"/>
      <c r="BA34" s="398"/>
      <c r="BB34" s="392"/>
      <c r="BC34" s="392"/>
      <c r="BD34" s="1082"/>
      <c r="BE34" s="1614">
        <v>320</v>
      </c>
      <c r="BF34" s="6586" t="s">
        <v>1739</v>
      </c>
      <c r="BG34" s="6508"/>
      <c r="BH34" s="6587" t="str">
        <f>IF(BE24=0,"",VLOOKUP(BE24,'Tablas psiquica'!$D$7:$R$145,14,FALSE))</f>
        <v/>
      </c>
      <c r="BI34" s="6042"/>
      <c r="BJ34" s="6042"/>
      <c r="BK34" s="6588"/>
      <c r="BL34" s="654"/>
      <c r="BM34" s="1614">
        <v>320</v>
      </c>
      <c r="BN34" s="6586" t="s">
        <v>1739</v>
      </c>
      <c r="BO34" s="6508"/>
      <c r="BP34" s="6587" t="str">
        <f>IF(BM24=0,"",VLOOKUP(BM24,'Tablas psiquica'!$D$7:$R$145,14,FALSE))</f>
        <v/>
      </c>
      <c r="BQ34" s="6042"/>
      <c r="BR34" s="6042"/>
      <c r="BS34" s="6588"/>
      <c r="BT34" s="1082"/>
      <c r="BU34" s="1614">
        <v>320</v>
      </c>
      <c r="BV34" s="6586" t="s">
        <v>1739</v>
      </c>
      <c r="BW34" s="6508"/>
      <c r="BX34" s="6587" t="str">
        <f>IF(BU24=0,"",VLOOKUP(BU24,'Tablas psiquica'!$D$7:$R$145,14,FALSE))</f>
        <v/>
      </c>
      <c r="BY34" s="6042"/>
      <c r="BZ34" s="6042"/>
      <c r="CA34" s="6588"/>
      <c r="CB34" s="398"/>
      <c r="CC34" s="392"/>
      <c r="CD34" s="392"/>
      <c r="CE34" s="1082"/>
      <c r="CF34" s="1614">
        <v>320</v>
      </c>
      <c r="CG34" s="6586" t="s">
        <v>1739</v>
      </c>
      <c r="CH34" s="6508"/>
      <c r="CI34" s="6587" t="str">
        <f>IF(CF24=0,"",VLOOKUP(CF24,'Tablas psiquica'!$D$7:$R$145,14,FALSE))</f>
        <v/>
      </c>
      <c r="CJ34" s="6042"/>
      <c r="CK34" s="6042"/>
      <c r="CL34" s="6588"/>
      <c r="CM34" s="654"/>
      <c r="CN34" s="1614">
        <v>320</v>
      </c>
      <c r="CO34" s="6586" t="s">
        <v>1739</v>
      </c>
      <c r="CP34" s="6508"/>
      <c r="CQ34" s="6587" t="str">
        <f>IF(CN24=0,"",VLOOKUP(CN24,'Tablas psiquica'!$D$7:$R$145,14,FALSE))</f>
        <v/>
      </c>
      <c r="CR34" s="6042"/>
      <c r="CS34" s="6042"/>
      <c r="CT34" s="6588"/>
      <c r="CU34" s="1082"/>
      <c r="CV34" s="1614">
        <v>320</v>
      </c>
      <c r="CW34" s="6586" t="s">
        <v>1739</v>
      </c>
      <c r="CX34" s="6508"/>
      <c r="CY34" s="6587" t="str">
        <f>IF(CV24=0,"",VLOOKUP(CV24,'Tablas psiquica'!$D$7:$R$145,14,FALSE))</f>
        <v/>
      </c>
      <c r="CZ34" s="6042"/>
      <c r="DA34" s="6042"/>
      <c r="DB34" s="6588"/>
      <c r="DC34" s="398"/>
      <c r="DD34" s="392"/>
    </row>
    <row r="35" spans="1:108" ht="12" customHeight="1" x14ac:dyDescent="0.2">
      <c r="A35" s="392"/>
      <c r="B35" s="1082"/>
      <c r="C35" s="424">
        <v>440</v>
      </c>
      <c r="D35" s="6589" t="s">
        <v>1682</v>
      </c>
      <c r="E35" s="6590"/>
      <c r="F35" s="6591" t="str">
        <f>IF(C24=0,"",VLOOKUP(C24,'Tablas psiquica'!$D$7:$R$145,15,FALSE))</f>
        <v/>
      </c>
      <c r="G35" s="6592"/>
      <c r="H35" s="6592"/>
      <c r="I35" s="6593"/>
      <c r="J35" s="654"/>
      <c r="K35" s="424">
        <v>440</v>
      </c>
      <c r="L35" s="6589" t="s">
        <v>1682</v>
      </c>
      <c r="M35" s="6590"/>
      <c r="N35" s="6591" t="str">
        <f>IF(K24=0,"",VLOOKUP(K24,'Tablas psiquica'!$D$7:$R$145,15,FALSE))</f>
        <v/>
      </c>
      <c r="O35" s="6592"/>
      <c r="P35" s="6592"/>
      <c r="Q35" s="6593"/>
      <c r="R35" s="1082"/>
      <c r="S35" s="424">
        <v>440</v>
      </c>
      <c r="T35" s="6589" t="s">
        <v>1682</v>
      </c>
      <c r="U35" s="6590"/>
      <c r="V35" s="6591" t="str">
        <f>IF(S24=0,"",VLOOKUP(S24,'Tablas psiquica'!$D$7:$R$145,15,FALSE))</f>
        <v/>
      </c>
      <c r="W35" s="6592"/>
      <c r="X35" s="6592"/>
      <c r="Y35" s="6593"/>
      <c r="Z35" s="398"/>
      <c r="AA35" s="392"/>
      <c r="AB35" s="392"/>
      <c r="AC35" s="1082"/>
      <c r="AD35" s="424">
        <v>440</v>
      </c>
      <c r="AE35" s="6589" t="s">
        <v>1682</v>
      </c>
      <c r="AF35" s="6590"/>
      <c r="AG35" s="6591" t="str">
        <f>IF(AD24=0,"",VLOOKUP(AD24,'Tablas psiquica'!$D$7:$R$145,15,FALSE))</f>
        <v/>
      </c>
      <c r="AH35" s="6592"/>
      <c r="AI35" s="6592"/>
      <c r="AJ35" s="6593"/>
      <c r="AK35" s="654"/>
      <c r="AL35" s="424">
        <v>440</v>
      </c>
      <c r="AM35" s="6589" t="s">
        <v>1682</v>
      </c>
      <c r="AN35" s="6590"/>
      <c r="AO35" s="6591" t="str">
        <f>IF(AL24=0,"",VLOOKUP(AL24,'Tablas psiquica'!$D$7:$R$145,15,FALSE))</f>
        <v/>
      </c>
      <c r="AP35" s="6592"/>
      <c r="AQ35" s="6592"/>
      <c r="AR35" s="6593"/>
      <c r="AS35" s="1082"/>
      <c r="AT35" s="424">
        <v>440</v>
      </c>
      <c r="AU35" s="6589" t="s">
        <v>1682</v>
      </c>
      <c r="AV35" s="6590"/>
      <c r="AW35" s="6591" t="str">
        <f>IF(AT24=0,"",VLOOKUP(AT24,'Tablas psiquica'!$D$7:$R$145,15,FALSE))</f>
        <v/>
      </c>
      <c r="AX35" s="6592"/>
      <c r="AY35" s="6592"/>
      <c r="AZ35" s="6593"/>
      <c r="BA35" s="398"/>
      <c r="BB35" s="392"/>
      <c r="BC35" s="392"/>
      <c r="BD35" s="1082"/>
      <c r="BE35" s="424">
        <v>440</v>
      </c>
      <c r="BF35" s="6589" t="s">
        <v>1682</v>
      </c>
      <c r="BG35" s="6590"/>
      <c r="BH35" s="6591" t="str">
        <f>IF(BE24=0,"",VLOOKUP(BE24,'Tablas psiquica'!$D$7:$R$145,15,FALSE))</f>
        <v/>
      </c>
      <c r="BI35" s="6592"/>
      <c r="BJ35" s="6592"/>
      <c r="BK35" s="6593"/>
      <c r="BL35" s="654"/>
      <c r="BM35" s="424">
        <v>440</v>
      </c>
      <c r="BN35" s="6589" t="s">
        <v>1682</v>
      </c>
      <c r="BO35" s="6590"/>
      <c r="BP35" s="6591" t="str">
        <f>IF(BM24=0,"",VLOOKUP(BM24,'Tablas psiquica'!$D$7:$R$145,15,FALSE))</f>
        <v/>
      </c>
      <c r="BQ35" s="6592"/>
      <c r="BR35" s="6592"/>
      <c r="BS35" s="6593"/>
      <c r="BT35" s="1082"/>
      <c r="BU35" s="424">
        <v>440</v>
      </c>
      <c r="BV35" s="6589" t="s">
        <v>1682</v>
      </c>
      <c r="BW35" s="6590"/>
      <c r="BX35" s="6591" t="str">
        <f>IF(BU24=0,"",VLOOKUP(BU24,'Tablas psiquica'!$D$7:$R$145,15,FALSE))</f>
        <v/>
      </c>
      <c r="BY35" s="6592"/>
      <c r="BZ35" s="6592"/>
      <c r="CA35" s="6593"/>
      <c r="CB35" s="398"/>
      <c r="CC35" s="392"/>
      <c r="CD35" s="392"/>
      <c r="CE35" s="1082"/>
      <c r="CF35" s="424">
        <v>440</v>
      </c>
      <c r="CG35" s="6589" t="s">
        <v>1682</v>
      </c>
      <c r="CH35" s="6590"/>
      <c r="CI35" s="6591" t="str">
        <f>IF(CF24=0,"",VLOOKUP(CF24,'Tablas psiquica'!$D$7:$R$145,15,FALSE))</f>
        <v/>
      </c>
      <c r="CJ35" s="6592"/>
      <c r="CK35" s="6592"/>
      <c r="CL35" s="6593"/>
      <c r="CM35" s="654"/>
      <c r="CN35" s="424">
        <v>440</v>
      </c>
      <c r="CO35" s="6589" t="s">
        <v>1682</v>
      </c>
      <c r="CP35" s="6590"/>
      <c r="CQ35" s="6591" t="str">
        <f>IF(CN24=0,"",VLOOKUP(CN24,'Tablas psiquica'!$D$7:$R$145,15,FALSE))</f>
        <v/>
      </c>
      <c r="CR35" s="6592"/>
      <c r="CS35" s="6592"/>
      <c r="CT35" s="6593"/>
      <c r="CU35" s="1082"/>
      <c r="CV35" s="424">
        <v>440</v>
      </c>
      <c r="CW35" s="6589" t="s">
        <v>1682</v>
      </c>
      <c r="CX35" s="6590"/>
      <c r="CY35" s="6591" t="str">
        <f>IF(CV24=0,"",VLOOKUP(CV24,'Tablas psiquica'!$D$7:$R$145,15,FALSE))</f>
        <v/>
      </c>
      <c r="CZ35" s="6592"/>
      <c r="DA35" s="6592"/>
      <c r="DB35" s="6593"/>
      <c r="DC35" s="398"/>
      <c r="DD35" s="392"/>
    </row>
    <row r="36" spans="1:108" ht="12" customHeight="1" thickBot="1" x14ac:dyDescent="0.25">
      <c r="A36" s="392"/>
      <c r="B36" s="1082"/>
      <c r="C36" s="6594" t="s">
        <v>6239</v>
      </c>
      <c r="D36" s="6595"/>
      <c r="E36" s="425" t="str">
        <f>IF(C24=0,"",VLOOKUP(C24,'Tablas psiquica'!$D$7:$R$145,4,FALSE))</f>
        <v/>
      </c>
      <c r="F36" s="6596" t="s">
        <v>6234</v>
      </c>
      <c r="G36" s="6596"/>
      <c r="H36" s="6597" t="str">
        <f>IF(C24=0,"",VLOOKUP(C24,'Tablas psiquica'!$D$7:$R$145,5,FALSE))</f>
        <v/>
      </c>
      <c r="I36" s="6598"/>
      <c r="J36" s="654"/>
      <c r="K36" s="6594" t="s">
        <v>6239</v>
      </c>
      <c r="L36" s="6595"/>
      <c r="M36" s="425" t="str">
        <f>IF(K24=0,"",VLOOKUP(K24,'Tablas psiquica'!$D$7:$R$145,4,FALSE))</f>
        <v/>
      </c>
      <c r="N36" s="6596" t="s">
        <v>6234</v>
      </c>
      <c r="O36" s="6596"/>
      <c r="P36" s="6597" t="str">
        <f>IF(K24=0,"",VLOOKUP(K24,'Tablas psiquica'!$D$7:$R$145,5,FALSE))</f>
        <v/>
      </c>
      <c r="Q36" s="6598"/>
      <c r="R36" s="1082"/>
      <c r="S36" s="6594" t="s">
        <v>6239</v>
      </c>
      <c r="T36" s="6595"/>
      <c r="U36" s="425" t="str">
        <f>IF(S24=0,"",VLOOKUP(S24,'Tablas psiquica'!$D$7:$R$145,4,FALSE))</f>
        <v/>
      </c>
      <c r="V36" s="6596" t="s">
        <v>6234</v>
      </c>
      <c r="W36" s="6596"/>
      <c r="X36" s="6597" t="str">
        <f>IF(S24=0,"",VLOOKUP(S24,'Tablas psiquica'!$D$7:$R$145,5,FALSE))</f>
        <v/>
      </c>
      <c r="Y36" s="6598"/>
      <c r="Z36" s="398"/>
      <c r="AA36" s="392"/>
      <c r="AB36" s="392"/>
      <c r="AC36" s="1082"/>
      <c r="AD36" s="6594" t="s">
        <v>6239</v>
      </c>
      <c r="AE36" s="6595"/>
      <c r="AF36" s="425" t="str">
        <f>IF(AD24=0,"",VLOOKUP(AD24,'Tablas psiquica'!$D$7:$R$145,4,FALSE))</f>
        <v/>
      </c>
      <c r="AG36" s="6596" t="s">
        <v>6234</v>
      </c>
      <c r="AH36" s="6596"/>
      <c r="AI36" s="6597" t="str">
        <f>IF(AD24=0,"",VLOOKUP(AD24,'Tablas psiquica'!$D$7:$R$145,5,FALSE))</f>
        <v/>
      </c>
      <c r="AJ36" s="6598"/>
      <c r="AK36" s="654"/>
      <c r="AL36" s="6594" t="s">
        <v>6239</v>
      </c>
      <c r="AM36" s="6595"/>
      <c r="AN36" s="425" t="str">
        <f>IF(AL24=0,"",VLOOKUP(AL24,'Tablas psiquica'!$D$7:$R$145,4,FALSE))</f>
        <v/>
      </c>
      <c r="AO36" s="6596" t="s">
        <v>6234</v>
      </c>
      <c r="AP36" s="6596"/>
      <c r="AQ36" s="6597" t="str">
        <f>IF(AL24=0,"",VLOOKUP(AL24,'Tablas psiquica'!$D$7:$R$145,5,FALSE))</f>
        <v/>
      </c>
      <c r="AR36" s="6598"/>
      <c r="AS36" s="1082"/>
      <c r="AT36" s="6594" t="s">
        <v>6239</v>
      </c>
      <c r="AU36" s="6595"/>
      <c r="AV36" s="425" t="str">
        <f>IF(AT24=0,"",VLOOKUP(AT24,'Tablas psiquica'!$D$7:$R$145,4,FALSE))</f>
        <v/>
      </c>
      <c r="AW36" s="6596" t="s">
        <v>6234</v>
      </c>
      <c r="AX36" s="6596"/>
      <c r="AY36" s="6597" t="str">
        <f>IF(AT24=0,"",VLOOKUP(AT24,'Tablas psiquica'!$D$7:$R$145,5,FALSE))</f>
        <v/>
      </c>
      <c r="AZ36" s="6598"/>
      <c r="BA36" s="398"/>
      <c r="BB36" s="392"/>
      <c r="BC36" s="392"/>
      <c r="BD36" s="1082"/>
      <c r="BE36" s="6594" t="s">
        <v>6239</v>
      </c>
      <c r="BF36" s="6595"/>
      <c r="BG36" s="425" t="str">
        <f>IF(BE24=0,"",VLOOKUP(BE24,'Tablas psiquica'!$D$7:$R$145,4,FALSE))</f>
        <v/>
      </c>
      <c r="BH36" s="6596" t="s">
        <v>6234</v>
      </c>
      <c r="BI36" s="6596"/>
      <c r="BJ36" s="6597" t="str">
        <f>IF(BE24=0,"",VLOOKUP(BE24,'Tablas psiquica'!$D$7:$R$145,5,FALSE))</f>
        <v/>
      </c>
      <c r="BK36" s="6598"/>
      <c r="BL36" s="654"/>
      <c r="BM36" s="6594" t="s">
        <v>6239</v>
      </c>
      <c r="BN36" s="6595"/>
      <c r="BO36" s="425" t="str">
        <f>IF(BM24=0,"",VLOOKUP(BM24,'Tablas psiquica'!$D$7:$R$145,4,FALSE))</f>
        <v/>
      </c>
      <c r="BP36" s="6596" t="s">
        <v>6234</v>
      </c>
      <c r="BQ36" s="6596"/>
      <c r="BR36" s="6597" t="str">
        <f>IF(BM24=0,"",VLOOKUP(BM24,'Tablas psiquica'!$D$7:$R$145,5,FALSE))</f>
        <v/>
      </c>
      <c r="BS36" s="6598"/>
      <c r="BT36" s="1082"/>
      <c r="BU36" s="6594" t="s">
        <v>6239</v>
      </c>
      <c r="BV36" s="6595"/>
      <c r="BW36" s="425" t="str">
        <f>IF(BU24=0,"",VLOOKUP(BU24,'Tablas psiquica'!$D$7:$R$145,4,FALSE))</f>
        <v/>
      </c>
      <c r="BX36" s="6596" t="s">
        <v>6234</v>
      </c>
      <c r="BY36" s="6596"/>
      <c r="BZ36" s="6597" t="str">
        <f>IF(BU24=0,"",VLOOKUP(BU24,'Tablas psiquica'!$D$7:$R$145,5,FALSE))</f>
        <v/>
      </c>
      <c r="CA36" s="6598"/>
      <c r="CB36" s="398"/>
      <c r="CC36" s="392"/>
      <c r="CD36" s="392"/>
      <c r="CE36" s="1082"/>
      <c r="CF36" s="6594" t="s">
        <v>6239</v>
      </c>
      <c r="CG36" s="6595"/>
      <c r="CH36" s="425" t="str">
        <f>IF(CF24=0,"",VLOOKUP(CF24,'Tablas psiquica'!$D$7:$R$145,4,FALSE))</f>
        <v/>
      </c>
      <c r="CI36" s="6596" t="s">
        <v>6234</v>
      </c>
      <c r="CJ36" s="6596"/>
      <c r="CK36" s="6597" t="str">
        <f>IF(CF24=0,"",VLOOKUP(CF24,'Tablas psiquica'!$D$7:$R$145,5,FALSE))</f>
        <v/>
      </c>
      <c r="CL36" s="6598"/>
      <c r="CM36" s="654"/>
      <c r="CN36" s="6594" t="s">
        <v>6239</v>
      </c>
      <c r="CO36" s="6595"/>
      <c r="CP36" s="425" t="str">
        <f>IF(CN24=0,"",VLOOKUP(CN24,'Tablas psiquica'!$D$7:$R$145,4,FALSE))</f>
        <v/>
      </c>
      <c r="CQ36" s="6596" t="s">
        <v>6234</v>
      </c>
      <c r="CR36" s="6596"/>
      <c r="CS36" s="6597" t="str">
        <f>IF(CN24=0,"",VLOOKUP(CN24,'Tablas psiquica'!$D$7:$R$145,5,FALSE))</f>
        <v/>
      </c>
      <c r="CT36" s="6598"/>
      <c r="CU36" s="1082"/>
      <c r="CV36" s="6594" t="s">
        <v>6239</v>
      </c>
      <c r="CW36" s="6595"/>
      <c r="CX36" s="425" t="str">
        <f>IF(CV24=0,"",VLOOKUP(CV24,'Tablas psiquica'!$D$7:$R$145,4,FALSE))</f>
        <v/>
      </c>
      <c r="CY36" s="6596" t="s">
        <v>6234</v>
      </c>
      <c r="CZ36" s="6596"/>
      <c r="DA36" s="6597" t="str">
        <f>IF(CV24=0,"",VLOOKUP(CV24,'Tablas psiquica'!$D$7:$R$145,5,FALSE))</f>
        <v/>
      </c>
      <c r="DB36" s="6598"/>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71">
        <f>IFERROR(INDEX('Tablas psiquica'!$U$116:$AH$130,B38,Y$7),0)</f>
        <v>0</v>
      </c>
      <c r="D38" s="6572"/>
      <c r="E38" s="6572"/>
      <c r="F38" s="6572"/>
      <c r="G38" s="6572"/>
      <c r="H38" s="6572"/>
      <c r="I38" s="423" t="s">
        <v>1402</v>
      </c>
      <c r="J38" s="654">
        <v>8</v>
      </c>
      <c r="K38" s="6571">
        <f>IFERROR(INDEX('Tablas psiquica'!$U$116:$AH$130,J38,Y$7),0)</f>
        <v>0</v>
      </c>
      <c r="L38" s="6572"/>
      <c r="M38" s="6572"/>
      <c r="N38" s="6572"/>
      <c r="O38" s="6572"/>
      <c r="P38" s="6572"/>
      <c r="Q38" s="423" t="s">
        <v>1402</v>
      </c>
      <c r="R38" s="1082">
        <v>9</v>
      </c>
      <c r="S38" s="6571">
        <f>IFERROR(INDEX('Tablas psiquica'!$U$116:$AH$130,R38,Y$7),0)</f>
        <v>0</v>
      </c>
      <c r="T38" s="6572"/>
      <c r="U38" s="6572"/>
      <c r="V38" s="6572"/>
      <c r="W38" s="6572"/>
      <c r="X38" s="6572"/>
      <c r="Y38" s="423" t="s">
        <v>1402</v>
      </c>
      <c r="Z38" s="398"/>
      <c r="AA38" s="392"/>
      <c r="AB38" s="392"/>
      <c r="AC38" s="1082">
        <v>7</v>
      </c>
      <c r="AD38" s="6571">
        <f>IFERROR(INDEX('Tablas psiquica'!$U$116:$AH$130,AC38,AZ$7),0)</f>
        <v>0</v>
      </c>
      <c r="AE38" s="6572"/>
      <c r="AF38" s="6572"/>
      <c r="AG38" s="6572"/>
      <c r="AH38" s="6572"/>
      <c r="AI38" s="6572"/>
      <c r="AJ38" s="423" t="s">
        <v>1402</v>
      </c>
      <c r="AK38" s="654">
        <v>8</v>
      </c>
      <c r="AL38" s="6571">
        <f>IFERROR(INDEX('Tablas psiquica'!$U$116:$AH$130,AK38,AZ$7),0)</f>
        <v>0</v>
      </c>
      <c r="AM38" s="6572"/>
      <c r="AN38" s="6572"/>
      <c r="AO38" s="6572"/>
      <c r="AP38" s="6572"/>
      <c r="AQ38" s="6572"/>
      <c r="AR38" s="423" t="s">
        <v>1402</v>
      </c>
      <c r="AS38" s="1082">
        <v>9</v>
      </c>
      <c r="AT38" s="6571">
        <f>IFERROR(INDEX('Tablas psiquica'!$U$116:$AH$130,AS38,AZ$7),0)</f>
        <v>0</v>
      </c>
      <c r="AU38" s="6572"/>
      <c r="AV38" s="6572"/>
      <c r="AW38" s="6572"/>
      <c r="AX38" s="6572"/>
      <c r="AY38" s="6572"/>
      <c r="AZ38" s="423" t="s">
        <v>1402</v>
      </c>
      <c r="BA38" s="398"/>
      <c r="BB38" s="392"/>
      <c r="BC38" s="392"/>
      <c r="BD38" s="1082">
        <v>7</v>
      </c>
      <c r="BE38" s="6571">
        <f>IFERROR(INDEX('Tablas psiquica'!$U$116:$AH$130,BD38,CA$7),0)</f>
        <v>0</v>
      </c>
      <c r="BF38" s="6572"/>
      <c r="BG38" s="6572"/>
      <c r="BH38" s="6572"/>
      <c r="BI38" s="6572"/>
      <c r="BJ38" s="6572"/>
      <c r="BK38" s="423" t="s">
        <v>1402</v>
      </c>
      <c r="BL38" s="654">
        <v>8</v>
      </c>
      <c r="BM38" s="6571">
        <f>IFERROR(INDEX('Tablas psiquica'!$U$116:$AH$130,BL38,CA$7),0)</f>
        <v>0</v>
      </c>
      <c r="BN38" s="6572"/>
      <c r="BO38" s="6572"/>
      <c r="BP38" s="6572"/>
      <c r="BQ38" s="6572"/>
      <c r="BR38" s="6572"/>
      <c r="BS38" s="423" t="s">
        <v>1402</v>
      </c>
      <c r="BT38" s="1082">
        <v>9</v>
      </c>
      <c r="BU38" s="6571">
        <f>IFERROR(INDEX('Tablas psiquica'!$U$116:$AH$130,BT38,CA$7),0)</f>
        <v>0</v>
      </c>
      <c r="BV38" s="6572"/>
      <c r="BW38" s="6572"/>
      <c r="BX38" s="6572"/>
      <c r="BY38" s="6572"/>
      <c r="BZ38" s="6572"/>
      <c r="CA38" s="423" t="s">
        <v>1402</v>
      </c>
      <c r="CB38" s="398"/>
      <c r="CC38" s="392"/>
      <c r="CD38" s="392"/>
      <c r="CE38" s="1082">
        <v>7</v>
      </c>
      <c r="CF38" s="6571">
        <f>IFERROR(INDEX('Tablas psiquica'!$U$116:$AH$130,CE38,DB$7),0)</f>
        <v>0</v>
      </c>
      <c r="CG38" s="6572"/>
      <c r="CH38" s="6572"/>
      <c r="CI38" s="6572"/>
      <c r="CJ38" s="6572"/>
      <c r="CK38" s="6572"/>
      <c r="CL38" s="423" t="s">
        <v>1402</v>
      </c>
      <c r="CM38" s="654">
        <v>8</v>
      </c>
      <c r="CN38" s="6571">
        <f>IFERROR(INDEX('Tablas psiquica'!$U$116:$AH$130,CM38,DB$7),0)</f>
        <v>0</v>
      </c>
      <c r="CO38" s="6572"/>
      <c r="CP38" s="6572"/>
      <c r="CQ38" s="6572"/>
      <c r="CR38" s="6572"/>
      <c r="CS38" s="6572"/>
      <c r="CT38" s="423" t="s">
        <v>1402</v>
      </c>
      <c r="CU38" s="1082">
        <v>9</v>
      </c>
      <c r="CV38" s="6571">
        <f>IFERROR(INDEX('Tablas psiquica'!$U$116:$AH$130,CU38,DB$7),0)</f>
        <v>0</v>
      </c>
      <c r="CW38" s="6572"/>
      <c r="CX38" s="6572"/>
      <c r="CY38" s="6572"/>
      <c r="CZ38" s="6572"/>
      <c r="DA38" s="6572"/>
      <c r="DB38" s="423" t="s">
        <v>1402</v>
      </c>
      <c r="DC38" s="398"/>
      <c r="DD38" s="392"/>
    </row>
    <row r="39" spans="1:108" ht="12" customHeight="1" x14ac:dyDescent="0.2">
      <c r="A39" s="392"/>
      <c r="B39" s="1082"/>
      <c r="C39" s="6573" t="str">
        <f>IF(C38=0,"",VLOOKUP(C38,'Tablas psiquica'!$D$7:$R$145,2,FALSE))</f>
        <v/>
      </c>
      <c r="D39" s="6574"/>
      <c r="E39" s="6574"/>
      <c r="F39" s="6575"/>
      <c r="G39" s="6576" t="str">
        <f>IF(C38=0,"",IF(INDEX('Tablas psiquica'!$U$115:$AH$115,1,$Y$7)=0,"No Accesible",IF(ISNA(VLOOKUP(C38,Psíquicos!$AS$17:$AS$43,1,0)),"Accesible CV","Aprendido")))</f>
        <v/>
      </c>
      <c r="H39" s="6577"/>
      <c r="I39" s="1645" t="str">
        <f>IF(C38=0,"",VLOOKUP(C38,'Tablas psiquica'!$D$7:$R$145,3,FALSE))</f>
        <v/>
      </c>
      <c r="J39" s="891"/>
      <c r="K39" s="6573" t="str">
        <f>IF(K38=0,"",VLOOKUP(K38,'Tablas psiquica'!$D$7:$R$145,2,FALSE))</f>
        <v/>
      </c>
      <c r="L39" s="6574"/>
      <c r="M39" s="6574"/>
      <c r="N39" s="6575"/>
      <c r="O39" s="6576" t="str">
        <f>IF(K38=0,"",IF(INDEX('Tablas psiquica'!$U$115:$AH$115,1,$Y$7)=0,"No Accesible",IF(ISNA(VLOOKUP(K38,Psíquicos!$AS$17:$AS$43,1,0)),"Accesible CV","Aprendido")))</f>
        <v/>
      </c>
      <c r="P39" s="6577"/>
      <c r="Q39" s="1645" t="str">
        <f>IF(K38=0,"",VLOOKUP(K38,'Tablas psiquica'!$D$7:$R$145,3,FALSE))</f>
        <v/>
      </c>
      <c r="R39" s="1082"/>
      <c r="S39" s="6573" t="str">
        <f>IF(S38=0,"",VLOOKUP(S38,'Tablas psiquica'!$D$7:$R$145,2,FALSE))</f>
        <v/>
      </c>
      <c r="T39" s="6574"/>
      <c r="U39" s="6574"/>
      <c r="V39" s="6575"/>
      <c r="W39" s="6576" t="str">
        <f>IF(S38=0,"",IF(INDEX('Tablas psiquica'!$U$115:$AH$115,1,$Y$7)=0,"No Accesible",IF(ISNA(VLOOKUP(S38,Psíquicos!$AS$17:$AS$43,1,0)),"Accesible CV","Aprendido")))</f>
        <v/>
      </c>
      <c r="X39" s="6577"/>
      <c r="Y39" s="1645" t="str">
        <f>IF(S38=0,"",VLOOKUP(S38,'Tablas psiquica'!$D$7:$R$145,3,FALSE))</f>
        <v/>
      </c>
      <c r="Z39" s="398"/>
      <c r="AA39" s="392"/>
      <c r="AB39" s="392"/>
      <c r="AC39" s="1082"/>
      <c r="AD39" s="6573" t="str">
        <f>IF(AD38=0,"",VLOOKUP(AD38,'Tablas psiquica'!$D$7:$R$145,2,FALSE))</f>
        <v/>
      </c>
      <c r="AE39" s="6574"/>
      <c r="AF39" s="6574"/>
      <c r="AG39" s="6575"/>
      <c r="AH39" s="6576" t="str">
        <f>IF(AD38=0,"",IF(INDEX('Tablas psiquica'!$U$115:$AH$115,1,$AZ$7)=0,"No Accesible",IF(ISNA(VLOOKUP(AD38,Psíquicos!$AS$17:$AS$43,1,0)),"Accesible CV","Aprendido")))</f>
        <v/>
      </c>
      <c r="AI39" s="6577"/>
      <c r="AJ39" s="1645" t="str">
        <f>IF(AD38=0,"",VLOOKUP(AD38,'Tablas psiquica'!$D$7:$R$145,3,FALSE))</f>
        <v/>
      </c>
      <c r="AK39" s="891"/>
      <c r="AL39" s="6573" t="str">
        <f>IF(AL38=0,"",VLOOKUP(AL38,'Tablas psiquica'!$D$7:$R$145,2,FALSE))</f>
        <v/>
      </c>
      <c r="AM39" s="6574"/>
      <c r="AN39" s="6574"/>
      <c r="AO39" s="6575"/>
      <c r="AP39" s="6576" t="str">
        <f>IF(AL38=0,"",IF(INDEX('Tablas psiquica'!$U$115:$AH$115,1,$AZ$7)=0,"No Accesible",IF(ISNA(VLOOKUP(AL38,Psíquicos!$AS$17:$AS$43,1,0)),"Accesible CV","Aprendido")))</f>
        <v/>
      </c>
      <c r="AQ39" s="6577"/>
      <c r="AR39" s="1645" t="str">
        <f>IF(AL38=0,"",VLOOKUP(AL38,'Tablas psiquica'!$D$7:$R$145,3,FALSE))</f>
        <v/>
      </c>
      <c r="AS39" s="1082"/>
      <c r="AT39" s="6573" t="str">
        <f>IF(AT38=0,"",VLOOKUP(AT38,'Tablas psiquica'!$D$7:$R$145,2,FALSE))</f>
        <v/>
      </c>
      <c r="AU39" s="6574"/>
      <c r="AV39" s="6574"/>
      <c r="AW39" s="6575"/>
      <c r="AX39" s="6576" t="str">
        <f>IF(AT38=0,"",IF(INDEX('Tablas psiquica'!$U$115:$AH$115,1,$AZ$7)=0,"No Accesible",IF(ISNA(VLOOKUP(AT38,Psíquicos!$AS$17:$AS$43,1,0)),"Accesible CV","Aprendido")))</f>
        <v/>
      </c>
      <c r="AY39" s="6577"/>
      <c r="AZ39" s="1645" t="str">
        <f>IF(AT38=0,"",VLOOKUP(AT38,'Tablas psiquica'!$D$7:$R$145,3,FALSE))</f>
        <v/>
      </c>
      <c r="BA39" s="398"/>
      <c r="BB39" s="392"/>
      <c r="BC39" s="392"/>
      <c r="BD39" s="1082"/>
      <c r="BE39" s="6573" t="str">
        <f>IF(BE38=0,"",VLOOKUP(BE38,'Tablas psiquica'!$D$7:$R$145,2,FALSE))</f>
        <v/>
      </c>
      <c r="BF39" s="6574"/>
      <c r="BG39" s="6574"/>
      <c r="BH39" s="6575"/>
      <c r="BI39" s="6576" t="str">
        <f>IF(BE38=0,"",IF(INDEX('Tablas psiquica'!$U$115:$AH$115,1,$CA$7)=0,"No Accesible",IF(ISNA(VLOOKUP(BE38,Psíquicos!$AS$17:$AS$43,1,0)),"Accesible CV","Aprendido")))</f>
        <v/>
      </c>
      <c r="BJ39" s="6577"/>
      <c r="BK39" s="1645" t="str">
        <f>IF(BE38=0,"",VLOOKUP(BE38,'Tablas psiquica'!$D$7:$R$145,3,FALSE))</f>
        <v/>
      </c>
      <c r="BL39" s="891"/>
      <c r="BM39" s="6573" t="str">
        <f>IF(BM38=0,"",VLOOKUP(BM38,'Tablas psiquica'!$D$7:$R$145,2,FALSE))</f>
        <v/>
      </c>
      <c r="BN39" s="6574"/>
      <c r="BO39" s="6574"/>
      <c r="BP39" s="6575"/>
      <c r="BQ39" s="6576" t="str">
        <f>IF(BM38=0,"",IF(INDEX('Tablas psiquica'!$U$115:$AH$115,1,$CA$7)=0,"No Accesible",IF(ISNA(VLOOKUP(BM38,Psíquicos!$AS$17:$AS$43,1,0)),"Accesible CV","Aprendido")))</f>
        <v/>
      </c>
      <c r="BR39" s="6577"/>
      <c r="BS39" s="1645" t="str">
        <f>IF(BM38=0,"",VLOOKUP(BM38,'Tablas psiquica'!$D$7:$R$145,3,FALSE))</f>
        <v/>
      </c>
      <c r="BT39" s="1082"/>
      <c r="BU39" s="6573" t="str">
        <f>IF(BU38=0,"",VLOOKUP(BU38,'Tablas psiquica'!$D$7:$R$145,2,FALSE))</f>
        <v/>
      </c>
      <c r="BV39" s="6574"/>
      <c r="BW39" s="6574"/>
      <c r="BX39" s="6575"/>
      <c r="BY39" s="6576" t="str">
        <f>IF(BU38=0,"",IF(INDEX('Tablas psiquica'!$U$115:$AH$115,1,$CA$7)=0,"No Accesible",IF(ISNA(VLOOKUP(BU38,Psíquicos!$AS$17:$AS$43,1,0)),"Accesible CV","Aprendido")))</f>
        <v/>
      </c>
      <c r="BZ39" s="6577"/>
      <c r="CA39" s="1645" t="str">
        <f>IF(BU38=0,"",VLOOKUP(BU38,'Tablas psiquica'!$D$7:$R$145,3,FALSE))</f>
        <v/>
      </c>
      <c r="CB39" s="398"/>
      <c r="CC39" s="392"/>
      <c r="CD39" s="392"/>
      <c r="CE39" s="1082"/>
      <c r="CF39" s="6573" t="str">
        <f>IF(CF38=0,"",VLOOKUP(CF38,'Tablas psiquica'!$D$7:$R$145,2,FALSE))</f>
        <v/>
      </c>
      <c r="CG39" s="6574"/>
      <c r="CH39" s="6574"/>
      <c r="CI39" s="6575"/>
      <c r="CJ39" s="6576" t="str">
        <f>IF(CF38=0,"",IF(INDEX('Tablas psiquica'!$U$115:$AH$115,1,$DB$7)=0,"No Accesible",IF(ISNA(VLOOKUP(CF38,Psíquicos!$AS$17:$AS$43,1,0)),"Accesible CV","Aprendido")))</f>
        <v/>
      </c>
      <c r="CK39" s="6577"/>
      <c r="CL39" s="1645" t="str">
        <f>IF(CF38=0,"",VLOOKUP(CF38,'Tablas psiquica'!$D$7:$R$145,3,FALSE))</f>
        <v/>
      </c>
      <c r="CM39" s="891"/>
      <c r="CN39" s="6573" t="str">
        <f>IF(CN38=0,"",VLOOKUP(CN38,'Tablas psiquica'!$D$7:$R$145,2,FALSE))</f>
        <v/>
      </c>
      <c r="CO39" s="6574"/>
      <c r="CP39" s="6574"/>
      <c r="CQ39" s="6575"/>
      <c r="CR39" s="6576" t="str">
        <f>IF(CN38=0,"",IF(INDEX('Tablas psiquica'!$U$115:$AH$115,1,$DB$7)=0,"No Accesible",IF(ISNA(VLOOKUP(CN38,Psíquicos!$AS$17:$AS$43,1,0)),"Accesible CV","Aprendido")))</f>
        <v/>
      </c>
      <c r="CS39" s="6577"/>
      <c r="CT39" s="1645" t="str">
        <f>IF(CN38=0,"",VLOOKUP(CN38,'Tablas psiquica'!$D$7:$R$145,3,FALSE))</f>
        <v/>
      </c>
      <c r="CU39" s="1082"/>
      <c r="CV39" s="6573" t="str">
        <f>IF(CV38=0,"",VLOOKUP(CV38,'Tablas psiquica'!$D$7:$R$145,2,FALSE))</f>
        <v/>
      </c>
      <c r="CW39" s="6574"/>
      <c r="CX39" s="6574"/>
      <c r="CY39" s="6575"/>
      <c r="CZ39" s="6576" t="str">
        <f>IF(CV38=0,"",IF(INDEX('Tablas psiquica'!$U$115:$AH$115,1,$DB$7)=0,"No Accesible",IF(ISNA(VLOOKUP(CV38,Psíquicos!$AS$17:$AS$43,1,0)),"Accesible CV","Aprendido")))</f>
        <v/>
      </c>
      <c r="DA39" s="6577"/>
      <c r="DB39" s="1645" t="str">
        <f>IF(CV38=0,"",VLOOKUP(CV38,'Tablas psiquica'!$D$7:$R$145,3,FALSE))</f>
        <v/>
      </c>
      <c r="DC39" s="398"/>
      <c r="DD39" s="392"/>
    </row>
    <row r="40" spans="1:108" ht="12" customHeight="1" x14ac:dyDescent="0.2">
      <c r="A40" s="392"/>
      <c r="B40" s="1082"/>
      <c r="C40" s="1614">
        <v>20</v>
      </c>
      <c r="D40" s="6586" t="s">
        <v>1722</v>
      </c>
      <c r="E40" s="6508"/>
      <c r="F40" s="6587" t="str">
        <f>IF(C38=0,"",VLOOKUP(C38,'Tablas psiquica'!$D$7:$R$145,6,FALSE))</f>
        <v/>
      </c>
      <c r="G40" s="6042"/>
      <c r="H40" s="6042"/>
      <c r="I40" s="6588"/>
      <c r="J40" s="654"/>
      <c r="K40" s="1614">
        <v>20</v>
      </c>
      <c r="L40" s="6586" t="s">
        <v>1722</v>
      </c>
      <c r="M40" s="6508"/>
      <c r="N40" s="6587" t="str">
        <f>IF(K38=0,"",VLOOKUP(K38,'Tablas psiquica'!$D$7:$R$145,6,FALSE))</f>
        <v/>
      </c>
      <c r="O40" s="6042"/>
      <c r="P40" s="6042"/>
      <c r="Q40" s="6588"/>
      <c r="R40" s="1082"/>
      <c r="S40" s="1614">
        <v>20</v>
      </c>
      <c r="T40" s="6586" t="s">
        <v>1722</v>
      </c>
      <c r="U40" s="6508"/>
      <c r="V40" s="6587" t="str">
        <f>IF(S38=0,"",VLOOKUP(S38,'Tablas psiquica'!$D$7:$R$145,6,FALSE))</f>
        <v/>
      </c>
      <c r="W40" s="6042"/>
      <c r="X40" s="6042"/>
      <c r="Y40" s="6588"/>
      <c r="Z40" s="398"/>
      <c r="AA40" s="392"/>
      <c r="AB40" s="392"/>
      <c r="AC40" s="1082"/>
      <c r="AD40" s="1614">
        <v>20</v>
      </c>
      <c r="AE40" s="6586" t="s">
        <v>1722</v>
      </c>
      <c r="AF40" s="6508"/>
      <c r="AG40" s="6587" t="str">
        <f>IF(AD38=0,"",VLOOKUP(AD38,'Tablas psiquica'!$D$7:$R$145,6,FALSE))</f>
        <v/>
      </c>
      <c r="AH40" s="6042"/>
      <c r="AI40" s="6042"/>
      <c r="AJ40" s="6588"/>
      <c r="AK40" s="654"/>
      <c r="AL40" s="1614">
        <v>20</v>
      </c>
      <c r="AM40" s="6586" t="s">
        <v>1722</v>
      </c>
      <c r="AN40" s="6508"/>
      <c r="AO40" s="6587" t="str">
        <f>IF(AL38=0,"",VLOOKUP(AL38,'Tablas psiquica'!$D$7:$R$145,6,FALSE))</f>
        <v/>
      </c>
      <c r="AP40" s="6042"/>
      <c r="AQ40" s="6042"/>
      <c r="AR40" s="6588"/>
      <c r="AS40" s="1082"/>
      <c r="AT40" s="1614">
        <v>20</v>
      </c>
      <c r="AU40" s="6586" t="s">
        <v>1722</v>
      </c>
      <c r="AV40" s="6508"/>
      <c r="AW40" s="6587" t="str">
        <f>IF(AT38=0,"",VLOOKUP(AT38,'Tablas psiquica'!$D$7:$R$145,6,FALSE))</f>
        <v/>
      </c>
      <c r="AX40" s="6042"/>
      <c r="AY40" s="6042"/>
      <c r="AZ40" s="6588"/>
      <c r="BA40" s="398"/>
      <c r="BB40" s="392"/>
      <c r="BC40" s="392"/>
      <c r="BD40" s="1082"/>
      <c r="BE40" s="1614">
        <v>20</v>
      </c>
      <c r="BF40" s="6586" t="s">
        <v>1722</v>
      </c>
      <c r="BG40" s="6508"/>
      <c r="BH40" s="6587" t="str">
        <f>IF(BE38=0,"",VLOOKUP(BE38,'Tablas psiquica'!$D$7:$R$145,6,FALSE))</f>
        <v/>
      </c>
      <c r="BI40" s="6042"/>
      <c r="BJ40" s="6042"/>
      <c r="BK40" s="6588"/>
      <c r="BL40" s="654"/>
      <c r="BM40" s="1614">
        <v>20</v>
      </c>
      <c r="BN40" s="6586" t="s">
        <v>1722</v>
      </c>
      <c r="BO40" s="6508"/>
      <c r="BP40" s="6587" t="str">
        <f>IF(BM38=0,"",VLOOKUP(BM38,'Tablas psiquica'!$D$7:$R$145,6,FALSE))</f>
        <v/>
      </c>
      <c r="BQ40" s="6042"/>
      <c r="BR40" s="6042"/>
      <c r="BS40" s="6588"/>
      <c r="BT40" s="1082"/>
      <c r="BU40" s="1614">
        <v>20</v>
      </c>
      <c r="BV40" s="6586" t="s">
        <v>1722</v>
      </c>
      <c r="BW40" s="6508"/>
      <c r="BX40" s="6587" t="str">
        <f>IF(BU38=0,"",VLOOKUP(BU38,'Tablas psiquica'!$D$7:$R$145,6,FALSE))</f>
        <v/>
      </c>
      <c r="BY40" s="6042"/>
      <c r="BZ40" s="6042"/>
      <c r="CA40" s="6588"/>
      <c r="CB40" s="398"/>
      <c r="CC40" s="392"/>
      <c r="CD40" s="392"/>
      <c r="CE40" s="1082"/>
      <c r="CF40" s="1614">
        <v>20</v>
      </c>
      <c r="CG40" s="6586" t="s">
        <v>1722</v>
      </c>
      <c r="CH40" s="6508"/>
      <c r="CI40" s="6587" t="str">
        <f>IF(CF38=0,"",VLOOKUP(CF38,'Tablas psiquica'!$D$7:$R$145,6,FALSE))</f>
        <v/>
      </c>
      <c r="CJ40" s="6042"/>
      <c r="CK40" s="6042"/>
      <c r="CL40" s="6588"/>
      <c r="CM40" s="654"/>
      <c r="CN40" s="1614">
        <v>20</v>
      </c>
      <c r="CO40" s="6586" t="s">
        <v>1722</v>
      </c>
      <c r="CP40" s="6508"/>
      <c r="CQ40" s="6587" t="str">
        <f>IF(CN38=0,"",VLOOKUP(CN38,'Tablas psiquica'!$D$7:$R$145,6,FALSE))</f>
        <v/>
      </c>
      <c r="CR40" s="6042"/>
      <c r="CS40" s="6042"/>
      <c r="CT40" s="6588"/>
      <c r="CU40" s="1082"/>
      <c r="CV40" s="1614">
        <v>20</v>
      </c>
      <c r="CW40" s="6586" t="s">
        <v>1722</v>
      </c>
      <c r="CX40" s="6508"/>
      <c r="CY40" s="6587" t="str">
        <f>IF(CV38=0,"",VLOOKUP(CV38,'Tablas psiquica'!$D$7:$R$145,6,FALSE))</f>
        <v/>
      </c>
      <c r="CZ40" s="6042"/>
      <c r="DA40" s="6042"/>
      <c r="DB40" s="6588"/>
      <c r="DC40" s="398"/>
      <c r="DD40" s="392"/>
    </row>
    <row r="41" spans="1:108" ht="12" customHeight="1" x14ac:dyDescent="0.2">
      <c r="A41" s="392"/>
      <c r="B41" s="1082"/>
      <c r="C41" s="1613">
        <v>40</v>
      </c>
      <c r="D41" s="6582" t="s">
        <v>1724</v>
      </c>
      <c r="E41" s="6503"/>
      <c r="F41" s="6583" t="str">
        <f>IF(C38=0,"",VLOOKUP(C38,'Tablas psiquica'!$D$7:$R$145,7,FALSE))</f>
        <v/>
      </c>
      <c r="G41" s="6584"/>
      <c r="H41" s="6584"/>
      <c r="I41" s="6585"/>
      <c r="J41" s="654"/>
      <c r="K41" s="1613">
        <v>40</v>
      </c>
      <c r="L41" s="6582" t="s">
        <v>1724</v>
      </c>
      <c r="M41" s="6503"/>
      <c r="N41" s="6583" t="str">
        <f>IF(K38=0,"",VLOOKUP(K38,'Tablas psiquica'!$D$7:$R$145,7,FALSE))</f>
        <v/>
      </c>
      <c r="O41" s="6584"/>
      <c r="P41" s="6584"/>
      <c r="Q41" s="6585"/>
      <c r="R41" s="1082"/>
      <c r="S41" s="1613">
        <v>40</v>
      </c>
      <c r="T41" s="6582" t="s">
        <v>1724</v>
      </c>
      <c r="U41" s="6503"/>
      <c r="V41" s="6583" t="str">
        <f>IF(S38=0,"",VLOOKUP(S38,'Tablas psiquica'!$D$7:$R$145,7,FALSE))</f>
        <v/>
      </c>
      <c r="W41" s="6584"/>
      <c r="X41" s="6584"/>
      <c r="Y41" s="6585"/>
      <c r="Z41" s="398"/>
      <c r="AA41" s="392"/>
      <c r="AB41" s="392"/>
      <c r="AC41" s="1082"/>
      <c r="AD41" s="1613">
        <v>40</v>
      </c>
      <c r="AE41" s="6582" t="s">
        <v>1724</v>
      </c>
      <c r="AF41" s="6503"/>
      <c r="AG41" s="6583" t="str">
        <f>IF(AD38=0,"",VLOOKUP(AD38,'Tablas psiquica'!$D$7:$R$145,7,FALSE))</f>
        <v/>
      </c>
      <c r="AH41" s="6584"/>
      <c r="AI41" s="6584"/>
      <c r="AJ41" s="6585"/>
      <c r="AK41" s="654"/>
      <c r="AL41" s="1613">
        <v>40</v>
      </c>
      <c r="AM41" s="6582" t="s">
        <v>1724</v>
      </c>
      <c r="AN41" s="6503"/>
      <c r="AO41" s="6583" t="str">
        <f>IF(AL38=0,"",VLOOKUP(AL38,'Tablas psiquica'!$D$7:$R$145,7,FALSE))</f>
        <v/>
      </c>
      <c r="AP41" s="6584"/>
      <c r="AQ41" s="6584"/>
      <c r="AR41" s="6585"/>
      <c r="AS41" s="1082"/>
      <c r="AT41" s="1613">
        <v>40</v>
      </c>
      <c r="AU41" s="6582" t="s">
        <v>1724</v>
      </c>
      <c r="AV41" s="6503"/>
      <c r="AW41" s="6583" t="str">
        <f>IF(AT38=0,"",VLOOKUP(AT38,'Tablas psiquica'!$D$7:$R$145,7,FALSE))</f>
        <v/>
      </c>
      <c r="AX41" s="6584"/>
      <c r="AY41" s="6584"/>
      <c r="AZ41" s="6585"/>
      <c r="BA41" s="398"/>
      <c r="BB41" s="392"/>
      <c r="BC41" s="392"/>
      <c r="BD41" s="1082"/>
      <c r="BE41" s="1613">
        <v>40</v>
      </c>
      <c r="BF41" s="6582" t="s">
        <v>1724</v>
      </c>
      <c r="BG41" s="6503"/>
      <c r="BH41" s="6583" t="str">
        <f>IF(BE38=0,"",VLOOKUP(BE38,'Tablas psiquica'!$D$7:$R$145,7,FALSE))</f>
        <v/>
      </c>
      <c r="BI41" s="6584"/>
      <c r="BJ41" s="6584"/>
      <c r="BK41" s="6585"/>
      <c r="BL41" s="654"/>
      <c r="BM41" s="1613">
        <v>40</v>
      </c>
      <c r="BN41" s="6582" t="s">
        <v>1724</v>
      </c>
      <c r="BO41" s="6503"/>
      <c r="BP41" s="6583" t="str">
        <f>IF(BM38=0,"",VLOOKUP(BM38,'Tablas psiquica'!$D$7:$R$145,7,FALSE))</f>
        <v/>
      </c>
      <c r="BQ41" s="6584"/>
      <c r="BR41" s="6584"/>
      <c r="BS41" s="6585"/>
      <c r="BT41" s="1082"/>
      <c r="BU41" s="1613">
        <v>40</v>
      </c>
      <c r="BV41" s="6582" t="s">
        <v>1724</v>
      </c>
      <c r="BW41" s="6503"/>
      <c r="BX41" s="6583" t="str">
        <f>IF(BU38=0,"",VLOOKUP(BU38,'Tablas psiquica'!$D$7:$R$145,7,FALSE))</f>
        <v/>
      </c>
      <c r="BY41" s="6584"/>
      <c r="BZ41" s="6584"/>
      <c r="CA41" s="6585"/>
      <c r="CB41" s="398"/>
      <c r="CC41" s="392"/>
      <c r="CD41" s="392"/>
      <c r="CE41" s="1082"/>
      <c r="CF41" s="1613">
        <v>40</v>
      </c>
      <c r="CG41" s="6582" t="s">
        <v>1724</v>
      </c>
      <c r="CH41" s="6503"/>
      <c r="CI41" s="6583" t="str">
        <f>IF(CF38=0,"",VLOOKUP(CF38,'Tablas psiquica'!$D$7:$R$145,7,FALSE))</f>
        <v/>
      </c>
      <c r="CJ41" s="6584"/>
      <c r="CK41" s="6584"/>
      <c r="CL41" s="6585"/>
      <c r="CM41" s="654"/>
      <c r="CN41" s="1613">
        <v>40</v>
      </c>
      <c r="CO41" s="6582" t="s">
        <v>1724</v>
      </c>
      <c r="CP41" s="6503"/>
      <c r="CQ41" s="6583" t="str">
        <f>IF(CN38=0,"",VLOOKUP(CN38,'Tablas psiquica'!$D$7:$R$145,7,FALSE))</f>
        <v/>
      </c>
      <c r="CR41" s="6584"/>
      <c r="CS41" s="6584"/>
      <c r="CT41" s="6585"/>
      <c r="CU41" s="1082"/>
      <c r="CV41" s="1613">
        <v>40</v>
      </c>
      <c r="CW41" s="6582" t="s">
        <v>1724</v>
      </c>
      <c r="CX41" s="6503"/>
      <c r="CY41" s="6583" t="str">
        <f>IF(CV38=0,"",VLOOKUP(CV38,'Tablas psiquica'!$D$7:$R$145,7,FALSE))</f>
        <v/>
      </c>
      <c r="CZ41" s="6584"/>
      <c r="DA41" s="6584"/>
      <c r="DB41" s="6585"/>
      <c r="DC41" s="398"/>
      <c r="DD41" s="392"/>
    </row>
    <row r="42" spans="1:108" ht="12" customHeight="1" x14ac:dyDescent="0.2">
      <c r="A42" s="392"/>
      <c r="B42" s="1082"/>
      <c r="C42" s="1614">
        <v>80</v>
      </c>
      <c r="D42" s="6586" t="s">
        <v>1727</v>
      </c>
      <c r="E42" s="6508"/>
      <c r="F42" s="6587" t="str">
        <f>IF(C38=0,"",VLOOKUP(C38,'Tablas psiquica'!$D$7:$R$145,8,FALSE))</f>
        <v/>
      </c>
      <c r="G42" s="6042"/>
      <c r="H42" s="6042"/>
      <c r="I42" s="6588"/>
      <c r="J42" s="654"/>
      <c r="K42" s="1614">
        <v>80</v>
      </c>
      <c r="L42" s="6586" t="s">
        <v>1727</v>
      </c>
      <c r="M42" s="6508"/>
      <c r="N42" s="6587" t="str">
        <f>IF(K38=0,"",VLOOKUP(K38,'Tablas psiquica'!$D$7:$R$145,8,FALSE))</f>
        <v/>
      </c>
      <c r="O42" s="6042"/>
      <c r="P42" s="6042"/>
      <c r="Q42" s="6588"/>
      <c r="R42" s="1082"/>
      <c r="S42" s="1614">
        <v>80</v>
      </c>
      <c r="T42" s="6586" t="s">
        <v>1727</v>
      </c>
      <c r="U42" s="6508"/>
      <c r="V42" s="6587" t="str">
        <f>IF(S38=0,"",VLOOKUP(S38,'Tablas psiquica'!$D$7:$R$145,8,FALSE))</f>
        <v/>
      </c>
      <c r="W42" s="6042"/>
      <c r="X42" s="6042"/>
      <c r="Y42" s="6588"/>
      <c r="Z42" s="398"/>
      <c r="AA42" s="392"/>
      <c r="AB42" s="392"/>
      <c r="AC42" s="1082"/>
      <c r="AD42" s="1614">
        <v>80</v>
      </c>
      <c r="AE42" s="6586" t="s">
        <v>1727</v>
      </c>
      <c r="AF42" s="6508"/>
      <c r="AG42" s="6587" t="str">
        <f>IF(AD38=0,"",VLOOKUP(AD38,'Tablas psiquica'!$D$7:$R$145,8,FALSE))</f>
        <v/>
      </c>
      <c r="AH42" s="6042"/>
      <c r="AI42" s="6042"/>
      <c r="AJ42" s="6588"/>
      <c r="AK42" s="654"/>
      <c r="AL42" s="1614">
        <v>80</v>
      </c>
      <c r="AM42" s="6586" t="s">
        <v>1727</v>
      </c>
      <c r="AN42" s="6508"/>
      <c r="AO42" s="6587" t="str">
        <f>IF(AL38=0,"",VLOOKUP(AL38,'Tablas psiquica'!$D$7:$R$145,8,FALSE))</f>
        <v/>
      </c>
      <c r="AP42" s="6042"/>
      <c r="AQ42" s="6042"/>
      <c r="AR42" s="6588"/>
      <c r="AS42" s="1082"/>
      <c r="AT42" s="1614">
        <v>80</v>
      </c>
      <c r="AU42" s="6586" t="s">
        <v>1727</v>
      </c>
      <c r="AV42" s="6508"/>
      <c r="AW42" s="6587" t="str">
        <f>IF(AT38=0,"",VLOOKUP(AT38,'Tablas psiquica'!$D$7:$R$145,8,FALSE))</f>
        <v/>
      </c>
      <c r="AX42" s="6042"/>
      <c r="AY42" s="6042"/>
      <c r="AZ42" s="6588"/>
      <c r="BA42" s="398"/>
      <c r="BB42" s="392"/>
      <c r="BC42" s="392"/>
      <c r="BD42" s="1082"/>
      <c r="BE42" s="1614">
        <v>80</v>
      </c>
      <c r="BF42" s="6586" t="s">
        <v>1727</v>
      </c>
      <c r="BG42" s="6508"/>
      <c r="BH42" s="6587" t="str">
        <f>IF(BE38=0,"",VLOOKUP(BE38,'Tablas psiquica'!$D$7:$R$145,8,FALSE))</f>
        <v/>
      </c>
      <c r="BI42" s="6042"/>
      <c r="BJ42" s="6042"/>
      <c r="BK42" s="6588"/>
      <c r="BL42" s="654"/>
      <c r="BM42" s="1614">
        <v>80</v>
      </c>
      <c r="BN42" s="6586" t="s">
        <v>1727</v>
      </c>
      <c r="BO42" s="6508"/>
      <c r="BP42" s="6587" t="str">
        <f>IF(BM38=0,"",VLOOKUP(BM38,'Tablas psiquica'!$D$7:$R$145,8,FALSE))</f>
        <v/>
      </c>
      <c r="BQ42" s="6042"/>
      <c r="BR42" s="6042"/>
      <c r="BS42" s="6588"/>
      <c r="BT42" s="1082"/>
      <c r="BU42" s="1614">
        <v>80</v>
      </c>
      <c r="BV42" s="6586" t="s">
        <v>1727</v>
      </c>
      <c r="BW42" s="6508"/>
      <c r="BX42" s="6587" t="str">
        <f>IF(BU38=0,"",VLOOKUP(BU38,'Tablas psiquica'!$D$7:$R$145,8,FALSE))</f>
        <v/>
      </c>
      <c r="BY42" s="6042"/>
      <c r="BZ42" s="6042"/>
      <c r="CA42" s="6588"/>
      <c r="CB42" s="398"/>
      <c r="CC42" s="392"/>
      <c r="CD42" s="392"/>
      <c r="CE42" s="1082"/>
      <c r="CF42" s="1614">
        <v>80</v>
      </c>
      <c r="CG42" s="6586" t="s">
        <v>1727</v>
      </c>
      <c r="CH42" s="6508"/>
      <c r="CI42" s="6587" t="str">
        <f>IF(CF38=0,"",VLOOKUP(CF38,'Tablas psiquica'!$D$7:$R$145,8,FALSE))</f>
        <v/>
      </c>
      <c r="CJ42" s="6042"/>
      <c r="CK42" s="6042"/>
      <c r="CL42" s="6588"/>
      <c r="CM42" s="654"/>
      <c r="CN42" s="1614">
        <v>80</v>
      </c>
      <c r="CO42" s="6586" t="s">
        <v>1727</v>
      </c>
      <c r="CP42" s="6508"/>
      <c r="CQ42" s="6587" t="str">
        <f>IF(CN38=0,"",VLOOKUP(CN38,'Tablas psiquica'!$D$7:$R$145,8,FALSE))</f>
        <v/>
      </c>
      <c r="CR42" s="6042"/>
      <c r="CS42" s="6042"/>
      <c r="CT42" s="6588"/>
      <c r="CU42" s="1082"/>
      <c r="CV42" s="1614">
        <v>80</v>
      </c>
      <c r="CW42" s="6586" t="s">
        <v>1727</v>
      </c>
      <c r="CX42" s="6508"/>
      <c r="CY42" s="6587" t="str">
        <f>IF(CV38=0,"",VLOOKUP(CV38,'Tablas psiquica'!$D$7:$R$145,8,FALSE))</f>
        <v/>
      </c>
      <c r="CZ42" s="6042"/>
      <c r="DA42" s="6042"/>
      <c r="DB42" s="6588"/>
      <c r="DC42" s="398"/>
      <c r="DD42" s="392"/>
    </row>
    <row r="43" spans="1:108" ht="12" customHeight="1" x14ac:dyDescent="0.2">
      <c r="A43" s="392"/>
      <c r="B43" s="1082"/>
      <c r="C43" s="1613">
        <v>120</v>
      </c>
      <c r="D43" s="6582" t="s">
        <v>1730</v>
      </c>
      <c r="E43" s="6503"/>
      <c r="F43" s="6583" t="str">
        <f>IF(C38=0,"",VLOOKUP(C38,'Tablas psiquica'!$D$7:$R$145,9,FALSE))</f>
        <v/>
      </c>
      <c r="G43" s="6584"/>
      <c r="H43" s="6584"/>
      <c r="I43" s="6585"/>
      <c r="J43" s="654"/>
      <c r="K43" s="1613">
        <v>120</v>
      </c>
      <c r="L43" s="6582" t="s">
        <v>1730</v>
      </c>
      <c r="M43" s="6503"/>
      <c r="N43" s="6583" t="str">
        <f>IF(K38=0,"",VLOOKUP(K38,'Tablas psiquica'!$D$7:$R$145,9,FALSE))</f>
        <v/>
      </c>
      <c r="O43" s="6584"/>
      <c r="P43" s="6584"/>
      <c r="Q43" s="6585"/>
      <c r="R43" s="1082"/>
      <c r="S43" s="1613">
        <v>120</v>
      </c>
      <c r="T43" s="6582" t="s">
        <v>1730</v>
      </c>
      <c r="U43" s="6503"/>
      <c r="V43" s="6583" t="str">
        <f>IF(S38=0,"",VLOOKUP(S38,'Tablas psiquica'!$D$7:$R$145,9,FALSE))</f>
        <v/>
      </c>
      <c r="W43" s="6584"/>
      <c r="X43" s="6584"/>
      <c r="Y43" s="6585"/>
      <c r="Z43" s="398"/>
      <c r="AA43" s="392"/>
      <c r="AB43" s="392"/>
      <c r="AC43" s="1082"/>
      <c r="AD43" s="1613">
        <v>120</v>
      </c>
      <c r="AE43" s="6582" t="s">
        <v>1730</v>
      </c>
      <c r="AF43" s="6503"/>
      <c r="AG43" s="6583" t="str">
        <f>IF(AD38=0,"",VLOOKUP(AD38,'Tablas psiquica'!$D$7:$R$145,9,FALSE))</f>
        <v/>
      </c>
      <c r="AH43" s="6584"/>
      <c r="AI43" s="6584"/>
      <c r="AJ43" s="6585"/>
      <c r="AK43" s="654"/>
      <c r="AL43" s="1613">
        <v>120</v>
      </c>
      <c r="AM43" s="6582" t="s">
        <v>1730</v>
      </c>
      <c r="AN43" s="6503"/>
      <c r="AO43" s="6583" t="str">
        <f>IF(AL38=0,"",VLOOKUP(AL38,'Tablas psiquica'!$D$7:$R$145,9,FALSE))</f>
        <v/>
      </c>
      <c r="AP43" s="6584"/>
      <c r="AQ43" s="6584"/>
      <c r="AR43" s="6585"/>
      <c r="AS43" s="1082"/>
      <c r="AT43" s="1613">
        <v>120</v>
      </c>
      <c r="AU43" s="6582" t="s">
        <v>1730</v>
      </c>
      <c r="AV43" s="6503"/>
      <c r="AW43" s="6583" t="str">
        <f>IF(AT38=0,"",VLOOKUP(AT38,'Tablas psiquica'!$D$7:$R$145,9,FALSE))</f>
        <v/>
      </c>
      <c r="AX43" s="6584"/>
      <c r="AY43" s="6584"/>
      <c r="AZ43" s="6585"/>
      <c r="BA43" s="398"/>
      <c r="BB43" s="392"/>
      <c r="BC43" s="392"/>
      <c r="BD43" s="1082"/>
      <c r="BE43" s="1613">
        <v>120</v>
      </c>
      <c r="BF43" s="6582" t="s">
        <v>1730</v>
      </c>
      <c r="BG43" s="6503"/>
      <c r="BH43" s="6583" t="str">
        <f>IF(BE38=0,"",VLOOKUP(BE38,'Tablas psiquica'!$D$7:$R$145,9,FALSE))</f>
        <v/>
      </c>
      <c r="BI43" s="6584"/>
      <c r="BJ43" s="6584"/>
      <c r="BK43" s="6585"/>
      <c r="BL43" s="654"/>
      <c r="BM43" s="1613">
        <v>120</v>
      </c>
      <c r="BN43" s="6582" t="s">
        <v>1730</v>
      </c>
      <c r="BO43" s="6503"/>
      <c r="BP43" s="6583" t="str">
        <f>IF(BM38=0,"",VLOOKUP(BM38,'Tablas psiquica'!$D$7:$R$145,9,FALSE))</f>
        <v/>
      </c>
      <c r="BQ43" s="6584"/>
      <c r="BR43" s="6584"/>
      <c r="BS43" s="6585"/>
      <c r="BT43" s="1082"/>
      <c r="BU43" s="1613">
        <v>120</v>
      </c>
      <c r="BV43" s="6582" t="s">
        <v>1730</v>
      </c>
      <c r="BW43" s="6503"/>
      <c r="BX43" s="6583" t="str">
        <f>IF(BU38=0,"",VLOOKUP(BU38,'Tablas psiquica'!$D$7:$R$145,9,FALSE))</f>
        <v/>
      </c>
      <c r="BY43" s="6584"/>
      <c r="BZ43" s="6584"/>
      <c r="CA43" s="6585"/>
      <c r="CB43" s="398"/>
      <c r="CC43" s="392"/>
      <c r="CD43" s="392"/>
      <c r="CE43" s="1082"/>
      <c r="CF43" s="1613">
        <v>120</v>
      </c>
      <c r="CG43" s="6582" t="s">
        <v>1730</v>
      </c>
      <c r="CH43" s="6503"/>
      <c r="CI43" s="6583" t="str">
        <f>IF(CF38=0,"",VLOOKUP(CF38,'Tablas psiquica'!$D$7:$R$145,9,FALSE))</f>
        <v/>
      </c>
      <c r="CJ43" s="6584"/>
      <c r="CK43" s="6584"/>
      <c r="CL43" s="6585"/>
      <c r="CM43" s="654"/>
      <c r="CN43" s="1613">
        <v>120</v>
      </c>
      <c r="CO43" s="6582" t="s">
        <v>1730</v>
      </c>
      <c r="CP43" s="6503"/>
      <c r="CQ43" s="6583" t="str">
        <f>IF(CN38=0,"",VLOOKUP(CN38,'Tablas psiquica'!$D$7:$R$145,9,FALSE))</f>
        <v/>
      </c>
      <c r="CR43" s="6584"/>
      <c r="CS43" s="6584"/>
      <c r="CT43" s="6585"/>
      <c r="CU43" s="1082"/>
      <c r="CV43" s="1613">
        <v>120</v>
      </c>
      <c r="CW43" s="6582" t="s">
        <v>1730</v>
      </c>
      <c r="CX43" s="6503"/>
      <c r="CY43" s="6583" t="str">
        <f>IF(CV38=0,"",VLOOKUP(CV38,'Tablas psiquica'!$D$7:$R$145,9,FALSE))</f>
        <v/>
      </c>
      <c r="CZ43" s="6584"/>
      <c r="DA43" s="6584"/>
      <c r="DB43" s="6585"/>
      <c r="DC43" s="398"/>
      <c r="DD43" s="392"/>
    </row>
    <row r="44" spans="1:108" ht="12" customHeight="1" x14ac:dyDescent="0.2">
      <c r="A44" s="392"/>
      <c r="B44" s="1082"/>
      <c r="C44" s="1614">
        <v>140</v>
      </c>
      <c r="D44" s="6586" t="s">
        <v>6237</v>
      </c>
      <c r="E44" s="6508"/>
      <c r="F44" s="6587" t="str">
        <f>IF(C38=0,"",VLOOKUP(C38,'Tablas psiquica'!$D$7:$R$145,10,FALSE))</f>
        <v/>
      </c>
      <c r="G44" s="6042"/>
      <c r="H44" s="6042"/>
      <c r="I44" s="6588"/>
      <c r="J44" s="654"/>
      <c r="K44" s="1614">
        <v>140</v>
      </c>
      <c r="L44" s="6586" t="s">
        <v>6237</v>
      </c>
      <c r="M44" s="6508"/>
      <c r="N44" s="6587" t="str">
        <f>IF(K38=0,"",VLOOKUP(K38,'Tablas psiquica'!$D$7:$R$145,10,FALSE))</f>
        <v/>
      </c>
      <c r="O44" s="6042"/>
      <c r="P44" s="6042"/>
      <c r="Q44" s="6588"/>
      <c r="R44" s="1082"/>
      <c r="S44" s="1614">
        <v>140</v>
      </c>
      <c r="T44" s="6586" t="s">
        <v>6237</v>
      </c>
      <c r="U44" s="6508"/>
      <c r="V44" s="6587" t="str">
        <f>IF(S38=0,"",VLOOKUP(S38,'Tablas psiquica'!$D$7:$R$145,10,FALSE))</f>
        <v/>
      </c>
      <c r="W44" s="6042"/>
      <c r="X44" s="6042"/>
      <c r="Y44" s="6588"/>
      <c r="Z44" s="398"/>
      <c r="AA44" s="392"/>
      <c r="AB44" s="392"/>
      <c r="AC44" s="1082"/>
      <c r="AD44" s="1614">
        <v>140</v>
      </c>
      <c r="AE44" s="6586" t="s">
        <v>6237</v>
      </c>
      <c r="AF44" s="6508"/>
      <c r="AG44" s="6587" t="str">
        <f>IF(AD38=0,"",VLOOKUP(AD38,'Tablas psiquica'!$D$7:$R$145,10,FALSE))</f>
        <v/>
      </c>
      <c r="AH44" s="6042"/>
      <c r="AI44" s="6042"/>
      <c r="AJ44" s="6588"/>
      <c r="AK44" s="654"/>
      <c r="AL44" s="1614">
        <v>140</v>
      </c>
      <c r="AM44" s="6586" t="s">
        <v>6237</v>
      </c>
      <c r="AN44" s="6508"/>
      <c r="AO44" s="6587" t="str">
        <f>IF(AL38=0,"",VLOOKUP(AL38,'Tablas psiquica'!$D$7:$R$145,10,FALSE))</f>
        <v/>
      </c>
      <c r="AP44" s="6042"/>
      <c r="AQ44" s="6042"/>
      <c r="AR44" s="6588"/>
      <c r="AS44" s="1082"/>
      <c r="AT44" s="1614">
        <v>140</v>
      </c>
      <c r="AU44" s="6586" t="s">
        <v>6237</v>
      </c>
      <c r="AV44" s="6508"/>
      <c r="AW44" s="6587" t="str">
        <f>IF(AT38=0,"",VLOOKUP(AT38,'Tablas psiquica'!$D$7:$R$145,10,FALSE))</f>
        <v/>
      </c>
      <c r="AX44" s="6042"/>
      <c r="AY44" s="6042"/>
      <c r="AZ44" s="6588"/>
      <c r="BA44" s="398"/>
      <c r="BB44" s="392"/>
      <c r="BC44" s="392"/>
      <c r="BD44" s="1082"/>
      <c r="BE44" s="1614">
        <v>140</v>
      </c>
      <c r="BF44" s="6586" t="s">
        <v>6237</v>
      </c>
      <c r="BG44" s="6508"/>
      <c r="BH44" s="6587" t="str">
        <f>IF(BE38=0,"",VLOOKUP(BE38,'Tablas psiquica'!$D$7:$R$145,10,FALSE))</f>
        <v/>
      </c>
      <c r="BI44" s="6042"/>
      <c r="BJ44" s="6042"/>
      <c r="BK44" s="6588"/>
      <c r="BL44" s="654"/>
      <c r="BM44" s="1614">
        <v>140</v>
      </c>
      <c r="BN44" s="6586" t="s">
        <v>6237</v>
      </c>
      <c r="BO44" s="6508"/>
      <c r="BP44" s="6587" t="str">
        <f>IF(BM38=0,"",VLOOKUP(BM38,'Tablas psiquica'!$D$7:$R$145,10,FALSE))</f>
        <v/>
      </c>
      <c r="BQ44" s="6042"/>
      <c r="BR44" s="6042"/>
      <c r="BS44" s="6588"/>
      <c r="BT44" s="1082"/>
      <c r="BU44" s="1614">
        <v>140</v>
      </c>
      <c r="BV44" s="6586" t="s">
        <v>6237</v>
      </c>
      <c r="BW44" s="6508"/>
      <c r="BX44" s="6587" t="str">
        <f>IF(BU38=0,"",VLOOKUP(BU38,'Tablas psiquica'!$D$7:$R$145,10,FALSE))</f>
        <v/>
      </c>
      <c r="BY44" s="6042"/>
      <c r="BZ44" s="6042"/>
      <c r="CA44" s="6588"/>
      <c r="CB44" s="398"/>
      <c r="CC44" s="392"/>
      <c r="CD44" s="392"/>
      <c r="CE44" s="1082"/>
      <c r="CF44" s="1614">
        <v>140</v>
      </c>
      <c r="CG44" s="6586" t="s">
        <v>6237</v>
      </c>
      <c r="CH44" s="6508"/>
      <c r="CI44" s="6587" t="str">
        <f>IF(CF38=0,"",VLOOKUP(CF38,'Tablas psiquica'!$D$7:$R$145,10,FALSE))</f>
        <v/>
      </c>
      <c r="CJ44" s="6042"/>
      <c r="CK44" s="6042"/>
      <c r="CL44" s="6588"/>
      <c r="CM44" s="654"/>
      <c r="CN44" s="1614">
        <v>140</v>
      </c>
      <c r="CO44" s="6586" t="s">
        <v>6237</v>
      </c>
      <c r="CP44" s="6508"/>
      <c r="CQ44" s="6587" t="str">
        <f>IF(CN38=0,"",VLOOKUP(CN38,'Tablas psiquica'!$D$7:$R$145,10,FALSE))</f>
        <v/>
      </c>
      <c r="CR44" s="6042"/>
      <c r="CS44" s="6042"/>
      <c r="CT44" s="6588"/>
      <c r="CU44" s="1082"/>
      <c r="CV44" s="1614">
        <v>140</v>
      </c>
      <c r="CW44" s="6586" t="s">
        <v>6237</v>
      </c>
      <c r="CX44" s="6508"/>
      <c r="CY44" s="6587" t="str">
        <f>IF(CV38=0,"",VLOOKUP(CV38,'Tablas psiquica'!$D$7:$R$145,10,FALSE))</f>
        <v/>
      </c>
      <c r="CZ44" s="6042"/>
      <c r="DA44" s="6042"/>
      <c r="DB44" s="6588"/>
      <c r="DC44" s="398"/>
      <c r="DD44" s="392"/>
    </row>
    <row r="45" spans="1:108" ht="12" customHeight="1" x14ac:dyDescent="0.2">
      <c r="A45" s="392"/>
      <c r="B45" s="1082"/>
      <c r="C45" s="1613">
        <v>180</v>
      </c>
      <c r="D45" s="6582" t="s">
        <v>1734</v>
      </c>
      <c r="E45" s="6503"/>
      <c r="F45" s="6583" t="str">
        <f>IF(C38=0,"",VLOOKUP(C38,'Tablas psiquica'!$D$7:$R$145,11,FALSE))</f>
        <v/>
      </c>
      <c r="G45" s="6584"/>
      <c r="H45" s="6584"/>
      <c r="I45" s="6585"/>
      <c r="J45" s="654"/>
      <c r="K45" s="1613">
        <v>180</v>
      </c>
      <c r="L45" s="6582" t="s">
        <v>1734</v>
      </c>
      <c r="M45" s="6503"/>
      <c r="N45" s="6583" t="str">
        <f>IF(K38=0,"",VLOOKUP(K38,'Tablas psiquica'!$D$7:$R$145,11,FALSE))</f>
        <v/>
      </c>
      <c r="O45" s="6584"/>
      <c r="P45" s="6584"/>
      <c r="Q45" s="6585"/>
      <c r="R45" s="1082"/>
      <c r="S45" s="1613">
        <v>180</v>
      </c>
      <c r="T45" s="6582" t="s">
        <v>1734</v>
      </c>
      <c r="U45" s="6503"/>
      <c r="V45" s="6583" t="str">
        <f>IF(S38=0,"",VLOOKUP(S38,'Tablas psiquica'!$D$7:$R$145,11,FALSE))</f>
        <v/>
      </c>
      <c r="W45" s="6584"/>
      <c r="X45" s="6584"/>
      <c r="Y45" s="6585"/>
      <c r="Z45" s="398"/>
      <c r="AA45" s="392"/>
      <c r="AB45" s="392"/>
      <c r="AC45" s="1082"/>
      <c r="AD45" s="1613">
        <v>180</v>
      </c>
      <c r="AE45" s="6582" t="s">
        <v>1734</v>
      </c>
      <c r="AF45" s="6503"/>
      <c r="AG45" s="6583" t="str">
        <f>IF(AD38=0,"",VLOOKUP(AD38,'Tablas psiquica'!$D$7:$R$145,11,FALSE))</f>
        <v/>
      </c>
      <c r="AH45" s="6584"/>
      <c r="AI45" s="6584"/>
      <c r="AJ45" s="6585"/>
      <c r="AK45" s="654"/>
      <c r="AL45" s="1613">
        <v>180</v>
      </c>
      <c r="AM45" s="6582" t="s">
        <v>1734</v>
      </c>
      <c r="AN45" s="6503"/>
      <c r="AO45" s="6583" t="str">
        <f>IF(AL38=0,"",VLOOKUP(AL38,'Tablas psiquica'!$D$7:$R$145,11,FALSE))</f>
        <v/>
      </c>
      <c r="AP45" s="6584"/>
      <c r="AQ45" s="6584"/>
      <c r="AR45" s="6585"/>
      <c r="AS45" s="1082"/>
      <c r="AT45" s="1613">
        <v>180</v>
      </c>
      <c r="AU45" s="6582" t="s">
        <v>1734</v>
      </c>
      <c r="AV45" s="6503"/>
      <c r="AW45" s="6583" t="str">
        <f>IF(AT38=0,"",VLOOKUP(AT38,'Tablas psiquica'!$D$7:$R$145,11,FALSE))</f>
        <v/>
      </c>
      <c r="AX45" s="6584"/>
      <c r="AY45" s="6584"/>
      <c r="AZ45" s="6585"/>
      <c r="BA45" s="398"/>
      <c r="BB45" s="392"/>
      <c r="BC45" s="392"/>
      <c r="BD45" s="1082"/>
      <c r="BE45" s="1613">
        <v>180</v>
      </c>
      <c r="BF45" s="6582" t="s">
        <v>1734</v>
      </c>
      <c r="BG45" s="6503"/>
      <c r="BH45" s="6583" t="str">
        <f>IF(BE38=0,"",VLOOKUP(BE38,'Tablas psiquica'!$D$7:$R$145,11,FALSE))</f>
        <v/>
      </c>
      <c r="BI45" s="6584"/>
      <c r="BJ45" s="6584"/>
      <c r="BK45" s="6585"/>
      <c r="BL45" s="654"/>
      <c r="BM45" s="1613">
        <v>180</v>
      </c>
      <c r="BN45" s="6582" t="s">
        <v>1734</v>
      </c>
      <c r="BO45" s="6503"/>
      <c r="BP45" s="6583" t="str">
        <f>IF(BM38=0,"",VLOOKUP(BM38,'Tablas psiquica'!$D$7:$R$145,11,FALSE))</f>
        <v/>
      </c>
      <c r="BQ45" s="6584"/>
      <c r="BR45" s="6584"/>
      <c r="BS45" s="6585"/>
      <c r="BT45" s="1082"/>
      <c r="BU45" s="1613">
        <v>180</v>
      </c>
      <c r="BV45" s="6582" t="s">
        <v>1734</v>
      </c>
      <c r="BW45" s="6503"/>
      <c r="BX45" s="6583" t="str">
        <f>IF(BU38=0,"",VLOOKUP(BU38,'Tablas psiquica'!$D$7:$R$145,11,FALSE))</f>
        <v/>
      </c>
      <c r="BY45" s="6584"/>
      <c r="BZ45" s="6584"/>
      <c r="CA45" s="6585"/>
      <c r="CB45" s="398"/>
      <c r="CC45" s="392"/>
      <c r="CD45" s="392"/>
      <c r="CE45" s="1082"/>
      <c r="CF45" s="1613">
        <v>180</v>
      </c>
      <c r="CG45" s="6582" t="s">
        <v>1734</v>
      </c>
      <c r="CH45" s="6503"/>
      <c r="CI45" s="6583" t="str">
        <f>IF(CF38=0,"",VLOOKUP(CF38,'Tablas psiquica'!$D$7:$R$145,11,FALSE))</f>
        <v/>
      </c>
      <c r="CJ45" s="6584"/>
      <c r="CK45" s="6584"/>
      <c r="CL45" s="6585"/>
      <c r="CM45" s="654"/>
      <c r="CN45" s="1613">
        <v>180</v>
      </c>
      <c r="CO45" s="6582" t="s">
        <v>1734</v>
      </c>
      <c r="CP45" s="6503"/>
      <c r="CQ45" s="6583" t="str">
        <f>IF(CN38=0,"",VLOOKUP(CN38,'Tablas psiquica'!$D$7:$R$145,11,FALSE))</f>
        <v/>
      </c>
      <c r="CR45" s="6584"/>
      <c r="CS45" s="6584"/>
      <c r="CT45" s="6585"/>
      <c r="CU45" s="1082"/>
      <c r="CV45" s="1613">
        <v>180</v>
      </c>
      <c r="CW45" s="6582" t="s">
        <v>1734</v>
      </c>
      <c r="CX45" s="6503"/>
      <c r="CY45" s="6583" t="str">
        <f>IF(CV38=0,"",VLOOKUP(CV38,'Tablas psiquica'!$D$7:$R$145,11,FALSE))</f>
        <v/>
      </c>
      <c r="CZ45" s="6584"/>
      <c r="DA45" s="6584"/>
      <c r="DB45" s="6585"/>
      <c r="DC45" s="398"/>
      <c r="DD45" s="392"/>
    </row>
    <row r="46" spans="1:108" ht="12" customHeight="1" x14ac:dyDescent="0.2">
      <c r="A46" s="392"/>
      <c r="B46" s="1082"/>
      <c r="C46" s="1614">
        <v>240</v>
      </c>
      <c r="D46" s="6586" t="s">
        <v>6238</v>
      </c>
      <c r="E46" s="6508"/>
      <c r="F46" s="6587" t="str">
        <f>IF(C38=0,"",VLOOKUP(C38,'Tablas psiquica'!$D$7:$R$145,12,FALSE))</f>
        <v/>
      </c>
      <c r="G46" s="6042"/>
      <c r="H46" s="6042"/>
      <c r="I46" s="6588"/>
      <c r="J46" s="654"/>
      <c r="K46" s="1614">
        <v>240</v>
      </c>
      <c r="L46" s="6586" t="s">
        <v>6238</v>
      </c>
      <c r="M46" s="6508"/>
      <c r="N46" s="6587" t="str">
        <f>IF(K38=0,"",VLOOKUP(K38,'Tablas psiquica'!$D$7:$R$145,12,FALSE))</f>
        <v/>
      </c>
      <c r="O46" s="6042"/>
      <c r="P46" s="6042"/>
      <c r="Q46" s="6588"/>
      <c r="R46" s="1082"/>
      <c r="S46" s="1614">
        <v>240</v>
      </c>
      <c r="T46" s="6586" t="s">
        <v>6238</v>
      </c>
      <c r="U46" s="6508"/>
      <c r="V46" s="6587" t="str">
        <f>IF(S38=0,"",VLOOKUP(S38,'Tablas psiquica'!$D$7:$R$145,12,FALSE))</f>
        <v/>
      </c>
      <c r="W46" s="6042"/>
      <c r="X46" s="6042"/>
      <c r="Y46" s="6588"/>
      <c r="Z46" s="398"/>
      <c r="AA46" s="392"/>
      <c r="AB46" s="392"/>
      <c r="AC46" s="1082"/>
      <c r="AD46" s="1614">
        <v>240</v>
      </c>
      <c r="AE46" s="6586" t="s">
        <v>6238</v>
      </c>
      <c r="AF46" s="6508"/>
      <c r="AG46" s="6587" t="str">
        <f>IF(AD38=0,"",VLOOKUP(AD38,'Tablas psiquica'!$D$7:$R$145,12,FALSE))</f>
        <v/>
      </c>
      <c r="AH46" s="6042"/>
      <c r="AI46" s="6042"/>
      <c r="AJ46" s="6588"/>
      <c r="AK46" s="654"/>
      <c r="AL46" s="1614">
        <v>240</v>
      </c>
      <c r="AM46" s="6586" t="s">
        <v>6238</v>
      </c>
      <c r="AN46" s="6508"/>
      <c r="AO46" s="6587" t="str">
        <f>IF(AL38=0,"",VLOOKUP(AL38,'Tablas psiquica'!$D$7:$R$145,12,FALSE))</f>
        <v/>
      </c>
      <c r="AP46" s="6042"/>
      <c r="AQ46" s="6042"/>
      <c r="AR46" s="6588"/>
      <c r="AS46" s="1082"/>
      <c r="AT46" s="1614">
        <v>240</v>
      </c>
      <c r="AU46" s="6586" t="s">
        <v>6238</v>
      </c>
      <c r="AV46" s="6508"/>
      <c r="AW46" s="6587" t="str">
        <f>IF(AT38=0,"",VLOOKUP(AT38,'Tablas psiquica'!$D$7:$R$145,12,FALSE))</f>
        <v/>
      </c>
      <c r="AX46" s="6042"/>
      <c r="AY46" s="6042"/>
      <c r="AZ46" s="6588"/>
      <c r="BA46" s="398"/>
      <c r="BB46" s="392"/>
      <c r="BC46" s="392"/>
      <c r="BD46" s="1082"/>
      <c r="BE46" s="1614">
        <v>240</v>
      </c>
      <c r="BF46" s="6586" t="s">
        <v>6238</v>
      </c>
      <c r="BG46" s="6508"/>
      <c r="BH46" s="6587" t="str">
        <f>IF(BE38=0,"",VLOOKUP(BE38,'Tablas psiquica'!$D$7:$R$145,12,FALSE))</f>
        <v/>
      </c>
      <c r="BI46" s="6042"/>
      <c r="BJ46" s="6042"/>
      <c r="BK46" s="6588"/>
      <c r="BL46" s="654"/>
      <c r="BM46" s="1614">
        <v>240</v>
      </c>
      <c r="BN46" s="6586" t="s">
        <v>6238</v>
      </c>
      <c r="BO46" s="6508"/>
      <c r="BP46" s="6587" t="str">
        <f>IF(BM38=0,"",VLOOKUP(BM38,'Tablas psiquica'!$D$7:$R$145,12,FALSE))</f>
        <v/>
      </c>
      <c r="BQ46" s="6042"/>
      <c r="BR46" s="6042"/>
      <c r="BS46" s="6588"/>
      <c r="BT46" s="1082"/>
      <c r="BU46" s="1614">
        <v>240</v>
      </c>
      <c r="BV46" s="6586" t="s">
        <v>6238</v>
      </c>
      <c r="BW46" s="6508"/>
      <c r="BX46" s="6587" t="str">
        <f>IF(BU38=0,"",VLOOKUP(BU38,'Tablas psiquica'!$D$7:$R$145,12,FALSE))</f>
        <v/>
      </c>
      <c r="BY46" s="6042"/>
      <c r="BZ46" s="6042"/>
      <c r="CA46" s="6588"/>
      <c r="CB46" s="398"/>
      <c r="CC46" s="392"/>
      <c r="CD46" s="392"/>
      <c r="CE46" s="1082"/>
      <c r="CF46" s="1614">
        <v>240</v>
      </c>
      <c r="CG46" s="6586" t="s">
        <v>6238</v>
      </c>
      <c r="CH46" s="6508"/>
      <c r="CI46" s="6587" t="str">
        <f>IF(CF38=0,"",VLOOKUP(CF38,'Tablas psiquica'!$D$7:$R$145,12,FALSE))</f>
        <v/>
      </c>
      <c r="CJ46" s="6042"/>
      <c r="CK46" s="6042"/>
      <c r="CL46" s="6588"/>
      <c r="CM46" s="654"/>
      <c r="CN46" s="1614">
        <v>240</v>
      </c>
      <c r="CO46" s="6586" t="s">
        <v>6238</v>
      </c>
      <c r="CP46" s="6508"/>
      <c r="CQ46" s="6587" t="str">
        <f>IF(CN38=0,"",VLOOKUP(CN38,'Tablas psiquica'!$D$7:$R$145,12,FALSE))</f>
        <v/>
      </c>
      <c r="CR46" s="6042"/>
      <c r="CS46" s="6042"/>
      <c r="CT46" s="6588"/>
      <c r="CU46" s="1082"/>
      <c r="CV46" s="1614">
        <v>240</v>
      </c>
      <c r="CW46" s="6586" t="s">
        <v>6238</v>
      </c>
      <c r="CX46" s="6508"/>
      <c r="CY46" s="6587" t="str">
        <f>IF(CV38=0,"",VLOOKUP(CV38,'Tablas psiquica'!$D$7:$R$145,12,FALSE))</f>
        <v/>
      </c>
      <c r="CZ46" s="6042"/>
      <c r="DA46" s="6042"/>
      <c r="DB46" s="6588"/>
      <c r="DC46" s="398"/>
      <c r="DD46" s="392"/>
    </row>
    <row r="47" spans="1:108" ht="12" customHeight="1" x14ac:dyDescent="0.2">
      <c r="A47" s="392"/>
      <c r="B47" s="1082"/>
      <c r="C47" s="1613">
        <v>280</v>
      </c>
      <c r="D47" s="6582" t="s">
        <v>1737</v>
      </c>
      <c r="E47" s="6503"/>
      <c r="F47" s="6583" t="str">
        <f>IF(C38=0,"",VLOOKUP(C38,'Tablas psiquica'!$D$7:$R$145,13,FALSE))</f>
        <v/>
      </c>
      <c r="G47" s="6584"/>
      <c r="H47" s="6584"/>
      <c r="I47" s="6585"/>
      <c r="J47" s="654"/>
      <c r="K47" s="1613">
        <v>280</v>
      </c>
      <c r="L47" s="6582" t="s">
        <v>1737</v>
      </c>
      <c r="M47" s="6503"/>
      <c r="N47" s="6583" t="str">
        <f>IF(K38=0,"",VLOOKUP(K38,'Tablas psiquica'!$D$7:$R$145,13,FALSE))</f>
        <v/>
      </c>
      <c r="O47" s="6584"/>
      <c r="P47" s="6584"/>
      <c r="Q47" s="6585"/>
      <c r="R47" s="1082"/>
      <c r="S47" s="1613">
        <v>280</v>
      </c>
      <c r="T47" s="6582" t="s">
        <v>1737</v>
      </c>
      <c r="U47" s="6503"/>
      <c r="V47" s="6583" t="str">
        <f>IF(S38=0,"",VLOOKUP(S38,'Tablas psiquica'!$D$7:$R$145,13,FALSE))</f>
        <v/>
      </c>
      <c r="W47" s="6584"/>
      <c r="X47" s="6584"/>
      <c r="Y47" s="6585"/>
      <c r="Z47" s="398"/>
      <c r="AA47" s="392"/>
      <c r="AB47" s="392"/>
      <c r="AC47" s="1082"/>
      <c r="AD47" s="1613">
        <v>280</v>
      </c>
      <c r="AE47" s="6582" t="s">
        <v>1737</v>
      </c>
      <c r="AF47" s="6503"/>
      <c r="AG47" s="6583" t="str">
        <f>IF(AD38=0,"",VLOOKUP(AD38,'Tablas psiquica'!$D$7:$R$145,13,FALSE))</f>
        <v/>
      </c>
      <c r="AH47" s="6584"/>
      <c r="AI47" s="6584"/>
      <c r="AJ47" s="6585"/>
      <c r="AK47" s="654"/>
      <c r="AL47" s="1613">
        <v>280</v>
      </c>
      <c r="AM47" s="6582" t="s">
        <v>1737</v>
      </c>
      <c r="AN47" s="6503"/>
      <c r="AO47" s="6583" t="str">
        <f>IF(AL38=0,"",VLOOKUP(AL38,'Tablas psiquica'!$D$7:$R$145,13,FALSE))</f>
        <v/>
      </c>
      <c r="AP47" s="6584"/>
      <c r="AQ47" s="6584"/>
      <c r="AR47" s="6585"/>
      <c r="AS47" s="1082"/>
      <c r="AT47" s="1613">
        <v>280</v>
      </c>
      <c r="AU47" s="6582" t="s">
        <v>1737</v>
      </c>
      <c r="AV47" s="6503"/>
      <c r="AW47" s="6583" t="str">
        <f>IF(AT38=0,"",VLOOKUP(AT38,'Tablas psiquica'!$D$7:$R$145,13,FALSE))</f>
        <v/>
      </c>
      <c r="AX47" s="6584"/>
      <c r="AY47" s="6584"/>
      <c r="AZ47" s="6585"/>
      <c r="BA47" s="398"/>
      <c r="BB47" s="392"/>
      <c r="BC47" s="392"/>
      <c r="BD47" s="1082"/>
      <c r="BE47" s="1613">
        <v>280</v>
      </c>
      <c r="BF47" s="6582" t="s">
        <v>1737</v>
      </c>
      <c r="BG47" s="6503"/>
      <c r="BH47" s="6583" t="str">
        <f>IF(BE38=0,"",VLOOKUP(BE38,'Tablas psiquica'!$D$7:$R$145,13,FALSE))</f>
        <v/>
      </c>
      <c r="BI47" s="6584"/>
      <c r="BJ47" s="6584"/>
      <c r="BK47" s="6585"/>
      <c r="BL47" s="654"/>
      <c r="BM47" s="1613">
        <v>280</v>
      </c>
      <c r="BN47" s="6582" t="s">
        <v>1737</v>
      </c>
      <c r="BO47" s="6503"/>
      <c r="BP47" s="6583" t="str">
        <f>IF(BM38=0,"",VLOOKUP(BM38,'Tablas psiquica'!$D$7:$R$145,13,FALSE))</f>
        <v/>
      </c>
      <c r="BQ47" s="6584"/>
      <c r="BR47" s="6584"/>
      <c r="BS47" s="6585"/>
      <c r="BT47" s="1082"/>
      <c r="BU47" s="1613">
        <v>280</v>
      </c>
      <c r="BV47" s="6582" t="s">
        <v>1737</v>
      </c>
      <c r="BW47" s="6503"/>
      <c r="BX47" s="6583" t="str">
        <f>IF(BU38=0,"",VLOOKUP(BU38,'Tablas psiquica'!$D$7:$R$145,13,FALSE))</f>
        <v/>
      </c>
      <c r="BY47" s="6584"/>
      <c r="BZ47" s="6584"/>
      <c r="CA47" s="6585"/>
      <c r="CB47" s="398"/>
      <c r="CC47" s="392"/>
      <c r="CD47" s="392"/>
      <c r="CE47" s="1082"/>
      <c r="CF47" s="1613">
        <v>280</v>
      </c>
      <c r="CG47" s="6582" t="s">
        <v>1737</v>
      </c>
      <c r="CH47" s="6503"/>
      <c r="CI47" s="6583" t="str">
        <f>IF(CF38=0,"",VLOOKUP(CF38,'Tablas psiquica'!$D$7:$R$145,13,FALSE))</f>
        <v/>
      </c>
      <c r="CJ47" s="6584"/>
      <c r="CK47" s="6584"/>
      <c r="CL47" s="6585"/>
      <c r="CM47" s="654"/>
      <c r="CN47" s="1613">
        <v>280</v>
      </c>
      <c r="CO47" s="6582" t="s">
        <v>1737</v>
      </c>
      <c r="CP47" s="6503"/>
      <c r="CQ47" s="6583" t="str">
        <f>IF(CN38=0,"",VLOOKUP(CN38,'Tablas psiquica'!$D$7:$R$145,13,FALSE))</f>
        <v/>
      </c>
      <c r="CR47" s="6584"/>
      <c r="CS47" s="6584"/>
      <c r="CT47" s="6585"/>
      <c r="CU47" s="1082"/>
      <c r="CV47" s="1613">
        <v>280</v>
      </c>
      <c r="CW47" s="6582" t="s">
        <v>1737</v>
      </c>
      <c r="CX47" s="6503"/>
      <c r="CY47" s="6583" t="str">
        <f>IF(CV38=0,"",VLOOKUP(CV38,'Tablas psiquica'!$D$7:$R$145,13,FALSE))</f>
        <v/>
      </c>
      <c r="CZ47" s="6584"/>
      <c r="DA47" s="6584"/>
      <c r="DB47" s="6585"/>
      <c r="DC47" s="398"/>
      <c r="DD47" s="392"/>
    </row>
    <row r="48" spans="1:108" ht="12" customHeight="1" x14ac:dyDescent="0.2">
      <c r="A48" s="392"/>
      <c r="B48" s="1082"/>
      <c r="C48" s="1614">
        <v>320</v>
      </c>
      <c r="D48" s="6586" t="s">
        <v>1739</v>
      </c>
      <c r="E48" s="6508"/>
      <c r="F48" s="6587" t="str">
        <f>IF(C38=0,"",VLOOKUP(C38,'Tablas psiquica'!$D$7:$R$145,14,FALSE))</f>
        <v/>
      </c>
      <c r="G48" s="6042"/>
      <c r="H48" s="6042"/>
      <c r="I48" s="6588"/>
      <c r="J48" s="654"/>
      <c r="K48" s="1614">
        <v>320</v>
      </c>
      <c r="L48" s="6586" t="s">
        <v>1739</v>
      </c>
      <c r="M48" s="6508"/>
      <c r="N48" s="6587" t="str">
        <f>IF(K38=0,"",VLOOKUP(K38,'Tablas psiquica'!$D$7:$R$145,14,FALSE))</f>
        <v/>
      </c>
      <c r="O48" s="6042"/>
      <c r="P48" s="6042"/>
      <c r="Q48" s="6588"/>
      <c r="R48" s="1082"/>
      <c r="S48" s="1614">
        <v>320</v>
      </c>
      <c r="T48" s="6586" t="s">
        <v>1739</v>
      </c>
      <c r="U48" s="6508"/>
      <c r="V48" s="6587" t="str">
        <f>IF(S38=0,"",VLOOKUP(S38,'Tablas psiquica'!$D$7:$R$145,14,FALSE))</f>
        <v/>
      </c>
      <c r="W48" s="6042"/>
      <c r="X48" s="6042"/>
      <c r="Y48" s="6588"/>
      <c r="Z48" s="398"/>
      <c r="AA48" s="392"/>
      <c r="AB48" s="392"/>
      <c r="AC48" s="1082"/>
      <c r="AD48" s="1614">
        <v>320</v>
      </c>
      <c r="AE48" s="6586" t="s">
        <v>1739</v>
      </c>
      <c r="AF48" s="6508"/>
      <c r="AG48" s="6587" t="str">
        <f>IF(AD38=0,"",VLOOKUP(AD38,'Tablas psiquica'!$D$7:$R$145,14,FALSE))</f>
        <v/>
      </c>
      <c r="AH48" s="6042"/>
      <c r="AI48" s="6042"/>
      <c r="AJ48" s="6588"/>
      <c r="AK48" s="654"/>
      <c r="AL48" s="1614">
        <v>320</v>
      </c>
      <c r="AM48" s="6586" t="s">
        <v>1739</v>
      </c>
      <c r="AN48" s="6508"/>
      <c r="AO48" s="6587" t="str">
        <f>IF(AL38=0,"",VLOOKUP(AL38,'Tablas psiquica'!$D$7:$R$145,14,FALSE))</f>
        <v/>
      </c>
      <c r="AP48" s="6042"/>
      <c r="AQ48" s="6042"/>
      <c r="AR48" s="6588"/>
      <c r="AS48" s="1082"/>
      <c r="AT48" s="1614">
        <v>320</v>
      </c>
      <c r="AU48" s="6586" t="s">
        <v>1739</v>
      </c>
      <c r="AV48" s="6508"/>
      <c r="AW48" s="6587" t="str">
        <f>IF(AT38=0,"",VLOOKUP(AT38,'Tablas psiquica'!$D$7:$R$145,14,FALSE))</f>
        <v/>
      </c>
      <c r="AX48" s="6042"/>
      <c r="AY48" s="6042"/>
      <c r="AZ48" s="6588"/>
      <c r="BA48" s="398"/>
      <c r="BB48" s="392"/>
      <c r="BC48" s="392"/>
      <c r="BD48" s="1082"/>
      <c r="BE48" s="1614">
        <v>320</v>
      </c>
      <c r="BF48" s="6586" t="s">
        <v>1739</v>
      </c>
      <c r="BG48" s="6508"/>
      <c r="BH48" s="6587" t="str">
        <f>IF(BE38=0,"",VLOOKUP(BE38,'Tablas psiquica'!$D$7:$R$145,14,FALSE))</f>
        <v/>
      </c>
      <c r="BI48" s="6042"/>
      <c r="BJ48" s="6042"/>
      <c r="BK48" s="6588"/>
      <c r="BL48" s="654"/>
      <c r="BM48" s="1614">
        <v>320</v>
      </c>
      <c r="BN48" s="6586" t="s">
        <v>1739</v>
      </c>
      <c r="BO48" s="6508"/>
      <c r="BP48" s="6587" t="str">
        <f>IF(BM38=0,"",VLOOKUP(BM38,'Tablas psiquica'!$D$7:$R$145,14,FALSE))</f>
        <v/>
      </c>
      <c r="BQ48" s="6042"/>
      <c r="BR48" s="6042"/>
      <c r="BS48" s="6588"/>
      <c r="BT48" s="1082"/>
      <c r="BU48" s="1614">
        <v>320</v>
      </c>
      <c r="BV48" s="6586" t="s">
        <v>1739</v>
      </c>
      <c r="BW48" s="6508"/>
      <c r="BX48" s="6587" t="str">
        <f>IF(BU38=0,"",VLOOKUP(BU38,'Tablas psiquica'!$D$7:$R$145,14,FALSE))</f>
        <v/>
      </c>
      <c r="BY48" s="6042"/>
      <c r="BZ48" s="6042"/>
      <c r="CA48" s="6588"/>
      <c r="CB48" s="398"/>
      <c r="CC48" s="392"/>
      <c r="CD48" s="392"/>
      <c r="CE48" s="1082"/>
      <c r="CF48" s="1614">
        <v>320</v>
      </c>
      <c r="CG48" s="6586" t="s">
        <v>1739</v>
      </c>
      <c r="CH48" s="6508"/>
      <c r="CI48" s="6587" t="str">
        <f>IF(CF38=0,"",VLOOKUP(CF38,'Tablas psiquica'!$D$7:$R$145,14,FALSE))</f>
        <v/>
      </c>
      <c r="CJ48" s="6042"/>
      <c r="CK48" s="6042"/>
      <c r="CL48" s="6588"/>
      <c r="CM48" s="654"/>
      <c r="CN48" s="1614">
        <v>320</v>
      </c>
      <c r="CO48" s="6586" t="s">
        <v>1739</v>
      </c>
      <c r="CP48" s="6508"/>
      <c r="CQ48" s="6587" t="str">
        <f>IF(CN38=0,"",VLOOKUP(CN38,'Tablas psiquica'!$D$7:$R$145,14,FALSE))</f>
        <v/>
      </c>
      <c r="CR48" s="6042"/>
      <c r="CS48" s="6042"/>
      <c r="CT48" s="6588"/>
      <c r="CU48" s="1082"/>
      <c r="CV48" s="1614">
        <v>320</v>
      </c>
      <c r="CW48" s="6586" t="s">
        <v>1739</v>
      </c>
      <c r="CX48" s="6508"/>
      <c r="CY48" s="6587" t="str">
        <f>IF(CV38=0,"",VLOOKUP(CV38,'Tablas psiquica'!$D$7:$R$145,14,FALSE))</f>
        <v/>
      </c>
      <c r="CZ48" s="6042"/>
      <c r="DA48" s="6042"/>
      <c r="DB48" s="6588"/>
      <c r="DC48" s="398"/>
      <c r="DD48" s="392"/>
    </row>
    <row r="49" spans="1:108" ht="12" customHeight="1" x14ac:dyDescent="0.2">
      <c r="A49" s="392"/>
      <c r="B49" s="1082"/>
      <c r="C49" s="424">
        <v>440</v>
      </c>
      <c r="D49" s="6589" t="s">
        <v>1682</v>
      </c>
      <c r="E49" s="6590"/>
      <c r="F49" s="6591" t="str">
        <f>IF(C38=0,"",VLOOKUP(C38,'Tablas psiquica'!$D$7:$R$145,15,FALSE))</f>
        <v/>
      </c>
      <c r="G49" s="6592"/>
      <c r="H49" s="6592"/>
      <c r="I49" s="6593"/>
      <c r="J49" s="654"/>
      <c r="K49" s="424">
        <v>440</v>
      </c>
      <c r="L49" s="6589" t="s">
        <v>1682</v>
      </c>
      <c r="M49" s="6590"/>
      <c r="N49" s="6591" t="str">
        <f>IF(K38=0,"",VLOOKUP(K38,'Tablas psiquica'!$D$7:$R$145,15,FALSE))</f>
        <v/>
      </c>
      <c r="O49" s="6592"/>
      <c r="P49" s="6592"/>
      <c r="Q49" s="6593"/>
      <c r="R49" s="1082"/>
      <c r="S49" s="424">
        <v>440</v>
      </c>
      <c r="T49" s="6589" t="s">
        <v>1682</v>
      </c>
      <c r="U49" s="6590"/>
      <c r="V49" s="6591" t="str">
        <f>IF(S38=0,"",VLOOKUP(S38,'Tablas psiquica'!$D$7:$R$145,15,FALSE))</f>
        <v/>
      </c>
      <c r="W49" s="6592"/>
      <c r="X49" s="6592"/>
      <c r="Y49" s="6593"/>
      <c r="Z49" s="398"/>
      <c r="AA49" s="392"/>
      <c r="AB49" s="392"/>
      <c r="AC49" s="1082"/>
      <c r="AD49" s="424">
        <v>440</v>
      </c>
      <c r="AE49" s="6589" t="s">
        <v>1682</v>
      </c>
      <c r="AF49" s="6590"/>
      <c r="AG49" s="6591" t="str">
        <f>IF(AD38=0,"",VLOOKUP(AD38,'Tablas psiquica'!$D$7:$R$145,15,FALSE))</f>
        <v/>
      </c>
      <c r="AH49" s="6592"/>
      <c r="AI49" s="6592"/>
      <c r="AJ49" s="6593"/>
      <c r="AK49" s="654"/>
      <c r="AL49" s="424">
        <v>440</v>
      </c>
      <c r="AM49" s="6589" t="s">
        <v>1682</v>
      </c>
      <c r="AN49" s="6590"/>
      <c r="AO49" s="6591" t="str">
        <f>IF(AL38=0,"",VLOOKUP(AL38,'Tablas psiquica'!$D$7:$R$145,15,FALSE))</f>
        <v/>
      </c>
      <c r="AP49" s="6592"/>
      <c r="AQ49" s="6592"/>
      <c r="AR49" s="6593"/>
      <c r="AS49" s="1082"/>
      <c r="AT49" s="424">
        <v>440</v>
      </c>
      <c r="AU49" s="6589" t="s">
        <v>1682</v>
      </c>
      <c r="AV49" s="6590"/>
      <c r="AW49" s="6591" t="str">
        <f>IF(AT38=0,"",VLOOKUP(AT38,'Tablas psiquica'!$D$7:$R$145,15,FALSE))</f>
        <v/>
      </c>
      <c r="AX49" s="6592"/>
      <c r="AY49" s="6592"/>
      <c r="AZ49" s="6593"/>
      <c r="BA49" s="398"/>
      <c r="BB49" s="392"/>
      <c r="BC49" s="392"/>
      <c r="BD49" s="1082"/>
      <c r="BE49" s="424">
        <v>440</v>
      </c>
      <c r="BF49" s="6589" t="s">
        <v>1682</v>
      </c>
      <c r="BG49" s="6590"/>
      <c r="BH49" s="6591" t="str">
        <f>IF(BE38=0,"",VLOOKUP(BE38,'Tablas psiquica'!$D$7:$R$145,15,FALSE))</f>
        <v/>
      </c>
      <c r="BI49" s="6592"/>
      <c r="BJ49" s="6592"/>
      <c r="BK49" s="6593"/>
      <c r="BL49" s="654"/>
      <c r="BM49" s="424">
        <v>440</v>
      </c>
      <c r="BN49" s="6589" t="s">
        <v>1682</v>
      </c>
      <c r="BO49" s="6590"/>
      <c r="BP49" s="6591" t="str">
        <f>IF(BM38=0,"",VLOOKUP(BM38,'Tablas psiquica'!$D$7:$R$145,15,FALSE))</f>
        <v/>
      </c>
      <c r="BQ49" s="6592"/>
      <c r="BR49" s="6592"/>
      <c r="BS49" s="6593"/>
      <c r="BT49" s="1082"/>
      <c r="BU49" s="424">
        <v>440</v>
      </c>
      <c r="BV49" s="6589" t="s">
        <v>1682</v>
      </c>
      <c r="BW49" s="6590"/>
      <c r="BX49" s="6591" t="str">
        <f>IF(BU38=0,"",VLOOKUP(BU38,'Tablas psiquica'!$D$7:$R$145,15,FALSE))</f>
        <v/>
      </c>
      <c r="BY49" s="6592"/>
      <c r="BZ49" s="6592"/>
      <c r="CA49" s="6593"/>
      <c r="CB49" s="398"/>
      <c r="CC49" s="392"/>
      <c r="CD49" s="392"/>
      <c r="CE49" s="1082"/>
      <c r="CF49" s="424">
        <v>440</v>
      </c>
      <c r="CG49" s="6589" t="s">
        <v>1682</v>
      </c>
      <c r="CH49" s="6590"/>
      <c r="CI49" s="6591" t="str">
        <f>IF(CF38=0,"",VLOOKUP(CF38,'Tablas psiquica'!$D$7:$R$145,15,FALSE))</f>
        <v/>
      </c>
      <c r="CJ49" s="6592"/>
      <c r="CK49" s="6592"/>
      <c r="CL49" s="6593"/>
      <c r="CM49" s="654"/>
      <c r="CN49" s="424">
        <v>440</v>
      </c>
      <c r="CO49" s="6589" t="s">
        <v>1682</v>
      </c>
      <c r="CP49" s="6590"/>
      <c r="CQ49" s="6591" t="str">
        <f>IF(CN38=0,"",VLOOKUP(CN38,'Tablas psiquica'!$D$7:$R$145,15,FALSE))</f>
        <v/>
      </c>
      <c r="CR49" s="6592"/>
      <c r="CS49" s="6592"/>
      <c r="CT49" s="6593"/>
      <c r="CU49" s="1082"/>
      <c r="CV49" s="424">
        <v>440</v>
      </c>
      <c r="CW49" s="6589" t="s">
        <v>1682</v>
      </c>
      <c r="CX49" s="6590"/>
      <c r="CY49" s="6591" t="str">
        <f>IF(CV38=0,"",VLOOKUP(CV38,'Tablas psiquica'!$D$7:$R$145,15,FALSE))</f>
        <v/>
      </c>
      <c r="CZ49" s="6592"/>
      <c r="DA49" s="6592"/>
      <c r="DB49" s="6593"/>
      <c r="DC49" s="398"/>
      <c r="DD49" s="392"/>
    </row>
    <row r="50" spans="1:108" ht="12" customHeight="1" thickBot="1" x14ac:dyDescent="0.25">
      <c r="A50" s="392"/>
      <c r="B50" s="1082"/>
      <c r="C50" s="6594" t="s">
        <v>6239</v>
      </c>
      <c r="D50" s="6595"/>
      <c r="E50" s="425" t="str">
        <f>IF(C38=0,"",VLOOKUP(C38,'Tablas psiquica'!$D$7:$R$145,4,FALSE))</f>
        <v/>
      </c>
      <c r="F50" s="6596" t="s">
        <v>6234</v>
      </c>
      <c r="G50" s="6596"/>
      <c r="H50" s="6597" t="str">
        <f>IF(C38=0,"",VLOOKUP(C38,'Tablas psiquica'!$D$7:$R$145,5,FALSE))</f>
        <v/>
      </c>
      <c r="I50" s="6598"/>
      <c r="J50" s="654"/>
      <c r="K50" s="6594" t="s">
        <v>6239</v>
      </c>
      <c r="L50" s="6595"/>
      <c r="M50" s="425" t="str">
        <f>IF(K38=0,"",VLOOKUP(K38,'Tablas psiquica'!$D$7:$R$145,4,FALSE))</f>
        <v/>
      </c>
      <c r="N50" s="6596" t="s">
        <v>6234</v>
      </c>
      <c r="O50" s="6596"/>
      <c r="P50" s="6597" t="str">
        <f>IF(K38=0,"",VLOOKUP(K38,'Tablas psiquica'!$D$7:$R$145,5,FALSE))</f>
        <v/>
      </c>
      <c r="Q50" s="6598"/>
      <c r="R50" s="1082"/>
      <c r="S50" s="6594" t="s">
        <v>6239</v>
      </c>
      <c r="T50" s="6595"/>
      <c r="U50" s="425" t="str">
        <f>IF(S38=0,"",VLOOKUP(S38,'Tablas psiquica'!$D$7:$R$145,4,FALSE))</f>
        <v/>
      </c>
      <c r="V50" s="6596" t="s">
        <v>6234</v>
      </c>
      <c r="W50" s="6596"/>
      <c r="X50" s="6597" t="str">
        <f>IF(S38=0,"",VLOOKUP(S38,'Tablas psiquica'!$D$7:$R$145,5,FALSE))</f>
        <v/>
      </c>
      <c r="Y50" s="6598"/>
      <c r="Z50" s="398"/>
      <c r="AA50" s="392"/>
      <c r="AB50" s="392"/>
      <c r="AC50" s="1082"/>
      <c r="AD50" s="6594" t="s">
        <v>6239</v>
      </c>
      <c r="AE50" s="6595"/>
      <c r="AF50" s="425" t="str">
        <f>IF(AD38=0,"",VLOOKUP(AD38,'Tablas psiquica'!$D$7:$R$145,4,FALSE))</f>
        <v/>
      </c>
      <c r="AG50" s="6596" t="s">
        <v>6234</v>
      </c>
      <c r="AH50" s="6596"/>
      <c r="AI50" s="6597" t="str">
        <f>IF(AD38=0,"",VLOOKUP(AD38,'Tablas psiquica'!$D$7:$R$145,5,FALSE))</f>
        <v/>
      </c>
      <c r="AJ50" s="6598"/>
      <c r="AK50" s="654"/>
      <c r="AL50" s="6594" t="s">
        <v>6239</v>
      </c>
      <c r="AM50" s="6595"/>
      <c r="AN50" s="425" t="str">
        <f>IF(AL38=0,"",VLOOKUP(AL38,'Tablas psiquica'!$D$7:$R$145,4,FALSE))</f>
        <v/>
      </c>
      <c r="AO50" s="6596" t="s">
        <v>6234</v>
      </c>
      <c r="AP50" s="6596"/>
      <c r="AQ50" s="6597" t="str">
        <f>IF(AL38=0,"",VLOOKUP(AL38,'Tablas psiquica'!$D$7:$R$145,5,FALSE))</f>
        <v/>
      </c>
      <c r="AR50" s="6598"/>
      <c r="AS50" s="1082"/>
      <c r="AT50" s="6594" t="s">
        <v>6239</v>
      </c>
      <c r="AU50" s="6595"/>
      <c r="AV50" s="425" t="str">
        <f>IF(AT38=0,"",VLOOKUP(AT38,'Tablas psiquica'!$D$7:$R$145,4,FALSE))</f>
        <v/>
      </c>
      <c r="AW50" s="6596" t="s">
        <v>6234</v>
      </c>
      <c r="AX50" s="6596"/>
      <c r="AY50" s="6597" t="str">
        <f>IF(AT38=0,"",VLOOKUP(AT38,'Tablas psiquica'!$D$7:$R$145,5,FALSE))</f>
        <v/>
      </c>
      <c r="AZ50" s="6598"/>
      <c r="BA50" s="398"/>
      <c r="BB50" s="392"/>
      <c r="BC50" s="392"/>
      <c r="BD50" s="1082"/>
      <c r="BE50" s="6594" t="s">
        <v>6239</v>
      </c>
      <c r="BF50" s="6595"/>
      <c r="BG50" s="425" t="str">
        <f>IF(BE38=0,"",VLOOKUP(BE38,'Tablas psiquica'!$D$7:$R$145,4,FALSE))</f>
        <v/>
      </c>
      <c r="BH50" s="6596" t="s">
        <v>6234</v>
      </c>
      <c r="BI50" s="6596"/>
      <c r="BJ50" s="6597" t="str">
        <f>IF(BE38=0,"",VLOOKUP(BE38,'Tablas psiquica'!$D$7:$R$145,5,FALSE))</f>
        <v/>
      </c>
      <c r="BK50" s="6598"/>
      <c r="BL50" s="654"/>
      <c r="BM50" s="6594" t="s">
        <v>6239</v>
      </c>
      <c r="BN50" s="6595"/>
      <c r="BO50" s="425" t="str">
        <f>IF(BM38=0,"",VLOOKUP(BM38,'Tablas psiquica'!$D$7:$R$145,4,FALSE))</f>
        <v/>
      </c>
      <c r="BP50" s="6596" t="s">
        <v>6234</v>
      </c>
      <c r="BQ50" s="6596"/>
      <c r="BR50" s="6597" t="str">
        <f>IF(BM38=0,"",VLOOKUP(BM38,'Tablas psiquica'!$D$7:$R$145,5,FALSE))</f>
        <v/>
      </c>
      <c r="BS50" s="6598"/>
      <c r="BT50" s="1082"/>
      <c r="BU50" s="6594" t="s">
        <v>6239</v>
      </c>
      <c r="BV50" s="6595"/>
      <c r="BW50" s="425" t="str">
        <f>IF(BU38=0,"",VLOOKUP(BU38,'Tablas psiquica'!$D$7:$R$145,4,FALSE))</f>
        <v/>
      </c>
      <c r="BX50" s="6596" t="s">
        <v>6234</v>
      </c>
      <c r="BY50" s="6596"/>
      <c r="BZ50" s="6597" t="str">
        <f>IF(BU38=0,"",VLOOKUP(BU38,'Tablas psiquica'!$D$7:$R$145,5,FALSE))</f>
        <v/>
      </c>
      <c r="CA50" s="6598"/>
      <c r="CB50" s="398"/>
      <c r="CC50" s="392"/>
      <c r="CD50" s="392"/>
      <c r="CE50" s="1082"/>
      <c r="CF50" s="6594" t="s">
        <v>6239</v>
      </c>
      <c r="CG50" s="6595"/>
      <c r="CH50" s="425" t="str">
        <f>IF(CF38=0,"",VLOOKUP(CF38,'Tablas psiquica'!$D$7:$R$145,4,FALSE))</f>
        <v/>
      </c>
      <c r="CI50" s="6596" t="s">
        <v>6234</v>
      </c>
      <c r="CJ50" s="6596"/>
      <c r="CK50" s="6597" t="str">
        <f>IF(CF38=0,"",VLOOKUP(CF38,'Tablas psiquica'!$D$7:$R$145,5,FALSE))</f>
        <v/>
      </c>
      <c r="CL50" s="6598"/>
      <c r="CM50" s="654"/>
      <c r="CN50" s="6594" t="s">
        <v>6239</v>
      </c>
      <c r="CO50" s="6595"/>
      <c r="CP50" s="425" t="str">
        <f>IF(CN38=0,"",VLOOKUP(CN38,'Tablas psiquica'!$D$7:$R$145,4,FALSE))</f>
        <v/>
      </c>
      <c r="CQ50" s="6596" t="s">
        <v>6234</v>
      </c>
      <c r="CR50" s="6596"/>
      <c r="CS50" s="6597" t="str">
        <f>IF(CN38=0,"",VLOOKUP(CN38,'Tablas psiquica'!$D$7:$R$145,5,FALSE))</f>
        <v/>
      </c>
      <c r="CT50" s="6598"/>
      <c r="CU50" s="1082"/>
      <c r="CV50" s="6594" t="s">
        <v>6239</v>
      </c>
      <c r="CW50" s="6595"/>
      <c r="CX50" s="425" t="str">
        <f>IF(CV38=0,"",VLOOKUP(CV38,'Tablas psiquica'!$D$7:$R$145,4,FALSE))</f>
        <v/>
      </c>
      <c r="CY50" s="6596" t="s">
        <v>6234</v>
      </c>
      <c r="CZ50" s="6596"/>
      <c r="DA50" s="6597" t="str">
        <f>IF(CV38=0,"",VLOOKUP(CV38,'Tablas psiquica'!$D$7:$R$145,5,FALSE))</f>
        <v/>
      </c>
      <c r="DB50" s="6598"/>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71">
        <f>IFERROR(INDEX('Tablas psiquica'!$U$116:$AH$130,B52,Y$7),0)</f>
        <v>0</v>
      </c>
      <c r="D52" s="6572"/>
      <c r="E52" s="6572"/>
      <c r="F52" s="6572"/>
      <c r="G52" s="6572"/>
      <c r="H52" s="6572"/>
      <c r="I52" s="423" t="s">
        <v>1402</v>
      </c>
      <c r="J52" s="654">
        <v>11</v>
      </c>
      <c r="K52" s="6571">
        <f>IFERROR(INDEX('Tablas psiquica'!$U$116:$AH$130,J52,Y$7),0)</f>
        <v>0</v>
      </c>
      <c r="L52" s="6572"/>
      <c r="M52" s="6572"/>
      <c r="N52" s="6572"/>
      <c r="O52" s="6572"/>
      <c r="P52" s="6572"/>
      <c r="Q52" s="423" t="s">
        <v>1402</v>
      </c>
      <c r="R52" s="1082">
        <v>12</v>
      </c>
      <c r="S52" s="6571">
        <f>IFERROR(INDEX('Tablas psiquica'!$U$116:$AH$130,R52,Y$7),0)</f>
        <v>0</v>
      </c>
      <c r="T52" s="6572"/>
      <c r="U52" s="6572"/>
      <c r="V52" s="6572"/>
      <c r="W52" s="6572"/>
      <c r="X52" s="6572"/>
      <c r="Y52" s="423" t="s">
        <v>1402</v>
      </c>
      <c r="Z52" s="398"/>
      <c r="AA52" s="392"/>
      <c r="AB52" s="392"/>
      <c r="AC52" s="1082">
        <v>10</v>
      </c>
      <c r="AD52" s="6571">
        <f>IFERROR(INDEX('Tablas psiquica'!$U$116:$AH$130,AC52,AZ$7),0)</f>
        <v>0</v>
      </c>
      <c r="AE52" s="6572"/>
      <c r="AF52" s="6572"/>
      <c r="AG52" s="6572"/>
      <c r="AH52" s="6572"/>
      <c r="AI52" s="6572"/>
      <c r="AJ52" s="423" t="s">
        <v>1402</v>
      </c>
      <c r="AK52" s="654">
        <v>11</v>
      </c>
      <c r="AL52" s="6571">
        <f>IFERROR(INDEX('Tablas psiquica'!$U$116:$AH$130,AK52,AZ$7),0)</f>
        <v>0</v>
      </c>
      <c r="AM52" s="6572"/>
      <c r="AN52" s="6572"/>
      <c r="AO52" s="6572"/>
      <c r="AP52" s="6572"/>
      <c r="AQ52" s="6572"/>
      <c r="AR52" s="423" t="s">
        <v>1402</v>
      </c>
      <c r="AS52" s="1082">
        <v>12</v>
      </c>
      <c r="AT52" s="6571">
        <f>IFERROR(INDEX('Tablas psiquica'!$U$116:$AH$130,AS52,AZ$7),0)</f>
        <v>0</v>
      </c>
      <c r="AU52" s="6572"/>
      <c r="AV52" s="6572"/>
      <c r="AW52" s="6572"/>
      <c r="AX52" s="6572"/>
      <c r="AY52" s="6572"/>
      <c r="AZ52" s="423" t="s">
        <v>1402</v>
      </c>
      <c r="BA52" s="398"/>
      <c r="BB52" s="392"/>
      <c r="BC52" s="392"/>
      <c r="BD52" s="1082">
        <v>10</v>
      </c>
      <c r="BE52" s="6571">
        <f>IFERROR(INDEX('Tablas psiquica'!$U$116:$AH$130,BD52,CA$7),0)</f>
        <v>0</v>
      </c>
      <c r="BF52" s="6572"/>
      <c r="BG52" s="6572"/>
      <c r="BH52" s="6572"/>
      <c r="BI52" s="6572"/>
      <c r="BJ52" s="6572"/>
      <c r="BK52" s="423" t="s">
        <v>1402</v>
      </c>
      <c r="BL52" s="654">
        <v>11</v>
      </c>
      <c r="BM52" s="6571">
        <f>IFERROR(INDEX('Tablas psiquica'!$U$116:$AH$130,BL52,CA$7),0)</f>
        <v>0</v>
      </c>
      <c r="BN52" s="6572"/>
      <c r="BO52" s="6572"/>
      <c r="BP52" s="6572"/>
      <c r="BQ52" s="6572"/>
      <c r="BR52" s="6572"/>
      <c r="BS52" s="423" t="s">
        <v>1402</v>
      </c>
      <c r="BT52" s="1082">
        <v>12</v>
      </c>
      <c r="BU52" s="6571">
        <f>IFERROR(INDEX('Tablas psiquica'!$U$116:$AH$130,BT52,CA$7),0)</f>
        <v>0</v>
      </c>
      <c r="BV52" s="6572"/>
      <c r="BW52" s="6572"/>
      <c r="BX52" s="6572"/>
      <c r="BY52" s="6572"/>
      <c r="BZ52" s="6572"/>
      <c r="CA52" s="423" t="s">
        <v>1402</v>
      </c>
      <c r="CB52" s="398"/>
      <c r="CC52" s="392"/>
      <c r="CD52" s="392"/>
      <c r="CE52" s="1082">
        <v>10</v>
      </c>
      <c r="CF52" s="6571">
        <f>IFERROR(INDEX('Tablas psiquica'!$U$116:$AH$130,CE52,DB$7),0)</f>
        <v>0</v>
      </c>
      <c r="CG52" s="6572"/>
      <c r="CH52" s="6572"/>
      <c r="CI52" s="6572"/>
      <c r="CJ52" s="6572"/>
      <c r="CK52" s="6572"/>
      <c r="CL52" s="423" t="s">
        <v>1402</v>
      </c>
      <c r="CM52" s="654">
        <v>11</v>
      </c>
      <c r="CN52" s="6571">
        <f>IFERROR(INDEX('Tablas psiquica'!$U$116:$AH$130,CM52,DB$7),0)</f>
        <v>0</v>
      </c>
      <c r="CO52" s="6572"/>
      <c r="CP52" s="6572"/>
      <c r="CQ52" s="6572"/>
      <c r="CR52" s="6572"/>
      <c r="CS52" s="6572"/>
      <c r="CT52" s="423" t="s">
        <v>1402</v>
      </c>
      <c r="CU52" s="1082">
        <v>12</v>
      </c>
      <c r="CV52" s="6571">
        <f>IFERROR(INDEX('Tablas psiquica'!$U$116:$AH$130,CU52,DB$7),0)</f>
        <v>0</v>
      </c>
      <c r="CW52" s="6572"/>
      <c r="CX52" s="6572"/>
      <c r="CY52" s="6572"/>
      <c r="CZ52" s="6572"/>
      <c r="DA52" s="6572"/>
      <c r="DB52" s="423" t="s">
        <v>1402</v>
      </c>
      <c r="DC52" s="398"/>
      <c r="DD52" s="392"/>
    </row>
    <row r="53" spans="1:108" ht="12" customHeight="1" x14ac:dyDescent="0.2">
      <c r="A53" s="392"/>
      <c r="B53" s="1082"/>
      <c r="C53" s="6573" t="str">
        <f>IF(C52=0,"",VLOOKUP(C52,'Tablas psiquica'!$D$7:$R$145,2,FALSE))</f>
        <v/>
      </c>
      <c r="D53" s="6574"/>
      <c r="E53" s="6574"/>
      <c r="F53" s="6575"/>
      <c r="G53" s="6576" t="str">
        <f>IF(C52=0,"",IF(INDEX('Tablas psiquica'!$U$115:$AH$115,1,$Y$7)=0,"No Accesible",IF(ISNA(VLOOKUP(C52,Psíquicos!$AS$17:$AS$43,1,0)),"Accesible CV","Aprendido")))</f>
        <v/>
      </c>
      <c r="H53" s="6577"/>
      <c r="I53" s="1645" t="str">
        <f>IF(C52=0,"",VLOOKUP(C52,'Tablas psiquica'!$D$7:$R$145,3,FALSE))</f>
        <v/>
      </c>
      <c r="J53" s="654"/>
      <c r="K53" s="6573" t="str">
        <f>IF(K52=0,"",VLOOKUP(K52,'Tablas psiquica'!$D$7:$R$145,2,FALSE))</f>
        <v/>
      </c>
      <c r="L53" s="6574"/>
      <c r="M53" s="6574"/>
      <c r="N53" s="6575"/>
      <c r="O53" s="6576" t="str">
        <f>IF(K52=0,"",IF(INDEX('Tablas psiquica'!$U$115:$AH$115,1,$Y$7)=0,"No Accesible",IF(ISNA(VLOOKUP(K52,Psíquicos!$AS$17:$AS$43,1,0)),"Accesible CV","Aprendido")))</f>
        <v/>
      </c>
      <c r="P53" s="6577"/>
      <c r="Q53" s="1645" t="str">
        <f>IF(K52=0,"",VLOOKUP(K52,'Tablas psiquica'!$D$7:$R$145,3,FALSE))</f>
        <v/>
      </c>
      <c r="R53" s="1082"/>
      <c r="S53" s="6573" t="str">
        <f>IF(S52=0,"",VLOOKUP(S52,'Tablas psiquica'!$D$7:$R$145,2,FALSE))</f>
        <v/>
      </c>
      <c r="T53" s="6574"/>
      <c r="U53" s="6574"/>
      <c r="V53" s="6575"/>
      <c r="W53" s="6576" t="str">
        <f>IF(S52=0,"",IF(INDEX('Tablas psiquica'!$U$115:$AH$115,1,$Y$7)=0,"No Accesible",IF(ISNA(VLOOKUP(S52,Psíquicos!$AS$17:$AS$43,1,0)),"Accesible CV","Aprendido")))</f>
        <v/>
      </c>
      <c r="X53" s="6577"/>
      <c r="Y53" s="1645" t="str">
        <f>IF(S52=0,"",VLOOKUP(S52,'Tablas psiquica'!$D$7:$R$145,3,FALSE))</f>
        <v/>
      </c>
      <c r="Z53" s="398"/>
      <c r="AA53" s="392"/>
      <c r="AB53" s="392"/>
      <c r="AC53" s="1082"/>
      <c r="AD53" s="6573" t="str">
        <f>IF(AD52=0,"",VLOOKUP(AD52,'Tablas psiquica'!$D$7:$R$145,2,FALSE))</f>
        <v/>
      </c>
      <c r="AE53" s="6574"/>
      <c r="AF53" s="6574"/>
      <c r="AG53" s="6575"/>
      <c r="AH53" s="6576" t="str">
        <f>IF(AD52=0,"",IF(INDEX('Tablas psiquica'!$U$115:$AH$115,1,$AZ$7)=0,"No Accesible",IF(ISNA(VLOOKUP(AD52,Psíquicos!$AS$17:$AS$43,1,0)),"Accesible CV","Aprendido")))</f>
        <v/>
      </c>
      <c r="AI53" s="6577"/>
      <c r="AJ53" s="1645" t="str">
        <f>IF(AD52=0,"",VLOOKUP(AD52,'Tablas psiquica'!$D$7:$R$145,3,FALSE))</f>
        <v/>
      </c>
      <c r="AK53" s="654"/>
      <c r="AL53" s="6573" t="str">
        <f>IF(AL52=0,"",VLOOKUP(AL52,'Tablas psiquica'!$D$7:$R$145,2,FALSE))</f>
        <v/>
      </c>
      <c r="AM53" s="6574"/>
      <c r="AN53" s="6574"/>
      <c r="AO53" s="6575"/>
      <c r="AP53" s="6576" t="str">
        <f>IF(AL52=0,"",IF(INDEX('Tablas psiquica'!$U$115:$AH$115,1,$AZ$7)=0,"No Accesible",IF(ISNA(VLOOKUP(AL52,Psíquicos!$AS$17:$AS$43,1,0)),"Accesible CV","Aprendido")))</f>
        <v/>
      </c>
      <c r="AQ53" s="6577"/>
      <c r="AR53" s="1645" t="str">
        <f>IF(AL52=0,"",VLOOKUP(AL52,'Tablas psiquica'!$D$7:$R$145,3,FALSE))</f>
        <v/>
      </c>
      <c r="AS53" s="1082"/>
      <c r="AT53" s="6573" t="str">
        <f>IF(AT52=0,"",VLOOKUP(AT52,'Tablas psiquica'!$D$7:$R$145,2,FALSE))</f>
        <v/>
      </c>
      <c r="AU53" s="6574"/>
      <c r="AV53" s="6574"/>
      <c r="AW53" s="6575"/>
      <c r="AX53" s="6576" t="str">
        <f>IF(AT52=0,"",IF(INDEX('Tablas psiquica'!$U$115:$AH$115,1,$AZ$7)=0,"No Accesible",IF(ISNA(VLOOKUP(AT52,Psíquicos!$AS$17:$AS$43,1,0)),"Accesible CV","Aprendido")))</f>
        <v/>
      </c>
      <c r="AY53" s="6577"/>
      <c r="AZ53" s="1645" t="str">
        <f>IF(AT52=0,"",VLOOKUP(AT52,'Tablas psiquica'!$D$7:$R$145,3,FALSE))</f>
        <v/>
      </c>
      <c r="BA53" s="398"/>
      <c r="BB53" s="392"/>
      <c r="BC53" s="392"/>
      <c r="BD53" s="1082"/>
      <c r="BE53" s="6573" t="str">
        <f>IF(BE52=0,"",VLOOKUP(BE52,'Tablas psiquica'!$D$7:$R$145,2,FALSE))</f>
        <v/>
      </c>
      <c r="BF53" s="6574"/>
      <c r="BG53" s="6574"/>
      <c r="BH53" s="6575"/>
      <c r="BI53" s="6576" t="str">
        <f>IF(BE52=0,"",IF(INDEX('Tablas psiquica'!$U$115:$AH$115,1,$CA$7)=0,"No Accesible",IF(ISNA(VLOOKUP(BE52,Psíquicos!$AS$17:$AS$43,1,0)),"Accesible CV","Aprendido")))</f>
        <v/>
      </c>
      <c r="BJ53" s="6577"/>
      <c r="BK53" s="1645" t="str">
        <f>IF(BE52=0,"",VLOOKUP(BE52,'Tablas psiquica'!$D$7:$R$145,3,FALSE))</f>
        <v/>
      </c>
      <c r="BL53" s="654"/>
      <c r="BM53" s="6573" t="str">
        <f>IF(BM52=0,"",VLOOKUP(BM52,'Tablas psiquica'!$D$7:$R$145,2,FALSE))</f>
        <v/>
      </c>
      <c r="BN53" s="6574"/>
      <c r="BO53" s="6574"/>
      <c r="BP53" s="6575"/>
      <c r="BQ53" s="6576" t="str">
        <f>IF(BM52=0,"",IF(INDEX('Tablas psiquica'!$U$115:$AH$115,1,$CA$7)=0,"No Accesible",IF(ISNA(VLOOKUP(BM52,Psíquicos!$AS$17:$AS$43,1,0)),"Accesible CV","Aprendido")))</f>
        <v/>
      </c>
      <c r="BR53" s="6577"/>
      <c r="BS53" s="1645" t="str">
        <f>IF(BM52=0,"",VLOOKUP(BM52,'Tablas psiquica'!$D$7:$R$145,3,FALSE))</f>
        <v/>
      </c>
      <c r="BT53" s="1082"/>
      <c r="BU53" s="6573" t="str">
        <f>IF(BU52=0,"",VLOOKUP(BU52,'Tablas psiquica'!$D$7:$R$145,2,FALSE))</f>
        <v/>
      </c>
      <c r="BV53" s="6574"/>
      <c r="BW53" s="6574"/>
      <c r="BX53" s="6575"/>
      <c r="BY53" s="6576" t="str">
        <f>IF(BU52=0,"",IF(INDEX('Tablas psiquica'!$U$115:$AH$115,1,$CA$7)=0,"No Accesible",IF(ISNA(VLOOKUP(BU52,Psíquicos!$AS$17:$AS$43,1,0)),"Accesible CV","Aprendido")))</f>
        <v/>
      </c>
      <c r="BZ53" s="6577"/>
      <c r="CA53" s="1645" t="str">
        <f>IF(BU52=0,"",VLOOKUP(BU52,'Tablas psiquica'!$D$7:$R$145,3,FALSE))</f>
        <v/>
      </c>
      <c r="CB53" s="398"/>
      <c r="CC53" s="392"/>
      <c r="CD53" s="392"/>
      <c r="CE53" s="1082"/>
      <c r="CF53" s="6573" t="str">
        <f>IF(CF52=0,"",VLOOKUP(CF52,'Tablas psiquica'!$D$7:$R$145,2,FALSE))</f>
        <v/>
      </c>
      <c r="CG53" s="6574"/>
      <c r="CH53" s="6574"/>
      <c r="CI53" s="6575"/>
      <c r="CJ53" s="6576" t="str">
        <f>IF(CF52=0,"",IF(INDEX('Tablas psiquica'!$U$115:$AH$115,1,$DB$7)=0,"No Accesible",IF(ISNA(VLOOKUP(CF52,Psíquicos!$AS$17:$AS$43,1,0)),"Accesible CV","Aprendido")))</f>
        <v/>
      </c>
      <c r="CK53" s="6577"/>
      <c r="CL53" s="1645" t="str">
        <f>IF(CF52=0,"",VLOOKUP(CF52,'Tablas psiquica'!$D$7:$R$145,3,FALSE))</f>
        <v/>
      </c>
      <c r="CM53" s="654"/>
      <c r="CN53" s="6573" t="str">
        <f>IF(CN52=0,"",VLOOKUP(CN52,'Tablas psiquica'!$D$7:$R$145,2,FALSE))</f>
        <v/>
      </c>
      <c r="CO53" s="6574"/>
      <c r="CP53" s="6574"/>
      <c r="CQ53" s="6575"/>
      <c r="CR53" s="6576" t="str">
        <f>IF(CN52=0,"",IF(INDEX('Tablas psiquica'!$U$115:$AH$115,1,$DB$7)=0,"No Accesible",IF(ISNA(VLOOKUP(CN52,Psíquicos!$AS$17:$AS$43,1,0)),"Accesible CV","Aprendido")))</f>
        <v/>
      </c>
      <c r="CS53" s="6577"/>
      <c r="CT53" s="1645" t="str">
        <f>IF(CN52=0,"",VLOOKUP(CN52,'Tablas psiquica'!$D$7:$R$145,3,FALSE))</f>
        <v/>
      </c>
      <c r="CU53" s="1082"/>
      <c r="CV53" s="6573" t="str">
        <f>IF(CV52=0,"",VLOOKUP(CV52,'Tablas psiquica'!$D$7:$R$145,2,FALSE))</f>
        <v/>
      </c>
      <c r="CW53" s="6574"/>
      <c r="CX53" s="6574"/>
      <c r="CY53" s="6575"/>
      <c r="CZ53" s="6576" t="str">
        <f>IF(CV52=0,"",IF(INDEX('Tablas psiquica'!$U$115:$AH$115,1,$DB$7)=0,"No Accesible",IF(ISNA(VLOOKUP(CV52,Psíquicos!$AS$17:$AS$43,1,0)),"Accesible CV","Aprendido")))</f>
        <v/>
      </c>
      <c r="DA53" s="6577"/>
      <c r="DB53" s="1645" t="str">
        <f>IF(CV52=0,"",VLOOKUP(CV52,'Tablas psiquica'!$D$7:$R$145,3,FALSE))</f>
        <v/>
      </c>
      <c r="DC53" s="398"/>
      <c r="DD53" s="392"/>
    </row>
    <row r="54" spans="1:108" ht="12" customHeight="1" x14ac:dyDescent="0.2">
      <c r="A54" s="392"/>
      <c r="B54" s="1082"/>
      <c r="C54" s="1614">
        <v>20</v>
      </c>
      <c r="D54" s="6586" t="s">
        <v>1722</v>
      </c>
      <c r="E54" s="6508"/>
      <c r="F54" s="6587" t="str">
        <f>IF(C52=0,"",VLOOKUP(C52,'Tablas psiquica'!$D$7:$R$145,6,FALSE))</f>
        <v/>
      </c>
      <c r="G54" s="6042"/>
      <c r="H54" s="6042"/>
      <c r="I54" s="6588"/>
      <c r="J54" s="654"/>
      <c r="K54" s="1614">
        <v>20</v>
      </c>
      <c r="L54" s="6586" t="s">
        <v>1722</v>
      </c>
      <c r="M54" s="6508"/>
      <c r="N54" s="6587" t="str">
        <f>IF(K52=0,"",VLOOKUP(K52,'Tablas psiquica'!$D$7:$R$145,6,FALSE))</f>
        <v/>
      </c>
      <c r="O54" s="6042"/>
      <c r="P54" s="6042"/>
      <c r="Q54" s="6588"/>
      <c r="R54" s="1082"/>
      <c r="S54" s="1614">
        <v>20</v>
      </c>
      <c r="T54" s="6586" t="s">
        <v>1722</v>
      </c>
      <c r="U54" s="6508"/>
      <c r="V54" s="6587" t="str">
        <f>IF(S52=0,"",VLOOKUP(S52,'Tablas psiquica'!$D$7:$R$145,6,FALSE))</f>
        <v/>
      </c>
      <c r="W54" s="6042"/>
      <c r="X54" s="6042"/>
      <c r="Y54" s="6588"/>
      <c r="Z54" s="398"/>
      <c r="AA54" s="392"/>
      <c r="AB54" s="392"/>
      <c r="AC54" s="1082"/>
      <c r="AD54" s="1614">
        <v>20</v>
      </c>
      <c r="AE54" s="6586" t="s">
        <v>1722</v>
      </c>
      <c r="AF54" s="6508"/>
      <c r="AG54" s="6587" t="str">
        <f>IF(AD52=0,"",VLOOKUP(AD52,'Tablas psiquica'!$D$7:$R$145,6,FALSE))</f>
        <v/>
      </c>
      <c r="AH54" s="6042"/>
      <c r="AI54" s="6042"/>
      <c r="AJ54" s="6588"/>
      <c r="AK54" s="654"/>
      <c r="AL54" s="1614">
        <v>20</v>
      </c>
      <c r="AM54" s="6586" t="s">
        <v>1722</v>
      </c>
      <c r="AN54" s="6508"/>
      <c r="AO54" s="6587" t="str">
        <f>IF(AL52=0,"",VLOOKUP(AL52,'Tablas psiquica'!$D$7:$R$145,6,FALSE))</f>
        <v/>
      </c>
      <c r="AP54" s="6042"/>
      <c r="AQ54" s="6042"/>
      <c r="AR54" s="6588"/>
      <c r="AS54" s="1082"/>
      <c r="AT54" s="1614">
        <v>20</v>
      </c>
      <c r="AU54" s="6586" t="s">
        <v>1722</v>
      </c>
      <c r="AV54" s="6508"/>
      <c r="AW54" s="6587" t="str">
        <f>IF(AT52=0,"",VLOOKUP(AT52,'Tablas psiquica'!$D$7:$R$145,6,FALSE))</f>
        <v/>
      </c>
      <c r="AX54" s="6042"/>
      <c r="AY54" s="6042"/>
      <c r="AZ54" s="6588"/>
      <c r="BA54" s="398"/>
      <c r="BB54" s="392"/>
      <c r="BC54" s="392"/>
      <c r="BD54" s="1082"/>
      <c r="BE54" s="1614">
        <v>20</v>
      </c>
      <c r="BF54" s="6586" t="s">
        <v>1722</v>
      </c>
      <c r="BG54" s="6508"/>
      <c r="BH54" s="6587" t="str">
        <f>IF(BE52=0,"",VLOOKUP(BE52,'Tablas psiquica'!$D$7:$R$145,6,FALSE))</f>
        <v/>
      </c>
      <c r="BI54" s="6042"/>
      <c r="BJ54" s="6042"/>
      <c r="BK54" s="6588"/>
      <c r="BL54" s="654"/>
      <c r="BM54" s="1614">
        <v>20</v>
      </c>
      <c r="BN54" s="6586" t="s">
        <v>1722</v>
      </c>
      <c r="BO54" s="6508"/>
      <c r="BP54" s="6587" t="str">
        <f>IF(BM52=0,"",VLOOKUP(BM52,'Tablas psiquica'!$D$7:$R$145,6,FALSE))</f>
        <v/>
      </c>
      <c r="BQ54" s="6042"/>
      <c r="BR54" s="6042"/>
      <c r="BS54" s="6588"/>
      <c r="BT54" s="1082"/>
      <c r="BU54" s="1614">
        <v>20</v>
      </c>
      <c r="BV54" s="6586" t="s">
        <v>1722</v>
      </c>
      <c r="BW54" s="6508"/>
      <c r="BX54" s="6587" t="str">
        <f>IF(BU52=0,"",VLOOKUP(BU52,'Tablas psiquica'!$D$7:$R$145,6,FALSE))</f>
        <v/>
      </c>
      <c r="BY54" s="6042"/>
      <c r="BZ54" s="6042"/>
      <c r="CA54" s="6588"/>
      <c r="CB54" s="398"/>
      <c r="CC54" s="392"/>
      <c r="CD54" s="392"/>
      <c r="CE54" s="1082"/>
      <c r="CF54" s="1614">
        <v>20</v>
      </c>
      <c r="CG54" s="6586" t="s">
        <v>1722</v>
      </c>
      <c r="CH54" s="6508"/>
      <c r="CI54" s="6587" t="str">
        <f>IF(CF52=0,"",VLOOKUP(CF52,'Tablas psiquica'!$D$7:$R$145,6,FALSE))</f>
        <v/>
      </c>
      <c r="CJ54" s="6042"/>
      <c r="CK54" s="6042"/>
      <c r="CL54" s="6588"/>
      <c r="CM54" s="654"/>
      <c r="CN54" s="1614">
        <v>20</v>
      </c>
      <c r="CO54" s="6586" t="s">
        <v>1722</v>
      </c>
      <c r="CP54" s="6508"/>
      <c r="CQ54" s="6587" t="str">
        <f>IF(CN52=0,"",VLOOKUP(CN52,'Tablas psiquica'!$D$7:$R$145,6,FALSE))</f>
        <v/>
      </c>
      <c r="CR54" s="6042"/>
      <c r="CS54" s="6042"/>
      <c r="CT54" s="6588"/>
      <c r="CU54" s="1082"/>
      <c r="CV54" s="1614">
        <v>20</v>
      </c>
      <c r="CW54" s="6586" t="s">
        <v>1722</v>
      </c>
      <c r="CX54" s="6508"/>
      <c r="CY54" s="6587" t="str">
        <f>IF(CV52=0,"",VLOOKUP(CV52,'Tablas psiquica'!$D$7:$R$145,6,FALSE))</f>
        <v/>
      </c>
      <c r="CZ54" s="6042"/>
      <c r="DA54" s="6042"/>
      <c r="DB54" s="6588"/>
      <c r="DC54" s="398"/>
      <c r="DD54" s="392"/>
    </row>
    <row r="55" spans="1:108" ht="12" customHeight="1" x14ac:dyDescent="0.2">
      <c r="A55" s="392"/>
      <c r="B55" s="1082"/>
      <c r="C55" s="1613">
        <v>40</v>
      </c>
      <c r="D55" s="6582" t="s">
        <v>1724</v>
      </c>
      <c r="E55" s="6503"/>
      <c r="F55" s="6583" t="str">
        <f>IF(C52=0,"",VLOOKUP(C52,'Tablas psiquica'!$D$7:$R$145,7,FALSE))</f>
        <v/>
      </c>
      <c r="G55" s="6584"/>
      <c r="H55" s="6584"/>
      <c r="I55" s="6585"/>
      <c r="J55" s="654"/>
      <c r="K55" s="1613">
        <v>40</v>
      </c>
      <c r="L55" s="6582" t="s">
        <v>1724</v>
      </c>
      <c r="M55" s="6503"/>
      <c r="N55" s="6583" t="str">
        <f>IF(K52=0,"",VLOOKUP(K52,'Tablas psiquica'!$D$7:$R$145,7,FALSE))</f>
        <v/>
      </c>
      <c r="O55" s="6584"/>
      <c r="P55" s="6584"/>
      <c r="Q55" s="6585"/>
      <c r="R55" s="1082"/>
      <c r="S55" s="1613">
        <v>40</v>
      </c>
      <c r="T55" s="6582" t="s">
        <v>1724</v>
      </c>
      <c r="U55" s="6503"/>
      <c r="V55" s="6583" t="str">
        <f>IF(S52=0,"",VLOOKUP(S52,'Tablas psiquica'!$D$7:$R$145,7,FALSE))</f>
        <v/>
      </c>
      <c r="W55" s="6584"/>
      <c r="X55" s="6584"/>
      <c r="Y55" s="6585"/>
      <c r="Z55" s="398"/>
      <c r="AA55" s="392"/>
      <c r="AB55" s="392"/>
      <c r="AC55" s="1082"/>
      <c r="AD55" s="1613">
        <v>40</v>
      </c>
      <c r="AE55" s="6582" t="s">
        <v>1724</v>
      </c>
      <c r="AF55" s="6503"/>
      <c r="AG55" s="6583" t="str">
        <f>IF(AD52=0,"",VLOOKUP(AD52,'Tablas psiquica'!$D$7:$R$145,7,FALSE))</f>
        <v/>
      </c>
      <c r="AH55" s="6584"/>
      <c r="AI55" s="6584"/>
      <c r="AJ55" s="6585"/>
      <c r="AK55" s="654"/>
      <c r="AL55" s="1613">
        <v>40</v>
      </c>
      <c r="AM55" s="6582" t="s">
        <v>1724</v>
      </c>
      <c r="AN55" s="6503"/>
      <c r="AO55" s="6583" t="str">
        <f>IF(AL52=0,"",VLOOKUP(AL52,'Tablas psiquica'!$D$7:$R$145,7,FALSE))</f>
        <v/>
      </c>
      <c r="AP55" s="6584"/>
      <c r="AQ55" s="6584"/>
      <c r="AR55" s="6585"/>
      <c r="AS55" s="1082"/>
      <c r="AT55" s="1613">
        <v>40</v>
      </c>
      <c r="AU55" s="6582" t="s">
        <v>1724</v>
      </c>
      <c r="AV55" s="6503"/>
      <c r="AW55" s="6583" t="str">
        <f>IF(AT52=0,"",VLOOKUP(AT52,'Tablas psiquica'!$D$7:$R$145,7,FALSE))</f>
        <v/>
      </c>
      <c r="AX55" s="6584"/>
      <c r="AY55" s="6584"/>
      <c r="AZ55" s="6585"/>
      <c r="BA55" s="398"/>
      <c r="BB55" s="392"/>
      <c r="BC55" s="392"/>
      <c r="BD55" s="1082"/>
      <c r="BE55" s="1613">
        <v>40</v>
      </c>
      <c r="BF55" s="6582" t="s">
        <v>1724</v>
      </c>
      <c r="BG55" s="6503"/>
      <c r="BH55" s="6583" t="str">
        <f>IF(BE52=0,"",VLOOKUP(BE52,'Tablas psiquica'!$D$7:$R$145,7,FALSE))</f>
        <v/>
      </c>
      <c r="BI55" s="6584"/>
      <c r="BJ55" s="6584"/>
      <c r="BK55" s="6585"/>
      <c r="BL55" s="654"/>
      <c r="BM55" s="1613">
        <v>40</v>
      </c>
      <c r="BN55" s="6582" t="s">
        <v>1724</v>
      </c>
      <c r="BO55" s="6503"/>
      <c r="BP55" s="6583" t="str">
        <f>IF(BM52=0,"",VLOOKUP(BM52,'Tablas psiquica'!$D$7:$R$145,7,FALSE))</f>
        <v/>
      </c>
      <c r="BQ55" s="6584"/>
      <c r="BR55" s="6584"/>
      <c r="BS55" s="6585"/>
      <c r="BT55" s="1082"/>
      <c r="BU55" s="1613">
        <v>40</v>
      </c>
      <c r="BV55" s="6582" t="s">
        <v>1724</v>
      </c>
      <c r="BW55" s="6503"/>
      <c r="BX55" s="6583" t="str">
        <f>IF(BU52=0,"",VLOOKUP(BU52,'Tablas psiquica'!$D$7:$R$145,7,FALSE))</f>
        <v/>
      </c>
      <c r="BY55" s="6584"/>
      <c r="BZ55" s="6584"/>
      <c r="CA55" s="6585"/>
      <c r="CB55" s="398"/>
      <c r="CC55" s="392"/>
      <c r="CD55" s="392"/>
      <c r="CE55" s="1082"/>
      <c r="CF55" s="1613">
        <v>40</v>
      </c>
      <c r="CG55" s="6582" t="s">
        <v>1724</v>
      </c>
      <c r="CH55" s="6503"/>
      <c r="CI55" s="6583" t="str">
        <f>IF(CF52=0,"",VLOOKUP(CF52,'Tablas psiquica'!$D$7:$R$145,7,FALSE))</f>
        <v/>
      </c>
      <c r="CJ55" s="6584"/>
      <c r="CK55" s="6584"/>
      <c r="CL55" s="6585"/>
      <c r="CM55" s="654"/>
      <c r="CN55" s="1613">
        <v>40</v>
      </c>
      <c r="CO55" s="6582" t="s">
        <v>1724</v>
      </c>
      <c r="CP55" s="6503"/>
      <c r="CQ55" s="6583" t="str">
        <f>IF(CN52=0,"",VLOOKUP(CN52,'Tablas psiquica'!$D$7:$R$145,7,FALSE))</f>
        <v/>
      </c>
      <c r="CR55" s="6584"/>
      <c r="CS55" s="6584"/>
      <c r="CT55" s="6585"/>
      <c r="CU55" s="1082"/>
      <c r="CV55" s="1613">
        <v>40</v>
      </c>
      <c r="CW55" s="6582" t="s">
        <v>1724</v>
      </c>
      <c r="CX55" s="6503"/>
      <c r="CY55" s="6583" t="str">
        <f>IF(CV52=0,"",VLOOKUP(CV52,'Tablas psiquica'!$D$7:$R$145,7,FALSE))</f>
        <v/>
      </c>
      <c r="CZ55" s="6584"/>
      <c r="DA55" s="6584"/>
      <c r="DB55" s="6585"/>
      <c r="DC55" s="398"/>
      <c r="DD55" s="392"/>
    </row>
    <row r="56" spans="1:108" ht="12" customHeight="1" x14ac:dyDescent="0.2">
      <c r="A56" s="392"/>
      <c r="B56" s="1082"/>
      <c r="C56" s="1614">
        <v>80</v>
      </c>
      <c r="D56" s="6586" t="s">
        <v>1727</v>
      </c>
      <c r="E56" s="6508"/>
      <c r="F56" s="6587" t="str">
        <f>IF(C52=0,"",VLOOKUP(C52,'Tablas psiquica'!$D$7:$R$145,8,FALSE))</f>
        <v/>
      </c>
      <c r="G56" s="6042"/>
      <c r="H56" s="6042"/>
      <c r="I56" s="6588"/>
      <c r="J56" s="654"/>
      <c r="K56" s="1614">
        <v>80</v>
      </c>
      <c r="L56" s="6586" t="s">
        <v>1727</v>
      </c>
      <c r="M56" s="6508"/>
      <c r="N56" s="6587" t="str">
        <f>IF(K52=0,"",VLOOKUP(K52,'Tablas psiquica'!$D$7:$R$145,8,FALSE))</f>
        <v/>
      </c>
      <c r="O56" s="6042"/>
      <c r="P56" s="6042"/>
      <c r="Q56" s="6588"/>
      <c r="R56" s="1082"/>
      <c r="S56" s="1614">
        <v>80</v>
      </c>
      <c r="T56" s="6586" t="s">
        <v>1727</v>
      </c>
      <c r="U56" s="6508"/>
      <c r="V56" s="6587" t="str">
        <f>IF(S52=0,"",VLOOKUP(S52,'Tablas psiquica'!$D$7:$R$145,8,FALSE))</f>
        <v/>
      </c>
      <c r="W56" s="6042"/>
      <c r="X56" s="6042"/>
      <c r="Y56" s="6588"/>
      <c r="Z56" s="398"/>
      <c r="AA56" s="392"/>
      <c r="AB56" s="392"/>
      <c r="AC56" s="1082"/>
      <c r="AD56" s="1614">
        <v>80</v>
      </c>
      <c r="AE56" s="6586" t="s">
        <v>1727</v>
      </c>
      <c r="AF56" s="6508"/>
      <c r="AG56" s="6587" t="str">
        <f>IF(AD52=0,"",VLOOKUP(AD52,'Tablas psiquica'!$D$7:$R$145,8,FALSE))</f>
        <v/>
      </c>
      <c r="AH56" s="6042"/>
      <c r="AI56" s="6042"/>
      <c r="AJ56" s="6588"/>
      <c r="AK56" s="654"/>
      <c r="AL56" s="1614">
        <v>80</v>
      </c>
      <c r="AM56" s="6586" t="s">
        <v>1727</v>
      </c>
      <c r="AN56" s="6508"/>
      <c r="AO56" s="6587" t="str">
        <f>IF(AL52=0,"",VLOOKUP(AL52,'Tablas psiquica'!$D$7:$R$145,8,FALSE))</f>
        <v/>
      </c>
      <c r="AP56" s="6042"/>
      <c r="AQ56" s="6042"/>
      <c r="AR56" s="6588"/>
      <c r="AS56" s="1082"/>
      <c r="AT56" s="1614">
        <v>80</v>
      </c>
      <c r="AU56" s="6586" t="s">
        <v>1727</v>
      </c>
      <c r="AV56" s="6508"/>
      <c r="AW56" s="6587" t="str">
        <f>IF(AT52=0,"",VLOOKUP(AT52,'Tablas psiquica'!$D$7:$R$145,8,FALSE))</f>
        <v/>
      </c>
      <c r="AX56" s="6042"/>
      <c r="AY56" s="6042"/>
      <c r="AZ56" s="6588"/>
      <c r="BA56" s="398"/>
      <c r="BB56" s="392"/>
      <c r="BC56" s="392"/>
      <c r="BD56" s="1082"/>
      <c r="BE56" s="1614">
        <v>80</v>
      </c>
      <c r="BF56" s="6586" t="s">
        <v>1727</v>
      </c>
      <c r="BG56" s="6508"/>
      <c r="BH56" s="6587" t="str">
        <f>IF(BE52=0,"",VLOOKUP(BE52,'Tablas psiquica'!$D$7:$R$145,8,FALSE))</f>
        <v/>
      </c>
      <c r="BI56" s="6042"/>
      <c r="BJ56" s="6042"/>
      <c r="BK56" s="6588"/>
      <c r="BL56" s="654"/>
      <c r="BM56" s="1614">
        <v>80</v>
      </c>
      <c r="BN56" s="6586" t="s">
        <v>1727</v>
      </c>
      <c r="BO56" s="6508"/>
      <c r="BP56" s="6587" t="str">
        <f>IF(BM52=0,"",VLOOKUP(BM52,'Tablas psiquica'!$D$7:$R$145,8,FALSE))</f>
        <v/>
      </c>
      <c r="BQ56" s="6042"/>
      <c r="BR56" s="6042"/>
      <c r="BS56" s="6588"/>
      <c r="BT56" s="1082"/>
      <c r="BU56" s="1614">
        <v>80</v>
      </c>
      <c r="BV56" s="6586" t="s">
        <v>1727</v>
      </c>
      <c r="BW56" s="6508"/>
      <c r="BX56" s="6587" t="str">
        <f>IF(BU52=0,"",VLOOKUP(BU52,'Tablas psiquica'!$D$7:$R$145,8,FALSE))</f>
        <v/>
      </c>
      <c r="BY56" s="6042"/>
      <c r="BZ56" s="6042"/>
      <c r="CA56" s="6588"/>
      <c r="CB56" s="398"/>
      <c r="CC56" s="392"/>
      <c r="CD56" s="392"/>
      <c r="CE56" s="1082"/>
      <c r="CF56" s="1614">
        <v>80</v>
      </c>
      <c r="CG56" s="6586" t="s">
        <v>1727</v>
      </c>
      <c r="CH56" s="6508"/>
      <c r="CI56" s="6587" t="str">
        <f>IF(CF52=0,"",VLOOKUP(CF52,'Tablas psiquica'!$D$7:$R$145,8,FALSE))</f>
        <v/>
      </c>
      <c r="CJ56" s="6042"/>
      <c r="CK56" s="6042"/>
      <c r="CL56" s="6588"/>
      <c r="CM56" s="654"/>
      <c r="CN56" s="1614">
        <v>80</v>
      </c>
      <c r="CO56" s="6586" t="s">
        <v>1727</v>
      </c>
      <c r="CP56" s="6508"/>
      <c r="CQ56" s="6587" t="str">
        <f>IF(CN52=0,"",VLOOKUP(CN52,'Tablas psiquica'!$D$7:$R$145,8,FALSE))</f>
        <v/>
      </c>
      <c r="CR56" s="6042"/>
      <c r="CS56" s="6042"/>
      <c r="CT56" s="6588"/>
      <c r="CU56" s="1082"/>
      <c r="CV56" s="1614">
        <v>80</v>
      </c>
      <c r="CW56" s="6586" t="s">
        <v>1727</v>
      </c>
      <c r="CX56" s="6508"/>
      <c r="CY56" s="6587" t="str">
        <f>IF(CV52=0,"",VLOOKUP(CV52,'Tablas psiquica'!$D$7:$R$145,8,FALSE))</f>
        <v/>
      </c>
      <c r="CZ56" s="6042"/>
      <c r="DA56" s="6042"/>
      <c r="DB56" s="6588"/>
      <c r="DC56" s="398"/>
      <c r="DD56" s="392"/>
    </row>
    <row r="57" spans="1:108" ht="12" customHeight="1" x14ac:dyDescent="0.2">
      <c r="A57" s="392"/>
      <c r="B57" s="1082"/>
      <c r="C57" s="1613">
        <v>120</v>
      </c>
      <c r="D57" s="6582" t="s">
        <v>1730</v>
      </c>
      <c r="E57" s="6503"/>
      <c r="F57" s="6583" t="str">
        <f>IF(C52=0,"",VLOOKUP(C52,'Tablas psiquica'!$D$7:$R$145,9,FALSE))</f>
        <v/>
      </c>
      <c r="G57" s="6584"/>
      <c r="H57" s="6584"/>
      <c r="I57" s="6585"/>
      <c r="J57" s="654"/>
      <c r="K57" s="1613">
        <v>120</v>
      </c>
      <c r="L57" s="6582" t="s">
        <v>1730</v>
      </c>
      <c r="M57" s="6503"/>
      <c r="N57" s="6583" t="str">
        <f>IF(K52=0,"",VLOOKUP(K52,'Tablas psiquica'!$D$7:$R$145,9,FALSE))</f>
        <v/>
      </c>
      <c r="O57" s="6584"/>
      <c r="P57" s="6584"/>
      <c r="Q57" s="6585"/>
      <c r="R57" s="1082"/>
      <c r="S57" s="1613">
        <v>120</v>
      </c>
      <c r="T57" s="6582" t="s">
        <v>1730</v>
      </c>
      <c r="U57" s="6503"/>
      <c r="V57" s="6583" t="str">
        <f>IF(S52=0,"",VLOOKUP(S52,'Tablas psiquica'!$D$7:$R$145,9,FALSE))</f>
        <v/>
      </c>
      <c r="W57" s="6584"/>
      <c r="X57" s="6584"/>
      <c r="Y57" s="6585"/>
      <c r="Z57" s="398"/>
      <c r="AA57" s="392"/>
      <c r="AB57" s="392"/>
      <c r="AC57" s="1082"/>
      <c r="AD57" s="1613">
        <v>120</v>
      </c>
      <c r="AE57" s="6582" t="s">
        <v>1730</v>
      </c>
      <c r="AF57" s="6503"/>
      <c r="AG57" s="6583" t="str">
        <f>IF(AD52=0,"",VLOOKUP(AD52,'Tablas psiquica'!$D$7:$R$145,9,FALSE))</f>
        <v/>
      </c>
      <c r="AH57" s="6584"/>
      <c r="AI57" s="6584"/>
      <c r="AJ57" s="6585"/>
      <c r="AK57" s="654"/>
      <c r="AL57" s="1613">
        <v>120</v>
      </c>
      <c r="AM57" s="6582" t="s">
        <v>1730</v>
      </c>
      <c r="AN57" s="6503"/>
      <c r="AO57" s="6583" t="str">
        <f>IF(AL52=0,"",VLOOKUP(AL52,'Tablas psiquica'!$D$7:$R$145,9,FALSE))</f>
        <v/>
      </c>
      <c r="AP57" s="6584"/>
      <c r="AQ57" s="6584"/>
      <c r="AR57" s="6585"/>
      <c r="AS57" s="1082"/>
      <c r="AT57" s="1613">
        <v>120</v>
      </c>
      <c r="AU57" s="6582" t="s">
        <v>1730</v>
      </c>
      <c r="AV57" s="6503"/>
      <c r="AW57" s="6583" t="str">
        <f>IF(AT52=0,"",VLOOKUP(AT52,'Tablas psiquica'!$D$7:$R$145,9,FALSE))</f>
        <v/>
      </c>
      <c r="AX57" s="6584"/>
      <c r="AY57" s="6584"/>
      <c r="AZ57" s="6585"/>
      <c r="BA57" s="398"/>
      <c r="BB57" s="392"/>
      <c r="BC57" s="392"/>
      <c r="BD57" s="1082"/>
      <c r="BE57" s="1613">
        <v>120</v>
      </c>
      <c r="BF57" s="6582" t="s">
        <v>1730</v>
      </c>
      <c r="BG57" s="6503"/>
      <c r="BH57" s="6583" t="str">
        <f>IF(BE52=0,"",VLOOKUP(BE52,'Tablas psiquica'!$D$7:$R$145,9,FALSE))</f>
        <v/>
      </c>
      <c r="BI57" s="6584"/>
      <c r="BJ57" s="6584"/>
      <c r="BK57" s="6585"/>
      <c r="BL57" s="654"/>
      <c r="BM57" s="1613">
        <v>120</v>
      </c>
      <c r="BN57" s="6582" t="s">
        <v>1730</v>
      </c>
      <c r="BO57" s="6503"/>
      <c r="BP57" s="6583" t="str">
        <f>IF(BM52=0,"",VLOOKUP(BM52,'Tablas psiquica'!$D$7:$R$145,9,FALSE))</f>
        <v/>
      </c>
      <c r="BQ57" s="6584"/>
      <c r="BR57" s="6584"/>
      <c r="BS57" s="6585"/>
      <c r="BT57" s="1082"/>
      <c r="BU57" s="1613">
        <v>120</v>
      </c>
      <c r="BV57" s="6582" t="s">
        <v>1730</v>
      </c>
      <c r="BW57" s="6503"/>
      <c r="BX57" s="6583" t="str">
        <f>IF(BU52=0,"",VLOOKUP(BU52,'Tablas psiquica'!$D$7:$R$145,9,FALSE))</f>
        <v/>
      </c>
      <c r="BY57" s="6584"/>
      <c r="BZ57" s="6584"/>
      <c r="CA57" s="6585"/>
      <c r="CB57" s="398"/>
      <c r="CC57" s="392"/>
      <c r="CD57" s="392"/>
      <c r="CE57" s="1082"/>
      <c r="CF57" s="1613">
        <v>120</v>
      </c>
      <c r="CG57" s="6582" t="s">
        <v>1730</v>
      </c>
      <c r="CH57" s="6503"/>
      <c r="CI57" s="6583" t="str">
        <f>IF(CF52=0,"",VLOOKUP(CF52,'Tablas psiquica'!$D$7:$R$145,9,FALSE))</f>
        <v/>
      </c>
      <c r="CJ57" s="6584"/>
      <c r="CK57" s="6584"/>
      <c r="CL57" s="6585"/>
      <c r="CM57" s="654"/>
      <c r="CN57" s="1613">
        <v>120</v>
      </c>
      <c r="CO57" s="6582" t="s">
        <v>1730</v>
      </c>
      <c r="CP57" s="6503"/>
      <c r="CQ57" s="6583" t="str">
        <f>IF(CN52=0,"",VLOOKUP(CN52,'Tablas psiquica'!$D$7:$R$145,9,FALSE))</f>
        <v/>
      </c>
      <c r="CR57" s="6584"/>
      <c r="CS57" s="6584"/>
      <c r="CT57" s="6585"/>
      <c r="CU57" s="1082"/>
      <c r="CV57" s="1613">
        <v>120</v>
      </c>
      <c r="CW57" s="6582" t="s">
        <v>1730</v>
      </c>
      <c r="CX57" s="6503"/>
      <c r="CY57" s="6583" t="str">
        <f>IF(CV52=0,"",VLOOKUP(CV52,'Tablas psiquica'!$D$7:$R$145,9,FALSE))</f>
        <v/>
      </c>
      <c r="CZ57" s="6584"/>
      <c r="DA57" s="6584"/>
      <c r="DB57" s="6585"/>
      <c r="DC57" s="398"/>
      <c r="DD57" s="392"/>
    </row>
    <row r="58" spans="1:108" ht="12" customHeight="1" x14ac:dyDescent="0.2">
      <c r="A58" s="392"/>
      <c r="B58" s="1082"/>
      <c r="C58" s="1614">
        <v>140</v>
      </c>
      <c r="D58" s="6586" t="s">
        <v>6237</v>
      </c>
      <c r="E58" s="6508"/>
      <c r="F58" s="6587" t="str">
        <f>IF(C52=0,"",VLOOKUP(C52,'Tablas psiquica'!$D$7:$R$145,10,FALSE))</f>
        <v/>
      </c>
      <c r="G58" s="6042"/>
      <c r="H58" s="6042"/>
      <c r="I58" s="6588"/>
      <c r="J58" s="654"/>
      <c r="K58" s="1614">
        <v>140</v>
      </c>
      <c r="L58" s="6586" t="s">
        <v>6237</v>
      </c>
      <c r="M58" s="6508"/>
      <c r="N58" s="6587" t="str">
        <f>IF(K52=0,"",VLOOKUP(K52,'Tablas psiquica'!$D$7:$R$145,10,FALSE))</f>
        <v/>
      </c>
      <c r="O58" s="6042"/>
      <c r="P58" s="6042"/>
      <c r="Q58" s="6588"/>
      <c r="R58" s="1082"/>
      <c r="S58" s="1614">
        <v>140</v>
      </c>
      <c r="T58" s="6586" t="s">
        <v>6237</v>
      </c>
      <c r="U58" s="6508"/>
      <c r="V58" s="6587" t="str">
        <f>IF(S52=0,"",VLOOKUP(S52,'Tablas psiquica'!$D$7:$R$145,10,FALSE))</f>
        <v/>
      </c>
      <c r="W58" s="6042"/>
      <c r="X58" s="6042"/>
      <c r="Y58" s="6588"/>
      <c r="Z58" s="398"/>
      <c r="AA58" s="392"/>
      <c r="AB58" s="392"/>
      <c r="AC58" s="1082"/>
      <c r="AD58" s="1614">
        <v>140</v>
      </c>
      <c r="AE58" s="6586" t="s">
        <v>6237</v>
      </c>
      <c r="AF58" s="6508"/>
      <c r="AG58" s="6587" t="str">
        <f>IF(AD52=0,"",VLOOKUP(AD52,'Tablas psiquica'!$D$7:$R$145,10,FALSE))</f>
        <v/>
      </c>
      <c r="AH58" s="6042"/>
      <c r="AI58" s="6042"/>
      <c r="AJ58" s="6588"/>
      <c r="AK58" s="654"/>
      <c r="AL58" s="1614">
        <v>140</v>
      </c>
      <c r="AM58" s="6586" t="s">
        <v>6237</v>
      </c>
      <c r="AN58" s="6508"/>
      <c r="AO58" s="6587" t="str">
        <f>IF(AL52=0,"",VLOOKUP(AL52,'Tablas psiquica'!$D$7:$R$145,10,FALSE))</f>
        <v/>
      </c>
      <c r="AP58" s="6042"/>
      <c r="AQ58" s="6042"/>
      <c r="AR58" s="6588"/>
      <c r="AS58" s="1082"/>
      <c r="AT58" s="1614">
        <v>140</v>
      </c>
      <c r="AU58" s="6586" t="s">
        <v>6237</v>
      </c>
      <c r="AV58" s="6508"/>
      <c r="AW58" s="6587" t="str">
        <f>IF(AT52=0,"",VLOOKUP(AT52,'Tablas psiquica'!$D$7:$R$145,10,FALSE))</f>
        <v/>
      </c>
      <c r="AX58" s="6042"/>
      <c r="AY58" s="6042"/>
      <c r="AZ58" s="6588"/>
      <c r="BA58" s="398"/>
      <c r="BB58" s="392"/>
      <c r="BC58" s="392"/>
      <c r="BD58" s="1082"/>
      <c r="BE58" s="1614">
        <v>140</v>
      </c>
      <c r="BF58" s="6586" t="s">
        <v>6237</v>
      </c>
      <c r="BG58" s="6508"/>
      <c r="BH58" s="6587" t="str">
        <f>IF(BE52=0,"",VLOOKUP(BE52,'Tablas psiquica'!$D$7:$R$145,10,FALSE))</f>
        <v/>
      </c>
      <c r="BI58" s="6042"/>
      <c r="BJ58" s="6042"/>
      <c r="BK58" s="6588"/>
      <c r="BL58" s="654"/>
      <c r="BM58" s="1614">
        <v>140</v>
      </c>
      <c r="BN58" s="6586" t="s">
        <v>6237</v>
      </c>
      <c r="BO58" s="6508"/>
      <c r="BP58" s="6587" t="str">
        <f>IF(BM52=0,"",VLOOKUP(BM52,'Tablas psiquica'!$D$7:$R$145,10,FALSE))</f>
        <v/>
      </c>
      <c r="BQ58" s="6042"/>
      <c r="BR58" s="6042"/>
      <c r="BS58" s="6588"/>
      <c r="BT58" s="1082"/>
      <c r="BU58" s="1614">
        <v>140</v>
      </c>
      <c r="BV58" s="6586" t="s">
        <v>6237</v>
      </c>
      <c r="BW58" s="6508"/>
      <c r="BX58" s="6587" t="str">
        <f>IF(BU52=0,"",VLOOKUP(BU52,'Tablas psiquica'!$D$7:$R$145,10,FALSE))</f>
        <v/>
      </c>
      <c r="BY58" s="6042"/>
      <c r="BZ58" s="6042"/>
      <c r="CA58" s="6588"/>
      <c r="CB58" s="398"/>
      <c r="CC58" s="392"/>
      <c r="CD58" s="392"/>
      <c r="CE58" s="1082"/>
      <c r="CF58" s="1614">
        <v>140</v>
      </c>
      <c r="CG58" s="6586" t="s">
        <v>6237</v>
      </c>
      <c r="CH58" s="6508"/>
      <c r="CI58" s="6587" t="str">
        <f>IF(CF52=0,"",VLOOKUP(CF52,'Tablas psiquica'!$D$7:$R$145,10,FALSE))</f>
        <v/>
      </c>
      <c r="CJ58" s="6042"/>
      <c r="CK58" s="6042"/>
      <c r="CL58" s="6588"/>
      <c r="CM58" s="654"/>
      <c r="CN58" s="1614">
        <v>140</v>
      </c>
      <c r="CO58" s="6586" t="s">
        <v>6237</v>
      </c>
      <c r="CP58" s="6508"/>
      <c r="CQ58" s="6587" t="str">
        <f>IF(CN52=0,"",VLOOKUP(CN52,'Tablas psiquica'!$D$7:$R$145,10,FALSE))</f>
        <v/>
      </c>
      <c r="CR58" s="6042"/>
      <c r="CS58" s="6042"/>
      <c r="CT58" s="6588"/>
      <c r="CU58" s="1082"/>
      <c r="CV58" s="1614">
        <v>140</v>
      </c>
      <c r="CW58" s="6586" t="s">
        <v>6237</v>
      </c>
      <c r="CX58" s="6508"/>
      <c r="CY58" s="6587" t="str">
        <f>IF(CV52=0,"",VLOOKUP(CV52,'Tablas psiquica'!$D$7:$R$145,10,FALSE))</f>
        <v/>
      </c>
      <c r="CZ58" s="6042"/>
      <c r="DA58" s="6042"/>
      <c r="DB58" s="6588"/>
      <c r="DC58" s="398"/>
      <c r="DD58" s="392"/>
    </row>
    <row r="59" spans="1:108" ht="12" customHeight="1" x14ac:dyDescent="0.2">
      <c r="A59" s="392"/>
      <c r="B59" s="1082"/>
      <c r="C59" s="1613">
        <v>180</v>
      </c>
      <c r="D59" s="6582" t="s">
        <v>1734</v>
      </c>
      <c r="E59" s="6503"/>
      <c r="F59" s="6583" t="str">
        <f>IF(C52=0,"",VLOOKUP(C52,'Tablas psiquica'!$D$7:$R$145,11,FALSE))</f>
        <v/>
      </c>
      <c r="G59" s="6584"/>
      <c r="H59" s="6584"/>
      <c r="I59" s="6585"/>
      <c r="J59" s="654"/>
      <c r="K59" s="1613">
        <v>180</v>
      </c>
      <c r="L59" s="6582" t="s">
        <v>1734</v>
      </c>
      <c r="M59" s="6503"/>
      <c r="N59" s="6583" t="str">
        <f>IF(K52=0,"",VLOOKUP(K52,'Tablas psiquica'!$D$7:$R$145,11,FALSE))</f>
        <v/>
      </c>
      <c r="O59" s="6584"/>
      <c r="P59" s="6584"/>
      <c r="Q59" s="6585"/>
      <c r="R59" s="1082"/>
      <c r="S59" s="1613">
        <v>180</v>
      </c>
      <c r="T59" s="6582" t="s">
        <v>1734</v>
      </c>
      <c r="U59" s="6503"/>
      <c r="V59" s="6583" t="str">
        <f>IF(S52=0,"",VLOOKUP(S52,'Tablas psiquica'!$D$7:$R$145,11,FALSE))</f>
        <v/>
      </c>
      <c r="W59" s="6584"/>
      <c r="X59" s="6584"/>
      <c r="Y59" s="6585"/>
      <c r="Z59" s="398"/>
      <c r="AA59" s="392"/>
      <c r="AB59" s="392"/>
      <c r="AC59" s="1082"/>
      <c r="AD59" s="1613">
        <v>180</v>
      </c>
      <c r="AE59" s="6582" t="s">
        <v>1734</v>
      </c>
      <c r="AF59" s="6503"/>
      <c r="AG59" s="6583" t="str">
        <f>IF(AD52=0,"",VLOOKUP(AD52,'Tablas psiquica'!$D$7:$R$145,11,FALSE))</f>
        <v/>
      </c>
      <c r="AH59" s="6584"/>
      <c r="AI59" s="6584"/>
      <c r="AJ59" s="6585"/>
      <c r="AK59" s="654"/>
      <c r="AL59" s="1613">
        <v>180</v>
      </c>
      <c r="AM59" s="6582" t="s">
        <v>1734</v>
      </c>
      <c r="AN59" s="6503"/>
      <c r="AO59" s="6583" t="str">
        <f>IF(AL52=0,"",VLOOKUP(AL52,'Tablas psiquica'!$D$7:$R$145,11,FALSE))</f>
        <v/>
      </c>
      <c r="AP59" s="6584"/>
      <c r="AQ59" s="6584"/>
      <c r="AR59" s="6585"/>
      <c r="AS59" s="1082"/>
      <c r="AT59" s="1613">
        <v>180</v>
      </c>
      <c r="AU59" s="6582" t="s">
        <v>1734</v>
      </c>
      <c r="AV59" s="6503"/>
      <c r="AW59" s="6583" t="str">
        <f>IF(AT52=0,"",VLOOKUP(AT52,'Tablas psiquica'!$D$7:$R$145,11,FALSE))</f>
        <v/>
      </c>
      <c r="AX59" s="6584"/>
      <c r="AY59" s="6584"/>
      <c r="AZ59" s="6585"/>
      <c r="BA59" s="398"/>
      <c r="BB59" s="392"/>
      <c r="BC59" s="392"/>
      <c r="BD59" s="1082"/>
      <c r="BE59" s="1613">
        <v>180</v>
      </c>
      <c r="BF59" s="6582" t="s">
        <v>1734</v>
      </c>
      <c r="BG59" s="6503"/>
      <c r="BH59" s="6583" t="str">
        <f>IF(BE52=0,"",VLOOKUP(BE52,'Tablas psiquica'!$D$7:$R$145,11,FALSE))</f>
        <v/>
      </c>
      <c r="BI59" s="6584"/>
      <c r="BJ59" s="6584"/>
      <c r="BK59" s="6585"/>
      <c r="BL59" s="654"/>
      <c r="BM59" s="1613">
        <v>180</v>
      </c>
      <c r="BN59" s="6582" t="s">
        <v>1734</v>
      </c>
      <c r="BO59" s="6503"/>
      <c r="BP59" s="6583" t="str">
        <f>IF(BM52=0,"",VLOOKUP(BM52,'Tablas psiquica'!$D$7:$R$145,11,FALSE))</f>
        <v/>
      </c>
      <c r="BQ59" s="6584"/>
      <c r="BR59" s="6584"/>
      <c r="BS59" s="6585"/>
      <c r="BT59" s="1082"/>
      <c r="BU59" s="1613">
        <v>180</v>
      </c>
      <c r="BV59" s="6582" t="s">
        <v>1734</v>
      </c>
      <c r="BW59" s="6503"/>
      <c r="BX59" s="6583" t="str">
        <f>IF(BU52=0,"",VLOOKUP(BU52,'Tablas psiquica'!$D$7:$R$145,11,FALSE))</f>
        <v/>
      </c>
      <c r="BY59" s="6584"/>
      <c r="BZ59" s="6584"/>
      <c r="CA59" s="6585"/>
      <c r="CB59" s="398"/>
      <c r="CC59" s="392"/>
      <c r="CD59" s="392"/>
      <c r="CE59" s="1082"/>
      <c r="CF59" s="1613">
        <v>180</v>
      </c>
      <c r="CG59" s="6582" t="s">
        <v>1734</v>
      </c>
      <c r="CH59" s="6503"/>
      <c r="CI59" s="6583" t="str">
        <f>IF(CF52=0,"",VLOOKUP(CF52,'Tablas psiquica'!$D$7:$R$145,11,FALSE))</f>
        <v/>
      </c>
      <c r="CJ59" s="6584"/>
      <c r="CK59" s="6584"/>
      <c r="CL59" s="6585"/>
      <c r="CM59" s="654"/>
      <c r="CN59" s="1613">
        <v>180</v>
      </c>
      <c r="CO59" s="6582" t="s">
        <v>1734</v>
      </c>
      <c r="CP59" s="6503"/>
      <c r="CQ59" s="6583" t="str">
        <f>IF(CN52=0,"",VLOOKUP(CN52,'Tablas psiquica'!$D$7:$R$145,11,FALSE))</f>
        <v/>
      </c>
      <c r="CR59" s="6584"/>
      <c r="CS59" s="6584"/>
      <c r="CT59" s="6585"/>
      <c r="CU59" s="1082"/>
      <c r="CV59" s="1613">
        <v>180</v>
      </c>
      <c r="CW59" s="6582" t="s">
        <v>1734</v>
      </c>
      <c r="CX59" s="6503"/>
      <c r="CY59" s="6583" t="str">
        <f>IF(CV52=0,"",VLOOKUP(CV52,'Tablas psiquica'!$D$7:$R$145,11,FALSE))</f>
        <v/>
      </c>
      <c r="CZ59" s="6584"/>
      <c r="DA59" s="6584"/>
      <c r="DB59" s="6585"/>
      <c r="DC59" s="398"/>
      <c r="DD59" s="392"/>
    </row>
    <row r="60" spans="1:108" ht="12" customHeight="1" x14ac:dyDescent="0.2">
      <c r="A60" s="392"/>
      <c r="B60" s="1082"/>
      <c r="C60" s="1614">
        <v>240</v>
      </c>
      <c r="D60" s="6586" t="s">
        <v>6238</v>
      </c>
      <c r="E60" s="6508"/>
      <c r="F60" s="6587" t="str">
        <f>IF(C52=0,"",VLOOKUP(C52,'Tablas psiquica'!$D$7:$R$145,12,FALSE))</f>
        <v/>
      </c>
      <c r="G60" s="6042"/>
      <c r="H60" s="6042"/>
      <c r="I60" s="6588"/>
      <c r="J60" s="654"/>
      <c r="K60" s="1614">
        <v>240</v>
      </c>
      <c r="L60" s="6586" t="s">
        <v>6238</v>
      </c>
      <c r="M60" s="6508"/>
      <c r="N60" s="6587" t="str">
        <f>IF(K52=0,"",VLOOKUP(K52,'Tablas psiquica'!$D$7:$R$145,12,FALSE))</f>
        <v/>
      </c>
      <c r="O60" s="6042"/>
      <c r="P60" s="6042"/>
      <c r="Q60" s="6588"/>
      <c r="R60" s="1082"/>
      <c r="S60" s="1614">
        <v>240</v>
      </c>
      <c r="T60" s="6586" t="s">
        <v>6238</v>
      </c>
      <c r="U60" s="6508"/>
      <c r="V60" s="6587" t="str">
        <f>IF(S52=0,"",VLOOKUP(S52,'Tablas psiquica'!$D$7:$R$145,12,FALSE))</f>
        <v/>
      </c>
      <c r="W60" s="6042"/>
      <c r="X60" s="6042"/>
      <c r="Y60" s="6588"/>
      <c r="Z60" s="398"/>
      <c r="AA60" s="392"/>
      <c r="AB60" s="392"/>
      <c r="AC60" s="1082"/>
      <c r="AD60" s="1614">
        <v>240</v>
      </c>
      <c r="AE60" s="6586" t="s">
        <v>6238</v>
      </c>
      <c r="AF60" s="6508"/>
      <c r="AG60" s="6587" t="str">
        <f>IF(AD52=0,"",VLOOKUP(AD52,'Tablas psiquica'!$D$7:$R$145,12,FALSE))</f>
        <v/>
      </c>
      <c r="AH60" s="6042"/>
      <c r="AI60" s="6042"/>
      <c r="AJ60" s="6588"/>
      <c r="AK60" s="654"/>
      <c r="AL60" s="1614">
        <v>240</v>
      </c>
      <c r="AM60" s="6586" t="s">
        <v>6238</v>
      </c>
      <c r="AN60" s="6508"/>
      <c r="AO60" s="6587" t="str">
        <f>IF(AL52=0,"",VLOOKUP(AL52,'Tablas psiquica'!$D$7:$R$145,12,FALSE))</f>
        <v/>
      </c>
      <c r="AP60" s="6042"/>
      <c r="AQ60" s="6042"/>
      <c r="AR60" s="6588"/>
      <c r="AS60" s="1082"/>
      <c r="AT60" s="1614">
        <v>240</v>
      </c>
      <c r="AU60" s="6586" t="s">
        <v>6238</v>
      </c>
      <c r="AV60" s="6508"/>
      <c r="AW60" s="6587" t="str">
        <f>IF(AT52=0,"",VLOOKUP(AT52,'Tablas psiquica'!$D$7:$R$145,12,FALSE))</f>
        <v/>
      </c>
      <c r="AX60" s="6042"/>
      <c r="AY60" s="6042"/>
      <c r="AZ60" s="6588"/>
      <c r="BA60" s="398"/>
      <c r="BB60" s="392"/>
      <c r="BC60" s="392"/>
      <c r="BD60" s="1082"/>
      <c r="BE60" s="1614">
        <v>240</v>
      </c>
      <c r="BF60" s="6586" t="s">
        <v>6238</v>
      </c>
      <c r="BG60" s="6508"/>
      <c r="BH60" s="6587" t="str">
        <f>IF(BE52=0,"",VLOOKUP(BE52,'Tablas psiquica'!$D$7:$R$145,12,FALSE))</f>
        <v/>
      </c>
      <c r="BI60" s="6042"/>
      <c r="BJ60" s="6042"/>
      <c r="BK60" s="6588"/>
      <c r="BL60" s="654"/>
      <c r="BM60" s="1614">
        <v>240</v>
      </c>
      <c r="BN60" s="6586" t="s">
        <v>6238</v>
      </c>
      <c r="BO60" s="6508"/>
      <c r="BP60" s="6587" t="str">
        <f>IF(BM52=0,"",VLOOKUP(BM52,'Tablas psiquica'!$D$7:$R$145,12,FALSE))</f>
        <v/>
      </c>
      <c r="BQ60" s="6042"/>
      <c r="BR60" s="6042"/>
      <c r="BS60" s="6588"/>
      <c r="BT60" s="1082"/>
      <c r="BU60" s="1614">
        <v>240</v>
      </c>
      <c r="BV60" s="6586" t="s">
        <v>6238</v>
      </c>
      <c r="BW60" s="6508"/>
      <c r="BX60" s="6587" t="str">
        <f>IF(BU52=0,"",VLOOKUP(BU52,'Tablas psiquica'!$D$7:$R$145,12,FALSE))</f>
        <v/>
      </c>
      <c r="BY60" s="6042"/>
      <c r="BZ60" s="6042"/>
      <c r="CA60" s="6588"/>
      <c r="CB60" s="398"/>
      <c r="CC60" s="392"/>
      <c r="CD60" s="392"/>
      <c r="CE60" s="1082"/>
      <c r="CF60" s="1614">
        <v>240</v>
      </c>
      <c r="CG60" s="6586" t="s">
        <v>6238</v>
      </c>
      <c r="CH60" s="6508"/>
      <c r="CI60" s="6587" t="str">
        <f>IF(CF52=0,"",VLOOKUP(CF52,'Tablas psiquica'!$D$7:$R$145,12,FALSE))</f>
        <v/>
      </c>
      <c r="CJ60" s="6042"/>
      <c r="CK60" s="6042"/>
      <c r="CL60" s="6588"/>
      <c r="CM60" s="654"/>
      <c r="CN60" s="1614">
        <v>240</v>
      </c>
      <c r="CO60" s="6586" t="s">
        <v>6238</v>
      </c>
      <c r="CP60" s="6508"/>
      <c r="CQ60" s="6587" t="str">
        <f>IF(CN52=0,"",VLOOKUP(CN52,'Tablas psiquica'!$D$7:$R$145,12,FALSE))</f>
        <v/>
      </c>
      <c r="CR60" s="6042"/>
      <c r="CS60" s="6042"/>
      <c r="CT60" s="6588"/>
      <c r="CU60" s="1082"/>
      <c r="CV60" s="1614">
        <v>240</v>
      </c>
      <c r="CW60" s="6586" t="s">
        <v>6238</v>
      </c>
      <c r="CX60" s="6508"/>
      <c r="CY60" s="6587" t="str">
        <f>IF(CV52=0,"",VLOOKUP(CV52,'Tablas psiquica'!$D$7:$R$145,12,FALSE))</f>
        <v/>
      </c>
      <c r="CZ60" s="6042"/>
      <c r="DA60" s="6042"/>
      <c r="DB60" s="6588"/>
      <c r="DC60" s="398"/>
      <c r="DD60" s="392"/>
    </row>
    <row r="61" spans="1:108" ht="12" customHeight="1" x14ac:dyDescent="0.2">
      <c r="A61" s="392"/>
      <c r="B61" s="1082"/>
      <c r="C61" s="1613">
        <v>280</v>
      </c>
      <c r="D61" s="6582" t="s">
        <v>1737</v>
      </c>
      <c r="E61" s="6503"/>
      <c r="F61" s="6583" t="str">
        <f>IF(C52=0,"",VLOOKUP(C52,'Tablas psiquica'!$D$7:$R$145,13,FALSE))</f>
        <v/>
      </c>
      <c r="G61" s="6584"/>
      <c r="H61" s="6584"/>
      <c r="I61" s="6585"/>
      <c r="J61" s="654"/>
      <c r="K61" s="1613">
        <v>280</v>
      </c>
      <c r="L61" s="6582" t="s">
        <v>1737</v>
      </c>
      <c r="M61" s="6503"/>
      <c r="N61" s="6583" t="str">
        <f>IF(K52=0,"",VLOOKUP(K52,'Tablas psiquica'!$D$7:$R$145,13,FALSE))</f>
        <v/>
      </c>
      <c r="O61" s="6584"/>
      <c r="P61" s="6584"/>
      <c r="Q61" s="6585"/>
      <c r="R61" s="1082"/>
      <c r="S61" s="1613">
        <v>280</v>
      </c>
      <c r="T61" s="6582" t="s">
        <v>1737</v>
      </c>
      <c r="U61" s="6503"/>
      <c r="V61" s="6583" t="str">
        <f>IF(S52=0,"",VLOOKUP(S52,'Tablas psiquica'!$D$7:$R$145,13,FALSE))</f>
        <v/>
      </c>
      <c r="W61" s="6584"/>
      <c r="X61" s="6584"/>
      <c r="Y61" s="6585"/>
      <c r="Z61" s="398"/>
      <c r="AA61" s="392"/>
      <c r="AB61" s="392"/>
      <c r="AC61" s="1082"/>
      <c r="AD61" s="1613">
        <v>280</v>
      </c>
      <c r="AE61" s="6582" t="s">
        <v>1737</v>
      </c>
      <c r="AF61" s="6503"/>
      <c r="AG61" s="6583" t="str">
        <f>IF(AD52=0,"",VLOOKUP(AD52,'Tablas psiquica'!$D$7:$R$145,13,FALSE))</f>
        <v/>
      </c>
      <c r="AH61" s="6584"/>
      <c r="AI61" s="6584"/>
      <c r="AJ61" s="6585"/>
      <c r="AK61" s="654"/>
      <c r="AL61" s="1613">
        <v>280</v>
      </c>
      <c r="AM61" s="6582" t="s">
        <v>1737</v>
      </c>
      <c r="AN61" s="6503"/>
      <c r="AO61" s="6583" t="str">
        <f>IF(AL52=0,"",VLOOKUP(AL52,'Tablas psiquica'!$D$7:$R$145,13,FALSE))</f>
        <v/>
      </c>
      <c r="AP61" s="6584"/>
      <c r="AQ61" s="6584"/>
      <c r="AR61" s="6585"/>
      <c r="AS61" s="1082"/>
      <c r="AT61" s="1613">
        <v>280</v>
      </c>
      <c r="AU61" s="6582" t="s">
        <v>1737</v>
      </c>
      <c r="AV61" s="6503"/>
      <c r="AW61" s="6583" t="str">
        <f>IF(AT52=0,"",VLOOKUP(AT52,'Tablas psiquica'!$D$7:$R$145,13,FALSE))</f>
        <v/>
      </c>
      <c r="AX61" s="6584"/>
      <c r="AY61" s="6584"/>
      <c r="AZ61" s="6585"/>
      <c r="BA61" s="398"/>
      <c r="BB61" s="392"/>
      <c r="BC61" s="392"/>
      <c r="BD61" s="1082"/>
      <c r="BE61" s="1613">
        <v>280</v>
      </c>
      <c r="BF61" s="6582" t="s">
        <v>1737</v>
      </c>
      <c r="BG61" s="6503"/>
      <c r="BH61" s="6583" t="str">
        <f>IF(BE52=0,"",VLOOKUP(BE52,'Tablas psiquica'!$D$7:$R$145,13,FALSE))</f>
        <v/>
      </c>
      <c r="BI61" s="6584"/>
      <c r="BJ61" s="6584"/>
      <c r="BK61" s="6585"/>
      <c r="BL61" s="654"/>
      <c r="BM61" s="1613">
        <v>280</v>
      </c>
      <c r="BN61" s="6582" t="s">
        <v>1737</v>
      </c>
      <c r="BO61" s="6503"/>
      <c r="BP61" s="6583" t="str">
        <f>IF(BM52=0,"",VLOOKUP(BM52,'Tablas psiquica'!$D$7:$R$145,13,FALSE))</f>
        <v/>
      </c>
      <c r="BQ61" s="6584"/>
      <c r="BR61" s="6584"/>
      <c r="BS61" s="6585"/>
      <c r="BT61" s="1082"/>
      <c r="BU61" s="1613">
        <v>280</v>
      </c>
      <c r="BV61" s="6582" t="s">
        <v>1737</v>
      </c>
      <c r="BW61" s="6503"/>
      <c r="BX61" s="6583" t="str">
        <f>IF(BU52=0,"",VLOOKUP(BU52,'Tablas psiquica'!$D$7:$R$145,13,FALSE))</f>
        <v/>
      </c>
      <c r="BY61" s="6584"/>
      <c r="BZ61" s="6584"/>
      <c r="CA61" s="6585"/>
      <c r="CB61" s="398"/>
      <c r="CC61" s="392"/>
      <c r="CD61" s="392"/>
      <c r="CE61" s="1082"/>
      <c r="CF61" s="1613">
        <v>280</v>
      </c>
      <c r="CG61" s="6582" t="s">
        <v>1737</v>
      </c>
      <c r="CH61" s="6503"/>
      <c r="CI61" s="6583" t="str">
        <f>IF(CF52=0,"",VLOOKUP(CF52,'Tablas psiquica'!$D$7:$R$145,13,FALSE))</f>
        <v/>
      </c>
      <c r="CJ61" s="6584"/>
      <c r="CK61" s="6584"/>
      <c r="CL61" s="6585"/>
      <c r="CM61" s="654"/>
      <c r="CN61" s="1613">
        <v>280</v>
      </c>
      <c r="CO61" s="6582" t="s">
        <v>1737</v>
      </c>
      <c r="CP61" s="6503"/>
      <c r="CQ61" s="6583" t="str">
        <f>IF(CN52=0,"",VLOOKUP(CN52,'Tablas psiquica'!$D$7:$R$145,13,FALSE))</f>
        <v/>
      </c>
      <c r="CR61" s="6584"/>
      <c r="CS61" s="6584"/>
      <c r="CT61" s="6585"/>
      <c r="CU61" s="1082"/>
      <c r="CV61" s="1613">
        <v>280</v>
      </c>
      <c r="CW61" s="6582" t="s">
        <v>1737</v>
      </c>
      <c r="CX61" s="6503"/>
      <c r="CY61" s="6583" t="str">
        <f>IF(CV52=0,"",VLOOKUP(CV52,'Tablas psiquica'!$D$7:$R$145,13,FALSE))</f>
        <v/>
      </c>
      <c r="CZ61" s="6584"/>
      <c r="DA61" s="6584"/>
      <c r="DB61" s="6585"/>
      <c r="DC61" s="398"/>
      <c r="DD61" s="392"/>
    </row>
    <row r="62" spans="1:108" ht="12" customHeight="1" x14ac:dyDescent="0.2">
      <c r="A62" s="392"/>
      <c r="B62" s="1082"/>
      <c r="C62" s="1614">
        <v>320</v>
      </c>
      <c r="D62" s="6586" t="s">
        <v>1739</v>
      </c>
      <c r="E62" s="6508"/>
      <c r="F62" s="6587" t="str">
        <f>IF(C52=0,"",VLOOKUP(C52,'Tablas psiquica'!$D$7:$R$145,14,FALSE))</f>
        <v/>
      </c>
      <c r="G62" s="6042"/>
      <c r="H62" s="6042"/>
      <c r="I62" s="6588"/>
      <c r="J62" s="654"/>
      <c r="K62" s="1614">
        <v>320</v>
      </c>
      <c r="L62" s="6586" t="s">
        <v>1739</v>
      </c>
      <c r="M62" s="6508"/>
      <c r="N62" s="6587" t="str">
        <f>IF(K52=0,"",VLOOKUP(K52,'Tablas psiquica'!$D$7:$R$145,14,FALSE))</f>
        <v/>
      </c>
      <c r="O62" s="6042"/>
      <c r="P62" s="6042"/>
      <c r="Q62" s="6588"/>
      <c r="R62" s="1082"/>
      <c r="S62" s="1614">
        <v>320</v>
      </c>
      <c r="T62" s="6586" t="s">
        <v>1739</v>
      </c>
      <c r="U62" s="6508"/>
      <c r="V62" s="6587" t="str">
        <f>IF(S52=0,"",VLOOKUP(S52,'Tablas psiquica'!$D$7:$R$145,14,FALSE))</f>
        <v/>
      </c>
      <c r="W62" s="6042"/>
      <c r="X62" s="6042"/>
      <c r="Y62" s="6588"/>
      <c r="Z62" s="398"/>
      <c r="AA62" s="392"/>
      <c r="AB62" s="392"/>
      <c r="AC62" s="1082"/>
      <c r="AD62" s="1614">
        <v>320</v>
      </c>
      <c r="AE62" s="6586" t="s">
        <v>1739</v>
      </c>
      <c r="AF62" s="6508"/>
      <c r="AG62" s="6587" t="str">
        <f>IF(AD52=0,"",VLOOKUP(AD52,'Tablas psiquica'!$D$7:$R$145,14,FALSE))</f>
        <v/>
      </c>
      <c r="AH62" s="6042"/>
      <c r="AI62" s="6042"/>
      <c r="AJ62" s="6588"/>
      <c r="AK62" s="654"/>
      <c r="AL62" s="1614">
        <v>320</v>
      </c>
      <c r="AM62" s="6586" t="s">
        <v>1739</v>
      </c>
      <c r="AN62" s="6508"/>
      <c r="AO62" s="6587" t="str">
        <f>IF(AL52=0,"",VLOOKUP(AL52,'Tablas psiquica'!$D$7:$R$145,14,FALSE))</f>
        <v/>
      </c>
      <c r="AP62" s="6042"/>
      <c r="AQ62" s="6042"/>
      <c r="AR62" s="6588"/>
      <c r="AS62" s="1082"/>
      <c r="AT62" s="1614">
        <v>320</v>
      </c>
      <c r="AU62" s="6586" t="s">
        <v>1739</v>
      </c>
      <c r="AV62" s="6508"/>
      <c r="AW62" s="6587" t="str">
        <f>IF(AT52=0,"",VLOOKUP(AT52,'Tablas psiquica'!$D$7:$R$145,14,FALSE))</f>
        <v/>
      </c>
      <c r="AX62" s="6042"/>
      <c r="AY62" s="6042"/>
      <c r="AZ62" s="6588"/>
      <c r="BA62" s="398"/>
      <c r="BB62" s="392"/>
      <c r="BC62" s="392"/>
      <c r="BD62" s="1082"/>
      <c r="BE62" s="1614">
        <v>320</v>
      </c>
      <c r="BF62" s="6586" t="s">
        <v>1739</v>
      </c>
      <c r="BG62" s="6508"/>
      <c r="BH62" s="6587" t="str">
        <f>IF(BE52=0,"",VLOOKUP(BE52,'Tablas psiquica'!$D$7:$R$145,14,FALSE))</f>
        <v/>
      </c>
      <c r="BI62" s="6042"/>
      <c r="BJ62" s="6042"/>
      <c r="BK62" s="6588"/>
      <c r="BL62" s="654"/>
      <c r="BM62" s="1614">
        <v>320</v>
      </c>
      <c r="BN62" s="6586" t="s">
        <v>1739</v>
      </c>
      <c r="BO62" s="6508"/>
      <c r="BP62" s="6587" t="str">
        <f>IF(BM52=0,"",VLOOKUP(BM52,'Tablas psiquica'!$D$7:$R$145,14,FALSE))</f>
        <v/>
      </c>
      <c r="BQ62" s="6042"/>
      <c r="BR62" s="6042"/>
      <c r="BS62" s="6588"/>
      <c r="BT62" s="1082"/>
      <c r="BU62" s="1614">
        <v>320</v>
      </c>
      <c r="BV62" s="6586" t="s">
        <v>1739</v>
      </c>
      <c r="BW62" s="6508"/>
      <c r="BX62" s="6587" t="str">
        <f>IF(BU52=0,"",VLOOKUP(BU52,'Tablas psiquica'!$D$7:$R$145,14,FALSE))</f>
        <v/>
      </c>
      <c r="BY62" s="6042"/>
      <c r="BZ62" s="6042"/>
      <c r="CA62" s="6588"/>
      <c r="CB62" s="398"/>
      <c r="CC62" s="392"/>
      <c r="CD62" s="392"/>
      <c r="CE62" s="1082"/>
      <c r="CF62" s="1614">
        <v>320</v>
      </c>
      <c r="CG62" s="6586" t="s">
        <v>1739</v>
      </c>
      <c r="CH62" s="6508"/>
      <c r="CI62" s="6587" t="str">
        <f>IF(CF52=0,"",VLOOKUP(CF52,'Tablas psiquica'!$D$7:$R$145,14,FALSE))</f>
        <v/>
      </c>
      <c r="CJ62" s="6042"/>
      <c r="CK62" s="6042"/>
      <c r="CL62" s="6588"/>
      <c r="CM62" s="654"/>
      <c r="CN62" s="1614">
        <v>320</v>
      </c>
      <c r="CO62" s="6586" t="s">
        <v>1739</v>
      </c>
      <c r="CP62" s="6508"/>
      <c r="CQ62" s="6587" t="str">
        <f>IF(CN52=0,"",VLOOKUP(CN52,'Tablas psiquica'!$D$7:$R$145,14,FALSE))</f>
        <v/>
      </c>
      <c r="CR62" s="6042"/>
      <c r="CS62" s="6042"/>
      <c r="CT62" s="6588"/>
      <c r="CU62" s="1082"/>
      <c r="CV62" s="1614">
        <v>320</v>
      </c>
      <c r="CW62" s="6586" t="s">
        <v>1739</v>
      </c>
      <c r="CX62" s="6508"/>
      <c r="CY62" s="6587" t="str">
        <f>IF(CV52=0,"",VLOOKUP(CV52,'Tablas psiquica'!$D$7:$R$145,14,FALSE))</f>
        <v/>
      </c>
      <c r="CZ62" s="6042"/>
      <c r="DA62" s="6042"/>
      <c r="DB62" s="6588"/>
      <c r="DC62" s="398"/>
      <c r="DD62" s="392"/>
    </row>
    <row r="63" spans="1:108" ht="12" customHeight="1" x14ac:dyDescent="0.2">
      <c r="A63" s="392"/>
      <c r="B63" s="1082"/>
      <c r="C63" s="424">
        <v>440</v>
      </c>
      <c r="D63" s="6589" t="s">
        <v>1682</v>
      </c>
      <c r="E63" s="6590"/>
      <c r="F63" s="6591" t="str">
        <f>IF(C52=0,"",VLOOKUP(C52,'Tablas psiquica'!$D$7:$R$145,15,FALSE))</f>
        <v/>
      </c>
      <c r="G63" s="6592"/>
      <c r="H63" s="6592"/>
      <c r="I63" s="6593"/>
      <c r="J63" s="654"/>
      <c r="K63" s="424">
        <v>440</v>
      </c>
      <c r="L63" s="6589" t="s">
        <v>1682</v>
      </c>
      <c r="M63" s="6590"/>
      <c r="N63" s="6591" t="str">
        <f>IF(K52=0,"",VLOOKUP(K52,'Tablas psiquica'!$D$7:$R$145,15,FALSE))</f>
        <v/>
      </c>
      <c r="O63" s="6592"/>
      <c r="P63" s="6592"/>
      <c r="Q63" s="6593"/>
      <c r="R63" s="1082"/>
      <c r="S63" s="424">
        <v>440</v>
      </c>
      <c r="T63" s="6589" t="s">
        <v>1682</v>
      </c>
      <c r="U63" s="6590"/>
      <c r="V63" s="6591" t="str">
        <f>IF(S52=0,"",VLOOKUP(S52,'Tablas psiquica'!$D$7:$R$145,15,FALSE))</f>
        <v/>
      </c>
      <c r="W63" s="6592"/>
      <c r="X63" s="6592"/>
      <c r="Y63" s="6593"/>
      <c r="Z63" s="398"/>
      <c r="AA63" s="392"/>
      <c r="AB63" s="392"/>
      <c r="AC63" s="1082"/>
      <c r="AD63" s="424">
        <v>440</v>
      </c>
      <c r="AE63" s="6589" t="s">
        <v>1682</v>
      </c>
      <c r="AF63" s="6590"/>
      <c r="AG63" s="6591" t="str">
        <f>IF(AD52=0,"",VLOOKUP(AD52,'Tablas psiquica'!$D$7:$R$145,15,FALSE))</f>
        <v/>
      </c>
      <c r="AH63" s="6592"/>
      <c r="AI63" s="6592"/>
      <c r="AJ63" s="6593"/>
      <c r="AK63" s="654"/>
      <c r="AL63" s="424">
        <v>440</v>
      </c>
      <c r="AM63" s="6589" t="s">
        <v>1682</v>
      </c>
      <c r="AN63" s="6590"/>
      <c r="AO63" s="6591" t="str">
        <f>IF(AL52=0,"",VLOOKUP(AL52,'Tablas psiquica'!$D$7:$R$145,15,FALSE))</f>
        <v/>
      </c>
      <c r="AP63" s="6592"/>
      <c r="AQ63" s="6592"/>
      <c r="AR63" s="6593"/>
      <c r="AS63" s="1082"/>
      <c r="AT63" s="424">
        <v>440</v>
      </c>
      <c r="AU63" s="6589" t="s">
        <v>1682</v>
      </c>
      <c r="AV63" s="6590"/>
      <c r="AW63" s="6591" t="str">
        <f>IF(AT52=0,"",VLOOKUP(AT52,'Tablas psiquica'!$D$7:$R$145,15,FALSE))</f>
        <v/>
      </c>
      <c r="AX63" s="6592"/>
      <c r="AY63" s="6592"/>
      <c r="AZ63" s="6593"/>
      <c r="BA63" s="398"/>
      <c r="BB63" s="392"/>
      <c r="BC63" s="392"/>
      <c r="BD63" s="1082"/>
      <c r="BE63" s="424">
        <v>440</v>
      </c>
      <c r="BF63" s="6589" t="s">
        <v>1682</v>
      </c>
      <c r="BG63" s="6590"/>
      <c r="BH63" s="6591" t="str">
        <f>IF(BE52=0,"",VLOOKUP(BE52,'Tablas psiquica'!$D$7:$R$145,15,FALSE))</f>
        <v/>
      </c>
      <c r="BI63" s="6592"/>
      <c r="BJ63" s="6592"/>
      <c r="BK63" s="6593"/>
      <c r="BL63" s="654"/>
      <c r="BM63" s="424">
        <v>440</v>
      </c>
      <c r="BN63" s="6589" t="s">
        <v>1682</v>
      </c>
      <c r="BO63" s="6590"/>
      <c r="BP63" s="6591" t="str">
        <f>IF(BM52=0,"",VLOOKUP(BM52,'Tablas psiquica'!$D$7:$R$145,15,FALSE))</f>
        <v/>
      </c>
      <c r="BQ63" s="6592"/>
      <c r="BR63" s="6592"/>
      <c r="BS63" s="6593"/>
      <c r="BT63" s="1082"/>
      <c r="BU63" s="424">
        <v>440</v>
      </c>
      <c r="BV63" s="6589" t="s">
        <v>1682</v>
      </c>
      <c r="BW63" s="6590"/>
      <c r="BX63" s="6591" t="str">
        <f>IF(BU52=0,"",VLOOKUP(BU52,'Tablas psiquica'!$D$7:$R$145,15,FALSE))</f>
        <v/>
      </c>
      <c r="BY63" s="6592"/>
      <c r="BZ63" s="6592"/>
      <c r="CA63" s="6593"/>
      <c r="CB63" s="398"/>
      <c r="CC63" s="392"/>
      <c r="CD63" s="392"/>
      <c r="CE63" s="1082"/>
      <c r="CF63" s="424">
        <v>440</v>
      </c>
      <c r="CG63" s="6589" t="s">
        <v>1682</v>
      </c>
      <c r="CH63" s="6590"/>
      <c r="CI63" s="6591" t="str">
        <f>IF(CF52=0,"",VLOOKUP(CF52,'Tablas psiquica'!$D$7:$R$145,15,FALSE))</f>
        <v/>
      </c>
      <c r="CJ63" s="6592"/>
      <c r="CK63" s="6592"/>
      <c r="CL63" s="6593"/>
      <c r="CM63" s="654"/>
      <c r="CN63" s="424">
        <v>440</v>
      </c>
      <c r="CO63" s="6589" t="s">
        <v>1682</v>
      </c>
      <c r="CP63" s="6590"/>
      <c r="CQ63" s="6591" t="str">
        <f>IF(CN52=0,"",VLOOKUP(CN52,'Tablas psiquica'!$D$7:$R$145,15,FALSE))</f>
        <v/>
      </c>
      <c r="CR63" s="6592"/>
      <c r="CS63" s="6592"/>
      <c r="CT63" s="6593"/>
      <c r="CU63" s="1082"/>
      <c r="CV63" s="424">
        <v>440</v>
      </c>
      <c r="CW63" s="6589" t="s">
        <v>1682</v>
      </c>
      <c r="CX63" s="6590"/>
      <c r="CY63" s="6591" t="str">
        <f>IF(CV52=0,"",VLOOKUP(CV52,'Tablas psiquica'!$D$7:$R$145,15,FALSE))</f>
        <v/>
      </c>
      <c r="CZ63" s="6592"/>
      <c r="DA63" s="6592"/>
      <c r="DB63" s="6593"/>
      <c r="DC63" s="398"/>
      <c r="DD63" s="392"/>
    </row>
    <row r="64" spans="1:108" ht="12" customHeight="1" thickBot="1" x14ac:dyDescent="0.25">
      <c r="A64" s="392"/>
      <c r="B64" s="1082"/>
      <c r="C64" s="6594" t="s">
        <v>6239</v>
      </c>
      <c r="D64" s="6595"/>
      <c r="E64" s="425" t="str">
        <f>IF(C52=0,"",VLOOKUP(C52,'Tablas psiquica'!$D$7:$R$145,4,FALSE))</f>
        <v/>
      </c>
      <c r="F64" s="6596" t="s">
        <v>6234</v>
      </c>
      <c r="G64" s="6596"/>
      <c r="H64" s="6597" t="str">
        <f>IF(C52=0,"",VLOOKUP(C52,'Tablas psiquica'!$D$7:$R$145,5,FALSE))</f>
        <v/>
      </c>
      <c r="I64" s="6598"/>
      <c r="J64" s="654"/>
      <c r="K64" s="6594" t="s">
        <v>6239</v>
      </c>
      <c r="L64" s="6595"/>
      <c r="M64" s="425" t="str">
        <f>IF(K52=0,"",VLOOKUP(K52,'Tablas psiquica'!$D$7:$R$145,4,FALSE))</f>
        <v/>
      </c>
      <c r="N64" s="6596" t="s">
        <v>6234</v>
      </c>
      <c r="O64" s="6596"/>
      <c r="P64" s="6597" t="str">
        <f>IF(K52=0,"",VLOOKUP(K52,'Tablas psiquica'!$D$7:$R$145,5,FALSE))</f>
        <v/>
      </c>
      <c r="Q64" s="6598"/>
      <c r="R64" s="1082"/>
      <c r="S64" s="6594" t="s">
        <v>6239</v>
      </c>
      <c r="T64" s="6595"/>
      <c r="U64" s="425" t="str">
        <f>IF(S52=0,"",VLOOKUP(S52,'Tablas psiquica'!$D$7:$R$145,4,FALSE))</f>
        <v/>
      </c>
      <c r="V64" s="6596" t="s">
        <v>6234</v>
      </c>
      <c r="W64" s="6596"/>
      <c r="X64" s="6597" t="str">
        <f>IF(S52=0,"",VLOOKUP(S52,'Tablas psiquica'!$D$7:$R$145,5,FALSE))</f>
        <v/>
      </c>
      <c r="Y64" s="6598"/>
      <c r="Z64" s="398"/>
      <c r="AA64" s="392"/>
      <c r="AB64" s="392"/>
      <c r="AC64" s="1082"/>
      <c r="AD64" s="6594" t="s">
        <v>6239</v>
      </c>
      <c r="AE64" s="6595"/>
      <c r="AF64" s="425" t="str">
        <f>IF(AD52=0,"",VLOOKUP(AD52,'Tablas psiquica'!$D$7:$R$145,4,FALSE))</f>
        <v/>
      </c>
      <c r="AG64" s="6596" t="s">
        <v>6234</v>
      </c>
      <c r="AH64" s="6596"/>
      <c r="AI64" s="6597" t="str">
        <f>IF(AD52=0,"",VLOOKUP(AD52,'Tablas psiquica'!$D$7:$R$145,5,FALSE))</f>
        <v/>
      </c>
      <c r="AJ64" s="6598"/>
      <c r="AK64" s="654"/>
      <c r="AL64" s="6594" t="s">
        <v>6239</v>
      </c>
      <c r="AM64" s="6595"/>
      <c r="AN64" s="425" t="str">
        <f>IF(AL52=0,"",VLOOKUP(AL52,'Tablas psiquica'!$D$7:$R$145,4,FALSE))</f>
        <v/>
      </c>
      <c r="AO64" s="6596" t="s">
        <v>6234</v>
      </c>
      <c r="AP64" s="6596"/>
      <c r="AQ64" s="6597" t="str">
        <f>IF(AL52=0,"",VLOOKUP(AL52,'Tablas psiquica'!$D$7:$R$145,5,FALSE))</f>
        <v/>
      </c>
      <c r="AR64" s="6598"/>
      <c r="AS64" s="1082"/>
      <c r="AT64" s="6594" t="s">
        <v>6239</v>
      </c>
      <c r="AU64" s="6595"/>
      <c r="AV64" s="425" t="str">
        <f>IF(AT52=0,"",VLOOKUP(AT52,'Tablas psiquica'!$D$7:$R$145,4,FALSE))</f>
        <v/>
      </c>
      <c r="AW64" s="6596" t="s">
        <v>6234</v>
      </c>
      <c r="AX64" s="6596"/>
      <c r="AY64" s="6597" t="str">
        <f>IF(AT52=0,"",VLOOKUP(AT52,'Tablas psiquica'!$D$7:$R$145,5,FALSE))</f>
        <v/>
      </c>
      <c r="AZ64" s="6598"/>
      <c r="BA64" s="398"/>
      <c r="BB64" s="392"/>
      <c r="BC64" s="392"/>
      <c r="BD64" s="1082"/>
      <c r="BE64" s="6594" t="s">
        <v>6239</v>
      </c>
      <c r="BF64" s="6595"/>
      <c r="BG64" s="425" t="str">
        <f>IF(BE52=0,"",VLOOKUP(BE52,'Tablas psiquica'!$D$7:$R$145,4,FALSE))</f>
        <v/>
      </c>
      <c r="BH64" s="6596" t="s">
        <v>6234</v>
      </c>
      <c r="BI64" s="6596"/>
      <c r="BJ64" s="6597" t="str">
        <f>IF(BE52=0,"",VLOOKUP(BE52,'Tablas psiquica'!$D$7:$R$145,5,FALSE))</f>
        <v/>
      </c>
      <c r="BK64" s="6598"/>
      <c r="BL64" s="654"/>
      <c r="BM64" s="6594" t="s">
        <v>6239</v>
      </c>
      <c r="BN64" s="6595"/>
      <c r="BO64" s="425" t="str">
        <f>IF(BM52=0,"",VLOOKUP(BM52,'Tablas psiquica'!$D$7:$R$145,4,FALSE))</f>
        <v/>
      </c>
      <c r="BP64" s="6596" t="s">
        <v>6234</v>
      </c>
      <c r="BQ64" s="6596"/>
      <c r="BR64" s="6597" t="str">
        <f>IF(BM52=0,"",VLOOKUP(BM52,'Tablas psiquica'!$D$7:$R$145,5,FALSE))</f>
        <v/>
      </c>
      <c r="BS64" s="6598"/>
      <c r="BT64" s="1082"/>
      <c r="BU64" s="6594" t="s">
        <v>6239</v>
      </c>
      <c r="BV64" s="6595"/>
      <c r="BW64" s="425" t="str">
        <f>IF(BU52=0,"",VLOOKUP(BU52,'Tablas psiquica'!$D$7:$R$145,4,FALSE))</f>
        <v/>
      </c>
      <c r="BX64" s="6596" t="s">
        <v>6234</v>
      </c>
      <c r="BY64" s="6596"/>
      <c r="BZ64" s="6597" t="str">
        <f>IF(BU52=0,"",VLOOKUP(BU52,'Tablas psiquica'!$D$7:$R$145,5,FALSE))</f>
        <v/>
      </c>
      <c r="CA64" s="6598"/>
      <c r="CB64" s="398"/>
      <c r="CC64" s="392"/>
      <c r="CD64" s="392"/>
      <c r="CE64" s="1082"/>
      <c r="CF64" s="6594" t="s">
        <v>6239</v>
      </c>
      <c r="CG64" s="6595"/>
      <c r="CH64" s="425" t="str">
        <f>IF(CF52=0,"",VLOOKUP(CF52,'Tablas psiquica'!$D$7:$R$145,4,FALSE))</f>
        <v/>
      </c>
      <c r="CI64" s="6596" t="s">
        <v>6234</v>
      </c>
      <c r="CJ64" s="6596"/>
      <c r="CK64" s="6597" t="str">
        <f>IF(CF52=0,"",VLOOKUP(CF52,'Tablas psiquica'!$D$7:$R$145,5,FALSE))</f>
        <v/>
      </c>
      <c r="CL64" s="6598"/>
      <c r="CM64" s="654"/>
      <c r="CN64" s="6594" t="s">
        <v>6239</v>
      </c>
      <c r="CO64" s="6595"/>
      <c r="CP64" s="425" t="str">
        <f>IF(CN52=0,"",VLOOKUP(CN52,'Tablas psiquica'!$D$7:$R$145,4,FALSE))</f>
        <v/>
      </c>
      <c r="CQ64" s="6596" t="s">
        <v>6234</v>
      </c>
      <c r="CR64" s="6596"/>
      <c r="CS64" s="6597" t="str">
        <f>IF(CN52=0,"",VLOOKUP(CN52,'Tablas psiquica'!$D$7:$R$145,5,FALSE))</f>
        <v/>
      </c>
      <c r="CT64" s="6598"/>
      <c r="CU64" s="1082"/>
      <c r="CV64" s="6594" t="s">
        <v>6239</v>
      </c>
      <c r="CW64" s="6595"/>
      <c r="CX64" s="425" t="str">
        <f>IF(CV52=0,"",VLOOKUP(CV52,'Tablas psiquica'!$D$7:$R$145,4,FALSE))</f>
        <v/>
      </c>
      <c r="CY64" s="6596" t="s">
        <v>6234</v>
      </c>
      <c r="CZ64" s="6596"/>
      <c r="DA64" s="6597" t="str">
        <f>IF(CV52=0,"",VLOOKUP(CV52,'Tablas psiquica'!$D$7:$R$145,5,FALSE))</f>
        <v/>
      </c>
      <c r="DB64" s="6598"/>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71">
        <f>IFERROR(INDEX('Tablas psiquica'!$U$116:$AH$130,B66,Y$7),0)</f>
        <v>0</v>
      </c>
      <c r="D66" s="6572"/>
      <c r="E66" s="6572"/>
      <c r="F66" s="6572"/>
      <c r="G66" s="6572"/>
      <c r="H66" s="6572"/>
      <c r="I66" s="423" t="s">
        <v>1402</v>
      </c>
      <c r="J66" s="654">
        <v>14</v>
      </c>
      <c r="K66" s="6571">
        <f>IFERROR(INDEX('Tablas psiquica'!$U$116:$AH$130,J66,Y$7),0)</f>
        <v>0</v>
      </c>
      <c r="L66" s="6572"/>
      <c r="M66" s="6572"/>
      <c r="N66" s="6572"/>
      <c r="O66" s="6572"/>
      <c r="P66" s="6572"/>
      <c r="Q66" s="423" t="s">
        <v>1402</v>
      </c>
      <c r="R66" s="1082">
        <v>15</v>
      </c>
      <c r="S66" s="6571">
        <f>IFERROR(INDEX('Tablas psiquica'!$U$116:$AH$130,R66,Y$7),0)</f>
        <v>0</v>
      </c>
      <c r="T66" s="6572"/>
      <c r="U66" s="6572"/>
      <c r="V66" s="6572"/>
      <c r="W66" s="6572"/>
      <c r="X66" s="6572"/>
      <c r="Y66" s="423" t="s">
        <v>1402</v>
      </c>
      <c r="Z66" s="398"/>
      <c r="AA66" s="392"/>
      <c r="AB66" s="392"/>
      <c r="AC66" s="1082">
        <v>13</v>
      </c>
      <c r="AD66" s="6571">
        <f>IFERROR(INDEX('Tablas psiquica'!$U$116:$AH$130,AC66,AZ$7),0)</f>
        <v>0</v>
      </c>
      <c r="AE66" s="6572"/>
      <c r="AF66" s="6572"/>
      <c r="AG66" s="6572"/>
      <c r="AH66" s="6572"/>
      <c r="AI66" s="6572"/>
      <c r="AJ66" s="423" t="s">
        <v>1402</v>
      </c>
      <c r="AK66" s="654">
        <v>14</v>
      </c>
      <c r="AL66" s="6571">
        <f>IFERROR(INDEX('Tablas psiquica'!$U$116:$AH$130,AK66,AZ$7),0)</f>
        <v>0</v>
      </c>
      <c r="AM66" s="6572"/>
      <c r="AN66" s="6572"/>
      <c r="AO66" s="6572"/>
      <c r="AP66" s="6572"/>
      <c r="AQ66" s="6572"/>
      <c r="AR66" s="423" t="s">
        <v>1402</v>
      </c>
      <c r="AS66" s="1082">
        <v>15</v>
      </c>
      <c r="AT66" s="6571">
        <f>IFERROR(INDEX('Tablas psiquica'!$U$116:$AH$130,AS66,AZ$7),0)</f>
        <v>0</v>
      </c>
      <c r="AU66" s="6572"/>
      <c r="AV66" s="6572"/>
      <c r="AW66" s="6572"/>
      <c r="AX66" s="6572"/>
      <c r="AY66" s="6572"/>
      <c r="AZ66" s="423" t="s">
        <v>1402</v>
      </c>
      <c r="BA66" s="398"/>
      <c r="BB66" s="392"/>
      <c r="BC66" s="392"/>
      <c r="BD66" s="1082">
        <v>13</v>
      </c>
      <c r="BE66" s="6571">
        <f>IFERROR(INDEX('Tablas psiquica'!$U$116:$AH$130,BD66,CA$7),0)</f>
        <v>0</v>
      </c>
      <c r="BF66" s="6572"/>
      <c r="BG66" s="6572"/>
      <c r="BH66" s="6572"/>
      <c r="BI66" s="6572"/>
      <c r="BJ66" s="6572"/>
      <c r="BK66" s="423" t="s">
        <v>1402</v>
      </c>
      <c r="BL66" s="654">
        <v>14</v>
      </c>
      <c r="BM66" s="6571">
        <f>IFERROR(INDEX('Tablas psiquica'!$U$116:$AH$130,BL66,CA$7),0)</f>
        <v>0</v>
      </c>
      <c r="BN66" s="6572"/>
      <c r="BO66" s="6572"/>
      <c r="BP66" s="6572"/>
      <c r="BQ66" s="6572"/>
      <c r="BR66" s="6572"/>
      <c r="BS66" s="423" t="s">
        <v>1402</v>
      </c>
      <c r="BT66" s="1082">
        <v>15</v>
      </c>
      <c r="BU66" s="6571">
        <f>IFERROR(INDEX('Tablas psiquica'!$U$116:$AH$130,BT66,CA$7),0)</f>
        <v>0</v>
      </c>
      <c r="BV66" s="6572"/>
      <c r="BW66" s="6572"/>
      <c r="BX66" s="6572"/>
      <c r="BY66" s="6572"/>
      <c r="BZ66" s="6572"/>
      <c r="CA66" s="423" t="s">
        <v>1402</v>
      </c>
      <c r="CB66" s="398"/>
      <c r="CC66" s="392"/>
      <c r="CD66" s="392"/>
      <c r="CE66" s="1082">
        <v>13</v>
      </c>
      <c r="CF66" s="6571">
        <f>IFERROR(INDEX('Tablas psiquica'!$U$116:$AH$130,CE66,DB$7),0)</f>
        <v>0</v>
      </c>
      <c r="CG66" s="6572"/>
      <c r="CH66" s="6572"/>
      <c r="CI66" s="6572"/>
      <c r="CJ66" s="6572"/>
      <c r="CK66" s="6572"/>
      <c r="CL66" s="423" t="s">
        <v>1402</v>
      </c>
      <c r="CM66" s="654">
        <v>14</v>
      </c>
      <c r="CN66" s="6571">
        <f>IFERROR(INDEX('Tablas psiquica'!$U$116:$AH$130,CM66,DB$7),0)</f>
        <v>0</v>
      </c>
      <c r="CO66" s="6572"/>
      <c r="CP66" s="6572"/>
      <c r="CQ66" s="6572"/>
      <c r="CR66" s="6572"/>
      <c r="CS66" s="6572"/>
      <c r="CT66" s="423" t="s">
        <v>1402</v>
      </c>
      <c r="CU66" s="1082">
        <v>15</v>
      </c>
      <c r="CV66" s="6571">
        <f>IFERROR(INDEX('Tablas psiquica'!$U$116:$AH$130,CU66,DB$7),0)</f>
        <v>0</v>
      </c>
      <c r="CW66" s="6572"/>
      <c r="CX66" s="6572"/>
      <c r="CY66" s="6572"/>
      <c r="CZ66" s="6572"/>
      <c r="DA66" s="6572"/>
      <c r="DB66" s="423" t="s">
        <v>1402</v>
      </c>
      <c r="DC66" s="398"/>
      <c r="DD66" s="392"/>
    </row>
    <row r="67" spans="1:108" ht="12" customHeight="1" x14ac:dyDescent="0.2">
      <c r="A67" s="392"/>
      <c r="B67" s="279"/>
      <c r="C67" s="6573" t="str">
        <f>IF(C66=0,"",VLOOKUP(C66,'Tablas psiquica'!$D$7:$R$145,2,FALSE))</f>
        <v/>
      </c>
      <c r="D67" s="6574"/>
      <c r="E67" s="6574"/>
      <c r="F67" s="6575"/>
      <c r="G67" s="6576" t="str">
        <f>IF(C66=0,"",IF(INDEX('Tablas psiquica'!$U$115:$AH$115,1,$Y$7)=0,"No Accesible",IF(ISNA(VLOOKUP(C66,Psíquicos!$AS$17:$AS$43,1,0)),"Accesible CV","Aprendido")))</f>
        <v/>
      </c>
      <c r="H67" s="6577"/>
      <c r="I67" s="1645" t="str">
        <f>IF(C66=0,"",VLOOKUP(C66,'Tablas psiquica'!$D$7:$R$145,3,FALSE))</f>
        <v/>
      </c>
      <c r="K67" s="6573" t="str">
        <f>IF(K66=0,"",VLOOKUP(K66,'Tablas psiquica'!$D$7:$R$145,2,FALSE))</f>
        <v/>
      </c>
      <c r="L67" s="6574"/>
      <c r="M67" s="6574"/>
      <c r="N67" s="6575"/>
      <c r="O67" s="6576" t="str">
        <f>IF(K66=0,"",IF(INDEX('Tablas psiquica'!$U$115:$AH$115,1,$Y$7)=0,"No Accesible",IF(ISNA(VLOOKUP(K66,Psíquicos!$AS$17:$AS$43,1,0)),"Accesible CV","Aprendido")))</f>
        <v/>
      </c>
      <c r="P67" s="6577"/>
      <c r="Q67" s="1645" t="str">
        <f>IF(K66=0,"",VLOOKUP(K66,'Tablas psiquica'!$D$7:$R$145,3,FALSE))</f>
        <v/>
      </c>
      <c r="R67" s="279"/>
      <c r="S67" s="6573" t="str">
        <f>IF(S66=0,"",VLOOKUP(S66,'Tablas psiquica'!$D$7:$R$145,2,FALSE))</f>
        <v/>
      </c>
      <c r="T67" s="6574"/>
      <c r="U67" s="6574"/>
      <c r="V67" s="6575"/>
      <c r="W67" s="6576" t="str">
        <f>IF(S66=0,"",IF(INDEX('Tablas psiquica'!$U$115:$AH$115,1,$Y$7)=0,"No Accesible",IF(ISNA(VLOOKUP(S66,Psíquicos!$AS$17:$AS$43,1,0)),"Accesible CV","Aprendido")))</f>
        <v/>
      </c>
      <c r="X67" s="6577"/>
      <c r="Y67" s="1645" t="str">
        <f>IF(S66=0,"",VLOOKUP(S66,'Tablas psiquica'!$D$7:$R$145,3,FALSE))</f>
        <v/>
      </c>
      <c r="Z67" s="398"/>
      <c r="AA67" s="392"/>
      <c r="AB67" s="392"/>
      <c r="AC67" s="279"/>
      <c r="AD67" s="6573" t="str">
        <f>IF(AD66=0,"",VLOOKUP(AD66,'Tablas psiquica'!$D$7:$R$145,2,FALSE))</f>
        <v/>
      </c>
      <c r="AE67" s="6574"/>
      <c r="AF67" s="6574"/>
      <c r="AG67" s="6575"/>
      <c r="AH67" s="6576" t="str">
        <f>IF(AD66=0,"",IF(INDEX('Tablas psiquica'!$U$115:$AH$115,1,$AZ$7)=0,"No Accesible",IF(ISNA(VLOOKUP(AD66,Psíquicos!$AS$17:$AS$43,1,0)),"Accesible CV","Aprendido")))</f>
        <v/>
      </c>
      <c r="AI67" s="6577"/>
      <c r="AJ67" s="1645" t="str">
        <f>IF(AD66=0,"",VLOOKUP(AD66,'Tablas psiquica'!$D$7:$R$145,3,FALSE))</f>
        <v/>
      </c>
      <c r="AL67" s="6573" t="str">
        <f>IF(AL66=0,"",VLOOKUP(AL66,'Tablas psiquica'!$D$7:$R$145,2,FALSE))</f>
        <v/>
      </c>
      <c r="AM67" s="6574"/>
      <c r="AN67" s="6574"/>
      <c r="AO67" s="6575"/>
      <c r="AP67" s="6576" t="str">
        <f>IF(AL66=0,"",IF(INDEX('Tablas psiquica'!$U$115:$AH$115,1,$AZ$7)=0,"No Accesible",IF(ISNA(VLOOKUP(AL66,Psíquicos!$AS$17:$AS$43,1,0)),"Accesible CV","Aprendido")))</f>
        <v/>
      </c>
      <c r="AQ67" s="6577"/>
      <c r="AR67" s="1645" t="str">
        <f>IF(AL66=0,"",VLOOKUP(AL66,'Tablas psiquica'!$D$7:$R$145,3,FALSE))</f>
        <v/>
      </c>
      <c r="AS67" s="279"/>
      <c r="AT67" s="6573" t="str">
        <f>IF(AT66=0,"",VLOOKUP(AT66,'Tablas psiquica'!$D$7:$R$145,2,FALSE))</f>
        <v/>
      </c>
      <c r="AU67" s="6574"/>
      <c r="AV67" s="6574"/>
      <c r="AW67" s="6575"/>
      <c r="AX67" s="6576" t="str">
        <f>IF(AT66=0,"",IF(INDEX('Tablas psiquica'!$U$115:$AH$115,1,$AZ$7)=0,"No Accesible",IF(ISNA(VLOOKUP(AT66,Psíquicos!$AS$17:$AS$43,1,0)),"Accesible CV","Aprendido")))</f>
        <v/>
      </c>
      <c r="AY67" s="6577"/>
      <c r="AZ67" s="1645" t="str">
        <f>IF(AT66=0,"",VLOOKUP(AT66,'Tablas psiquica'!$D$7:$R$145,3,FALSE))</f>
        <v/>
      </c>
      <c r="BA67" s="398"/>
      <c r="BB67" s="392"/>
      <c r="BC67" s="392"/>
      <c r="BD67" s="279"/>
      <c r="BE67" s="6573" t="str">
        <f>IF(BE66=0,"",VLOOKUP(BE66,'Tablas psiquica'!$D$7:$R$145,2,FALSE))</f>
        <v/>
      </c>
      <c r="BF67" s="6574"/>
      <c r="BG67" s="6574"/>
      <c r="BH67" s="6575"/>
      <c r="BI67" s="6576" t="str">
        <f>IF(BE66=0,"",IF(INDEX('Tablas psiquica'!$U$115:$AH$115,1,$CA$7)=0,"No Accesible",IF(ISNA(VLOOKUP(BE66,Psíquicos!$AS$17:$AS$43,1,0)),"Accesible CV","Aprendido")))</f>
        <v/>
      </c>
      <c r="BJ67" s="6577"/>
      <c r="BK67" s="1645" t="str">
        <f>IF(BE66=0,"",VLOOKUP(BE66,'Tablas psiquica'!$D$7:$R$145,3,FALSE))</f>
        <v/>
      </c>
      <c r="BM67" s="6573" t="str">
        <f>IF(BM66=0,"",VLOOKUP(BM66,'Tablas psiquica'!$D$7:$R$145,2,FALSE))</f>
        <v/>
      </c>
      <c r="BN67" s="6574"/>
      <c r="BO67" s="6574"/>
      <c r="BP67" s="6575"/>
      <c r="BQ67" s="6576" t="str">
        <f>IF(BM66=0,"",IF(INDEX('Tablas psiquica'!$U$115:$AH$115,1,$CA$7)=0,"No Accesible",IF(ISNA(VLOOKUP(BM66,Psíquicos!$AS$17:$AS$43,1,0)),"Accesible CV","Aprendido")))</f>
        <v/>
      </c>
      <c r="BR67" s="6577"/>
      <c r="BS67" s="1645" t="str">
        <f>IF(BM66=0,"",VLOOKUP(BM66,'Tablas psiquica'!$D$7:$R$145,3,FALSE))</f>
        <v/>
      </c>
      <c r="BT67" s="279"/>
      <c r="BU67" s="6573" t="str">
        <f>IF(BU66=0,"",VLOOKUP(BU66,'Tablas psiquica'!$D$7:$R$145,2,FALSE))</f>
        <v/>
      </c>
      <c r="BV67" s="6574"/>
      <c r="BW67" s="6574"/>
      <c r="BX67" s="6575"/>
      <c r="BY67" s="6576" t="str">
        <f>IF(BU66=0,"",IF(INDEX('Tablas psiquica'!$U$115:$AH$115,1,$CA$7)=0,"No Accesible",IF(ISNA(VLOOKUP(BU66,Psíquicos!$AS$17:$AS$43,1,0)),"Accesible CV","Aprendido")))</f>
        <v/>
      </c>
      <c r="BZ67" s="6577"/>
      <c r="CA67" s="1645" t="str">
        <f>IF(BU66=0,"",VLOOKUP(BU66,'Tablas psiquica'!$D$7:$R$145,3,FALSE))</f>
        <v/>
      </c>
      <c r="CB67" s="398"/>
      <c r="CC67" s="392"/>
      <c r="CD67" s="392"/>
      <c r="CE67" s="279"/>
      <c r="CF67" s="6573" t="str">
        <f>IF(CF66=0,"",VLOOKUP(CF66,'Tablas psiquica'!$D$7:$R$145,2,FALSE))</f>
        <v/>
      </c>
      <c r="CG67" s="6574"/>
      <c r="CH67" s="6574"/>
      <c r="CI67" s="6575"/>
      <c r="CJ67" s="6576" t="str">
        <f>IF(CF66=0,"",IF(INDEX('Tablas psiquica'!$U$115:$AH$115,1,$DB$7)=0,"No Accesible",IF(ISNA(VLOOKUP(CF66,Psíquicos!$AS$17:$AS$43,1,0)),"Accesible CV","Aprendido")))</f>
        <v/>
      </c>
      <c r="CK67" s="6577"/>
      <c r="CL67" s="1645" t="str">
        <f>IF(CF66=0,"",VLOOKUP(CF66,'Tablas psiquica'!$D$7:$R$145,3,FALSE))</f>
        <v/>
      </c>
      <c r="CN67" s="6573" t="str">
        <f>IF(CN66=0,"",VLOOKUP(CN66,'Tablas psiquica'!$D$7:$R$145,2,FALSE))</f>
        <v/>
      </c>
      <c r="CO67" s="6574"/>
      <c r="CP67" s="6574"/>
      <c r="CQ67" s="6575"/>
      <c r="CR67" s="6576" t="str">
        <f>IF(CN66=0,"",IF(INDEX('Tablas psiquica'!$U$115:$AH$115,1,$DB$7)=0,"No Accesible",IF(ISNA(VLOOKUP(CN66,Psíquicos!$AS$17:$AS$43,1,0)),"Accesible CV","Aprendido")))</f>
        <v/>
      </c>
      <c r="CS67" s="6577"/>
      <c r="CT67" s="1645" t="str">
        <f>IF(CN66=0,"",VLOOKUP(CN66,'Tablas psiquica'!$D$7:$R$145,3,FALSE))</f>
        <v/>
      </c>
      <c r="CU67" s="279"/>
      <c r="CV67" s="6573" t="str">
        <f>IF(CV66=0,"",VLOOKUP(CV66,'Tablas psiquica'!$D$7:$R$145,2,FALSE))</f>
        <v/>
      </c>
      <c r="CW67" s="6574"/>
      <c r="CX67" s="6574"/>
      <c r="CY67" s="6575"/>
      <c r="CZ67" s="6576" t="str">
        <f>IF(CV66=0,"",IF(INDEX('Tablas psiquica'!$U$115:$AH$115,1,$DB$7)=0,"No Accesible",IF(ISNA(VLOOKUP(CV66,Psíquicos!$AS$17:$AS$43,1,0)),"Accesible CV","Aprendido")))</f>
        <v/>
      </c>
      <c r="DA67" s="6577"/>
      <c r="DB67" s="1645" t="str">
        <f>IF(CV66=0,"",VLOOKUP(CV66,'Tablas psiquica'!$D$7:$R$145,3,FALSE))</f>
        <v/>
      </c>
      <c r="DC67" s="398"/>
      <c r="DD67" s="392"/>
    </row>
    <row r="68" spans="1:108" ht="12" customHeight="1" x14ac:dyDescent="0.2">
      <c r="A68" s="392"/>
      <c r="B68" s="279"/>
      <c r="C68" s="1614">
        <v>20</v>
      </c>
      <c r="D68" s="6586" t="s">
        <v>1722</v>
      </c>
      <c r="E68" s="6508"/>
      <c r="F68" s="6587" t="str">
        <f>IF(C66=0,"",VLOOKUP(C66,'Tablas psiquica'!$D$7:$R$145,6,FALSE))</f>
        <v/>
      </c>
      <c r="G68" s="6042"/>
      <c r="H68" s="6042"/>
      <c r="I68" s="6588"/>
      <c r="K68" s="1614">
        <v>20</v>
      </c>
      <c r="L68" s="6586" t="s">
        <v>1722</v>
      </c>
      <c r="M68" s="6508"/>
      <c r="N68" s="6587" t="str">
        <f>IF(K66=0,"",VLOOKUP(K66,'Tablas psiquica'!$D$7:$R$145,6,FALSE))</f>
        <v/>
      </c>
      <c r="O68" s="6042"/>
      <c r="P68" s="6042"/>
      <c r="Q68" s="6588"/>
      <c r="R68" s="279"/>
      <c r="S68" s="1614">
        <v>20</v>
      </c>
      <c r="T68" s="6586" t="s">
        <v>1722</v>
      </c>
      <c r="U68" s="6508"/>
      <c r="V68" s="6587" t="str">
        <f>IF(S66=0,"",VLOOKUP(S66,'Tablas psiquica'!$D$7:$R$145,6,FALSE))</f>
        <v/>
      </c>
      <c r="W68" s="6042"/>
      <c r="X68" s="6042"/>
      <c r="Y68" s="6588"/>
      <c r="Z68" s="398"/>
      <c r="AA68" s="392"/>
      <c r="AB68" s="392"/>
      <c r="AC68" s="279"/>
      <c r="AD68" s="1614">
        <v>20</v>
      </c>
      <c r="AE68" s="6586" t="s">
        <v>1722</v>
      </c>
      <c r="AF68" s="6508"/>
      <c r="AG68" s="6587" t="str">
        <f>IF(AD66=0,"",VLOOKUP(AD66,'Tablas psiquica'!$D$7:$R$145,6,FALSE))</f>
        <v/>
      </c>
      <c r="AH68" s="6042"/>
      <c r="AI68" s="6042"/>
      <c r="AJ68" s="6588"/>
      <c r="AL68" s="1614">
        <v>20</v>
      </c>
      <c r="AM68" s="6586" t="s">
        <v>1722</v>
      </c>
      <c r="AN68" s="6508"/>
      <c r="AO68" s="6587" t="str">
        <f>IF(AL66=0,"",VLOOKUP(AL66,'Tablas psiquica'!$D$7:$R$145,6,FALSE))</f>
        <v/>
      </c>
      <c r="AP68" s="6042"/>
      <c r="AQ68" s="6042"/>
      <c r="AR68" s="6588"/>
      <c r="AS68" s="279"/>
      <c r="AT68" s="1614">
        <v>20</v>
      </c>
      <c r="AU68" s="6586" t="s">
        <v>1722</v>
      </c>
      <c r="AV68" s="6508"/>
      <c r="AW68" s="6587" t="str">
        <f>IF(AT66=0,"",VLOOKUP(AT66,'Tablas psiquica'!$D$7:$R$145,6,FALSE))</f>
        <v/>
      </c>
      <c r="AX68" s="6042"/>
      <c r="AY68" s="6042"/>
      <c r="AZ68" s="6588"/>
      <c r="BA68" s="398"/>
      <c r="BB68" s="392"/>
      <c r="BC68" s="392"/>
      <c r="BD68" s="279"/>
      <c r="BE68" s="1614">
        <v>20</v>
      </c>
      <c r="BF68" s="6586" t="s">
        <v>1722</v>
      </c>
      <c r="BG68" s="6508"/>
      <c r="BH68" s="6587" t="str">
        <f>IF(BE66=0,"",VLOOKUP(BE66,'Tablas psiquica'!$D$7:$R$145,6,FALSE))</f>
        <v/>
      </c>
      <c r="BI68" s="6042"/>
      <c r="BJ68" s="6042"/>
      <c r="BK68" s="6588"/>
      <c r="BM68" s="1614">
        <v>20</v>
      </c>
      <c r="BN68" s="6586" t="s">
        <v>1722</v>
      </c>
      <c r="BO68" s="6508"/>
      <c r="BP68" s="6587" t="str">
        <f>IF(BM66=0,"",VLOOKUP(BM66,'Tablas psiquica'!$D$7:$R$145,6,FALSE))</f>
        <v/>
      </c>
      <c r="BQ68" s="6042"/>
      <c r="BR68" s="6042"/>
      <c r="BS68" s="6588"/>
      <c r="BT68" s="279"/>
      <c r="BU68" s="1614">
        <v>20</v>
      </c>
      <c r="BV68" s="6586" t="s">
        <v>1722</v>
      </c>
      <c r="BW68" s="6508"/>
      <c r="BX68" s="6587" t="str">
        <f>IF(BU66=0,"",VLOOKUP(BU66,'Tablas psiquica'!$D$7:$R$145,6,FALSE))</f>
        <v/>
      </c>
      <c r="BY68" s="6042"/>
      <c r="BZ68" s="6042"/>
      <c r="CA68" s="6588"/>
      <c r="CB68" s="398"/>
      <c r="CC68" s="392"/>
      <c r="CD68" s="392"/>
      <c r="CE68" s="279"/>
      <c r="CF68" s="1614">
        <v>20</v>
      </c>
      <c r="CG68" s="6586" t="s">
        <v>1722</v>
      </c>
      <c r="CH68" s="6508"/>
      <c r="CI68" s="6587" t="str">
        <f>IF(CF66=0,"",VLOOKUP(CF66,'Tablas psiquica'!$D$7:$R$145,6,FALSE))</f>
        <v/>
      </c>
      <c r="CJ68" s="6042"/>
      <c r="CK68" s="6042"/>
      <c r="CL68" s="6588"/>
      <c r="CN68" s="1614">
        <v>20</v>
      </c>
      <c r="CO68" s="6586" t="s">
        <v>1722</v>
      </c>
      <c r="CP68" s="6508"/>
      <c r="CQ68" s="6587" t="str">
        <f>IF(CN66=0,"",VLOOKUP(CN66,'Tablas psiquica'!$D$7:$R$145,6,FALSE))</f>
        <v/>
      </c>
      <c r="CR68" s="6042"/>
      <c r="CS68" s="6042"/>
      <c r="CT68" s="6588"/>
      <c r="CU68" s="279"/>
      <c r="CV68" s="1614">
        <v>20</v>
      </c>
      <c r="CW68" s="6586" t="s">
        <v>1722</v>
      </c>
      <c r="CX68" s="6508"/>
      <c r="CY68" s="6587" t="str">
        <f>IF(CV66=0,"",VLOOKUP(CV66,'Tablas psiquica'!$D$7:$R$145,6,FALSE))</f>
        <v/>
      </c>
      <c r="CZ68" s="6042"/>
      <c r="DA68" s="6042"/>
      <c r="DB68" s="6588"/>
      <c r="DC68" s="398"/>
      <c r="DD68" s="392"/>
    </row>
    <row r="69" spans="1:108" ht="12" customHeight="1" x14ac:dyDescent="0.2">
      <c r="A69" s="392"/>
      <c r="B69" s="279"/>
      <c r="C69" s="1613">
        <v>40</v>
      </c>
      <c r="D69" s="6582" t="s">
        <v>1724</v>
      </c>
      <c r="E69" s="6503"/>
      <c r="F69" s="6583" t="str">
        <f>IF(C66=0,"",VLOOKUP(C66,'Tablas psiquica'!$D$7:$R$145,7,FALSE))</f>
        <v/>
      </c>
      <c r="G69" s="6584"/>
      <c r="H69" s="6584"/>
      <c r="I69" s="6585"/>
      <c r="K69" s="1613">
        <v>40</v>
      </c>
      <c r="L69" s="6582" t="s">
        <v>1724</v>
      </c>
      <c r="M69" s="6503"/>
      <c r="N69" s="6583" t="str">
        <f>IF(K66=0,"",VLOOKUP(K66,'Tablas psiquica'!$D$7:$R$145,7,FALSE))</f>
        <v/>
      </c>
      <c r="O69" s="6584"/>
      <c r="P69" s="6584"/>
      <c r="Q69" s="6585"/>
      <c r="R69" s="279"/>
      <c r="S69" s="1613">
        <v>40</v>
      </c>
      <c r="T69" s="6582" t="s">
        <v>1724</v>
      </c>
      <c r="U69" s="6503"/>
      <c r="V69" s="6583" t="str">
        <f>IF(S66=0,"",VLOOKUP(S66,'Tablas psiquica'!$D$7:$R$145,7,FALSE))</f>
        <v/>
      </c>
      <c r="W69" s="6584"/>
      <c r="X69" s="6584"/>
      <c r="Y69" s="6585"/>
      <c r="Z69" s="398"/>
      <c r="AA69" s="392"/>
      <c r="AB69" s="392"/>
      <c r="AC69" s="279"/>
      <c r="AD69" s="1613">
        <v>40</v>
      </c>
      <c r="AE69" s="6582" t="s">
        <v>1724</v>
      </c>
      <c r="AF69" s="6503"/>
      <c r="AG69" s="6583" t="str">
        <f>IF(AD66=0,"",VLOOKUP(AD66,'Tablas psiquica'!$D$7:$R$145,7,FALSE))</f>
        <v/>
      </c>
      <c r="AH69" s="6584"/>
      <c r="AI69" s="6584"/>
      <c r="AJ69" s="6585"/>
      <c r="AL69" s="1613">
        <v>40</v>
      </c>
      <c r="AM69" s="6582" t="s">
        <v>1724</v>
      </c>
      <c r="AN69" s="6503"/>
      <c r="AO69" s="6583" t="str">
        <f>IF(AL66=0,"",VLOOKUP(AL66,'Tablas psiquica'!$D$7:$R$145,7,FALSE))</f>
        <v/>
      </c>
      <c r="AP69" s="6584"/>
      <c r="AQ69" s="6584"/>
      <c r="AR69" s="6585"/>
      <c r="AS69" s="279"/>
      <c r="AT69" s="1613">
        <v>40</v>
      </c>
      <c r="AU69" s="6582" t="s">
        <v>1724</v>
      </c>
      <c r="AV69" s="6503"/>
      <c r="AW69" s="6583" t="str">
        <f>IF(AT66=0,"",VLOOKUP(AT66,'Tablas psiquica'!$D$7:$R$145,7,FALSE))</f>
        <v/>
      </c>
      <c r="AX69" s="6584"/>
      <c r="AY69" s="6584"/>
      <c r="AZ69" s="6585"/>
      <c r="BA69" s="398"/>
      <c r="BB69" s="392"/>
      <c r="BC69" s="392"/>
      <c r="BD69" s="279"/>
      <c r="BE69" s="1613">
        <v>40</v>
      </c>
      <c r="BF69" s="6582" t="s">
        <v>1724</v>
      </c>
      <c r="BG69" s="6503"/>
      <c r="BH69" s="6583" t="str">
        <f>IF(BE66=0,"",VLOOKUP(BE66,'Tablas psiquica'!$D$7:$R$145,7,FALSE))</f>
        <v/>
      </c>
      <c r="BI69" s="6584"/>
      <c r="BJ69" s="6584"/>
      <c r="BK69" s="6585"/>
      <c r="BM69" s="1613">
        <v>40</v>
      </c>
      <c r="BN69" s="6582" t="s">
        <v>1724</v>
      </c>
      <c r="BO69" s="6503"/>
      <c r="BP69" s="6583" t="str">
        <f>IF(BM66=0,"",VLOOKUP(BM66,'Tablas psiquica'!$D$7:$R$145,7,FALSE))</f>
        <v/>
      </c>
      <c r="BQ69" s="6584"/>
      <c r="BR69" s="6584"/>
      <c r="BS69" s="6585"/>
      <c r="BT69" s="279"/>
      <c r="BU69" s="1613">
        <v>40</v>
      </c>
      <c r="BV69" s="6582" t="s">
        <v>1724</v>
      </c>
      <c r="BW69" s="6503"/>
      <c r="BX69" s="6583" t="str">
        <f>IF(BU66=0,"",VLOOKUP(BU66,'Tablas psiquica'!$D$7:$R$145,7,FALSE))</f>
        <v/>
      </c>
      <c r="BY69" s="6584"/>
      <c r="BZ69" s="6584"/>
      <c r="CA69" s="6585"/>
      <c r="CB69" s="398"/>
      <c r="CC69" s="392"/>
      <c r="CD69" s="392"/>
      <c r="CE69" s="279"/>
      <c r="CF69" s="1613">
        <v>40</v>
      </c>
      <c r="CG69" s="6582" t="s">
        <v>1724</v>
      </c>
      <c r="CH69" s="6503"/>
      <c r="CI69" s="6583" t="str">
        <f>IF(CF66=0,"",VLOOKUP(CF66,'Tablas psiquica'!$D$7:$R$145,7,FALSE))</f>
        <v/>
      </c>
      <c r="CJ69" s="6584"/>
      <c r="CK69" s="6584"/>
      <c r="CL69" s="6585"/>
      <c r="CN69" s="1613">
        <v>40</v>
      </c>
      <c r="CO69" s="6582" t="s">
        <v>1724</v>
      </c>
      <c r="CP69" s="6503"/>
      <c r="CQ69" s="6583" t="str">
        <f>IF(CN66=0,"",VLOOKUP(CN66,'Tablas psiquica'!$D$7:$R$145,7,FALSE))</f>
        <v/>
      </c>
      <c r="CR69" s="6584"/>
      <c r="CS69" s="6584"/>
      <c r="CT69" s="6585"/>
      <c r="CU69" s="279"/>
      <c r="CV69" s="1613">
        <v>40</v>
      </c>
      <c r="CW69" s="6582" t="s">
        <v>1724</v>
      </c>
      <c r="CX69" s="6503"/>
      <c r="CY69" s="6583" t="str">
        <f>IF(CV66=0,"",VLOOKUP(CV66,'Tablas psiquica'!$D$7:$R$145,7,FALSE))</f>
        <v/>
      </c>
      <c r="CZ69" s="6584"/>
      <c r="DA69" s="6584"/>
      <c r="DB69" s="6585"/>
      <c r="DC69" s="398"/>
      <c r="DD69" s="392"/>
    </row>
    <row r="70" spans="1:108" ht="12" customHeight="1" x14ac:dyDescent="0.2">
      <c r="A70" s="392"/>
      <c r="B70" s="279"/>
      <c r="C70" s="1614">
        <v>80</v>
      </c>
      <c r="D70" s="6586" t="s">
        <v>1727</v>
      </c>
      <c r="E70" s="6508"/>
      <c r="F70" s="6587" t="str">
        <f>IF(C66=0,"",VLOOKUP(C66,'Tablas psiquica'!$D$7:$R$145,8,FALSE))</f>
        <v/>
      </c>
      <c r="G70" s="6042"/>
      <c r="H70" s="6042"/>
      <c r="I70" s="6588"/>
      <c r="K70" s="1614">
        <v>80</v>
      </c>
      <c r="L70" s="6586" t="s">
        <v>1727</v>
      </c>
      <c r="M70" s="6508"/>
      <c r="N70" s="6587" t="str">
        <f>IF(K66=0,"",VLOOKUP(K66,'Tablas psiquica'!$D$7:$R$145,8,FALSE))</f>
        <v/>
      </c>
      <c r="O70" s="6042"/>
      <c r="P70" s="6042"/>
      <c r="Q70" s="6588"/>
      <c r="R70" s="279"/>
      <c r="S70" s="1614">
        <v>80</v>
      </c>
      <c r="T70" s="6586" t="s">
        <v>1727</v>
      </c>
      <c r="U70" s="6508"/>
      <c r="V70" s="6587" t="str">
        <f>IF(S66=0,"",VLOOKUP(S66,'Tablas psiquica'!$D$7:$R$145,8,FALSE))</f>
        <v/>
      </c>
      <c r="W70" s="6042"/>
      <c r="X70" s="6042"/>
      <c r="Y70" s="6588"/>
      <c r="Z70" s="398"/>
      <c r="AA70" s="392"/>
      <c r="AB70" s="392"/>
      <c r="AC70" s="279"/>
      <c r="AD70" s="1614">
        <v>80</v>
      </c>
      <c r="AE70" s="6586" t="s">
        <v>1727</v>
      </c>
      <c r="AF70" s="6508"/>
      <c r="AG70" s="6587" t="str">
        <f>IF(AD66=0,"",VLOOKUP(AD66,'Tablas psiquica'!$D$7:$R$145,8,FALSE))</f>
        <v/>
      </c>
      <c r="AH70" s="6042"/>
      <c r="AI70" s="6042"/>
      <c r="AJ70" s="6588"/>
      <c r="AL70" s="1614">
        <v>80</v>
      </c>
      <c r="AM70" s="6586" t="s">
        <v>1727</v>
      </c>
      <c r="AN70" s="6508"/>
      <c r="AO70" s="6587" t="str">
        <f>IF(AL66=0,"",VLOOKUP(AL66,'Tablas psiquica'!$D$7:$R$145,8,FALSE))</f>
        <v/>
      </c>
      <c r="AP70" s="6042"/>
      <c r="AQ70" s="6042"/>
      <c r="AR70" s="6588"/>
      <c r="AS70" s="279"/>
      <c r="AT70" s="1614">
        <v>80</v>
      </c>
      <c r="AU70" s="6586" t="s">
        <v>1727</v>
      </c>
      <c r="AV70" s="6508"/>
      <c r="AW70" s="6587" t="str">
        <f>IF(AT66=0,"",VLOOKUP(AT66,'Tablas psiquica'!$D$7:$R$145,8,FALSE))</f>
        <v/>
      </c>
      <c r="AX70" s="6042"/>
      <c r="AY70" s="6042"/>
      <c r="AZ70" s="6588"/>
      <c r="BA70" s="398"/>
      <c r="BB70" s="392"/>
      <c r="BC70" s="392"/>
      <c r="BD70" s="279"/>
      <c r="BE70" s="1614">
        <v>80</v>
      </c>
      <c r="BF70" s="6586" t="s">
        <v>1727</v>
      </c>
      <c r="BG70" s="6508"/>
      <c r="BH70" s="6587" t="str">
        <f>IF(BE66=0,"",VLOOKUP(BE66,'Tablas psiquica'!$D$7:$R$145,8,FALSE))</f>
        <v/>
      </c>
      <c r="BI70" s="6042"/>
      <c r="BJ70" s="6042"/>
      <c r="BK70" s="6588"/>
      <c r="BM70" s="1614">
        <v>80</v>
      </c>
      <c r="BN70" s="6586" t="s">
        <v>1727</v>
      </c>
      <c r="BO70" s="6508"/>
      <c r="BP70" s="6587" t="str">
        <f>IF(BM66=0,"",VLOOKUP(BM66,'Tablas psiquica'!$D$7:$R$145,8,FALSE))</f>
        <v/>
      </c>
      <c r="BQ70" s="6042"/>
      <c r="BR70" s="6042"/>
      <c r="BS70" s="6588"/>
      <c r="BT70" s="279"/>
      <c r="BU70" s="1614">
        <v>80</v>
      </c>
      <c r="BV70" s="6586" t="s">
        <v>1727</v>
      </c>
      <c r="BW70" s="6508"/>
      <c r="BX70" s="6587" t="str">
        <f>IF(BU66=0,"",VLOOKUP(BU66,'Tablas psiquica'!$D$7:$R$145,8,FALSE))</f>
        <v/>
      </c>
      <c r="BY70" s="6042"/>
      <c r="BZ70" s="6042"/>
      <c r="CA70" s="6588"/>
      <c r="CB70" s="398"/>
      <c r="CC70" s="392"/>
      <c r="CD70" s="392"/>
      <c r="CE70" s="279"/>
      <c r="CF70" s="1614">
        <v>80</v>
      </c>
      <c r="CG70" s="6586" t="s">
        <v>1727</v>
      </c>
      <c r="CH70" s="6508"/>
      <c r="CI70" s="6587" t="str">
        <f>IF(CF66=0,"",VLOOKUP(CF66,'Tablas psiquica'!$D$7:$R$145,8,FALSE))</f>
        <v/>
      </c>
      <c r="CJ70" s="6042"/>
      <c r="CK70" s="6042"/>
      <c r="CL70" s="6588"/>
      <c r="CN70" s="1614">
        <v>80</v>
      </c>
      <c r="CO70" s="6586" t="s">
        <v>1727</v>
      </c>
      <c r="CP70" s="6508"/>
      <c r="CQ70" s="6587" t="str">
        <f>IF(CN66=0,"",VLOOKUP(CN66,'Tablas psiquica'!$D$7:$R$145,8,FALSE))</f>
        <v/>
      </c>
      <c r="CR70" s="6042"/>
      <c r="CS70" s="6042"/>
      <c r="CT70" s="6588"/>
      <c r="CU70" s="279"/>
      <c r="CV70" s="1614">
        <v>80</v>
      </c>
      <c r="CW70" s="6586" t="s">
        <v>1727</v>
      </c>
      <c r="CX70" s="6508"/>
      <c r="CY70" s="6587" t="str">
        <f>IF(CV66=0,"",VLOOKUP(CV66,'Tablas psiquica'!$D$7:$R$145,8,FALSE))</f>
        <v/>
      </c>
      <c r="CZ70" s="6042"/>
      <c r="DA70" s="6042"/>
      <c r="DB70" s="6588"/>
      <c r="DC70" s="398"/>
      <c r="DD70" s="392"/>
    </row>
    <row r="71" spans="1:108" ht="12" customHeight="1" x14ac:dyDescent="0.2">
      <c r="A71" s="392"/>
      <c r="B71" s="279"/>
      <c r="C71" s="1613">
        <v>120</v>
      </c>
      <c r="D71" s="6582" t="s">
        <v>1730</v>
      </c>
      <c r="E71" s="6503"/>
      <c r="F71" s="6583" t="str">
        <f>IF(C66=0,"",VLOOKUP(C66,'Tablas psiquica'!$D$7:$R$145,9,FALSE))</f>
        <v/>
      </c>
      <c r="G71" s="6584"/>
      <c r="H71" s="6584"/>
      <c r="I71" s="6585"/>
      <c r="K71" s="1613">
        <v>120</v>
      </c>
      <c r="L71" s="6582" t="s">
        <v>1730</v>
      </c>
      <c r="M71" s="6503"/>
      <c r="N71" s="6583" t="str">
        <f>IF(K66=0,"",VLOOKUP(K66,'Tablas psiquica'!$D$7:$R$145,9,FALSE))</f>
        <v/>
      </c>
      <c r="O71" s="6584"/>
      <c r="P71" s="6584"/>
      <c r="Q71" s="6585"/>
      <c r="R71" s="279"/>
      <c r="S71" s="1613">
        <v>120</v>
      </c>
      <c r="T71" s="6582" t="s">
        <v>1730</v>
      </c>
      <c r="U71" s="6503"/>
      <c r="V71" s="6583" t="str">
        <f>IF(S66=0,"",VLOOKUP(S66,'Tablas psiquica'!$D$7:$R$145,9,FALSE))</f>
        <v/>
      </c>
      <c r="W71" s="6584"/>
      <c r="X71" s="6584"/>
      <c r="Y71" s="6585"/>
      <c r="Z71" s="398"/>
      <c r="AA71" s="392"/>
      <c r="AB71" s="392"/>
      <c r="AC71" s="279"/>
      <c r="AD71" s="1613">
        <v>120</v>
      </c>
      <c r="AE71" s="6582" t="s">
        <v>1730</v>
      </c>
      <c r="AF71" s="6503"/>
      <c r="AG71" s="6583" t="str">
        <f>IF(AD66=0,"",VLOOKUP(AD66,'Tablas psiquica'!$D$7:$R$145,9,FALSE))</f>
        <v/>
      </c>
      <c r="AH71" s="6584"/>
      <c r="AI71" s="6584"/>
      <c r="AJ71" s="6585"/>
      <c r="AL71" s="1613">
        <v>120</v>
      </c>
      <c r="AM71" s="6582" t="s">
        <v>1730</v>
      </c>
      <c r="AN71" s="6503"/>
      <c r="AO71" s="6583" t="str">
        <f>IF(AL66=0,"",VLOOKUP(AL66,'Tablas psiquica'!$D$7:$R$145,9,FALSE))</f>
        <v/>
      </c>
      <c r="AP71" s="6584"/>
      <c r="AQ71" s="6584"/>
      <c r="AR71" s="6585"/>
      <c r="AS71" s="279"/>
      <c r="AT71" s="1613">
        <v>120</v>
      </c>
      <c r="AU71" s="6582" t="s">
        <v>1730</v>
      </c>
      <c r="AV71" s="6503"/>
      <c r="AW71" s="6583" t="str">
        <f>IF(AT66=0,"",VLOOKUP(AT66,'Tablas psiquica'!$D$7:$R$145,9,FALSE))</f>
        <v/>
      </c>
      <c r="AX71" s="6584"/>
      <c r="AY71" s="6584"/>
      <c r="AZ71" s="6585"/>
      <c r="BA71" s="398"/>
      <c r="BB71" s="392"/>
      <c r="BC71" s="392"/>
      <c r="BD71" s="279"/>
      <c r="BE71" s="1613">
        <v>120</v>
      </c>
      <c r="BF71" s="6582" t="s">
        <v>1730</v>
      </c>
      <c r="BG71" s="6503"/>
      <c r="BH71" s="6583" t="str">
        <f>IF(BE66=0,"",VLOOKUP(BE66,'Tablas psiquica'!$D$7:$R$145,9,FALSE))</f>
        <v/>
      </c>
      <c r="BI71" s="6584"/>
      <c r="BJ71" s="6584"/>
      <c r="BK71" s="6585"/>
      <c r="BM71" s="1613">
        <v>120</v>
      </c>
      <c r="BN71" s="6582" t="s">
        <v>1730</v>
      </c>
      <c r="BO71" s="6503"/>
      <c r="BP71" s="6583" t="str">
        <f>IF(BM66=0,"",VLOOKUP(BM66,'Tablas psiquica'!$D$7:$R$145,9,FALSE))</f>
        <v/>
      </c>
      <c r="BQ71" s="6584"/>
      <c r="BR71" s="6584"/>
      <c r="BS71" s="6585"/>
      <c r="BT71" s="279"/>
      <c r="BU71" s="1613">
        <v>120</v>
      </c>
      <c r="BV71" s="6582" t="s">
        <v>1730</v>
      </c>
      <c r="BW71" s="6503"/>
      <c r="BX71" s="6583" t="str">
        <f>IF(BU66=0,"",VLOOKUP(BU66,'Tablas psiquica'!$D$7:$R$145,9,FALSE))</f>
        <v/>
      </c>
      <c r="BY71" s="6584"/>
      <c r="BZ71" s="6584"/>
      <c r="CA71" s="6585"/>
      <c r="CB71" s="398"/>
      <c r="CC71" s="392"/>
      <c r="CD71" s="392"/>
      <c r="CE71" s="279"/>
      <c r="CF71" s="1613">
        <v>120</v>
      </c>
      <c r="CG71" s="6582" t="s">
        <v>1730</v>
      </c>
      <c r="CH71" s="6503"/>
      <c r="CI71" s="6583" t="str">
        <f>IF(CF66=0,"",VLOOKUP(CF66,'Tablas psiquica'!$D$7:$R$145,9,FALSE))</f>
        <v/>
      </c>
      <c r="CJ71" s="6584"/>
      <c r="CK71" s="6584"/>
      <c r="CL71" s="6585"/>
      <c r="CN71" s="1613">
        <v>120</v>
      </c>
      <c r="CO71" s="6582" t="s">
        <v>1730</v>
      </c>
      <c r="CP71" s="6503"/>
      <c r="CQ71" s="6583" t="str">
        <f>IF(CN66=0,"",VLOOKUP(CN66,'Tablas psiquica'!$D$7:$R$145,9,FALSE))</f>
        <v/>
      </c>
      <c r="CR71" s="6584"/>
      <c r="CS71" s="6584"/>
      <c r="CT71" s="6585"/>
      <c r="CU71" s="279"/>
      <c r="CV71" s="1613">
        <v>120</v>
      </c>
      <c r="CW71" s="6582" t="s">
        <v>1730</v>
      </c>
      <c r="CX71" s="6503"/>
      <c r="CY71" s="6583" t="str">
        <f>IF(CV66=0,"",VLOOKUP(CV66,'Tablas psiquica'!$D$7:$R$145,9,FALSE))</f>
        <v/>
      </c>
      <c r="CZ71" s="6584"/>
      <c r="DA71" s="6584"/>
      <c r="DB71" s="6585"/>
      <c r="DC71" s="398"/>
      <c r="DD71" s="392"/>
    </row>
    <row r="72" spans="1:108" ht="12" customHeight="1" x14ac:dyDescent="0.2">
      <c r="A72" s="392"/>
      <c r="B72" s="279"/>
      <c r="C72" s="1614">
        <v>140</v>
      </c>
      <c r="D72" s="6586" t="s">
        <v>6237</v>
      </c>
      <c r="E72" s="6508"/>
      <c r="F72" s="6587" t="str">
        <f>IF(C66=0,"",VLOOKUP(C66,'Tablas psiquica'!$D$7:$R$145,10,FALSE))</f>
        <v/>
      </c>
      <c r="G72" s="6042"/>
      <c r="H72" s="6042"/>
      <c r="I72" s="6588"/>
      <c r="K72" s="1614">
        <v>140</v>
      </c>
      <c r="L72" s="6586" t="s">
        <v>6237</v>
      </c>
      <c r="M72" s="6508"/>
      <c r="N72" s="6587" t="str">
        <f>IF(K66=0,"",VLOOKUP(K66,'Tablas psiquica'!$D$7:$R$145,10,FALSE))</f>
        <v/>
      </c>
      <c r="O72" s="6042"/>
      <c r="P72" s="6042"/>
      <c r="Q72" s="6588"/>
      <c r="R72" s="279"/>
      <c r="S72" s="1614">
        <v>140</v>
      </c>
      <c r="T72" s="6586" t="s">
        <v>6237</v>
      </c>
      <c r="U72" s="6508"/>
      <c r="V72" s="6587" t="str">
        <f>IF(S66=0,"",VLOOKUP(S66,'Tablas psiquica'!$D$7:$R$145,10,FALSE))</f>
        <v/>
      </c>
      <c r="W72" s="6042"/>
      <c r="X72" s="6042"/>
      <c r="Y72" s="6588"/>
      <c r="Z72" s="398"/>
      <c r="AA72" s="392"/>
      <c r="AB72" s="392"/>
      <c r="AC72" s="279"/>
      <c r="AD72" s="1614">
        <v>140</v>
      </c>
      <c r="AE72" s="6586" t="s">
        <v>6237</v>
      </c>
      <c r="AF72" s="6508"/>
      <c r="AG72" s="6587" t="str">
        <f>IF(AD66=0,"",VLOOKUP(AD66,'Tablas psiquica'!$D$7:$R$145,10,FALSE))</f>
        <v/>
      </c>
      <c r="AH72" s="6042"/>
      <c r="AI72" s="6042"/>
      <c r="AJ72" s="6588"/>
      <c r="AL72" s="1614">
        <v>140</v>
      </c>
      <c r="AM72" s="6586" t="s">
        <v>6237</v>
      </c>
      <c r="AN72" s="6508"/>
      <c r="AO72" s="6587" t="str">
        <f>IF(AL66=0,"",VLOOKUP(AL66,'Tablas psiquica'!$D$7:$R$145,10,FALSE))</f>
        <v/>
      </c>
      <c r="AP72" s="6042"/>
      <c r="AQ72" s="6042"/>
      <c r="AR72" s="6588"/>
      <c r="AS72" s="279"/>
      <c r="AT72" s="1614">
        <v>140</v>
      </c>
      <c r="AU72" s="6586" t="s">
        <v>6237</v>
      </c>
      <c r="AV72" s="6508"/>
      <c r="AW72" s="6587" t="str">
        <f>IF(AT66=0,"",VLOOKUP(AT66,'Tablas psiquica'!$D$7:$R$145,10,FALSE))</f>
        <v/>
      </c>
      <c r="AX72" s="6042"/>
      <c r="AY72" s="6042"/>
      <c r="AZ72" s="6588"/>
      <c r="BA72" s="398"/>
      <c r="BB72" s="392"/>
      <c r="BC72" s="392"/>
      <c r="BD72" s="279"/>
      <c r="BE72" s="1614">
        <v>140</v>
      </c>
      <c r="BF72" s="6586" t="s">
        <v>6237</v>
      </c>
      <c r="BG72" s="6508"/>
      <c r="BH72" s="6587" t="str">
        <f>IF(BE66=0,"",VLOOKUP(BE66,'Tablas psiquica'!$D$7:$R$145,10,FALSE))</f>
        <v/>
      </c>
      <c r="BI72" s="6042"/>
      <c r="BJ72" s="6042"/>
      <c r="BK72" s="6588"/>
      <c r="BM72" s="1614">
        <v>140</v>
      </c>
      <c r="BN72" s="6586" t="s">
        <v>6237</v>
      </c>
      <c r="BO72" s="6508"/>
      <c r="BP72" s="6587" t="str">
        <f>IF(BM66=0,"",VLOOKUP(BM66,'Tablas psiquica'!$D$7:$R$145,10,FALSE))</f>
        <v/>
      </c>
      <c r="BQ72" s="6042"/>
      <c r="BR72" s="6042"/>
      <c r="BS72" s="6588"/>
      <c r="BT72" s="279"/>
      <c r="BU72" s="1614">
        <v>140</v>
      </c>
      <c r="BV72" s="6586" t="s">
        <v>6237</v>
      </c>
      <c r="BW72" s="6508"/>
      <c r="BX72" s="6587" t="str">
        <f>IF(BU66=0,"",VLOOKUP(BU66,'Tablas psiquica'!$D$7:$R$145,10,FALSE))</f>
        <v/>
      </c>
      <c r="BY72" s="6042"/>
      <c r="BZ72" s="6042"/>
      <c r="CA72" s="6588"/>
      <c r="CB72" s="398"/>
      <c r="CC72" s="392"/>
      <c r="CD72" s="392"/>
      <c r="CE72" s="279"/>
      <c r="CF72" s="1614">
        <v>140</v>
      </c>
      <c r="CG72" s="6586" t="s">
        <v>6237</v>
      </c>
      <c r="CH72" s="6508"/>
      <c r="CI72" s="6587" t="str">
        <f>IF(CF66=0,"",VLOOKUP(CF66,'Tablas psiquica'!$D$7:$R$145,10,FALSE))</f>
        <v/>
      </c>
      <c r="CJ72" s="6042"/>
      <c r="CK72" s="6042"/>
      <c r="CL72" s="6588"/>
      <c r="CN72" s="1614">
        <v>140</v>
      </c>
      <c r="CO72" s="6586" t="s">
        <v>6237</v>
      </c>
      <c r="CP72" s="6508"/>
      <c r="CQ72" s="6587" t="str">
        <f>IF(CN66=0,"",VLOOKUP(CN66,'Tablas psiquica'!$D$7:$R$145,10,FALSE))</f>
        <v/>
      </c>
      <c r="CR72" s="6042"/>
      <c r="CS72" s="6042"/>
      <c r="CT72" s="6588"/>
      <c r="CU72" s="279"/>
      <c r="CV72" s="1614">
        <v>140</v>
      </c>
      <c r="CW72" s="6586" t="s">
        <v>6237</v>
      </c>
      <c r="CX72" s="6508"/>
      <c r="CY72" s="6587" t="str">
        <f>IF(CV66=0,"",VLOOKUP(CV66,'Tablas psiquica'!$D$7:$R$145,10,FALSE))</f>
        <v/>
      </c>
      <c r="CZ72" s="6042"/>
      <c r="DA72" s="6042"/>
      <c r="DB72" s="6588"/>
      <c r="DC72" s="398"/>
      <c r="DD72" s="392"/>
    </row>
    <row r="73" spans="1:108" ht="12" customHeight="1" x14ac:dyDescent="0.2">
      <c r="A73" s="392"/>
      <c r="B73" s="279"/>
      <c r="C73" s="1613">
        <v>180</v>
      </c>
      <c r="D73" s="6582" t="s">
        <v>1734</v>
      </c>
      <c r="E73" s="6503"/>
      <c r="F73" s="6583" t="str">
        <f>IF(C66=0,"",VLOOKUP(C66,'Tablas psiquica'!$D$7:$R$145,11,FALSE))</f>
        <v/>
      </c>
      <c r="G73" s="6584"/>
      <c r="H73" s="6584"/>
      <c r="I73" s="6585"/>
      <c r="K73" s="1613">
        <v>180</v>
      </c>
      <c r="L73" s="6582" t="s">
        <v>1734</v>
      </c>
      <c r="M73" s="6503"/>
      <c r="N73" s="6583" t="str">
        <f>IF(K66=0,"",VLOOKUP(K66,'Tablas psiquica'!$D$7:$R$145,11,FALSE))</f>
        <v/>
      </c>
      <c r="O73" s="6584"/>
      <c r="P73" s="6584"/>
      <c r="Q73" s="6585"/>
      <c r="R73" s="279"/>
      <c r="S73" s="1613">
        <v>180</v>
      </c>
      <c r="T73" s="6582" t="s">
        <v>1734</v>
      </c>
      <c r="U73" s="6503"/>
      <c r="V73" s="6583" t="str">
        <f>IF(S66=0,"",VLOOKUP(S66,'Tablas psiquica'!$D$7:$R$145,11,FALSE))</f>
        <v/>
      </c>
      <c r="W73" s="6584"/>
      <c r="X73" s="6584"/>
      <c r="Y73" s="6585"/>
      <c r="Z73" s="398"/>
      <c r="AA73" s="392"/>
      <c r="AB73" s="392"/>
      <c r="AC73" s="279"/>
      <c r="AD73" s="1613">
        <v>180</v>
      </c>
      <c r="AE73" s="6582" t="s">
        <v>1734</v>
      </c>
      <c r="AF73" s="6503"/>
      <c r="AG73" s="6583" t="str">
        <f>IF(AD66=0,"",VLOOKUP(AD66,'Tablas psiquica'!$D$7:$R$145,11,FALSE))</f>
        <v/>
      </c>
      <c r="AH73" s="6584"/>
      <c r="AI73" s="6584"/>
      <c r="AJ73" s="6585"/>
      <c r="AL73" s="1613">
        <v>180</v>
      </c>
      <c r="AM73" s="6582" t="s">
        <v>1734</v>
      </c>
      <c r="AN73" s="6503"/>
      <c r="AO73" s="6583" t="str">
        <f>IF(AL66=0,"",VLOOKUP(AL66,'Tablas psiquica'!$D$7:$R$145,11,FALSE))</f>
        <v/>
      </c>
      <c r="AP73" s="6584"/>
      <c r="AQ73" s="6584"/>
      <c r="AR73" s="6585"/>
      <c r="AS73" s="279"/>
      <c r="AT73" s="1613">
        <v>180</v>
      </c>
      <c r="AU73" s="6582" t="s">
        <v>1734</v>
      </c>
      <c r="AV73" s="6503"/>
      <c r="AW73" s="6583" t="str">
        <f>IF(AT66=0,"",VLOOKUP(AT66,'Tablas psiquica'!$D$7:$R$145,11,FALSE))</f>
        <v/>
      </c>
      <c r="AX73" s="6584"/>
      <c r="AY73" s="6584"/>
      <c r="AZ73" s="6585"/>
      <c r="BA73" s="398"/>
      <c r="BB73" s="392"/>
      <c r="BC73" s="392"/>
      <c r="BD73" s="279"/>
      <c r="BE73" s="1613">
        <v>180</v>
      </c>
      <c r="BF73" s="6582" t="s">
        <v>1734</v>
      </c>
      <c r="BG73" s="6503"/>
      <c r="BH73" s="6583" t="str">
        <f>IF(BE66=0,"",VLOOKUP(BE66,'Tablas psiquica'!$D$7:$R$145,11,FALSE))</f>
        <v/>
      </c>
      <c r="BI73" s="6584"/>
      <c r="BJ73" s="6584"/>
      <c r="BK73" s="6585"/>
      <c r="BM73" s="1613">
        <v>180</v>
      </c>
      <c r="BN73" s="6582" t="s">
        <v>1734</v>
      </c>
      <c r="BO73" s="6503"/>
      <c r="BP73" s="6583" t="str">
        <f>IF(BM66=0,"",VLOOKUP(BM66,'Tablas psiquica'!$D$7:$R$145,11,FALSE))</f>
        <v/>
      </c>
      <c r="BQ73" s="6584"/>
      <c r="BR73" s="6584"/>
      <c r="BS73" s="6585"/>
      <c r="BT73" s="279"/>
      <c r="BU73" s="1613">
        <v>180</v>
      </c>
      <c r="BV73" s="6582" t="s">
        <v>1734</v>
      </c>
      <c r="BW73" s="6503"/>
      <c r="BX73" s="6583" t="str">
        <f>IF(BU66=0,"",VLOOKUP(BU66,'Tablas psiquica'!$D$7:$R$145,11,FALSE))</f>
        <v/>
      </c>
      <c r="BY73" s="6584"/>
      <c r="BZ73" s="6584"/>
      <c r="CA73" s="6585"/>
      <c r="CB73" s="398"/>
      <c r="CC73" s="392"/>
      <c r="CD73" s="392"/>
      <c r="CE73" s="279"/>
      <c r="CF73" s="1613">
        <v>180</v>
      </c>
      <c r="CG73" s="6582" t="s">
        <v>1734</v>
      </c>
      <c r="CH73" s="6503"/>
      <c r="CI73" s="6583" t="str">
        <f>IF(CF66=0,"",VLOOKUP(CF66,'Tablas psiquica'!$D$7:$R$145,11,FALSE))</f>
        <v/>
      </c>
      <c r="CJ73" s="6584"/>
      <c r="CK73" s="6584"/>
      <c r="CL73" s="6585"/>
      <c r="CN73" s="1613">
        <v>180</v>
      </c>
      <c r="CO73" s="6582" t="s">
        <v>1734</v>
      </c>
      <c r="CP73" s="6503"/>
      <c r="CQ73" s="6583" t="str">
        <f>IF(CN66=0,"",VLOOKUP(CN66,'Tablas psiquica'!$D$7:$R$145,11,FALSE))</f>
        <v/>
      </c>
      <c r="CR73" s="6584"/>
      <c r="CS73" s="6584"/>
      <c r="CT73" s="6585"/>
      <c r="CU73" s="279"/>
      <c r="CV73" s="1613">
        <v>180</v>
      </c>
      <c r="CW73" s="6582" t="s">
        <v>1734</v>
      </c>
      <c r="CX73" s="6503"/>
      <c r="CY73" s="6583" t="str">
        <f>IF(CV66=0,"",VLOOKUP(CV66,'Tablas psiquica'!$D$7:$R$145,11,FALSE))</f>
        <v/>
      </c>
      <c r="CZ73" s="6584"/>
      <c r="DA73" s="6584"/>
      <c r="DB73" s="6585"/>
      <c r="DC73" s="398"/>
      <c r="DD73" s="392"/>
    </row>
    <row r="74" spans="1:108" ht="12" customHeight="1" x14ac:dyDescent="0.2">
      <c r="A74" s="392"/>
      <c r="B74" s="279"/>
      <c r="C74" s="1614">
        <v>240</v>
      </c>
      <c r="D74" s="6586" t="s">
        <v>6238</v>
      </c>
      <c r="E74" s="6508"/>
      <c r="F74" s="6587" t="str">
        <f>IF(C66=0,"",VLOOKUP(C66,'Tablas psiquica'!$D$7:$R$145,12,FALSE))</f>
        <v/>
      </c>
      <c r="G74" s="6042"/>
      <c r="H74" s="6042"/>
      <c r="I74" s="6588"/>
      <c r="K74" s="1614">
        <v>240</v>
      </c>
      <c r="L74" s="6586" t="s">
        <v>6238</v>
      </c>
      <c r="M74" s="6508"/>
      <c r="N74" s="6587" t="str">
        <f>IF(K66=0,"",VLOOKUP(K66,'Tablas psiquica'!$D$7:$R$145,12,FALSE))</f>
        <v/>
      </c>
      <c r="O74" s="6042"/>
      <c r="P74" s="6042"/>
      <c r="Q74" s="6588"/>
      <c r="R74" s="279"/>
      <c r="S74" s="1614">
        <v>240</v>
      </c>
      <c r="T74" s="6586" t="s">
        <v>6238</v>
      </c>
      <c r="U74" s="6508"/>
      <c r="V74" s="6587" t="str">
        <f>IF(S66=0,"",VLOOKUP(S66,'Tablas psiquica'!$D$7:$R$145,12,FALSE))</f>
        <v/>
      </c>
      <c r="W74" s="6042"/>
      <c r="X74" s="6042"/>
      <c r="Y74" s="6588"/>
      <c r="Z74" s="398"/>
      <c r="AA74" s="392"/>
      <c r="AB74" s="392"/>
      <c r="AC74" s="279"/>
      <c r="AD74" s="1614">
        <v>240</v>
      </c>
      <c r="AE74" s="6586" t="s">
        <v>6238</v>
      </c>
      <c r="AF74" s="6508"/>
      <c r="AG74" s="6587" t="str">
        <f>IF(AD66=0,"",VLOOKUP(AD66,'Tablas psiquica'!$D$7:$R$145,12,FALSE))</f>
        <v/>
      </c>
      <c r="AH74" s="6042"/>
      <c r="AI74" s="6042"/>
      <c r="AJ74" s="6588"/>
      <c r="AL74" s="1614">
        <v>240</v>
      </c>
      <c r="AM74" s="6586" t="s">
        <v>6238</v>
      </c>
      <c r="AN74" s="6508"/>
      <c r="AO74" s="6587" t="str">
        <f>IF(AL66=0,"",VLOOKUP(AL66,'Tablas psiquica'!$D$7:$R$145,12,FALSE))</f>
        <v/>
      </c>
      <c r="AP74" s="6042"/>
      <c r="AQ74" s="6042"/>
      <c r="AR74" s="6588"/>
      <c r="AS74" s="279"/>
      <c r="AT74" s="1614">
        <v>240</v>
      </c>
      <c r="AU74" s="6586" t="s">
        <v>6238</v>
      </c>
      <c r="AV74" s="6508"/>
      <c r="AW74" s="6587" t="str">
        <f>IF(AT66=0,"",VLOOKUP(AT66,'Tablas psiquica'!$D$7:$R$145,12,FALSE))</f>
        <v/>
      </c>
      <c r="AX74" s="6042"/>
      <c r="AY74" s="6042"/>
      <c r="AZ74" s="6588"/>
      <c r="BA74" s="398"/>
      <c r="BB74" s="392"/>
      <c r="BC74" s="392"/>
      <c r="BD74" s="279"/>
      <c r="BE74" s="1614">
        <v>240</v>
      </c>
      <c r="BF74" s="6586" t="s">
        <v>6238</v>
      </c>
      <c r="BG74" s="6508"/>
      <c r="BH74" s="6587" t="str">
        <f>IF(BE66=0,"",VLOOKUP(BE66,'Tablas psiquica'!$D$7:$R$145,12,FALSE))</f>
        <v/>
      </c>
      <c r="BI74" s="6042"/>
      <c r="BJ74" s="6042"/>
      <c r="BK74" s="6588"/>
      <c r="BM74" s="1614">
        <v>240</v>
      </c>
      <c r="BN74" s="6586" t="s">
        <v>6238</v>
      </c>
      <c r="BO74" s="6508"/>
      <c r="BP74" s="6587" t="str">
        <f>IF(BM66=0,"",VLOOKUP(BM66,'Tablas psiquica'!$D$7:$R$145,12,FALSE))</f>
        <v/>
      </c>
      <c r="BQ74" s="6042"/>
      <c r="BR74" s="6042"/>
      <c r="BS74" s="6588"/>
      <c r="BT74" s="279"/>
      <c r="BU74" s="1614">
        <v>240</v>
      </c>
      <c r="BV74" s="6586" t="s">
        <v>6238</v>
      </c>
      <c r="BW74" s="6508"/>
      <c r="BX74" s="6587" t="str">
        <f>IF(BU66=0,"",VLOOKUP(BU66,'Tablas psiquica'!$D$7:$R$145,12,FALSE))</f>
        <v/>
      </c>
      <c r="BY74" s="6042"/>
      <c r="BZ74" s="6042"/>
      <c r="CA74" s="6588"/>
      <c r="CB74" s="398"/>
      <c r="CC74" s="392"/>
      <c r="CD74" s="392"/>
      <c r="CE74" s="279"/>
      <c r="CF74" s="1614">
        <v>240</v>
      </c>
      <c r="CG74" s="6586" t="s">
        <v>6238</v>
      </c>
      <c r="CH74" s="6508"/>
      <c r="CI74" s="6587" t="str">
        <f>IF(CF66=0,"",VLOOKUP(CF66,'Tablas psiquica'!$D$7:$R$145,12,FALSE))</f>
        <v/>
      </c>
      <c r="CJ74" s="6042"/>
      <c r="CK74" s="6042"/>
      <c r="CL74" s="6588"/>
      <c r="CN74" s="1614">
        <v>240</v>
      </c>
      <c r="CO74" s="6586" t="s">
        <v>6238</v>
      </c>
      <c r="CP74" s="6508"/>
      <c r="CQ74" s="6587" t="str">
        <f>IF(CN66=0,"",VLOOKUP(CN66,'Tablas psiquica'!$D$7:$R$145,12,FALSE))</f>
        <v/>
      </c>
      <c r="CR74" s="6042"/>
      <c r="CS74" s="6042"/>
      <c r="CT74" s="6588"/>
      <c r="CU74" s="279"/>
      <c r="CV74" s="1614">
        <v>240</v>
      </c>
      <c r="CW74" s="6586" t="s">
        <v>6238</v>
      </c>
      <c r="CX74" s="6508"/>
      <c r="CY74" s="6587" t="str">
        <f>IF(CV66=0,"",VLOOKUP(CV66,'Tablas psiquica'!$D$7:$R$145,12,FALSE))</f>
        <v/>
      </c>
      <c r="CZ74" s="6042"/>
      <c r="DA74" s="6042"/>
      <c r="DB74" s="6588"/>
      <c r="DC74" s="398"/>
      <c r="DD74" s="392"/>
    </row>
    <row r="75" spans="1:108" ht="12" customHeight="1" x14ac:dyDescent="0.2">
      <c r="A75" s="392"/>
      <c r="B75" s="279"/>
      <c r="C75" s="1613">
        <v>280</v>
      </c>
      <c r="D75" s="6582" t="s">
        <v>1737</v>
      </c>
      <c r="E75" s="6503"/>
      <c r="F75" s="6583" t="str">
        <f>IF(C66=0,"",VLOOKUP(C66,'Tablas psiquica'!$D$7:$R$145,13,FALSE))</f>
        <v/>
      </c>
      <c r="G75" s="6584"/>
      <c r="H75" s="6584"/>
      <c r="I75" s="6585"/>
      <c r="K75" s="1613">
        <v>280</v>
      </c>
      <c r="L75" s="6582" t="s">
        <v>1737</v>
      </c>
      <c r="M75" s="6503"/>
      <c r="N75" s="6583" t="str">
        <f>IF(K66=0,"",VLOOKUP(K66,'Tablas psiquica'!$D$7:$R$145,13,FALSE))</f>
        <v/>
      </c>
      <c r="O75" s="6584"/>
      <c r="P75" s="6584"/>
      <c r="Q75" s="6585"/>
      <c r="R75" s="279"/>
      <c r="S75" s="1613">
        <v>280</v>
      </c>
      <c r="T75" s="6582" t="s">
        <v>1737</v>
      </c>
      <c r="U75" s="6503"/>
      <c r="V75" s="6583" t="str">
        <f>IF(S66=0,"",VLOOKUP(S66,'Tablas psiquica'!$D$7:$R$145,13,FALSE))</f>
        <v/>
      </c>
      <c r="W75" s="6584"/>
      <c r="X75" s="6584"/>
      <c r="Y75" s="6585"/>
      <c r="Z75" s="398"/>
      <c r="AA75" s="392"/>
      <c r="AB75" s="392"/>
      <c r="AC75" s="279"/>
      <c r="AD75" s="1613">
        <v>280</v>
      </c>
      <c r="AE75" s="6582" t="s">
        <v>1737</v>
      </c>
      <c r="AF75" s="6503"/>
      <c r="AG75" s="6583" t="str">
        <f>IF(AD66=0,"",VLOOKUP(AD66,'Tablas psiquica'!$D$7:$R$145,13,FALSE))</f>
        <v/>
      </c>
      <c r="AH75" s="6584"/>
      <c r="AI75" s="6584"/>
      <c r="AJ75" s="6585"/>
      <c r="AL75" s="1613">
        <v>280</v>
      </c>
      <c r="AM75" s="6582" t="s">
        <v>1737</v>
      </c>
      <c r="AN75" s="6503"/>
      <c r="AO75" s="6583" t="str">
        <f>IF(AL66=0,"",VLOOKUP(AL66,'Tablas psiquica'!$D$7:$R$145,13,FALSE))</f>
        <v/>
      </c>
      <c r="AP75" s="6584"/>
      <c r="AQ75" s="6584"/>
      <c r="AR75" s="6585"/>
      <c r="AS75" s="279"/>
      <c r="AT75" s="1613">
        <v>280</v>
      </c>
      <c r="AU75" s="6582" t="s">
        <v>1737</v>
      </c>
      <c r="AV75" s="6503"/>
      <c r="AW75" s="6583" t="str">
        <f>IF(AT66=0,"",VLOOKUP(AT66,'Tablas psiquica'!$D$7:$R$145,13,FALSE))</f>
        <v/>
      </c>
      <c r="AX75" s="6584"/>
      <c r="AY75" s="6584"/>
      <c r="AZ75" s="6585"/>
      <c r="BA75" s="398"/>
      <c r="BB75" s="392"/>
      <c r="BC75" s="392"/>
      <c r="BD75" s="279"/>
      <c r="BE75" s="1613">
        <v>280</v>
      </c>
      <c r="BF75" s="6582" t="s">
        <v>1737</v>
      </c>
      <c r="BG75" s="6503"/>
      <c r="BH75" s="6583" t="str">
        <f>IF(BE66=0,"",VLOOKUP(BE66,'Tablas psiquica'!$D$7:$R$145,13,FALSE))</f>
        <v/>
      </c>
      <c r="BI75" s="6584"/>
      <c r="BJ75" s="6584"/>
      <c r="BK75" s="6585"/>
      <c r="BM75" s="1613">
        <v>280</v>
      </c>
      <c r="BN75" s="6582" t="s">
        <v>1737</v>
      </c>
      <c r="BO75" s="6503"/>
      <c r="BP75" s="6583" t="str">
        <f>IF(BM66=0,"",VLOOKUP(BM66,'Tablas psiquica'!$D$7:$R$145,13,FALSE))</f>
        <v/>
      </c>
      <c r="BQ75" s="6584"/>
      <c r="BR75" s="6584"/>
      <c r="BS75" s="6585"/>
      <c r="BT75" s="279"/>
      <c r="BU75" s="1613">
        <v>280</v>
      </c>
      <c r="BV75" s="6582" t="s">
        <v>1737</v>
      </c>
      <c r="BW75" s="6503"/>
      <c r="BX75" s="6583" t="str">
        <f>IF(BU66=0,"",VLOOKUP(BU66,'Tablas psiquica'!$D$7:$R$145,13,FALSE))</f>
        <v/>
      </c>
      <c r="BY75" s="6584"/>
      <c r="BZ75" s="6584"/>
      <c r="CA75" s="6585"/>
      <c r="CB75" s="398"/>
      <c r="CC75" s="392"/>
      <c r="CD75" s="392"/>
      <c r="CE75" s="279"/>
      <c r="CF75" s="1613">
        <v>280</v>
      </c>
      <c r="CG75" s="6582" t="s">
        <v>1737</v>
      </c>
      <c r="CH75" s="6503"/>
      <c r="CI75" s="6583" t="str">
        <f>IF(CF66=0,"",VLOOKUP(CF66,'Tablas psiquica'!$D$7:$R$145,13,FALSE))</f>
        <v/>
      </c>
      <c r="CJ75" s="6584"/>
      <c r="CK75" s="6584"/>
      <c r="CL75" s="6585"/>
      <c r="CN75" s="1613">
        <v>280</v>
      </c>
      <c r="CO75" s="6582" t="s">
        <v>1737</v>
      </c>
      <c r="CP75" s="6503"/>
      <c r="CQ75" s="6583" t="str">
        <f>IF(CN66=0,"",VLOOKUP(CN66,'Tablas psiquica'!$D$7:$R$145,13,FALSE))</f>
        <v/>
      </c>
      <c r="CR75" s="6584"/>
      <c r="CS75" s="6584"/>
      <c r="CT75" s="6585"/>
      <c r="CU75" s="279"/>
      <c r="CV75" s="1613">
        <v>280</v>
      </c>
      <c r="CW75" s="6582" t="s">
        <v>1737</v>
      </c>
      <c r="CX75" s="6503"/>
      <c r="CY75" s="6583" t="str">
        <f>IF(CV66=0,"",VLOOKUP(CV66,'Tablas psiquica'!$D$7:$R$145,13,FALSE))</f>
        <v/>
      </c>
      <c r="CZ75" s="6584"/>
      <c r="DA75" s="6584"/>
      <c r="DB75" s="6585"/>
      <c r="DC75" s="398"/>
      <c r="DD75" s="392"/>
    </row>
    <row r="76" spans="1:108" ht="12" customHeight="1" x14ac:dyDescent="0.2">
      <c r="A76" s="392"/>
      <c r="B76" s="279"/>
      <c r="C76" s="1614">
        <v>320</v>
      </c>
      <c r="D76" s="6586" t="s">
        <v>1739</v>
      </c>
      <c r="E76" s="6508"/>
      <c r="F76" s="6587" t="str">
        <f>IF(C66=0,"",VLOOKUP(C66,'Tablas psiquica'!$D$7:$R$145,14,FALSE))</f>
        <v/>
      </c>
      <c r="G76" s="6042"/>
      <c r="H76" s="6042"/>
      <c r="I76" s="6588"/>
      <c r="K76" s="1614">
        <v>320</v>
      </c>
      <c r="L76" s="6586" t="s">
        <v>1739</v>
      </c>
      <c r="M76" s="6508"/>
      <c r="N76" s="6587" t="str">
        <f>IF(K66=0,"",VLOOKUP(K66,'Tablas psiquica'!$D$7:$R$145,14,FALSE))</f>
        <v/>
      </c>
      <c r="O76" s="6042"/>
      <c r="P76" s="6042"/>
      <c r="Q76" s="6588"/>
      <c r="R76" s="279"/>
      <c r="S76" s="1614">
        <v>320</v>
      </c>
      <c r="T76" s="6586" t="s">
        <v>1739</v>
      </c>
      <c r="U76" s="6508"/>
      <c r="V76" s="6587" t="str">
        <f>IF(S66=0,"",VLOOKUP(S66,'Tablas psiquica'!$D$7:$R$145,14,FALSE))</f>
        <v/>
      </c>
      <c r="W76" s="6042"/>
      <c r="X76" s="6042"/>
      <c r="Y76" s="6588"/>
      <c r="Z76" s="398"/>
      <c r="AA76" s="392"/>
      <c r="AB76" s="392"/>
      <c r="AC76" s="279"/>
      <c r="AD76" s="1614">
        <v>320</v>
      </c>
      <c r="AE76" s="6586" t="s">
        <v>1739</v>
      </c>
      <c r="AF76" s="6508"/>
      <c r="AG76" s="6587" t="str">
        <f>IF(AD66=0,"",VLOOKUP(AD66,'Tablas psiquica'!$D$7:$R$145,14,FALSE))</f>
        <v/>
      </c>
      <c r="AH76" s="6042"/>
      <c r="AI76" s="6042"/>
      <c r="AJ76" s="6588"/>
      <c r="AL76" s="1614">
        <v>320</v>
      </c>
      <c r="AM76" s="6586" t="s">
        <v>1739</v>
      </c>
      <c r="AN76" s="6508"/>
      <c r="AO76" s="6587" t="str">
        <f>IF(AL66=0,"",VLOOKUP(AL66,'Tablas psiquica'!$D$7:$R$145,14,FALSE))</f>
        <v/>
      </c>
      <c r="AP76" s="6042"/>
      <c r="AQ76" s="6042"/>
      <c r="AR76" s="6588"/>
      <c r="AS76" s="279"/>
      <c r="AT76" s="1614">
        <v>320</v>
      </c>
      <c r="AU76" s="6586" t="s">
        <v>1739</v>
      </c>
      <c r="AV76" s="6508"/>
      <c r="AW76" s="6587" t="str">
        <f>IF(AT66=0,"",VLOOKUP(AT66,'Tablas psiquica'!$D$7:$R$145,14,FALSE))</f>
        <v/>
      </c>
      <c r="AX76" s="6042"/>
      <c r="AY76" s="6042"/>
      <c r="AZ76" s="6588"/>
      <c r="BA76" s="398"/>
      <c r="BB76" s="392"/>
      <c r="BC76" s="392"/>
      <c r="BD76" s="279"/>
      <c r="BE76" s="1614">
        <v>320</v>
      </c>
      <c r="BF76" s="6586" t="s">
        <v>1739</v>
      </c>
      <c r="BG76" s="6508"/>
      <c r="BH76" s="6587" t="str">
        <f>IF(BE66=0,"",VLOOKUP(BE66,'Tablas psiquica'!$D$7:$R$145,14,FALSE))</f>
        <v/>
      </c>
      <c r="BI76" s="6042"/>
      <c r="BJ76" s="6042"/>
      <c r="BK76" s="6588"/>
      <c r="BM76" s="1614">
        <v>320</v>
      </c>
      <c r="BN76" s="6586" t="s">
        <v>1739</v>
      </c>
      <c r="BO76" s="6508"/>
      <c r="BP76" s="6587" t="str">
        <f>IF(BM66=0,"",VLOOKUP(BM66,'Tablas psiquica'!$D$7:$R$145,14,FALSE))</f>
        <v/>
      </c>
      <c r="BQ76" s="6042"/>
      <c r="BR76" s="6042"/>
      <c r="BS76" s="6588"/>
      <c r="BT76" s="279"/>
      <c r="BU76" s="1614">
        <v>320</v>
      </c>
      <c r="BV76" s="6586" t="s">
        <v>1739</v>
      </c>
      <c r="BW76" s="6508"/>
      <c r="BX76" s="6587" t="str">
        <f>IF(BU66=0,"",VLOOKUP(BU66,'Tablas psiquica'!$D$7:$R$145,14,FALSE))</f>
        <v/>
      </c>
      <c r="BY76" s="6042"/>
      <c r="BZ76" s="6042"/>
      <c r="CA76" s="6588"/>
      <c r="CB76" s="398"/>
      <c r="CC76" s="392"/>
      <c r="CD76" s="392"/>
      <c r="CE76" s="279"/>
      <c r="CF76" s="1614">
        <v>320</v>
      </c>
      <c r="CG76" s="6586" t="s">
        <v>1739</v>
      </c>
      <c r="CH76" s="6508"/>
      <c r="CI76" s="6587" t="str">
        <f>IF(CF66=0,"",VLOOKUP(CF66,'Tablas psiquica'!$D$7:$R$145,14,FALSE))</f>
        <v/>
      </c>
      <c r="CJ76" s="6042"/>
      <c r="CK76" s="6042"/>
      <c r="CL76" s="6588"/>
      <c r="CN76" s="1614">
        <v>320</v>
      </c>
      <c r="CO76" s="6586" t="s">
        <v>1739</v>
      </c>
      <c r="CP76" s="6508"/>
      <c r="CQ76" s="6587" t="str">
        <f>IF(CN66=0,"",VLOOKUP(CN66,'Tablas psiquica'!$D$7:$R$145,14,FALSE))</f>
        <v/>
      </c>
      <c r="CR76" s="6042"/>
      <c r="CS76" s="6042"/>
      <c r="CT76" s="6588"/>
      <c r="CU76" s="279"/>
      <c r="CV76" s="1614">
        <v>320</v>
      </c>
      <c r="CW76" s="6586" t="s">
        <v>1739</v>
      </c>
      <c r="CX76" s="6508"/>
      <c r="CY76" s="6587" t="str">
        <f>IF(CV66=0,"",VLOOKUP(CV66,'Tablas psiquica'!$D$7:$R$145,14,FALSE))</f>
        <v/>
      </c>
      <c r="CZ76" s="6042"/>
      <c r="DA76" s="6042"/>
      <c r="DB76" s="6588"/>
      <c r="DC76" s="398"/>
      <c r="DD76" s="392"/>
    </row>
    <row r="77" spans="1:108" ht="12" customHeight="1" x14ac:dyDescent="0.2">
      <c r="A77" s="392"/>
      <c r="B77" s="279"/>
      <c r="C77" s="424">
        <v>440</v>
      </c>
      <c r="D77" s="6589" t="s">
        <v>1682</v>
      </c>
      <c r="E77" s="6590"/>
      <c r="F77" s="6591" t="str">
        <f>IF(C66=0,"",VLOOKUP(C66,'Tablas psiquica'!$D$7:$R$145,15,FALSE))</f>
        <v/>
      </c>
      <c r="G77" s="6592"/>
      <c r="H77" s="6592"/>
      <c r="I77" s="6593"/>
      <c r="K77" s="424">
        <v>440</v>
      </c>
      <c r="L77" s="6589" t="s">
        <v>1682</v>
      </c>
      <c r="M77" s="6590"/>
      <c r="N77" s="6591" t="str">
        <f>IF(K66=0,"",VLOOKUP(K66,'Tablas psiquica'!$D$7:$R$145,15,FALSE))</f>
        <v/>
      </c>
      <c r="O77" s="6592"/>
      <c r="P77" s="6592"/>
      <c r="Q77" s="6593"/>
      <c r="R77" s="279"/>
      <c r="S77" s="424">
        <v>440</v>
      </c>
      <c r="T77" s="6589" t="s">
        <v>1682</v>
      </c>
      <c r="U77" s="6590"/>
      <c r="V77" s="6591" t="str">
        <f>IF(S66=0,"",VLOOKUP(S66,'Tablas psiquica'!$D$7:$R$145,15,FALSE))</f>
        <v/>
      </c>
      <c r="W77" s="6592"/>
      <c r="X77" s="6592"/>
      <c r="Y77" s="6593"/>
      <c r="Z77" s="398"/>
      <c r="AA77" s="392"/>
      <c r="AB77" s="392"/>
      <c r="AC77" s="279"/>
      <c r="AD77" s="424">
        <v>440</v>
      </c>
      <c r="AE77" s="6589" t="s">
        <v>1682</v>
      </c>
      <c r="AF77" s="6590"/>
      <c r="AG77" s="6591" t="str">
        <f>IF(AD66=0,"",VLOOKUP(AD66,'Tablas psiquica'!$D$7:$R$145,15,FALSE))</f>
        <v/>
      </c>
      <c r="AH77" s="6592"/>
      <c r="AI77" s="6592"/>
      <c r="AJ77" s="6593"/>
      <c r="AL77" s="424">
        <v>440</v>
      </c>
      <c r="AM77" s="6589" t="s">
        <v>1682</v>
      </c>
      <c r="AN77" s="6590"/>
      <c r="AO77" s="6591" t="str">
        <f>IF(AL66=0,"",VLOOKUP(AL66,'Tablas psiquica'!$D$7:$R$145,15,FALSE))</f>
        <v/>
      </c>
      <c r="AP77" s="6592"/>
      <c r="AQ77" s="6592"/>
      <c r="AR77" s="6593"/>
      <c r="AS77" s="279"/>
      <c r="AT77" s="424">
        <v>440</v>
      </c>
      <c r="AU77" s="6589" t="s">
        <v>1682</v>
      </c>
      <c r="AV77" s="6590"/>
      <c r="AW77" s="6591" t="str">
        <f>IF(AT66=0,"",VLOOKUP(AT66,'Tablas psiquica'!$D$7:$R$145,15,FALSE))</f>
        <v/>
      </c>
      <c r="AX77" s="6592"/>
      <c r="AY77" s="6592"/>
      <c r="AZ77" s="6593"/>
      <c r="BA77" s="398"/>
      <c r="BB77" s="392"/>
      <c r="BC77" s="392"/>
      <c r="BD77" s="279"/>
      <c r="BE77" s="424">
        <v>440</v>
      </c>
      <c r="BF77" s="6589" t="s">
        <v>1682</v>
      </c>
      <c r="BG77" s="6590"/>
      <c r="BH77" s="6591" t="str">
        <f>IF(BE66=0,"",VLOOKUP(BE66,'Tablas psiquica'!$D$7:$R$145,15,FALSE))</f>
        <v/>
      </c>
      <c r="BI77" s="6592"/>
      <c r="BJ77" s="6592"/>
      <c r="BK77" s="6593"/>
      <c r="BM77" s="424">
        <v>440</v>
      </c>
      <c r="BN77" s="6589" t="s">
        <v>1682</v>
      </c>
      <c r="BO77" s="6590"/>
      <c r="BP77" s="6591" t="str">
        <f>IF(BM66=0,"",VLOOKUP(BM66,'Tablas psiquica'!$D$7:$R$145,15,FALSE))</f>
        <v/>
      </c>
      <c r="BQ77" s="6592"/>
      <c r="BR77" s="6592"/>
      <c r="BS77" s="6593"/>
      <c r="BT77" s="279"/>
      <c r="BU77" s="424">
        <v>440</v>
      </c>
      <c r="BV77" s="6589" t="s">
        <v>1682</v>
      </c>
      <c r="BW77" s="6590"/>
      <c r="BX77" s="6591" t="str">
        <f>IF(BU66=0,"",VLOOKUP(BU66,'Tablas psiquica'!$D$7:$R$145,15,FALSE))</f>
        <v/>
      </c>
      <c r="BY77" s="6592"/>
      <c r="BZ77" s="6592"/>
      <c r="CA77" s="6593"/>
      <c r="CB77" s="398"/>
      <c r="CC77" s="392"/>
      <c r="CD77" s="392"/>
      <c r="CE77" s="279"/>
      <c r="CF77" s="424">
        <v>440</v>
      </c>
      <c r="CG77" s="6589" t="s">
        <v>1682</v>
      </c>
      <c r="CH77" s="6590"/>
      <c r="CI77" s="6591" t="str">
        <f>IF(CF66=0,"",VLOOKUP(CF66,'Tablas psiquica'!$D$7:$R$145,15,FALSE))</f>
        <v/>
      </c>
      <c r="CJ77" s="6592"/>
      <c r="CK77" s="6592"/>
      <c r="CL77" s="6593"/>
      <c r="CN77" s="424">
        <v>440</v>
      </c>
      <c r="CO77" s="6589" t="s">
        <v>1682</v>
      </c>
      <c r="CP77" s="6590"/>
      <c r="CQ77" s="6591" t="str">
        <f>IF(CN66=0,"",VLOOKUP(CN66,'Tablas psiquica'!$D$7:$R$145,15,FALSE))</f>
        <v/>
      </c>
      <c r="CR77" s="6592"/>
      <c r="CS77" s="6592"/>
      <c r="CT77" s="6593"/>
      <c r="CU77" s="279"/>
      <c r="CV77" s="424">
        <v>440</v>
      </c>
      <c r="CW77" s="6589" t="s">
        <v>1682</v>
      </c>
      <c r="CX77" s="6590"/>
      <c r="CY77" s="6591" t="str">
        <f>IF(CV66=0,"",VLOOKUP(CV66,'Tablas psiquica'!$D$7:$R$145,15,FALSE))</f>
        <v/>
      </c>
      <c r="CZ77" s="6592"/>
      <c r="DA77" s="6592"/>
      <c r="DB77" s="6593"/>
      <c r="DC77" s="398"/>
      <c r="DD77" s="392"/>
    </row>
    <row r="78" spans="1:108" ht="12" customHeight="1" thickBot="1" x14ac:dyDescent="0.25">
      <c r="A78" s="392"/>
      <c r="B78" s="279"/>
      <c r="C78" s="6594" t="s">
        <v>6239</v>
      </c>
      <c r="D78" s="6595"/>
      <c r="E78" s="425" t="str">
        <f>IF(C66=0,"",VLOOKUP(C66,'Tablas psiquica'!$D$7:$R$145,4,FALSE))</f>
        <v/>
      </c>
      <c r="F78" s="6596" t="s">
        <v>6234</v>
      </c>
      <c r="G78" s="6596"/>
      <c r="H78" s="6597" t="str">
        <f>IF(C66=0,"",VLOOKUP(C66,'Tablas psiquica'!$D$7:$R$145,5,FALSE))</f>
        <v/>
      </c>
      <c r="I78" s="6598"/>
      <c r="K78" s="6594" t="s">
        <v>6239</v>
      </c>
      <c r="L78" s="6595"/>
      <c r="M78" s="425" t="str">
        <f>IF(K66=0,"",VLOOKUP(K66,'Tablas psiquica'!$D$7:$R$145,4,FALSE))</f>
        <v/>
      </c>
      <c r="N78" s="6596" t="s">
        <v>6234</v>
      </c>
      <c r="O78" s="6596"/>
      <c r="P78" s="6597" t="str">
        <f>IF(K66=0,"",VLOOKUP(K66,'Tablas psiquica'!$D$7:$R$145,5,FALSE))</f>
        <v/>
      </c>
      <c r="Q78" s="6598"/>
      <c r="R78" s="279"/>
      <c r="S78" s="6594" t="s">
        <v>6239</v>
      </c>
      <c r="T78" s="6595"/>
      <c r="U78" s="425" t="str">
        <f>IF(S66=0,"",VLOOKUP(S66,'Tablas psiquica'!$D$7:$R$145,4,FALSE))</f>
        <v/>
      </c>
      <c r="V78" s="6596" t="s">
        <v>6234</v>
      </c>
      <c r="W78" s="6596"/>
      <c r="X78" s="6597" t="str">
        <f>IF(S66=0,"",VLOOKUP(S66,'Tablas psiquica'!$D$7:$R$145,5,FALSE))</f>
        <v/>
      </c>
      <c r="Y78" s="6598"/>
      <c r="Z78" s="398"/>
      <c r="AA78" s="392"/>
      <c r="AB78" s="392"/>
      <c r="AC78" s="279"/>
      <c r="AD78" s="6594" t="s">
        <v>6239</v>
      </c>
      <c r="AE78" s="6595"/>
      <c r="AF78" s="425" t="str">
        <f>IF(AD66=0,"",VLOOKUP(AD66,'Tablas psiquica'!$D$7:$R$145,4,FALSE))</f>
        <v/>
      </c>
      <c r="AG78" s="6596" t="s">
        <v>6234</v>
      </c>
      <c r="AH78" s="6596"/>
      <c r="AI78" s="6597" t="str">
        <f>IF(AD66=0,"",VLOOKUP(AD66,'Tablas psiquica'!$D$7:$R$145,5,FALSE))</f>
        <v/>
      </c>
      <c r="AJ78" s="6598"/>
      <c r="AL78" s="6594" t="s">
        <v>6239</v>
      </c>
      <c r="AM78" s="6595"/>
      <c r="AN78" s="425" t="str">
        <f>IF(AL66=0,"",VLOOKUP(AL66,'Tablas psiquica'!$D$7:$R$145,4,FALSE))</f>
        <v/>
      </c>
      <c r="AO78" s="6596" t="s">
        <v>6234</v>
      </c>
      <c r="AP78" s="6596"/>
      <c r="AQ78" s="6597" t="str">
        <f>IF(AL66=0,"",VLOOKUP(AL66,'Tablas psiquica'!$D$7:$R$145,5,FALSE))</f>
        <v/>
      </c>
      <c r="AR78" s="6598"/>
      <c r="AS78" s="279"/>
      <c r="AT78" s="6594" t="s">
        <v>6239</v>
      </c>
      <c r="AU78" s="6595"/>
      <c r="AV78" s="425" t="str">
        <f>IF(AT66=0,"",VLOOKUP(AT66,'Tablas psiquica'!$D$7:$R$145,4,FALSE))</f>
        <v/>
      </c>
      <c r="AW78" s="6596" t="s">
        <v>6234</v>
      </c>
      <c r="AX78" s="6596"/>
      <c r="AY78" s="6597" t="str">
        <f>IF(AT66=0,"",VLOOKUP(AT66,'Tablas psiquica'!$D$7:$R$145,5,FALSE))</f>
        <v/>
      </c>
      <c r="AZ78" s="6598"/>
      <c r="BA78" s="398"/>
      <c r="BB78" s="392"/>
      <c r="BC78" s="392"/>
      <c r="BD78" s="279"/>
      <c r="BE78" s="6594" t="s">
        <v>6239</v>
      </c>
      <c r="BF78" s="6595"/>
      <c r="BG78" s="425" t="str">
        <f>IF(BE66=0,"",VLOOKUP(BE66,'Tablas psiquica'!$D$7:$R$145,4,FALSE))</f>
        <v/>
      </c>
      <c r="BH78" s="6596" t="s">
        <v>6234</v>
      </c>
      <c r="BI78" s="6596"/>
      <c r="BJ78" s="6597" t="str">
        <f>IF(BE66=0,"",VLOOKUP(BE66,'Tablas psiquica'!$D$7:$R$145,5,FALSE))</f>
        <v/>
      </c>
      <c r="BK78" s="6598"/>
      <c r="BM78" s="6594" t="s">
        <v>6239</v>
      </c>
      <c r="BN78" s="6595"/>
      <c r="BO78" s="425" t="str">
        <f>IF(BM66=0,"",VLOOKUP(BM66,'Tablas psiquica'!$D$7:$R$145,4,FALSE))</f>
        <v/>
      </c>
      <c r="BP78" s="6596" t="s">
        <v>6234</v>
      </c>
      <c r="BQ78" s="6596"/>
      <c r="BR78" s="6597" t="str">
        <f>IF(BM66=0,"",VLOOKUP(BM66,'Tablas psiquica'!$D$7:$R$145,5,FALSE))</f>
        <v/>
      </c>
      <c r="BS78" s="6598"/>
      <c r="BT78" s="279"/>
      <c r="BU78" s="6594" t="s">
        <v>6239</v>
      </c>
      <c r="BV78" s="6595"/>
      <c r="BW78" s="425" t="str">
        <f>IF(BU66=0,"",VLOOKUP(BU66,'Tablas psiquica'!$D$7:$R$145,4,FALSE))</f>
        <v/>
      </c>
      <c r="BX78" s="6596" t="s">
        <v>6234</v>
      </c>
      <c r="BY78" s="6596"/>
      <c r="BZ78" s="6597" t="str">
        <f>IF(BU66=0,"",VLOOKUP(BU66,'Tablas psiquica'!$D$7:$R$145,5,FALSE))</f>
        <v/>
      </c>
      <c r="CA78" s="6598"/>
      <c r="CB78" s="398"/>
      <c r="CC78" s="392"/>
      <c r="CD78" s="392"/>
      <c r="CE78" s="279"/>
      <c r="CF78" s="6594" t="s">
        <v>6239</v>
      </c>
      <c r="CG78" s="6595"/>
      <c r="CH78" s="425" t="str">
        <f>IF(CF66=0,"",VLOOKUP(CF66,'Tablas psiquica'!$D$7:$R$145,4,FALSE))</f>
        <v/>
      </c>
      <c r="CI78" s="6596" t="s">
        <v>6234</v>
      </c>
      <c r="CJ78" s="6596"/>
      <c r="CK78" s="6597" t="str">
        <f>IF(CF66=0,"",VLOOKUP(CF66,'Tablas psiquica'!$D$7:$R$145,5,FALSE))</f>
        <v/>
      </c>
      <c r="CL78" s="6598"/>
      <c r="CN78" s="6594" t="s">
        <v>6239</v>
      </c>
      <c r="CO78" s="6595"/>
      <c r="CP78" s="425" t="str">
        <f>IF(CN66=0,"",VLOOKUP(CN66,'Tablas psiquica'!$D$7:$R$145,4,FALSE))</f>
        <v/>
      </c>
      <c r="CQ78" s="6596" t="s">
        <v>6234</v>
      </c>
      <c r="CR78" s="6596"/>
      <c r="CS78" s="6597" t="str">
        <f>IF(CN66=0,"",VLOOKUP(CN66,'Tablas psiquica'!$D$7:$R$145,5,FALSE))</f>
        <v/>
      </c>
      <c r="CT78" s="6598"/>
      <c r="CU78" s="279"/>
      <c r="CV78" s="6594" t="s">
        <v>6239</v>
      </c>
      <c r="CW78" s="6595"/>
      <c r="CX78" s="425" t="str">
        <f>IF(CV66=0,"",VLOOKUP(CV66,'Tablas psiquica'!$D$7:$R$145,4,FALSE))</f>
        <v/>
      </c>
      <c r="CY78" s="6596" t="s">
        <v>6234</v>
      </c>
      <c r="CZ78" s="6596"/>
      <c r="DA78" s="6597" t="str">
        <f>IF(CV66=0,"",VLOOKUP(CV66,'Tablas psiquica'!$D$7:$R$145,5,FALSE))</f>
        <v/>
      </c>
      <c r="DB78" s="6598"/>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575</vt:i4>
      </vt:variant>
    </vt:vector>
  </HeadingPairs>
  <TitlesOfParts>
    <vt:vector size="59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2023-06-03T13:05:44Z</cp:lastPrinted>
  <dcterms:created xsi:type="dcterms:W3CDTF">2015-03-24T15:47:25Z</dcterms:created>
  <dcterms:modified xsi:type="dcterms:W3CDTF">2023-06-04T09:08:58Z</dcterms:modified>
</cp:coreProperties>
</file>