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56EA3443-79D8-49BA-B9BD-8673B3F105E1}" xr6:coauthVersionLast="43" xr6:coauthVersionMax="43" xr10:uidLastSave="{00000000-0000-0000-0000-000000000000}"/>
  <bookViews>
    <workbookView xWindow="-110" yWindow="-110" windowWidth="19420" windowHeight="10420" tabRatio="678" firstSheet="3" activeTab="9" xr2:uid="{00000000-000D-0000-FFFF-FFFF00000000}"/>
  </bookViews>
  <sheets>
    <sheet name="Balance Sheet" sheetId="1" r:id="rId1"/>
    <sheet name="Income Statement" sheetId="2" r:id="rId2"/>
    <sheet name="CB_DATA_" sheetId="7" state="veryHidden" r:id="rId3"/>
    <sheet name="Proforma" sheetId="3" r:id="rId4"/>
    <sheet name="Assumptions" sheetId="4" r:id="rId5"/>
    <sheet name=" Market Risk Premium" sheetId="8" r:id="rId6"/>
    <sheet name="Cost of debt" sheetId="6" r:id="rId7"/>
    <sheet name="Cost of equity" sheetId="10" r:id="rId8"/>
    <sheet name="Beta" sheetId="11" r:id="rId9"/>
    <sheet name="WACC" sheetId="9" r:id="rId10"/>
  </sheets>
  <definedNames>
    <definedName name="CB_1846e95f97f845888f451396cb08fcc5" localSheetId="3" hidden="1">Proforma!$J$35</definedName>
    <definedName name="CB_23b4840e1a064e988c79251884a32daf" localSheetId="2" hidden="1">#N/A</definedName>
    <definedName name="CB_2f896e149281482d9e978ac81c9f25f4" localSheetId="3" hidden="1">Proforma!$J$10</definedName>
    <definedName name="CB_397087b3c9f6482196f8d0b7c179082e" localSheetId="3" hidden="1">Proforma!$J$4</definedName>
    <definedName name="CB_4b5cb73ea5634c86b0344933cf011285" localSheetId="3" hidden="1">Proforma!$M$76</definedName>
    <definedName name="CB_50f1c40866bf4f2ca93535db33931b98" localSheetId="3" hidden="1">Proforma!$J$34</definedName>
    <definedName name="CB_613287b2e3c74de3a88380163eca32bc" localSheetId="3" hidden="1">Proforma!$M$95</definedName>
    <definedName name="CB_b506cb054171430a81c92ba58dce8fe5" localSheetId="3" hidden="1">Proforma!$J$42</definedName>
    <definedName name="CB_Block_00000000000000000000000000000000" localSheetId="2" hidden="1">"'7.0.0.0"</definedName>
    <definedName name="CB_Block_00000000000000000000000000000000" localSheetId="3" hidden="1">"'7.0.0.0"</definedName>
    <definedName name="CB_Block_00000000000000000000000000000001" localSheetId="2" hidden="1">"'636939708972266234"</definedName>
    <definedName name="CB_Block_00000000000000000000000000000001" localSheetId="3" hidden="1">"'636939708972186116"</definedName>
    <definedName name="CB_Block_00000000000000000000000000000003" localSheetId="2" hidden="1">"'11.1.4716.0"</definedName>
    <definedName name="CB_Block_00000000000000000000000000000003" localSheetId="3" hidden="1">"'11.1.4716.0"</definedName>
    <definedName name="CB_BlockExt_00000000000000000000000000000003" localSheetId="2" hidden="1">"'11.1.2.4.850"</definedName>
    <definedName name="CB_BlockExt_00000000000000000000000000000003" localSheetId="3" hidden="1">"'11.1.2.4.850"</definedName>
    <definedName name="CB_d34d31e244c7429f9af05466dc21abe4" localSheetId="3" hidden="1">Proforma!$M$77</definedName>
    <definedName name="CBWorkbookPriority" localSheetId="2" hidden="1">-1443703952077900</definedName>
    <definedName name="CBx_0fc602766bbe442d99d45685aca2f208" localSheetId="2" hidden="1">"'CB_DATA_'!$A$1"</definedName>
    <definedName name="CBx_9078cf308d3740ea89768848adddd958" localSheetId="2" hidden="1">"'Proforma'!$A$1"</definedName>
    <definedName name="CBx_Sheet_Guid" localSheetId="2" hidden="1">"'0fc60276-6bbe-442d-99d4-5685aca2f208"</definedName>
    <definedName name="CBx_Sheet_Guid" localSheetId="3" hidden="1">"'9078cf30-8d37-40ea-8976-8848adddd958"</definedName>
    <definedName name="CBx_SheetRef" localSheetId="2" hidden="1">CB_DATA_!$A$14</definedName>
    <definedName name="CBx_SheetRef" localSheetId="3" hidden="1">CB_DATA_!$B$14</definedName>
    <definedName name="CBx_StorageType" localSheetId="2" hidden="1">2</definedName>
    <definedName name="CBx_StorageType" localSheetId="3" hidden="1">2</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R59" i="3" l="1"/>
  <c r="R64" i="3"/>
  <c r="R65" i="3"/>
  <c r="R67" i="3"/>
  <c r="R68" i="3"/>
  <c r="R36" i="3"/>
  <c r="R37" i="3"/>
  <c r="R38" i="3"/>
  <c r="R45" i="3"/>
  <c r="R46" i="3"/>
  <c r="R47" i="3"/>
  <c r="R48" i="3"/>
  <c r="R17" i="3"/>
  <c r="R23" i="3"/>
  <c r="R24" i="3"/>
  <c r="R26" i="3"/>
  <c r="M92" i="3"/>
  <c r="M91" i="3"/>
  <c r="C8" i="9"/>
  <c r="G5" i="9"/>
  <c r="C28" i="10"/>
  <c r="C26" i="10"/>
  <c r="C23" i="10"/>
  <c r="J4" i="11"/>
  <c r="F5" i="11"/>
  <c r="G5" i="11"/>
  <c r="F6" i="11"/>
  <c r="G6" i="11"/>
  <c r="F7" i="11"/>
  <c r="G7" i="11"/>
  <c r="F8" i="11"/>
  <c r="G8" i="11"/>
  <c r="F9" i="11"/>
  <c r="G9" i="11"/>
  <c r="F10" i="11"/>
  <c r="G10" i="11"/>
  <c r="F11" i="11"/>
  <c r="G11" i="11"/>
  <c r="F12" i="11"/>
  <c r="G12" i="11"/>
  <c r="F13" i="11"/>
  <c r="G13" i="11"/>
  <c r="F14" i="11"/>
  <c r="G14" i="11"/>
  <c r="F15" i="11"/>
  <c r="G15" i="11"/>
  <c r="F16" i="11"/>
  <c r="G16" i="11"/>
  <c r="F17" i="11"/>
  <c r="G17" i="11"/>
  <c r="F18" i="11"/>
  <c r="G18" i="11"/>
  <c r="F19" i="11"/>
  <c r="G19" i="11"/>
  <c r="F20" i="11"/>
  <c r="G20" i="11"/>
  <c r="F21" i="11"/>
  <c r="G21" i="11"/>
  <c r="F22" i="11"/>
  <c r="G22" i="11"/>
  <c r="F23" i="11"/>
  <c r="G23" i="11"/>
  <c r="F24" i="11"/>
  <c r="G24" i="11"/>
  <c r="F25" i="11"/>
  <c r="G25" i="11"/>
  <c r="F26" i="11"/>
  <c r="G26" i="11"/>
  <c r="F27" i="11"/>
  <c r="G27" i="11"/>
  <c r="F28" i="11"/>
  <c r="G28" i="11"/>
  <c r="F29" i="11"/>
  <c r="G29" i="11"/>
  <c r="F30" i="11"/>
  <c r="G30" i="11"/>
  <c r="F31" i="11"/>
  <c r="G31" i="11"/>
  <c r="F32" i="11"/>
  <c r="G32" i="11"/>
  <c r="F33" i="11"/>
  <c r="G33" i="11"/>
  <c r="F34" i="11"/>
  <c r="G34" i="11"/>
  <c r="F35" i="11"/>
  <c r="G35" i="11"/>
  <c r="F36" i="11"/>
  <c r="G36" i="11"/>
  <c r="F37" i="11"/>
  <c r="G37" i="11"/>
  <c r="F38" i="11"/>
  <c r="G38" i="11"/>
  <c r="F39" i="11"/>
  <c r="G39" i="11"/>
  <c r="F40" i="11"/>
  <c r="G40" i="11"/>
  <c r="F41" i="11"/>
  <c r="G41" i="11"/>
  <c r="F42" i="11"/>
  <c r="G42" i="11"/>
  <c r="F43" i="11"/>
  <c r="G43" i="11"/>
  <c r="F44" i="11"/>
  <c r="G44" i="11"/>
  <c r="F45" i="11"/>
  <c r="G45" i="11"/>
  <c r="F46" i="11"/>
  <c r="G46" i="11"/>
  <c r="F47" i="11"/>
  <c r="G47" i="11"/>
  <c r="F48" i="11"/>
  <c r="G48" i="11"/>
  <c r="F49" i="11"/>
  <c r="G49" i="11"/>
  <c r="F50" i="11"/>
  <c r="G50" i="11"/>
  <c r="F51" i="11"/>
  <c r="G51" i="11"/>
  <c r="F52" i="11"/>
  <c r="G52" i="11"/>
  <c r="F53" i="11"/>
  <c r="G53" i="11"/>
  <c r="F54" i="11"/>
  <c r="G54" i="11"/>
  <c r="F55" i="11"/>
  <c r="G55" i="11"/>
  <c r="F56" i="11"/>
  <c r="G56" i="11"/>
  <c r="F57" i="11"/>
  <c r="G57" i="11"/>
  <c r="F58" i="11"/>
  <c r="G58" i="11"/>
  <c r="F59" i="11"/>
  <c r="G59" i="11"/>
  <c r="F60" i="11"/>
  <c r="G60" i="11"/>
  <c r="F61" i="11"/>
  <c r="G61" i="11"/>
  <c r="F62" i="11"/>
  <c r="G62" i="11"/>
  <c r="F63" i="11"/>
  <c r="G63" i="11"/>
  <c r="F64" i="11"/>
  <c r="G64" i="11"/>
  <c r="F65" i="11"/>
  <c r="G65" i="11"/>
  <c r="F66" i="11"/>
  <c r="G66" i="11"/>
  <c r="F67" i="11"/>
  <c r="G67" i="11"/>
  <c r="F68" i="11"/>
  <c r="G68" i="11"/>
  <c r="F69" i="11"/>
  <c r="G69" i="11"/>
  <c r="F70" i="11"/>
  <c r="G70" i="11"/>
  <c r="F71" i="11"/>
  <c r="G71" i="11"/>
  <c r="F72" i="11"/>
  <c r="G72" i="11"/>
  <c r="G4" i="11"/>
  <c r="F4" i="11"/>
  <c r="C17" i="10"/>
  <c r="F7" i="10"/>
  <c r="C13" i="10"/>
  <c r="Q59" i="3"/>
  <c r="P59" i="3"/>
  <c r="O59" i="3"/>
  <c r="N59" i="3"/>
  <c r="P2" i="7"/>
  <c r="E82" i="4"/>
  <c r="E81" i="4"/>
  <c r="D124" i="4" l="1"/>
  <c r="D123" i="4"/>
  <c r="D122" i="4"/>
  <c r="D121" i="4"/>
  <c r="D120" i="4"/>
  <c r="D119" i="4"/>
  <c r="D118" i="4"/>
  <c r="D117" i="4"/>
  <c r="D116" i="4"/>
  <c r="D115" i="4"/>
  <c r="D114" i="4"/>
  <c r="D113" i="4"/>
  <c r="D112" i="4"/>
  <c r="D111" i="4"/>
  <c r="D110" i="4"/>
  <c r="D109" i="4"/>
  <c r="D108" i="4"/>
  <c r="D107" i="4"/>
  <c r="D106" i="4"/>
  <c r="D105" i="4"/>
  <c r="D104" i="4"/>
  <c r="D103" i="4"/>
  <c r="D102" i="4"/>
  <c r="D101" i="4"/>
  <c r="D100" i="4"/>
  <c r="D99" i="4"/>
  <c r="D98" i="4"/>
  <c r="D97" i="4"/>
  <c r="D96" i="4"/>
  <c r="D95" i="4"/>
  <c r="D94" i="4"/>
  <c r="D93" i="4"/>
  <c r="D92" i="4"/>
  <c r="D91" i="4"/>
  <c r="D90" i="4"/>
  <c r="D89" i="4"/>
  <c r="D88" i="4"/>
  <c r="D87" i="4"/>
  <c r="D86" i="4"/>
  <c r="D85" i="4"/>
  <c r="D369" i="8"/>
  <c r="F369" i="8" s="1"/>
  <c r="D368" i="8"/>
  <c r="F368" i="8" s="1"/>
  <c r="D367" i="8"/>
  <c r="F367" i="8" s="1"/>
  <c r="D366" i="8"/>
  <c r="F366" i="8" s="1"/>
  <c r="D365" i="8"/>
  <c r="F365" i="8" s="1"/>
  <c r="F364" i="8"/>
  <c r="D364" i="8"/>
  <c r="D363" i="8"/>
  <c r="F363" i="8" s="1"/>
  <c r="D362" i="8"/>
  <c r="F362" i="8" s="1"/>
  <c r="D361" i="8"/>
  <c r="F361" i="8" s="1"/>
  <c r="F360" i="8"/>
  <c r="D360" i="8"/>
  <c r="F359" i="8"/>
  <c r="D359" i="8"/>
  <c r="D358" i="8"/>
  <c r="F358" i="8" s="1"/>
  <c r="D357" i="8"/>
  <c r="F357" i="8" s="1"/>
  <c r="D356" i="8"/>
  <c r="F356" i="8" s="1"/>
  <c r="F355" i="8"/>
  <c r="D355" i="8"/>
  <c r="D354" i="8"/>
  <c r="F354" i="8" s="1"/>
  <c r="D353" i="8"/>
  <c r="F353" i="8" s="1"/>
  <c r="D352" i="8"/>
  <c r="F352" i="8" s="1"/>
  <c r="D351" i="8"/>
  <c r="F351" i="8" s="1"/>
  <c r="D350" i="8"/>
  <c r="F350" i="8" s="1"/>
  <c r="D349" i="8"/>
  <c r="F349" i="8" s="1"/>
  <c r="F348" i="8"/>
  <c r="D348" i="8"/>
  <c r="D347" i="8"/>
  <c r="F347" i="8" s="1"/>
  <c r="D346" i="8"/>
  <c r="F346" i="8" s="1"/>
  <c r="D345" i="8"/>
  <c r="F345" i="8" s="1"/>
  <c r="F344" i="8"/>
  <c r="D344" i="8"/>
  <c r="F343" i="8"/>
  <c r="D343" i="8"/>
  <c r="D342" i="8"/>
  <c r="F342" i="8" s="1"/>
  <c r="D341" i="8"/>
  <c r="F341" i="8" s="1"/>
  <c r="D340" i="8"/>
  <c r="F340" i="8" s="1"/>
  <c r="F339" i="8"/>
  <c r="D339" i="8"/>
  <c r="D338" i="8"/>
  <c r="F338" i="8" s="1"/>
  <c r="D337" i="8"/>
  <c r="F337" i="8" s="1"/>
  <c r="D336" i="8"/>
  <c r="F336" i="8" s="1"/>
  <c r="D335" i="8"/>
  <c r="F335" i="8" s="1"/>
  <c r="D334" i="8"/>
  <c r="F334" i="8" s="1"/>
  <c r="D333" i="8"/>
  <c r="F333" i="8" s="1"/>
  <c r="F332" i="8"/>
  <c r="D332" i="8"/>
  <c r="D331" i="8"/>
  <c r="F331" i="8" s="1"/>
  <c r="D330" i="8"/>
  <c r="F330" i="8" s="1"/>
  <c r="D329" i="8"/>
  <c r="F329" i="8" s="1"/>
  <c r="F328" i="8"/>
  <c r="D328" i="8"/>
  <c r="F327" i="8"/>
  <c r="D327" i="8"/>
  <c r="D326" i="8"/>
  <c r="F326" i="8" s="1"/>
  <c r="D325" i="8"/>
  <c r="F325" i="8" s="1"/>
  <c r="D324" i="8"/>
  <c r="F324" i="8" s="1"/>
  <c r="F323" i="8"/>
  <c r="D323" i="8"/>
  <c r="D322" i="8"/>
  <c r="F322" i="8" s="1"/>
  <c r="D321" i="8"/>
  <c r="F321" i="8" s="1"/>
  <c r="D320" i="8"/>
  <c r="F320" i="8" s="1"/>
  <c r="D319" i="8"/>
  <c r="F319" i="8" s="1"/>
  <c r="D318" i="8"/>
  <c r="F318" i="8" s="1"/>
  <c r="D317" i="8"/>
  <c r="F317" i="8" s="1"/>
  <c r="F316" i="8"/>
  <c r="D316" i="8"/>
  <c r="D315" i="8"/>
  <c r="F315" i="8" s="1"/>
  <c r="D314" i="8"/>
  <c r="F314" i="8" s="1"/>
  <c r="D313" i="8"/>
  <c r="F313" i="8" s="1"/>
  <c r="F312" i="8"/>
  <c r="D312" i="8"/>
  <c r="F311" i="8"/>
  <c r="D311" i="8"/>
  <c r="D310" i="8"/>
  <c r="F310" i="8" s="1"/>
  <c r="D309" i="8"/>
  <c r="F309" i="8" s="1"/>
  <c r="D308" i="8"/>
  <c r="F308" i="8" s="1"/>
  <c r="F307" i="8"/>
  <c r="D307" i="8"/>
  <c r="D306" i="8"/>
  <c r="F306" i="8" s="1"/>
  <c r="D305" i="8"/>
  <c r="F305" i="8" s="1"/>
  <c r="D304" i="8"/>
  <c r="F304" i="8" s="1"/>
  <c r="D303" i="8"/>
  <c r="F303" i="8" s="1"/>
  <c r="D302" i="8"/>
  <c r="F302" i="8" s="1"/>
  <c r="D301" i="8"/>
  <c r="F301" i="8" s="1"/>
  <c r="F300" i="8"/>
  <c r="D300" i="8"/>
  <c r="D299" i="8"/>
  <c r="F299" i="8" s="1"/>
  <c r="D298" i="8"/>
  <c r="F298" i="8" s="1"/>
  <c r="D297" i="8"/>
  <c r="F297" i="8" s="1"/>
  <c r="F296" i="8"/>
  <c r="D296" i="8"/>
  <c r="F295" i="8"/>
  <c r="D295" i="8"/>
  <c r="D294" i="8"/>
  <c r="F294" i="8" s="1"/>
  <c r="D293" i="8"/>
  <c r="F293" i="8" s="1"/>
  <c r="D292" i="8"/>
  <c r="F292" i="8" s="1"/>
  <c r="F291" i="8"/>
  <c r="D291" i="8"/>
  <c r="D290" i="8"/>
  <c r="F290" i="8" s="1"/>
  <c r="D289" i="8"/>
  <c r="F289" i="8" s="1"/>
  <c r="D288" i="8"/>
  <c r="F288" i="8" s="1"/>
  <c r="D287" i="8"/>
  <c r="F287" i="8" s="1"/>
  <c r="D286" i="8"/>
  <c r="F286" i="8" s="1"/>
  <c r="D285" i="8"/>
  <c r="F285" i="8" s="1"/>
  <c r="F284" i="8"/>
  <c r="D284" i="8"/>
  <c r="D283" i="8"/>
  <c r="F283" i="8" s="1"/>
  <c r="D282" i="8"/>
  <c r="F282" i="8" s="1"/>
  <c r="D281" i="8"/>
  <c r="F281" i="8" s="1"/>
  <c r="F280" i="8"/>
  <c r="D280" i="8"/>
  <c r="F279" i="8"/>
  <c r="D279" i="8"/>
  <c r="D278" i="8"/>
  <c r="F278" i="8" s="1"/>
  <c r="D277" i="8"/>
  <c r="F277" i="8" s="1"/>
  <c r="D276" i="8"/>
  <c r="F276" i="8" s="1"/>
  <c r="F275" i="8"/>
  <c r="D275" i="8"/>
  <c r="D274" i="8"/>
  <c r="F274" i="8" s="1"/>
  <c r="D273" i="8"/>
  <c r="F273" i="8" s="1"/>
  <c r="D272" i="8"/>
  <c r="F272" i="8" s="1"/>
  <c r="D271" i="8"/>
  <c r="F271" i="8" s="1"/>
  <c r="D270" i="8"/>
  <c r="F270" i="8" s="1"/>
  <c r="D269" i="8"/>
  <c r="F269" i="8" s="1"/>
  <c r="F268" i="8"/>
  <c r="D268" i="8"/>
  <c r="D267" i="8"/>
  <c r="F267" i="8" s="1"/>
  <c r="D266" i="8"/>
  <c r="F266" i="8" s="1"/>
  <c r="D265" i="8"/>
  <c r="F265" i="8" s="1"/>
  <c r="F264" i="8"/>
  <c r="D264" i="8"/>
  <c r="F263" i="8"/>
  <c r="D263" i="8"/>
  <c r="D262" i="8"/>
  <c r="F262" i="8" s="1"/>
  <c r="D261" i="8"/>
  <c r="F261" i="8" s="1"/>
  <c r="D260" i="8"/>
  <c r="F260" i="8" s="1"/>
  <c r="D259" i="8"/>
  <c r="F259" i="8" s="1"/>
  <c r="D258" i="8"/>
  <c r="F258" i="8" s="1"/>
  <c r="D257" i="8"/>
  <c r="F257" i="8" s="1"/>
  <c r="F256" i="8"/>
  <c r="D256" i="8"/>
  <c r="F255" i="8"/>
  <c r="D255" i="8"/>
  <c r="D254" i="8"/>
  <c r="F254" i="8" s="1"/>
  <c r="D253" i="8"/>
  <c r="F253" i="8" s="1"/>
  <c r="D252" i="8"/>
  <c r="F252" i="8" s="1"/>
  <c r="F251" i="8"/>
  <c r="D251" i="8"/>
  <c r="D250" i="8"/>
  <c r="F250" i="8" s="1"/>
  <c r="D249" i="8"/>
  <c r="F249" i="8" s="1"/>
  <c r="D248" i="8"/>
  <c r="F248" i="8" s="1"/>
  <c r="D247" i="8"/>
  <c r="F247" i="8" s="1"/>
  <c r="D246" i="8"/>
  <c r="F246" i="8" s="1"/>
  <c r="D245" i="8"/>
  <c r="F245" i="8" s="1"/>
  <c r="D244" i="8"/>
  <c r="F244" i="8" s="1"/>
  <c r="D243" i="8"/>
  <c r="F243" i="8" s="1"/>
  <c r="D242" i="8"/>
  <c r="F242" i="8" s="1"/>
  <c r="D241" i="8"/>
  <c r="F241" i="8" s="1"/>
  <c r="F240" i="8"/>
  <c r="D240" i="8"/>
  <c r="D239" i="8"/>
  <c r="F239" i="8" s="1"/>
  <c r="D238" i="8"/>
  <c r="F238" i="8" s="1"/>
  <c r="D237" i="8"/>
  <c r="F237" i="8" s="1"/>
  <c r="D236" i="8"/>
  <c r="F236" i="8" s="1"/>
  <c r="D235" i="8"/>
  <c r="F235" i="8" s="1"/>
  <c r="D234" i="8"/>
  <c r="F234" i="8" s="1"/>
  <c r="D233" i="8"/>
  <c r="F233" i="8" s="1"/>
  <c r="F232" i="8"/>
  <c r="D232" i="8"/>
  <c r="D231" i="8"/>
  <c r="F231" i="8" s="1"/>
  <c r="D230" i="8"/>
  <c r="F230" i="8" s="1"/>
  <c r="D229" i="8"/>
  <c r="F229" i="8" s="1"/>
  <c r="D228" i="8"/>
  <c r="F228" i="8" s="1"/>
  <c r="D227" i="8"/>
  <c r="F227" i="8" s="1"/>
  <c r="D226" i="8"/>
  <c r="F226" i="8" s="1"/>
  <c r="D225" i="8"/>
  <c r="F225" i="8" s="1"/>
  <c r="D224" i="8"/>
  <c r="F224" i="8" s="1"/>
  <c r="D223" i="8"/>
  <c r="F223" i="8" s="1"/>
  <c r="D222" i="8"/>
  <c r="F222" i="8" s="1"/>
  <c r="D221" i="8"/>
  <c r="F221" i="8" s="1"/>
  <c r="D220" i="8"/>
  <c r="F220" i="8" s="1"/>
  <c r="D219" i="8"/>
  <c r="F219" i="8" s="1"/>
  <c r="D218" i="8"/>
  <c r="F218" i="8" s="1"/>
  <c r="D217" i="8"/>
  <c r="F217" i="8" s="1"/>
  <c r="D216" i="8"/>
  <c r="F216" i="8" s="1"/>
  <c r="F215" i="8"/>
  <c r="D215" i="8"/>
  <c r="D214" i="8"/>
  <c r="F214" i="8" s="1"/>
  <c r="D213" i="8"/>
  <c r="F213" i="8" s="1"/>
  <c r="D212" i="8"/>
  <c r="F212" i="8" s="1"/>
  <c r="D211" i="8"/>
  <c r="F211" i="8" s="1"/>
  <c r="D210" i="8"/>
  <c r="F210" i="8" s="1"/>
  <c r="D209" i="8"/>
  <c r="F209" i="8" s="1"/>
  <c r="D208" i="8"/>
  <c r="F208" i="8" s="1"/>
  <c r="D207" i="8"/>
  <c r="F207" i="8" s="1"/>
  <c r="D206" i="8"/>
  <c r="F206" i="8" s="1"/>
  <c r="D205" i="8"/>
  <c r="F205" i="8" s="1"/>
  <c r="D204" i="8"/>
  <c r="F204" i="8" s="1"/>
  <c r="D203" i="8"/>
  <c r="F203" i="8" s="1"/>
  <c r="D202" i="8"/>
  <c r="F202" i="8" s="1"/>
  <c r="D201" i="8"/>
  <c r="F201" i="8" s="1"/>
  <c r="F200" i="8"/>
  <c r="D200" i="8"/>
  <c r="D199" i="8"/>
  <c r="F199" i="8" s="1"/>
  <c r="D198" i="8"/>
  <c r="F198" i="8" s="1"/>
  <c r="D197" i="8"/>
  <c r="F197" i="8" s="1"/>
  <c r="D196" i="8"/>
  <c r="F196" i="8" s="1"/>
  <c r="D195" i="8"/>
  <c r="F195" i="8" s="1"/>
  <c r="D194" i="8"/>
  <c r="F194" i="8" s="1"/>
  <c r="D193" i="8"/>
  <c r="F193" i="8" s="1"/>
  <c r="D192" i="8"/>
  <c r="F192" i="8" s="1"/>
  <c r="D191" i="8"/>
  <c r="F191" i="8" s="1"/>
  <c r="D190" i="8"/>
  <c r="F190" i="8" s="1"/>
  <c r="D189" i="8"/>
  <c r="F189" i="8" s="1"/>
  <c r="D188" i="8"/>
  <c r="F188" i="8" s="1"/>
  <c r="D187" i="8"/>
  <c r="F187" i="8" s="1"/>
  <c r="D186" i="8"/>
  <c r="F186" i="8" s="1"/>
  <c r="D185" i="8"/>
  <c r="F185" i="8" s="1"/>
  <c r="D184" i="8"/>
  <c r="F184" i="8" s="1"/>
  <c r="F183" i="8"/>
  <c r="D183" i="8"/>
  <c r="D182" i="8"/>
  <c r="F182" i="8" s="1"/>
  <c r="D181" i="8"/>
  <c r="F181" i="8" s="1"/>
  <c r="D180" i="8"/>
  <c r="F180" i="8" s="1"/>
  <c r="D179" i="8"/>
  <c r="F179" i="8" s="1"/>
  <c r="D178" i="8"/>
  <c r="F178" i="8" s="1"/>
  <c r="D177" i="8"/>
  <c r="F177" i="8" s="1"/>
  <c r="D176" i="8"/>
  <c r="F176" i="8" s="1"/>
  <c r="D175" i="8"/>
  <c r="F175" i="8" s="1"/>
  <c r="D174" i="8"/>
  <c r="F174" i="8" s="1"/>
  <c r="D173" i="8"/>
  <c r="F173" i="8" s="1"/>
  <c r="D172" i="8"/>
  <c r="F172" i="8" s="1"/>
  <c r="D171" i="8"/>
  <c r="F171" i="8" s="1"/>
  <c r="D170" i="8"/>
  <c r="F170" i="8" s="1"/>
  <c r="D169" i="8"/>
  <c r="F169" i="8" s="1"/>
  <c r="D168" i="8"/>
  <c r="F168" i="8" s="1"/>
  <c r="D167" i="8"/>
  <c r="F167" i="8" s="1"/>
  <c r="D166" i="8"/>
  <c r="F166" i="8" s="1"/>
  <c r="D165" i="8"/>
  <c r="F165" i="8" s="1"/>
  <c r="D164" i="8"/>
  <c r="F164" i="8" s="1"/>
  <c r="D163" i="8"/>
  <c r="F163" i="8" s="1"/>
  <c r="D162" i="8"/>
  <c r="F162" i="8" s="1"/>
  <c r="D161" i="8"/>
  <c r="F161" i="8" s="1"/>
  <c r="D160" i="8"/>
  <c r="F160" i="8" s="1"/>
  <c r="D159" i="8"/>
  <c r="F159" i="8" s="1"/>
  <c r="D158" i="8"/>
  <c r="F158" i="8" s="1"/>
  <c r="D157" i="8"/>
  <c r="F157" i="8" s="1"/>
  <c r="D156" i="8"/>
  <c r="F156" i="8" s="1"/>
  <c r="D155" i="8"/>
  <c r="F155" i="8" s="1"/>
  <c r="D154" i="8"/>
  <c r="F154" i="8" s="1"/>
  <c r="D153" i="8"/>
  <c r="F153" i="8" s="1"/>
  <c r="D152" i="8"/>
  <c r="F152" i="8" s="1"/>
  <c r="F151" i="8"/>
  <c r="D151" i="8"/>
  <c r="D150" i="8"/>
  <c r="F150" i="8" s="1"/>
  <c r="D149" i="8"/>
  <c r="F149" i="8" s="1"/>
  <c r="D148" i="8"/>
  <c r="F148" i="8" s="1"/>
  <c r="D147" i="8"/>
  <c r="F147" i="8" s="1"/>
  <c r="D146" i="8"/>
  <c r="F146" i="8" s="1"/>
  <c r="D145" i="8"/>
  <c r="F145" i="8" s="1"/>
  <c r="D144" i="8"/>
  <c r="F144" i="8" s="1"/>
  <c r="D143" i="8"/>
  <c r="F143" i="8" s="1"/>
  <c r="D142" i="8"/>
  <c r="F142" i="8" s="1"/>
  <c r="D141" i="8"/>
  <c r="F141" i="8" s="1"/>
  <c r="D140" i="8"/>
  <c r="F140" i="8" s="1"/>
  <c r="D139" i="8"/>
  <c r="F139" i="8" s="1"/>
  <c r="D138" i="8"/>
  <c r="F138" i="8" s="1"/>
  <c r="D137" i="8"/>
  <c r="F137" i="8" s="1"/>
  <c r="D136" i="8"/>
  <c r="F136" i="8" s="1"/>
  <c r="D135" i="8"/>
  <c r="F135" i="8" s="1"/>
  <c r="D134" i="8"/>
  <c r="F134" i="8" s="1"/>
  <c r="D133" i="8"/>
  <c r="F133" i="8" s="1"/>
  <c r="D132" i="8"/>
  <c r="F132" i="8" s="1"/>
  <c r="D131" i="8"/>
  <c r="F131" i="8" s="1"/>
  <c r="D130" i="8"/>
  <c r="F130" i="8" s="1"/>
  <c r="D129" i="8"/>
  <c r="F129" i="8" s="1"/>
  <c r="D128" i="8"/>
  <c r="F128" i="8" s="1"/>
  <c r="D127" i="8"/>
  <c r="F127" i="8" s="1"/>
  <c r="D126" i="8"/>
  <c r="F126" i="8" s="1"/>
  <c r="D125" i="8"/>
  <c r="F125" i="8" s="1"/>
  <c r="D124" i="8"/>
  <c r="F124" i="8" s="1"/>
  <c r="D123" i="8"/>
  <c r="F123" i="8" s="1"/>
  <c r="D122" i="8"/>
  <c r="F122" i="8" s="1"/>
  <c r="D121" i="8"/>
  <c r="F121" i="8" s="1"/>
  <c r="D120" i="8"/>
  <c r="F120" i="8" s="1"/>
  <c r="F119" i="8"/>
  <c r="D119" i="8"/>
  <c r="D118" i="8"/>
  <c r="F118" i="8" s="1"/>
  <c r="D117" i="8"/>
  <c r="F117" i="8" s="1"/>
  <c r="D116" i="8"/>
  <c r="F116" i="8" s="1"/>
  <c r="D115" i="8"/>
  <c r="F115" i="8" s="1"/>
  <c r="D114" i="8"/>
  <c r="F114" i="8" s="1"/>
  <c r="D113" i="8"/>
  <c r="F113" i="8" s="1"/>
  <c r="D112" i="8"/>
  <c r="F112" i="8" s="1"/>
  <c r="D111" i="8"/>
  <c r="F111" i="8" s="1"/>
  <c r="D110" i="8"/>
  <c r="F110" i="8" s="1"/>
  <c r="D109" i="8"/>
  <c r="F109" i="8" s="1"/>
  <c r="D108" i="8"/>
  <c r="F108" i="8" s="1"/>
  <c r="D107" i="8"/>
  <c r="F107" i="8" s="1"/>
  <c r="D106" i="8"/>
  <c r="F106" i="8" s="1"/>
  <c r="D105" i="8"/>
  <c r="F105" i="8" s="1"/>
  <c r="D104" i="8"/>
  <c r="F104" i="8" s="1"/>
  <c r="D103" i="8"/>
  <c r="F103" i="8" s="1"/>
  <c r="D102" i="8"/>
  <c r="F102" i="8" s="1"/>
  <c r="D101" i="8"/>
  <c r="F101" i="8" s="1"/>
  <c r="F100" i="8"/>
  <c r="D100" i="8"/>
  <c r="D99" i="8"/>
  <c r="F99" i="8" s="1"/>
  <c r="D98" i="8"/>
  <c r="F98" i="8" s="1"/>
  <c r="D97" i="8"/>
  <c r="F97" i="8" s="1"/>
  <c r="D96" i="8"/>
  <c r="F96" i="8" s="1"/>
  <c r="D95" i="8"/>
  <c r="F95" i="8" s="1"/>
  <c r="D94" i="8"/>
  <c r="F94" i="8" s="1"/>
  <c r="D93" i="8"/>
  <c r="F93" i="8" s="1"/>
  <c r="D92" i="8"/>
  <c r="F92" i="8" s="1"/>
  <c r="F91" i="8"/>
  <c r="D91" i="8"/>
  <c r="D90" i="8"/>
  <c r="F90" i="8" s="1"/>
  <c r="D89" i="8"/>
  <c r="F89" i="8" s="1"/>
  <c r="F88" i="8"/>
  <c r="D88" i="8"/>
  <c r="D87" i="8"/>
  <c r="F87" i="8" s="1"/>
  <c r="D86" i="8"/>
  <c r="F86" i="8" s="1"/>
  <c r="D85" i="8"/>
  <c r="F85" i="8" s="1"/>
  <c r="D84" i="8"/>
  <c r="F84" i="8" s="1"/>
  <c r="D83" i="8"/>
  <c r="F83" i="8" s="1"/>
  <c r="F82" i="8"/>
  <c r="D82" i="8"/>
  <c r="D81" i="8"/>
  <c r="F81" i="8" s="1"/>
  <c r="D80" i="8"/>
  <c r="F80" i="8" s="1"/>
  <c r="D79" i="8"/>
  <c r="F79" i="8" s="1"/>
  <c r="D78" i="8"/>
  <c r="F78" i="8" s="1"/>
  <c r="D77" i="8"/>
  <c r="F77" i="8" s="1"/>
  <c r="D76" i="8"/>
  <c r="F76" i="8" s="1"/>
  <c r="D75" i="8"/>
  <c r="F75" i="8" s="1"/>
  <c r="D74" i="8"/>
  <c r="F74" i="8" s="1"/>
  <c r="D73" i="8"/>
  <c r="F73" i="8" s="1"/>
  <c r="D72" i="8"/>
  <c r="F72" i="8" s="1"/>
  <c r="D71" i="8"/>
  <c r="F71" i="8" s="1"/>
  <c r="F70" i="8"/>
  <c r="D70" i="8"/>
  <c r="D69" i="8"/>
  <c r="F69" i="8" s="1"/>
  <c r="F68" i="8"/>
  <c r="D68" i="8"/>
  <c r="D67" i="8"/>
  <c r="F67" i="8" s="1"/>
  <c r="D66" i="8"/>
  <c r="F66" i="8" s="1"/>
  <c r="D65" i="8"/>
  <c r="F65" i="8" s="1"/>
  <c r="D64" i="8"/>
  <c r="F64" i="8" s="1"/>
  <c r="D63" i="8"/>
  <c r="F63" i="8" s="1"/>
  <c r="D62" i="8"/>
  <c r="F62" i="8" s="1"/>
  <c r="D61" i="8"/>
  <c r="F61" i="8" s="1"/>
  <c r="D60" i="8"/>
  <c r="F60" i="8" s="1"/>
  <c r="F59" i="8"/>
  <c r="D59" i="8"/>
  <c r="D58" i="8"/>
  <c r="F58" i="8" s="1"/>
  <c r="D57" i="8"/>
  <c r="F57" i="8" s="1"/>
  <c r="D56" i="8"/>
  <c r="F56" i="8" s="1"/>
  <c r="D55" i="8"/>
  <c r="F55" i="8" s="1"/>
  <c r="D54" i="8"/>
  <c r="F54" i="8" s="1"/>
  <c r="D53" i="8"/>
  <c r="F53" i="8" s="1"/>
  <c r="D52" i="8"/>
  <c r="F52" i="8" s="1"/>
  <c r="D51" i="8"/>
  <c r="F51" i="8" s="1"/>
  <c r="D50" i="8"/>
  <c r="F50" i="8" s="1"/>
  <c r="D49" i="8"/>
  <c r="F49" i="8" s="1"/>
  <c r="D48" i="8"/>
  <c r="F48" i="8" s="1"/>
  <c r="F47" i="8"/>
  <c r="D47" i="8"/>
  <c r="D46" i="8"/>
  <c r="F46" i="8" s="1"/>
  <c r="D45" i="8"/>
  <c r="F45" i="8" s="1"/>
  <c r="D44" i="8"/>
  <c r="F44" i="8" s="1"/>
  <c r="D43" i="8"/>
  <c r="F43" i="8" s="1"/>
  <c r="D42" i="8"/>
  <c r="F42" i="8" s="1"/>
  <c r="D41" i="8"/>
  <c r="F41" i="8" s="1"/>
  <c r="D40" i="8"/>
  <c r="F40" i="8" s="1"/>
  <c r="D39" i="8"/>
  <c r="F39" i="8" s="1"/>
  <c r="D38" i="8"/>
  <c r="F38" i="8" s="1"/>
  <c r="D37" i="8"/>
  <c r="F37" i="8" s="1"/>
  <c r="F36" i="8"/>
  <c r="D36" i="8"/>
  <c r="D35" i="8"/>
  <c r="F35" i="8" s="1"/>
  <c r="D34" i="8"/>
  <c r="F34" i="8" s="1"/>
  <c r="D33" i="8"/>
  <c r="F33" i="8" s="1"/>
  <c r="D32" i="8"/>
  <c r="F32" i="8" s="1"/>
  <c r="D31" i="8"/>
  <c r="F31" i="8" s="1"/>
  <c r="D30" i="8"/>
  <c r="F30" i="8" s="1"/>
  <c r="D29" i="8"/>
  <c r="F29" i="8" s="1"/>
  <c r="F28" i="8"/>
  <c r="D28" i="8"/>
  <c r="D27" i="8"/>
  <c r="F27" i="8" s="1"/>
  <c r="D26" i="8"/>
  <c r="F26" i="8" s="1"/>
  <c r="F25" i="8"/>
  <c r="D25" i="8"/>
  <c r="D24" i="8"/>
  <c r="F24" i="8" s="1"/>
  <c r="D23" i="8"/>
  <c r="F23" i="8" s="1"/>
  <c r="D22" i="8"/>
  <c r="F22" i="8" s="1"/>
  <c r="D21" i="8"/>
  <c r="F21" i="8" s="1"/>
  <c r="D20" i="8"/>
  <c r="F20" i="8" s="1"/>
  <c r="D19" i="8"/>
  <c r="F19" i="8" s="1"/>
  <c r="D18" i="8"/>
  <c r="F18" i="8" s="1"/>
  <c r="D17" i="8"/>
  <c r="F17" i="8" s="1"/>
  <c r="D16" i="8"/>
  <c r="F16" i="8" s="1"/>
  <c r="D15" i="8"/>
  <c r="F15" i="8" s="1"/>
  <c r="D14" i="8"/>
  <c r="F14" i="8" s="1"/>
  <c r="F13" i="8"/>
  <c r="D13" i="8"/>
  <c r="D12" i="8"/>
  <c r="F12" i="8" s="1"/>
  <c r="D11" i="8"/>
  <c r="F11" i="8" s="1"/>
  <c r="D10" i="8"/>
  <c r="F10" i="8" s="1"/>
  <c r="E4" i="8"/>
  <c r="F6" i="8"/>
  <c r="E85" i="4"/>
  <c r="F4" i="8"/>
  <c r="F3" i="8"/>
  <c r="E5" i="8" l="1"/>
  <c r="E6" i="8" s="1"/>
  <c r="C81" i="4"/>
  <c r="C82" i="4" s="1"/>
  <c r="E3" i="8"/>
  <c r="B11" i="7" l="1"/>
  <c r="A11" i="7"/>
  <c r="M14" i="3" l="1"/>
  <c r="M18" i="3" s="1"/>
  <c r="M22" i="3" s="1"/>
  <c r="M25" i="3" s="1"/>
  <c r="M27" i="3" s="1"/>
  <c r="O36" i="3"/>
  <c r="P36" i="3"/>
  <c r="Q36" i="3"/>
  <c r="O37" i="3"/>
  <c r="P37" i="3"/>
  <c r="Q37" i="3"/>
  <c r="O38" i="3"/>
  <c r="P38" i="3"/>
  <c r="Q38" i="3"/>
  <c r="O45" i="3"/>
  <c r="P45" i="3"/>
  <c r="Q45" i="3"/>
  <c r="O46" i="3"/>
  <c r="P46" i="3"/>
  <c r="Q46" i="3"/>
  <c r="O47" i="3"/>
  <c r="P47" i="3"/>
  <c r="Q47" i="3"/>
  <c r="O48" i="3"/>
  <c r="P48" i="3"/>
  <c r="Q48" i="3"/>
  <c r="O64" i="3"/>
  <c r="P64" i="3"/>
  <c r="Q64" i="3"/>
  <c r="O65" i="3"/>
  <c r="P65" i="3"/>
  <c r="Q65" i="3"/>
  <c r="O67" i="3"/>
  <c r="P67" i="3"/>
  <c r="Q67" i="3"/>
  <c r="O68" i="3"/>
  <c r="P68" i="3"/>
  <c r="Q68" i="3"/>
  <c r="O17" i="3"/>
  <c r="P17" i="3"/>
  <c r="Q17" i="3"/>
  <c r="O23" i="3"/>
  <c r="P23" i="3"/>
  <c r="Q23" i="3"/>
  <c r="O24" i="3"/>
  <c r="P24" i="3"/>
  <c r="Q24" i="3"/>
  <c r="O26" i="3"/>
  <c r="P26" i="3"/>
  <c r="Q26" i="3"/>
  <c r="N68" i="3"/>
  <c r="N67" i="3"/>
  <c r="N65" i="3"/>
  <c r="N64" i="3"/>
  <c r="N48" i="3"/>
  <c r="N47" i="3"/>
  <c r="N46" i="3"/>
  <c r="N45" i="3"/>
  <c r="N38" i="3"/>
  <c r="N37" i="3"/>
  <c r="N36" i="3"/>
  <c r="D27" i="3"/>
  <c r="E27" i="3"/>
  <c r="F27" i="3"/>
  <c r="G27" i="3"/>
  <c r="C27" i="3"/>
  <c r="N26" i="3"/>
  <c r="N24" i="3"/>
  <c r="N23" i="3"/>
  <c r="N17" i="3"/>
  <c r="N4" i="3"/>
  <c r="O4" i="3" s="1"/>
  <c r="D76" i="4"/>
  <c r="C77" i="4" s="1"/>
  <c r="E76" i="4"/>
  <c r="F76" i="4"/>
  <c r="G76" i="4"/>
  <c r="C76" i="4"/>
  <c r="J65" i="4"/>
  <c r="K64" i="4"/>
  <c r="L64" i="4"/>
  <c r="M64" i="4"/>
  <c r="N64" i="4"/>
  <c r="J64" i="4"/>
  <c r="J48" i="3"/>
  <c r="J47" i="3"/>
  <c r="J45" i="3"/>
  <c r="D70" i="4"/>
  <c r="E70" i="4"/>
  <c r="F70" i="4"/>
  <c r="G70" i="4"/>
  <c r="C70" i="4"/>
  <c r="C71" i="4" s="1"/>
  <c r="J37" i="3"/>
  <c r="J58" i="4"/>
  <c r="K57" i="4"/>
  <c r="L57" i="4"/>
  <c r="M57" i="4"/>
  <c r="N57" i="4"/>
  <c r="J57" i="4"/>
  <c r="K51" i="4"/>
  <c r="L51" i="4"/>
  <c r="J52" i="4" s="1"/>
  <c r="M51" i="4"/>
  <c r="N51" i="4"/>
  <c r="J51" i="4"/>
  <c r="J26" i="3"/>
  <c r="J24" i="3"/>
  <c r="L44" i="4"/>
  <c r="M44" i="4"/>
  <c r="N44" i="4"/>
  <c r="K44" i="4"/>
  <c r="K37" i="4"/>
  <c r="L37" i="4"/>
  <c r="M37" i="4"/>
  <c r="N37" i="4"/>
  <c r="J37" i="4"/>
  <c r="J38" i="4" s="1"/>
  <c r="J17" i="3"/>
  <c r="K29" i="4"/>
  <c r="L29" i="4"/>
  <c r="M29" i="4"/>
  <c r="N29" i="4"/>
  <c r="J29" i="4"/>
  <c r="C46" i="6"/>
  <c r="C34" i="6"/>
  <c r="C35" i="6"/>
  <c r="C36" i="6"/>
  <c r="C37" i="6"/>
  <c r="C38" i="6"/>
  <c r="C39" i="6"/>
  <c r="C40" i="6"/>
  <c r="C41" i="6"/>
  <c r="C42" i="6"/>
  <c r="C43" i="6"/>
  <c r="C33" i="6"/>
  <c r="C44" i="6"/>
  <c r="C29" i="6"/>
  <c r="C19" i="6"/>
  <c r="C20" i="6"/>
  <c r="C21" i="6"/>
  <c r="C22" i="6"/>
  <c r="C23" i="6"/>
  <c r="C24" i="6"/>
  <c r="C25" i="6"/>
  <c r="C26" i="6"/>
  <c r="C27" i="6"/>
  <c r="C28" i="6"/>
  <c r="C18" i="6"/>
  <c r="D63" i="4"/>
  <c r="E63" i="4"/>
  <c r="F63" i="4"/>
  <c r="G63" i="4"/>
  <c r="C63" i="4"/>
  <c r="D57" i="4"/>
  <c r="E57" i="4"/>
  <c r="F57" i="4"/>
  <c r="G57" i="4"/>
  <c r="C57" i="4"/>
  <c r="C45" i="4"/>
  <c r="E41" i="4"/>
  <c r="F41" i="4"/>
  <c r="G41" i="4"/>
  <c r="E42" i="4"/>
  <c r="F42" i="4"/>
  <c r="G42" i="4"/>
  <c r="D41" i="4"/>
  <c r="D42" i="4"/>
  <c r="C41" i="4"/>
  <c r="C42" i="4"/>
  <c r="G40" i="4"/>
  <c r="F40" i="4"/>
  <c r="E40" i="4"/>
  <c r="D40" i="4"/>
  <c r="D50" i="4" s="1"/>
  <c r="C40" i="4"/>
  <c r="G30" i="4"/>
  <c r="F30" i="4"/>
  <c r="E30" i="4"/>
  <c r="D30" i="4"/>
  <c r="C30" i="4"/>
  <c r="D8" i="4"/>
  <c r="D9" i="4" s="1"/>
  <c r="D7" i="4"/>
  <c r="E5" i="4"/>
  <c r="F5" i="4"/>
  <c r="G5" i="4"/>
  <c r="H5" i="4"/>
  <c r="I5" i="4"/>
  <c r="J5" i="4"/>
  <c r="K5" i="4"/>
  <c r="L5" i="4"/>
  <c r="M5" i="4"/>
  <c r="N5" i="4"/>
  <c r="O5" i="4"/>
  <c r="P5" i="4"/>
  <c r="D5" i="4"/>
  <c r="J68" i="3"/>
  <c r="J67" i="3"/>
  <c r="J65" i="3"/>
  <c r="J59" i="3"/>
  <c r="G57" i="3"/>
  <c r="J46" i="3"/>
  <c r="M69" i="3"/>
  <c r="M61" i="3"/>
  <c r="M57" i="3"/>
  <c r="M62" i="3" s="1"/>
  <c r="M44" i="3"/>
  <c r="M49" i="3" s="1"/>
  <c r="M50" i="3" s="1"/>
  <c r="M39" i="3"/>
  <c r="M12" i="3"/>
  <c r="M7" i="3"/>
  <c r="G69" i="3"/>
  <c r="F69" i="3"/>
  <c r="E69" i="3"/>
  <c r="D69" i="3"/>
  <c r="C69" i="3"/>
  <c r="G61" i="3"/>
  <c r="F61" i="3"/>
  <c r="E61" i="3"/>
  <c r="D61" i="3"/>
  <c r="C61" i="3"/>
  <c r="F57" i="3"/>
  <c r="E57" i="3"/>
  <c r="E62" i="3" s="1"/>
  <c r="D57" i="3"/>
  <c r="D62" i="3" s="1"/>
  <c r="C57" i="3"/>
  <c r="G44" i="3"/>
  <c r="G49" i="3" s="1"/>
  <c r="G50" i="3" s="1"/>
  <c r="F44" i="3"/>
  <c r="F49" i="3" s="1"/>
  <c r="F50" i="3" s="1"/>
  <c r="E44" i="3"/>
  <c r="E49" i="3" s="1"/>
  <c r="E50" i="3" s="1"/>
  <c r="D44" i="3"/>
  <c r="D49" i="3" s="1"/>
  <c r="D50" i="3" s="1"/>
  <c r="C44" i="3"/>
  <c r="C49" i="3" s="1"/>
  <c r="G39" i="3"/>
  <c r="F39" i="3"/>
  <c r="E39" i="3"/>
  <c r="D39" i="3"/>
  <c r="C39" i="3"/>
  <c r="G22" i="3"/>
  <c r="G25" i="3" s="1"/>
  <c r="F22" i="3"/>
  <c r="F25" i="3" s="1"/>
  <c r="G18" i="3"/>
  <c r="F18" i="3"/>
  <c r="E18" i="3"/>
  <c r="E22" i="3" s="1"/>
  <c r="E25" i="3" s="1"/>
  <c r="D18" i="3"/>
  <c r="D22" i="3" s="1"/>
  <c r="D25" i="3" s="1"/>
  <c r="C18" i="3"/>
  <c r="C22" i="3" s="1"/>
  <c r="C25" i="3" s="1"/>
  <c r="G12" i="3"/>
  <c r="F12" i="3"/>
  <c r="E12" i="3"/>
  <c r="D12" i="3"/>
  <c r="C12" i="3"/>
  <c r="G7" i="3"/>
  <c r="F7" i="3"/>
  <c r="E7" i="3"/>
  <c r="D7" i="3"/>
  <c r="C7" i="3"/>
  <c r="C7" i="2"/>
  <c r="D7" i="2"/>
  <c r="E7" i="2"/>
  <c r="F7" i="2"/>
  <c r="G7" i="2"/>
  <c r="D18" i="2"/>
  <c r="D22" i="2" s="1"/>
  <c r="D25" i="2" s="1"/>
  <c r="E18" i="2"/>
  <c r="E22" i="2" s="1"/>
  <c r="E25" i="2" s="1"/>
  <c r="F18" i="2"/>
  <c r="F22" i="2" s="1"/>
  <c r="F25" i="2" s="1"/>
  <c r="G18" i="2"/>
  <c r="G22" i="2" s="1"/>
  <c r="G25" i="2" s="1"/>
  <c r="C18" i="2"/>
  <c r="C22" i="2" s="1"/>
  <c r="C25" i="2" s="1"/>
  <c r="D12" i="2"/>
  <c r="E12" i="2"/>
  <c r="F12" i="2"/>
  <c r="G12" i="2"/>
  <c r="C12" i="2"/>
  <c r="D45" i="1"/>
  <c r="D46" i="1" s="1"/>
  <c r="E45" i="1"/>
  <c r="F45" i="1"/>
  <c r="G45" i="1"/>
  <c r="C45" i="1"/>
  <c r="D37" i="1"/>
  <c r="D38" i="1" s="1"/>
  <c r="E37" i="1"/>
  <c r="F37" i="1"/>
  <c r="G37" i="1"/>
  <c r="C37" i="1"/>
  <c r="D33" i="1"/>
  <c r="E33" i="1"/>
  <c r="F33" i="1"/>
  <c r="G33" i="1"/>
  <c r="C33" i="1"/>
  <c r="D17" i="1"/>
  <c r="D22" i="1" s="1"/>
  <c r="E17" i="1"/>
  <c r="E22" i="1" s="1"/>
  <c r="E23" i="1" s="1"/>
  <c r="F17" i="1"/>
  <c r="F22" i="1" s="1"/>
  <c r="G17" i="1"/>
  <c r="G22" i="1" s="1"/>
  <c r="C17" i="1"/>
  <c r="C22" i="1" s="1"/>
  <c r="D12" i="1"/>
  <c r="E12" i="1"/>
  <c r="F12" i="1"/>
  <c r="G12" i="1"/>
  <c r="C12" i="1"/>
  <c r="E6" i="4"/>
  <c r="E7" i="4"/>
  <c r="E9" i="4"/>
  <c r="O5" i="3" l="1"/>
  <c r="O60" i="3"/>
  <c r="O61" i="3" s="1"/>
  <c r="O35" i="3"/>
  <c r="P4" i="3"/>
  <c r="P5" i="3" s="1"/>
  <c r="O42" i="3"/>
  <c r="O21" i="3"/>
  <c r="O10" i="3"/>
  <c r="O11" i="3"/>
  <c r="O56" i="3"/>
  <c r="O34" i="3"/>
  <c r="N56" i="3"/>
  <c r="N5" i="3"/>
  <c r="N10" i="3"/>
  <c r="N11" i="3"/>
  <c r="N42" i="3"/>
  <c r="N83" i="3" s="1"/>
  <c r="N21" i="3"/>
  <c r="N60" i="3"/>
  <c r="N61" i="3" s="1"/>
  <c r="N34" i="3"/>
  <c r="N35" i="3"/>
  <c r="C50" i="4"/>
  <c r="E50" i="4"/>
  <c r="J45" i="4"/>
  <c r="G50" i="4"/>
  <c r="C58" i="4"/>
  <c r="J30" i="4"/>
  <c r="C64" i="4"/>
  <c r="F50" i="4"/>
  <c r="C31" i="4"/>
  <c r="D6" i="4"/>
  <c r="D10" i="4" s="1"/>
  <c r="F62" i="3"/>
  <c r="F70" i="3" s="1"/>
  <c r="C50" i="3"/>
  <c r="C62" i="3"/>
  <c r="C70" i="3" s="1"/>
  <c r="G62" i="3"/>
  <c r="G70" i="3" s="1"/>
  <c r="M70" i="3"/>
  <c r="D70" i="3"/>
  <c r="E70" i="3"/>
  <c r="F38" i="1"/>
  <c r="C23" i="1"/>
  <c r="E38" i="1"/>
  <c r="E46" i="1" s="1"/>
  <c r="G38" i="1"/>
  <c r="G46" i="1" s="1"/>
  <c r="G23" i="1"/>
  <c r="F23" i="1"/>
  <c r="D23" i="1"/>
  <c r="C46" i="1"/>
  <c r="C38" i="1"/>
  <c r="F46" i="1"/>
  <c r="P10" i="3" l="1"/>
  <c r="N6" i="3"/>
  <c r="N80" i="3" s="1"/>
  <c r="O12" i="3"/>
  <c r="P21" i="3"/>
  <c r="O83" i="3"/>
  <c r="Q4" i="3"/>
  <c r="R4" i="3" s="1"/>
  <c r="O6" i="3"/>
  <c r="O7" i="3" s="1"/>
  <c r="N12" i="3"/>
  <c r="P11" i="3"/>
  <c r="P60" i="3"/>
  <c r="P61" i="3" s="1"/>
  <c r="P42" i="3"/>
  <c r="P6" i="3" s="1"/>
  <c r="P80" i="3" s="1"/>
  <c r="P34" i="3"/>
  <c r="P35" i="3"/>
  <c r="P56" i="3"/>
  <c r="C51" i="4"/>
  <c r="P12" i="3" l="1"/>
  <c r="N43" i="3"/>
  <c r="O43" i="3" s="1"/>
  <c r="N7" i="3"/>
  <c r="N14" i="3" s="1"/>
  <c r="Q10" i="3"/>
  <c r="O14" i="3"/>
  <c r="Q35" i="3"/>
  <c r="Q5" i="3"/>
  <c r="Q42" i="3"/>
  <c r="Q6" i="3" s="1"/>
  <c r="Q80" i="3" s="1"/>
  <c r="Q60" i="3"/>
  <c r="Q61" i="3" s="1"/>
  <c r="Q21" i="3"/>
  <c r="Q56" i="3"/>
  <c r="Q11" i="3"/>
  <c r="Q34" i="3"/>
  <c r="R21" i="3"/>
  <c r="R60" i="3"/>
  <c r="R61" i="3" s="1"/>
  <c r="R11" i="3"/>
  <c r="R56" i="3"/>
  <c r="R5" i="3"/>
  <c r="R35" i="3"/>
  <c r="R42" i="3"/>
  <c r="R10" i="3"/>
  <c r="R34" i="3"/>
  <c r="P83" i="3"/>
  <c r="O80" i="3"/>
  <c r="P7" i="3"/>
  <c r="P14" i="3" l="1"/>
  <c r="N44" i="3"/>
  <c r="N49" i="3" s="1"/>
  <c r="Q12" i="3"/>
  <c r="Q83" i="3"/>
  <c r="R83" i="3"/>
  <c r="R12" i="3"/>
  <c r="R6" i="3"/>
  <c r="R80" i="3" s="1"/>
  <c r="Q7" i="3"/>
  <c r="P43" i="3"/>
  <c r="O44" i="3"/>
  <c r="N72" i="3" l="1"/>
  <c r="Q14" i="3"/>
  <c r="R7" i="3"/>
  <c r="R14" i="3" s="1"/>
  <c r="Q43" i="3"/>
  <c r="P44" i="3"/>
  <c r="O72" i="3"/>
  <c r="O49" i="3"/>
  <c r="Q44" i="3" l="1"/>
  <c r="Q49" i="3" s="1"/>
  <c r="R43" i="3"/>
  <c r="R44" i="3" s="1"/>
  <c r="P72" i="3"/>
  <c r="P49" i="3"/>
  <c r="Q72" i="3" l="1"/>
  <c r="R49" i="3"/>
  <c r="R72" i="3"/>
  <c r="N15" i="3"/>
  <c r="O15" i="3"/>
  <c r="P15" i="3"/>
  <c r="Q15" i="3"/>
  <c r="R15" i="3"/>
  <c r="N16" i="3"/>
  <c r="O16" i="3"/>
  <c r="P16" i="3"/>
  <c r="Q16" i="3"/>
  <c r="R16" i="3"/>
  <c r="N18" i="3"/>
  <c r="O18" i="3"/>
  <c r="P18" i="3"/>
  <c r="Q18" i="3"/>
  <c r="R18" i="3"/>
  <c r="N20" i="3"/>
  <c r="O20" i="3"/>
  <c r="P20" i="3"/>
  <c r="Q20" i="3"/>
  <c r="R20" i="3"/>
  <c r="N22" i="3"/>
  <c r="O22" i="3"/>
  <c r="P22" i="3"/>
  <c r="Q22" i="3"/>
  <c r="R22" i="3"/>
  <c r="N25" i="3"/>
  <c r="O25" i="3"/>
  <c r="P25" i="3"/>
  <c r="Q25" i="3"/>
  <c r="R25" i="3"/>
  <c r="N27" i="3"/>
  <c r="O27" i="3"/>
  <c r="P27" i="3"/>
  <c r="Q27" i="3"/>
  <c r="R27" i="3"/>
  <c r="N33" i="3"/>
  <c r="O33" i="3"/>
  <c r="P33" i="3"/>
  <c r="Q33" i="3"/>
  <c r="R33" i="3"/>
  <c r="N39" i="3"/>
  <c r="O39" i="3"/>
  <c r="P39" i="3"/>
  <c r="Q39" i="3"/>
  <c r="R39" i="3"/>
  <c r="N50" i="3"/>
  <c r="O50" i="3"/>
  <c r="P50" i="3"/>
  <c r="Q50" i="3"/>
  <c r="R50" i="3"/>
  <c r="N55" i="3"/>
  <c r="O55" i="3"/>
  <c r="P55" i="3"/>
  <c r="Q55" i="3"/>
  <c r="R55" i="3"/>
  <c r="N57" i="3"/>
  <c r="O57" i="3"/>
  <c r="P57" i="3"/>
  <c r="Q57" i="3"/>
  <c r="R57" i="3"/>
  <c r="N62" i="3"/>
  <c r="O62" i="3"/>
  <c r="P62" i="3"/>
  <c r="Q62" i="3"/>
  <c r="R62" i="3"/>
  <c r="N66" i="3"/>
  <c r="O66" i="3"/>
  <c r="P66" i="3"/>
  <c r="Q66" i="3"/>
  <c r="R66" i="3"/>
  <c r="N69" i="3"/>
  <c r="O69" i="3"/>
  <c r="P69" i="3"/>
  <c r="Q69" i="3"/>
  <c r="R69" i="3"/>
  <c r="N70" i="3"/>
  <c r="O70" i="3"/>
  <c r="P70" i="3"/>
  <c r="Q70" i="3"/>
  <c r="R70" i="3"/>
  <c r="N73" i="3"/>
  <c r="O73" i="3"/>
  <c r="P73" i="3"/>
  <c r="Q73" i="3"/>
  <c r="R73" i="3"/>
  <c r="N74" i="3"/>
  <c r="O74" i="3"/>
  <c r="P74" i="3"/>
  <c r="Q74" i="3"/>
  <c r="R74" i="3"/>
  <c r="V77" i="3"/>
  <c r="N79" i="3"/>
  <c r="O79" i="3"/>
  <c r="P79" i="3"/>
  <c r="Q79" i="3"/>
  <c r="R79" i="3"/>
  <c r="N81" i="3"/>
  <c r="O81" i="3"/>
  <c r="P81" i="3"/>
  <c r="Q81" i="3"/>
  <c r="R81" i="3"/>
  <c r="N82" i="3"/>
  <c r="O82" i="3"/>
  <c r="P82" i="3"/>
  <c r="Q82" i="3"/>
  <c r="R82" i="3"/>
  <c r="N84" i="3"/>
  <c r="O84" i="3"/>
  <c r="P84" i="3"/>
  <c r="Q84" i="3"/>
  <c r="R84" i="3"/>
  <c r="N85" i="3"/>
  <c r="O85" i="3"/>
  <c r="P85" i="3"/>
  <c r="Q85" i="3"/>
  <c r="R85" i="3"/>
  <c r="N86" i="3"/>
  <c r="O86" i="3"/>
  <c r="P86" i="3"/>
  <c r="Q86" i="3"/>
  <c r="R86" i="3"/>
  <c r="N88" i="3"/>
  <c r="O88" i="3"/>
  <c r="P88" i="3"/>
  <c r="Q88" i="3"/>
  <c r="R88" i="3"/>
  <c r="M90" i="3"/>
  <c r="M93" i="3"/>
  <c r="M9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4" authorId="0" shapeId="0" xr:uid="{B230FA80-2F4A-4C92-B430-0096DE3CAF98}">
      <text>
        <r>
          <rPr>
            <b/>
            <sz val="9"/>
            <color indexed="81"/>
            <rFont val="Tahoma"/>
            <family val="2"/>
          </rPr>
          <t>Assumption</t>
        </r>
        <r>
          <rPr>
            <sz val="9"/>
            <color indexed="81"/>
            <rFont val="Tahoma"/>
            <family val="2"/>
          </rPr>
          <t>: Growth rate
  Triangular distribution
  Minimum = 1.90%
  Likeliest = 2.50%
  Maximum = 2.70%</t>
        </r>
      </text>
    </comment>
    <comment ref="J10" authorId="0" shapeId="0" xr:uid="{9C41E87E-93D6-4986-A7F5-7F23942E42DB}">
      <text>
        <r>
          <rPr>
            <b/>
            <sz val="9"/>
            <color indexed="81"/>
            <rFont val="Tahoma"/>
            <family val="2"/>
          </rPr>
          <t>Assumption</t>
        </r>
        <r>
          <rPr>
            <sz val="9"/>
            <color indexed="81"/>
            <rFont val="Tahoma"/>
            <family val="2"/>
          </rPr>
          <t>: % Sales
  Triangular distribution
  Minimum = 19.70%
  Likeliest = 21.90%
  Maximum = 24.10%</t>
        </r>
      </text>
    </comment>
    <comment ref="J34" authorId="0" shapeId="0" xr:uid="{C45D8B7A-3B98-4951-84F2-379296542220}">
      <text>
        <r>
          <rPr>
            <b/>
            <sz val="9"/>
            <color indexed="81"/>
            <rFont val="Tahoma"/>
            <family val="2"/>
          </rPr>
          <t>Assumption</t>
        </r>
        <r>
          <rPr>
            <sz val="9"/>
            <color indexed="81"/>
            <rFont val="Tahoma"/>
            <family val="2"/>
          </rPr>
          <t>: % Sales (J34)
  Triangular distribution
  Minimum = 11.20%
  Likeliest = 12.50%
  Maximum = 13.70%</t>
        </r>
      </text>
    </comment>
    <comment ref="J35" authorId="0" shapeId="0" xr:uid="{39E03605-39A4-4DFE-979B-1DDA51356B86}">
      <text>
        <r>
          <rPr>
            <b/>
            <sz val="9"/>
            <color indexed="81"/>
            <rFont val="Tahoma"/>
            <family val="2"/>
          </rPr>
          <t>Assumption</t>
        </r>
        <r>
          <rPr>
            <sz val="9"/>
            <color indexed="81"/>
            <rFont val="Tahoma"/>
            <family val="2"/>
          </rPr>
          <t>: % Sales (J35)
  Triangular distribution
  Minimum = 1.10%
  Likeliest = 1.20%
  Maximum = 1.40%</t>
        </r>
      </text>
    </comment>
    <comment ref="J42" authorId="0" shapeId="0" xr:uid="{5DEC5BE5-F690-4472-BAA8-5C4B00A6AA38}">
      <text>
        <r>
          <rPr>
            <b/>
            <sz val="9"/>
            <color indexed="81"/>
            <rFont val="Tahoma"/>
            <family val="2"/>
          </rPr>
          <t>Assumption</t>
        </r>
        <r>
          <rPr>
            <sz val="9"/>
            <color indexed="81"/>
            <rFont val="Tahoma"/>
            <family val="2"/>
          </rPr>
          <t>: % Sales (J42)
  Triangular distribution
  Minimum = 68.00%
  Likeliest = 70.00%
  Maximum = 77.00%</t>
        </r>
      </text>
    </comment>
    <comment ref="M76" authorId="0" shapeId="0" xr:uid="{649F7479-2751-4EA8-95A1-4B6F9D78F51C}">
      <text>
        <r>
          <rPr>
            <b/>
            <sz val="9"/>
            <color indexed="81"/>
            <rFont val="Tahoma"/>
            <family val="2"/>
          </rPr>
          <t>Assumption</t>
        </r>
        <r>
          <rPr>
            <sz val="9"/>
            <color indexed="81"/>
            <rFont val="Tahoma"/>
            <family val="2"/>
          </rPr>
          <t>: Long-term growth rate · 1
  Uniform distribution
  Minimum = 2.00%
  Maximum = 2.40%</t>
        </r>
      </text>
    </comment>
    <comment ref="M77" authorId="0" shapeId="0" xr:uid="{D6871A0C-382B-4281-86F6-7E0BDA18A4BF}">
      <text>
        <r>
          <rPr>
            <b/>
            <sz val="9"/>
            <color indexed="81"/>
            <rFont val="Tahoma"/>
            <family val="2"/>
          </rPr>
          <t>Assumption</t>
        </r>
        <r>
          <rPr>
            <sz val="9"/>
            <color indexed="81"/>
            <rFont val="Tahoma"/>
            <family val="2"/>
          </rPr>
          <t>: WACC · 1
  Uniform distribution
  Minimum = 7.90%
  Maximum = 9.60%</t>
        </r>
      </text>
    </comment>
    <comment ref="M95" authorId="0" shapeId="0" xr:uid="{A0F70E88-B2EC-4635-94F3-85B9C33031C8}">
      <text>
        <r>
          <rPr>
            <b/>
            <sz val="9"/>
            <color indexed="81"/>
            <rFont val="Tahoma"/>
            <family val="2"/>
          </rPr>
          <t>Forecast</t>
        </r>
        <r>
          <rPr>
            <sz val="9"/>
            <color indexed="81"/>
            <rFont val="Tahoma"/>
            <family val="2"/>
          </rPr>
          <t>: Stock price</t>
        </r>
      </text>
    </comment>
  </commentList>
</comments>
</file>

<file path=xl/sharedStrings.xml><?xml version="1.0" encoding="utf-8"?>
<sst xmlns="http://schemas.openxmlformats.org/spreadsheetml/2006/main" count="459" uniqueCount="196">
  <si>
    <t>2014-12</t>
  </si>
  <si>
    <t>2015-12</t>
  </si>
  <si>
    <t>2016-12</t>
  </si>
  <si>
    <t>2017-12</t>
  </si>
  <si>
    <t>2018-12</t>
  </si>
  <si>
    <t>Assets</t>
  </si>
  <si>
    <t>Current assets</t>
  </si>
  <si>
    <t>Cash and cash equivalents</t>
  </si>
  <si>
    <t>Receivables</t>
  </si>
  <si>
    <t>Inventories</t>
  </si>
  <si>
    <t>Deferred income taxes</t>
  </si>
  <si>
    <t>Prepaid expenses</t>
  </si>
  <si>
    <t>Other current assets</t>
  </si>
  <si>
    <t>Total current assets</t>
  </si>
  <si>
    <t>Non-current assets</t>
  </si>
  <si>
    <t>Property, plant and equipment</t>
  </si>
  <si>
    <t>Gross property, plant and equipment</t>
  </si>
  <si>
    <t>Accumulated Depreciation</t>
  </si>
  <si>
    <t>Net property, plant and equipment</t>
  </si>
  <si>
    <t>Equity and other investments</t>
  </si>
  <si>
    <t>Goodwill</t>
  </si>
  <si>
    <t>Intangible assets</t>
  </si>
  <si>
    <t>Other long-term assets</t>
  </si>
  <si>
    <t>Total non-current assets</t>
  </si>
  <si>
    <t>Total assets</t>
  </si>
  <si>
    <t>Liabilities and stockholders' equity</t>
  </si>
  <si>
    <t>Liabilities</t>
  </si>
  <si>
    <t>Current liabilities</t>
  </si>
  <si>
    <t>Short-term debt</t>
  </si>
  <si>
    <t>Accounts payable</t>
  </si>
  <si>
    <t>Taxes payable</t>
  </si>
  <si>
    <t>Accrued liabilities</t>
  </si>
  <si>
    <t>Other current liabilities</t>
  </si>
  <si>
    <t>Total current liabilities</t>
  </si>
  <si>
    <t>Non-current liabilities</t>
  </si>
  <si>
    <t>Long-term debt</t>
  </si>
  <si>
    <t>Other long-term liabilities</t>
  </si>
  <si>
    <t>Total non-current liabilities</t>
  </si>
  <si>
    <t>Total liabilities</t>
  </si>
  <si>
    <t>Stockholders' equity</t>
  </si>
  <si>
    <t>Common stock</t>
  </si>
  <si>
    <t>Additional paid-in capital</t>
  </si>
  <si>
    <t>Retained earnings</t>
  </si>
  <si>
    <t>Treasury stock</t>
  </si>
  <si>
    <t>Accumulated other comprehensive income</t>
  </si>
  <si>
    <t>Total stockholders' equity</t>
  </si>
  <si>
    <t>Total liabilities and stockholders' equity</t>
  </si>
  <si>
    <t>Revenue</t>
  </si>
  <si>
    <t>Cost of revenue</t>
  </si>
  <si>
    <t>Gross profit</t>
  </si>
  <si>
    <t>Operating expenses</t>
  </si>
  <si>
    <t>Sales, General and administrative</t>
  </si>
  <si>
    <t>Other operating expenses</t>
  </si>
  <si>
    <t>Total operating expenses</t>
  </si>
  <si>
    <t>Operating income</t>
  </si>
  <si>
    <t>Interest Expense</t>
  </si>
  <si>
    <t>Other income (expense)</t>
  </si>
  <si>
    <t>Income before taxes</t>
  </si>
  <si>
    <t>Provision for income taxes</t>
  </si>
  <si>
    <t>Other income</t>
  </si>
  <si>
    <t>Net income from continuing operations</t>
  </si>
  <si>
    <t>Net income from discontinuing ops</t>
  </si>
  <si>
    <t>Other</t>
  </si>
  <si>
    <t>Net income</t>
  </si>
  <si>
    <t>Preferred dividend</t>
  </si>
  <si>
    <t>Net income available to common shareholders</t>
  </si>
  <si>
    <t>Depreication</t>
  </si>
  <si>
    <t>Interest Income</t>
  </si>
  <si>
    <t xml:space="preserve">QUEST DIAGNOSTICS INC  (DGX) </t>
  </si>
  <si>
    <t>QUEST DIAGNOSTICS INC  (DGX)</t>
  </si>
  <si>
    <t>Retained earning</t>
  </si>
  <si>
    <t>Assumptions</t>
  </si>
  <si>
    <t>Income Statement</t>
  </si>
  <si>
    <t>Balance Sheet</t>
  </si>
  <si>
    <t>Growth rate</t>
  </si>
  <si>
    <t>% Sales</t>
  </si>
  <si>
    <t>Sales</t>
  </si>
  <si>
    <t>Depreication rate</t>
  </si>
  <si>
    <t>Cost of debt</t>
  </si>
  <si>
    <t>% Cash</t>
  </si>
  <si>
    <t>Tax rate</t>
  </si>
  <si>
    <t>Constant</t>
  </si>
  <si>
    <t>PLUG</t>
  </si>
  <si>
    <t>Retained earnings (Accumulated)</t>
  </si>
  <si>
    <t>Year</t>
  </si>
  <si>
    <t>Sales growth</t>
  </si>
  <si>
    <t xml:space="preserve">Average </t>
  </si>
  <si>
    <t>CAGR</t>
  </si>
  <si>
    <t>Slop</t>
  </si>
  <si>
    <t>Cost of Sales</t>
  </si>
  <si>
    <t>Model Value</t>
  </si>
  <si>
    <t xml:space="preserve">Building and improvements </t>
  </si>
  <si>
    <t xml:space="preserve">Useful life </t>
  </si>
  <si>
    <t>Laboratory equipment</t>
  </si>
  <si>
    <t xml:space="preserve">Computer software </t>
  </si>
  <si>
    <t>% of Gross PPE</t>
  </si>
  <si>
    <t>Depreciation rate</t>
  </si>
  <si>
    <t>2.70% Senior Notes due April 2019</t>
  </si>
  <si>
    <t>4.75% Senior Notes due January 2020</t>
  </si>
  <si>
    <t xml:space="preserve">2.50% Senior Notes due March 2020 </t>
  </si>
  <si>
    <t>4.70% Senior Notes due April 2021</t>
  </si>
  <si>
    <t>4.25% Senior Notes due April 2024</t>
  </si>
  <si>
    <t xml:space="preserve">3.50% Senior Notes due March 2025 </t>
  </si>
  <si>
    <t xml:space="preserve">3.45% Senior Notes due June 2026 </t>
  </si>
  <si>
    <t xml:space="preserve">6.95% Senior Notes due July 2037 </t>
  </si>
  <si>
    <t xml:space="preserve">5.75% Senior Notes due January 2040 </t>
  </si>
  <si>
    <t>4.70% Senior Notes due March 2045</t>
  </si>
  <si>
    <t>YTM</t>
  </si>
  <si>
    <t xml:space="preserve">Secured Receivables Credit Facility </t>
  </si>
  <si>
    <t>2017 Cost of debt</t>
  </si>
  <si>
    <t>% of total debt</t>
  </si>
  <si>
    <t>2018 Cost of debt</t>
  </si>
  <si>
    <t>Trial assets</t>
  </si>
  <si>
    <t>Trial liabilities and equity</t>
  </si>
  <si>
    <t>Trial plug</t>
  </si>
  <si>
    <t>Min 200</t>
  </si>
  <si>
    <t>PAT</t>
  </si>
  <si>
    <t>Add back depreciation</t>
  </si>
  <si>
    <t>Add back increase in current liabilities</t>
  </si>
  <si>
    <t>Subtract increase in current assets</t>
  </si>
  <si>
    <t>Subtract increase in CapEx</t>
  </si>
  <si>
    <t>Subract after tax interest income</t>
  </si>
  <si>
    <t>Add back after tax interest expense</t>
  </si>
  <si>
    <t>Free cash flow</t>
  </si>
  <si>
    <t>Long-term growth rate</t>
  </si>
  <si>
    <t>WACC</t>
  </si>
  <si>
    <t>Terminal value</t>
  </si>
  <si>
    <t>Enterpirse value</t>
  </si>
  <si>
    <t>Add back initial cash</t>
  </si>
  <si>
    <t>Subtract initial debt</t>
  </si>
  <si>
    <t>Equity value</t>
  </si>
  <si>
    <t>Outstanding shares</t>
  </si>
  <si>
    <t>Stock price</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</si>
  <si>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</si>
  <si>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</si>
  <si>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</si>
  <si>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</si>
  <si>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</si>
  <si>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</si>
  <si>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</si>
  <si>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</si>
  <si>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</si>
  <si>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</si>
  <si>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</si>
  <si>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</si>
  <si>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0fc60276-6bbe-442d-99d4-5685aca2f208</t>
  </si>
  <si>
    <t>CB_Block_0</t>
  </si>
  <si>
    <t>㜸〱敤㕣㕢㙣ㅣ㔷ㄹ摥㌳摥㕤敦慣敤搸㡤搳㑢㑡㘹㑤㉦戴搴挱㡤搳㠶㔲㈰〴㕦㥡㑢㜱㘲㌷㜶搲愲㔲㙤挶扢㘷散㘹㜶㘶摣㤹㔹㈷㉥㤵㕡愰愵㈰㈸㐸攵㈲㑡换㐵ㄵ㐲攲㠵换ぢ户昲㠲㠴〴㐲慤〴〸ㅥ㤰㜸㈸ㄵ㠲〷㄰㡡挴ぢて㈰昸扥㌳㌳扢㌳㙢敦搸摤戶攰㈲㥦㘴晦㥣㌹户㌹攷晣搷昳晦㘷㤲ㄳ戹㕣敥摦㐸晣㤷㈹捦捣㔵昳㙢㝥㈰敤戱㈹户㕥㤷搵挰㜲ㅤ㝦㙣挲昳㡣戵ㄹ换て㝡搰愰㔸戱㔰敦ㄷ㉡扥昵㤰㉣㔵㔶愵攷愳㔱㈱㤷㉢㤵㜴つ昵ㅣ㠴扦愱昸㐱㘷慦晥㍣挰挲搴攴散攲〳ㄸ㜵㍥㜰㍤戹㙦攴㑣搸昷搰昸昸搸昸搸㙤户㡦扦㘳㙣晦扥㤱愹㐶㍤㘸㜸昲㤰㈳ㅢ㠱㘷搴昷㡤捣㌵ㄶ敢㔶昵晤㜲㙤挱㍤㈷㥤㐳㜲㜱晦慤㡢挶㙤敦ㅣ扦敤攰㐱昳㡥㍢摥搹㡦㔷攷㑥㑥㑤捥㜹搲昴㕦愳㌱ぢ㥣昲㙤搳戲㙡㜱㙤㔲㝡㤶戳㌴㌶㌵㠹扦㠹昹攳改昶戱昹㘵㈹〳扥㕡㝡搲愹㑡㕦㐷挷㍥㝢挲昷ㅢ昶ち㌷㑦户㡦㘰愹㔵挳てち昶㤴慣搷㜵㍢ㅥ戵㘴捦㘲敦敡挶㕡扦㍤㉦ㅤ摦ち慣㔵㉢㔸㉢摡ぢㄸ愸㌶㘰㥦昶攵㈹挳㔹㤲㈷つ㕢ㄶ散愳つ慢㤶て㔳慥攷挶㜸㠸攴挴搴昲挷㈶㝣㝢㙡搹昰搴㡣㝣㙥㑣㐶摢㈳㕥㌵摤昶扡捥攳㜲敡敡つㅣ昳㠶捥敤㔰㜳挶昰㥡㉤㐷㍢户㡣ㄶ㥦㥥挱㉤㥤摢㈷昶㈸摤攷㙤㥤晢愸慤㑣户ㄶ㝤ㄱ㝤慢ㅤ挵㘲昴㈲㐱㉦㐱㠹㠰〸搴换〴㝤〴晤〰㈲晦㜷㜰㐹戲㈳慢戴㡡愱㔵ㄶ戵㑡㔵慢搴戴㡡搴㉡愶㔶㔹搲㉡换㕡挵搲㉡て㘸㤵㜳㘸ㄳ愷㔲㙦慦ㄶ愵㝦㉤㉤㝦昱搷扦戲㘶㥥昹昰昳昷㕤晦昰㕣愵㝦ㄷㅡ摤ㅤ㑤㙡摡㌳捥㠳搴㕡㔴㝣㘰㙣㍦晦㙣捥ㄵ㘰ち昳愰㜹扢㌹㍥㕥㍢戸摦戸搵㈸㜰㔹ㄹ挸㑦ㄱ捡㄰摡昶㥢昷㔸㑥捤㍤慦㜰㜷搵愴攱换搶挶㡤㐶㜵㤳㙥挳愹昹㙦摡戸㜲㍥㌰〲㜹㘵㝢㕤㙢㤰㜵摤收挱㔶搲㔷敦扢扡扤摢ㄹ愳摥㤰ㄳㄷ慣戰晡捤㙤搵昶㥣攷㉥㜶慥㍤攲挹〷㥢戵敢㘶㌴〱愱戶慡挶㕥户捡戰㉡㥣搷挸搴戲敢㑢㐷㑤㙦搴㥥戳慡攷愴㌷㉦㈹ㄲ㘵㑤㉤昵㔲㔶㐵㕣㍦㍡敢㘰愱攰搶摡戵挹㔲昳捥ぢ〱㤸㔹搶㌰摦ㄵ改〵㙢ぢ挶㘲㕤㕥㤶㙡ㄲ扥ㄳㄵ㝢㔳挵㐷摣㙡挳㥦㜲㥤挰㜳敢改㥡㠹摡慡〱㐹㔳㍢攱搶㘴㍥㥦㔳㐲〱〲户愷㐷㠸摣捤㥤㜹㐱㈱㈲㠱㘲㌲昲ㄵ㘹戲ㅢ㍢㠵搵㘱ㄵ㜵㐹㥡搴慥摦㘴㌰捥㔷挹㤸っづ㑣慣㠹晡㠳㉦扤㘹㤳㘱㥢㤸㝢㝤ㅢ㙢摡㜰戴晡㍢㔷愵ㄳㅣ㌳㥣㕡㕤㝡㤹摡㑦㜰㐶晡㈰㐰攱㈲〴㐲挷摤愳慡ㄳㄷ挴㕡攱扣㔵ぢ㤶㡢换搲㕡㕡づ㔰〶つ㔹㉡㜱㙢搷㈵晤ㄲㄴ改扢〹㠶〱捡攵㕣㜱てㅢㄵ换㐸戹〲愵㔳〶㉦愷〴㌹晢愵㜸戹摦㍣㘲搵〳ㄹち攵㐱ㄳㄸ〹戵㥡㐲摦〰㐹搴㌳慡愱挲搸㘳㑥㠱㑡つ换〹搶㕡㝣扢㡥㑢㐲㈲摡㤱〵摢㑥ㄶ㔰ㄴ愴攵㐱〶慦㠱㘸摡愴㐱㜶攳〴ㄱ㤱つ㌲㌴㍢㐶㑥ㄳㄹ摢㘷挸〸戴㑦ㄲ㈱㕢敦敦㉣㈳㐸散敢㠹㤴㥤㍡昲攳㡥㌴摢挸㤶て愵搹愵搸㌸晤㌲㠲换〹慥㈰搸ぢ㈰晥〴〹㐷㈹㠷㝣㍡改㙦挲戳㝥ㄵ挱㥢〱㈰㥦㜴捡㥣㐸㔴搱㠶摡㡡ㅤ挹㜶〳戰㤳㤵㔱ㅣ㡡㈲㕡挶㑤㍢㜳挰㔶㠸㡥慣捥敤愱㙢昳㑡挷扥戵㌳㙤㈶㤷㐳㡡捣㘸㥡㕣敢㈶㑤㤳ㅢ挱愶㕤敡慤㙢搰㔵ㅦ㈱㜸ぢ㐰㔹扦㤶㄰捡㠵〶敦搶㉣㝡㥡㤴㙦〸戳㈸㌴㠶扡㔴昰ㄱ㈱昳〸㤰㈱攴搶ㅤ㕦㜶㙣㘸㥡㠳愳收ㅢ摥㠶摥搷㤹扦㈳愴户改捤ㅤ扤㐳㝦搱㉢戴愲慦〳㝢㠹摦㜷搴㌱㌷愰㕡㝦㉢挱㡤〰㙤㍡㠶愷敦㔷敡㈹㔰㘶戱㥤挰摣㙥㝡㕤㤴㤵扢戰戶㈲㤵〶敡㌷ㄷっ㙦㐹〶昰㘰ㅣ㥦㠶㉤散㝡㥥慣攳㔰㕢㔳〵㍣扦㕣㥥㉥昴㡦㜸慥捤昲ㅤㅢ搹㝦㐳㈸㠶㝣㕥敢挹戵搹挸ㄹ戶㘶挲攷㤴愰ㅣ敡攰㕢㍢ぢ㠹㐴愷㌴㜹戱㕦昶昹㜲㐷㤲㜴㈱㐹摥㠶㙤搵㙦〶㠰㤴㄰扦敤㈸㔱昶戱搹摢㔵戳戴挵㑡て㕦挶改愴捤㠷戸㑥㡥昴㠵づ摢㐹昸て晣〱㝢摥戲㥢挲愲捦㥥㤳㕥ㄵ扥〵慢㉥换愱㕢㤶愲㘶㐷㔶扣㐱㘴㐵㑦捦扡昳㜴㠶㝦㑤搱㐹㥢㤴挸攴昶捣捡㡣戳㜸㡢愸攸㠶愴㔰挹㜰つ㌵㈵㄰㈹㡦㙤㜷㐴㑣ㄷ㈲收ㄶ㙣㥣扥㥦㘰㥣攰〰㐰攱㐵㐸㥡慤㙥㍣挳㘱扤慢㜴㘹㔷㉡戹ㄲ搱愰㕣㠴㉦㜴ㄴ㔶〷昹㥡㜷㄰摣づ搰㘶晥搰〱㤹㐱㠸ち攵〹㐲㔴㘱っ昳㡣㈵捦㤳〶㜶㤹〸㉣㑤㌵晣挰戵ㄹ㔹ㅡ㌰愷摤㤳㙥㌰㙤昹㉢㠸㐴つ㥢㔱收㥥㘵改㠰扡㍣搸㍥㙤㘵敥捡㡡慣改收扣摢㠰㘸㍢㍥扤ㅤづ收搸づ搸㤲敡㙣慥〹愴敥捥挷ㄸ㐲㘰愷㤵扦㤵摥搸㉤㜹扦㜹攸ㅢ㙣敤攸㠲ㄵ搴㘵㥦ㄹ㌲ㅤ昳㈵ㄳ扢㠸挸㐱慤搷㕣㔸昶愴㥣ㅥ㌰㡦㝡㔶慤㙥㌹㤲挸㠰㡤挹㘰摤㡣㕣㐲㤴㘰捥㘵っ搰㜵〶捣〵捦㜰晣ㄵ㠳〱挵戵摤愹㈷ㄵㄶ㈹㤸㤳㤶攳攳㌵ち㡢捣て㥡昳换敥㜹㐴㙣ㅢ戶㜳搴㔸昱户〵㔶㐸昴㘱㔲愸ㄱ㥡搰㌴㔱搲㑡摤攲㠷〷昲㕣㡥扣㤷㈷㔰戸捡ㄵ攸㌳捦搰摥戴敢愳ㄸつ敤㜴捥愹ㅦ搱愳㘶㘱㑦愶ㄴ㈶愷敡㜷戰捦扢〰敥㍡㝡晡㜸㉢㌲昷慡㘲搶〵㝡昹㌳㘴扣㈲㡢㘶㈰㠴㍥扡㕤㈱愹戰㡣㤴〳づ〴挶昹搴㑥㝥㘵㔳戵㈱昵敤㙡㘵㡦㈰㤲搴㙦捥ㄸ㡢戲㡥㜸戴㙤〴扢挲〷㥡戱戶㔱昷愳扡㈹搷戶つ㤲ㄶ挹㜲扥㙡㤰㠲㈷ㅡ㠱㝢挲㜲㜴ㄳ㐰搱㕦㔴㘴㕣㐰㤱㜱㐱ㄵ昵㥢愷ㄸㅡ㔴㜹㡥攵㉥ㄹ㥥ㄵ㉣摢㔶戵挴〷㠶敦戶〵㑤㠲挹㈹㜹攳ㄴ换㡣㤱㌶㙢晥㌴㑣㌶㝦っ攸ㅥ㠳ㅣ攵搶ㄱ晤愰㕣㑤ㄴ昱㐷㜴改㔸㠲㠰㔱㥥㔲晤㍤ㄸ慤愰㙥㐷㐰攴愸㜴㌱扥㠳㜱昱ㄱ㤴㠴㐲㠸㔸捦㈰ㄱ㜸〵ㄳ㐲㥥㉥敥愲㜹摡戱〲㘰㡦ㄸ㍢㘲〵搳㍥㔰づ㠰慣㍡摥㕥愹戰㥡攸㌴摡搴ち搷慣慦㑡愹㠹慢搷搷㈷昵挶昵ㅢ㔴㠷ㅡ㈵愱㐸㌶㙢愴㌴换〶㜳摣㑥慡㐶㈸挵ㅤ㙢ㅢ㤱攵㌶㙤敤㍢愵挸慢㔰㑣㡡㘶㜲晡㝢ㄵ愱㈰搰ㅢ改㈸晡散戳挹㈳ㄱ戱愱つ㔰愶㥥ち换〶愲㤰攰㜱㕣㍢愹挹㜲昴〴晥摥ㄵ㘵㘷ㅢ㐱慡挶戸㌰ㅣ搵㑣搴敢戳づ慣㠴慡攱搵戶〹㑢㘳㙤愱㠶㔱摣搹慤昶て户㌷挱㠸ㄱㅢ㌲㉣㤲攱〷〶ㅢ㠲戹ㄲㄱ㔵㕡㘷〳摣敡㘶㜱㠹㑦㈷愴攱㈸っ捣〷戵㘹戹慡捣戰㤶㈵㍦慣㍡㌴㑦㡢㑡㡥敡收挴愲て㤵ㅥ㔰㡥㐷㌹挵攰扡㜹㡡㙥㈹㕣㘲㠰搸㡤㜲㜳搵〰愱摤收〰㍣ㄹ㙣ㅦ散㘰㐷挲搰〹慤㌳㑡搰㘲〶攱愶ㄷ㐱摥改ㄲ愳㄰愴愶㑡㝦㍢㉣扥昴㌴搳㌷て攷攲㑣挴㐴っ㜷㘵㔸て㐰㙥㌲㌲㐹㉥ㅡ㡥〳收愱㘴㔳㐲慢㍦㉥愳㠹㌱㐰㤳捦ぢ㜰㡢㠷戱慣㐱戲㑤ㅤ昷摣〲ぢ摡戴扥戶换㍣敥㔴敢㡤㥡㔴慡㌸㤶搵㑡㈳㙦ぢ㝣愹㉢㠰㈱㌷㘵散㑢戴㈹挷㜱㤴攲㤲㠹愴敥敤㙥晤㌰扡㉢㈱㠷㌱㐲搵挷〰㘴㠶㕢㑥〵挴搶摤㔳愰㝤戸扢㜵㠱㐱㕤㥥㠳㐸㕢㔷㐴㔹㌶㠳晢㜸捤㈸戲攲戶㐴戳ㄹ㜷挶愵捤㥥㈸㍡㘶㠵㐵摢〲㐷㔸㘷㈸昰㡡㐵ㄸ㈳㕤㜲〷〷挹㕤㡣愲扢ㄷㅦ㔱㡦戹㡢㐰㠵挲㠰㘰㡣㤷愷愰ㅣ㜶ㄵ㡣㐴㠳㕢㙢㔹摤㠲搱㕦㕡摥晡〴㠰㘰ㄸ㤸〶㉤㕡㠶〶捥ㄴ昲㥢ㅢ㌸搷愰㔵㐶㠴㌴ㄹ㑣㘵㡣㜲ㄸづ㝢㈰つ摣挴㠳昴㠲ぢ㈵ㄴ散㔱ㄷ挳攲扢㠹愳㌶㡥㐰慥㜷㔹㕢攱㥣ㄱ攰晡㡢戳户慤㜸愲㔶愳戹ぢ晦摣戶挰㉡慥㙥㠴收攸㥥戶㑢㔹㙡㑤戴敦慥㙢慢㠸㉥ぢㅥ㤸ㅥ㍢㘶〴搵攵昹㘰㉤扣戸搵㉤㐹ㄴ㝥っ㝦挴㠶㙦愷捤㥣㜷㜸ㄱ㜵㤵㝢㕦㍥攷戸攷ㅤ㌵慦㠲捦㕢㝦愰㄰㕣愱散攵㈴换戹㝦攳㡦㑡㕡慥昰㍣㐶摣捡戴㌹㐰换㐱挲㜱搴扤换㔰ㅡ㡣攰㌱㠳㑥㘰扢㌷㙦つ㤰㑥昶戴搱㠹ㄲ〴㍢㠴攲㉣扤㘶㠴㈲㝥〴戴㤲㔸挲㈳㌹昶晣ㅢ㘰㝤昱㐳㤴㄰攱扣摡ㄱ〹昲户㘴愳㑥〹昲攸㡡〷㝢晤晦㘰㈹收收つ搹改扦挰捣攲〷敤㈸扡㥡㈸晡㝥㠴㈲㕥㈸っ㔱㈴㜸つ㐴昱敦㕤挸挴愹挰昰散㉢ち㠴㜳㑤㍢〷搰搷晤挲敦晦昰〰㍡ㄳㄱ㠷愲ㅢ㠴摡㙥挰㜳搳㐴攸㔹㘷㈲㌰㜸慦㑣㠴ㄳ挸〸㐶昱㐳ㄳ㈱昲㠱捣愲㘰㜳ㄳ㠱戱扤っ㐳㌰ㄱ㙡㑤戸㌵㜸〲扢捣愶㝦散ㄸ㉥摥㑡ㅦ昱㝣㈸㉤㝦ちㅥ愹换搷ㄷ捦ㄹ㥥㘱敦㔵攵㐷㍤〹㘵收㉤攰㈶户敡挲ㅥ㔷㙥㔸愳㍡㙤攰慢㠸扤散㍢晥㤴慤摤㕦〷愶挲ㄴ扡敦㐵㐹ㄴ㕦㠵愷㐴昰摣㤰晢搰㥥㙦ㅤ晤挳㐳㡦ㅤ收㙤戵㠸㔶ぢ㌷㈳摦㑤挸㥥昶〴㠲扡㠹㡢㈲㤷昲挳㥣ㄳ昸㐴挹㕡愹换㐹挳㔳㔶㤰慦摢㜱㌶㈴扣〴㘱㠶挴户ㅤ㑣㑣摣㝢〸㑤捣戱㌶㜷愷晡戰㐹戹〸挷ㄲㄳ㔷㍥扤㌸㙣㈸㍡㉡戲㉥慤捤挲㜷愰㡡㕥攱㐴搲㔶㈲㑦㥤㑣㐲㝣扢㕤搷ㅤ愴慥ぢて㌲っ晢挷㔲ち昱〷㔲㐸昲㈰挳ぢ〱㑡㑡㥤㐲愶㜰ぢ㐰㐶㘴慤㍤挴㑢㝦挰㡥㄰㤰捤㑢㝦㕤㝥挴㠲㕤〴ㄶ㘳㕦㝣户㈷㕡摡愲戱㙡㘲愸㔶搹㌴昳挸愸挳ぢぢ挶攳搲㤴愵㜳〰愵㕢㜶㐷昱㈵〳㜶ㄸ㜸ぢㄹ扢㘰搳搷㔶戶敦㜴ㅡ戸昹〱㍤㔳㔴ち挳搹捤㘲ㅣ㐸㔵㡣㉥㙣㕡づ㡢〸〷挳㙣戳㔳㕦㔴〵㥤攵散挵愹ㄴ挱㍦㝥㈹挴晡搱搶搰㤷戶搷㔰挷㌹扤㔸㈰㝦戰扦慥捥㘰㙣扣㤵ㅣ〳〹扢愵㔶愵昰㝡昸㘹㜴攱愲㜳㐲㙦㘵搵戳㌸㠸㝦㘲捥敡搱搶改㝦㐶慦ㄵ㘷㥤㘱㙦㠶戱㔳晡晦㕥ㄴ㙣慡晦〵㘳㙦ち㤱ㅦ㠸㌲㝣㈸㌰㝥戲㘹挸㠶㍢〲捦㌶㠲㌷敡㘰慣慢㉣㐳摥㘱㙥ㅥㅦ慦㠶搵㑡㠲挳敦㤵㙦扦ㅡ搱散㑢摢戶慦愳〰㘴㙣愸昰つ㠸愰㡥晤搳㜲㡢愳㌱ㄵ敦〳搸㜳挲慡㝡慥敦㥡挱挸㍣㠲扥㈳晣昶捣㠴捤㌳㈱扥摥㉥搴慥挳㑥昴摦㡦㍥㈷㘷㈱戰㑦捡攰戵㡡㐵㌲戲戰戵㐸〶㡦つ㐳㠹昰ㄲ戵㠳㝦㠹㜹㜷挳愸攳搳搵㔹昸㍡〳ㄶ㙤ぢ㘵ㄷ㝡㥣摢㙦㘸㜰敢㜰㐷敢晤昰〷挹晡ㄸ㠲㘳㙡〹昷摤捦㝤㙤摦㠳㜴摢㘸㙤㍥㕢㜶攷㜳㉢ㄷ㥥〳㑥户昶㤶㌴挹昰㥤晣㈲戹慣㔷〸㜱㘹ㅦ㡥扡㉣挷㜵㥢㠳㤶愳つ㠳捥愳て扡改〸ㅢ慤挳㝤戶㠵攸昷㔹㜴ㄵㄳ〴昸改㐶㤴攱㠳愰㤷㡦慣㈸扥㠲㘵㤱〱㤰捦ㄵ慢〰㥤愹晡搹㡤愸㝡㈸ㄶ挸㠲㘷っ㤲㘳㔹㍣㠳㠶摣慥㜰搹㘰〹㉥㕢愸戳〴昲㝡摣〳昹㥣攰㔹㐲㑤攴㡢攸搰㥣㠸㠵搲捥ㄳ昹挲㐶ㄳㄱ戴〲搴㐲㤳攳て挵㕡㐴慦愳㕡户〹ㅣ〲ㄷ㘰㤰㘲㤱戲愶ㄸ㠶ㄶ㝥㐸捣㈰晤㌲晡昷愵挳㉦扥挰昴搷挳㐲〹㐲㔴愵㈷㑦㐱愸㈶晦㤹攴攴㍤㤴㜶㥥晣㤳ㅢ㑤㝥㠸㌲㤲㌳搱〳㠰㠱ㅥ㔱挱㍦㙡㌱つ㘴戸㡦晣㠹戳〴昸愵㘶㌱㘴愰㐴昵㍤㡦っ晡㜲挳㔵慢ぢ挸挴㝤ぢ㕣㝦挶挷㍤捡㍥攲㐵㐸晡㜲㡡愱㌳戶ㄸ㙡挵㤲ㅤ㜹㘱户㠵㙣挰㤲昸戵㙣㐷㤱㕥散㌲挲㉦㥥㠸ㄱ㜳散㔸晣攵㤴ㄶ挵㥣㐰ㄸ愱㐵㑡晡攱㐶㡡㡦挵㡤扦晢扤㤶换ㄴㄵ㐸愰㥥戰㌱改㑣㌵㝥㍣㙥㝣〰㕦㘵愹㌶㌹摥㈰㘰㝡㈹㙥㑣㝡㔴㡤ㅦ㡢ㅢ晦攵挰摥㘶攳㤸づ挳㤱ぢ㈴㤲っ㕢㔷㔹晦㠹㉦戴〷搱扣㘰㔲㝦昶㤹㘱㌱㈵愷ちㅤ搷㤵〶敤挷㘵㄰て摦㐸捦攰㙥ㄳ慥㠰㐰挸㠶晦㔵挲㜱摣㜹㥡㌶〲〳㥦㐰慦㈲搸散改敡㠹㥤㡢收慣㠷㠲㕥昳戸㡦㌳㔵㙤㕢㤱〸捣㠱㝣戸扦㥢㌸攵㌳㑣挷搶㝥挴㐱㌲㡤㜷㐸扡㔳ㅥ㉡戰㤲ㄷㅦ㠹㌱㥢㝢戴㐵㌳晡㈳㐰づ愴㈳㈰㌳晡愳㠰㘱㈰㠶户㤵㜳㐳攴㝦挵摣ㅦ㘱挵㐷〹ㅥ〳㈸ぢ㌲㍢改愰昸㌸挰㘰晣ㅦ㔵㡣慣㉡㝦㠹㈶ㅥ㡡㕦㤶㈴㈳晤〹㜶昸㌸㐰て摣户㈲㈲挲戲晥〹㤴㈴㕦㑡挱愱㕥晡㐹㔶㝣㡡攰㐹㠰㜲㠱㤳摤昲慥㜱㑤㕤㙡慥㑦愳慢㜸㤴〰㍦晤㌳㔱㠶て〵敥挳扢㍢摢捡㍣ち挷ㅦ昶㐳㤳愶扥攰扦ㄳ㕦攴慦㜱搱㍤昸て㐹ち捡戰捦㙢敦敡㙥㉣㌲〱㙤㜲昵㕢挱㘶扦㡡㜱戸慥㔶〴㠵㈳㔲愹㤴戴愲㈰扥戹㘰攱攲つ㝣换㈱㔵㈱〴㘹㐰㔵㌸㔱挵㘱ㄴ攸㥦㘵㔳攲㤸㜸搲㍦挷㈷愲㔶㙤攲攷愳っㅦ〴昱慡扡㍦㄰㜵㡦㕦㐸㕣慢ち慢敤㠵挴扦慡㔸㑥扥昰㘹づ愶㤰㠵㑣㕡㉢ㄱ㘹㡡㠶㥥㐱㘶愰㘷㤰㜳扢〷㍦敤㠲愸㥥慤㥤㍤晢㡦挱晣挸㤵昹㝢摦搷晦昴㑢扦㜸昹愹摦㝣昰搰㥦晦昹散戳扦昹攳㔳㉦晣昳挷㡢㠷㝥昶摣㜳㍦扤敢慢㉦扣扣摢晣㥡昶扤㝦捣㝣敤攱昱㜳て㍦㘸㥥扥昹攸挳ㅦ㜸攰敥昱戹㑢㐶㝢㝡㝡㝢㙦ㅣ晥昹ㄵ㌷つ㍤晡攰て挴㑦㝥㜷戹㈳搴㜲昱㠲昴㌴戸㙣㌵㡤㉦㈳㠳㘹㜰挶慦敢㌴戸㕣戵㔱㡢搱㐶㑤愲愰〴㥦〶㈷愰㉡㡣㜴㐵摦㝦〰㈳ㄳ戳愶</t>
  </si>
  <si>
    <t>Decisioneering:7.0.0.0</t>
  </si>
  <si>
    <t>9078cf30-8d37-40ea-8976-8848adddd958</t>
  </si>
  <si>
    <t>Measuring The Market Risk Premium</t>
  </si>
  <si>
    <t>Average annuly expected market return</t>
  </si>
  <si>
    <t>Average annuly risk free rate</t>
  </si>
  <si>
    <t>Average monthly market risk premium</t>
  </si>
  <si>
    <t>Annualized market risk premium</t>
  </si>
  <si>
    <t>Data</t>
  </si>
  <si>
    <t>SP500 Price</t>
  </si>
  <si>
    <t>SP500 Return</t>
  </si>
  <si>
    <t xml:space="preserve">3-monthTreasury Bill Rate (Monthly) </t>
  </si>
  <si>
    <t>Market Risk Premium(Monthly)</t>
  </si>
  <si>
    <t>Long term growth rate</t>
  </si>
  <si>
    <t>Long term growth rate (Quarterly)</t>
  </si>
  <si>
    <t>Long term growth rate (Annually)</t>
  </si>
  <si>
    <t>Date</t>
  </si>
  <si>
    <t>Real GDP</t>
  </si>
  <si>
    <t>Real GDP
 growth rate</t>
  </si>
  <si>
    <t>Gordon model</t>
  </si>
  <si>
    <t>Dividend</t>
  </si>
  <si>
    <t>Dividend growth rate</t>
  </si>
  <si>
    <t>Dividends</t>
  </si>
  <si>
    <t>Cost of equity</t>
  </si>
  <si>
    <t>CAPM</t>
  </si>
  <si>
    <t>Risk free rate</t>
  </si>
  <si>
    <t>Beta</t>
  </si>
  <si>
    <t>Risk premium</t>
  </si>
  <si>
    <t>Beta(Yahoo Finance)</t>
  </si>
  <si>
    <t>Beta(Nasdaq)</t>
  </si>
  <si>
    <t>Beta(Estiminated)</t>
  </si>
  <si>
    <t>DGX's price</t>
  </si>
  <si>
    <t>SP 500's price</t>
  </si>
  <si>
    <t>DGX's return</t>
  </si>
  <si>
    <t>SP 500's return</t>
  </si>
  <si>
    <t>Classic CAPM</t>
  </si>
  <si>
    <t>cost of equity</t>
  </si>
  <si>
    <t>Adjusted tax rate CAPM</t>
  </si>
  <si>
    <t>Risk free rate(current)</t>
  </si>
  <si>
    <t>Market return</t>
  </si>
  <si>
    <t>Model value</t>
  </si>
  <si>
    <t>Value of debt</t>
  </si>
  <si>
    <t>Value of equity</t>
  </si>
  <si>
    <t>million</t>
  </si>
  <si>
    <t>Current stock price</t>
  </si>
  <si>
    <t>CB_Block_7.0.0.0:1</t>
  </si>
  <si>
    <t>㜸〱敤㕣㕢㙣ㅣ㔷ㄹ摥㌳摥㕤敦慣敤搸㡤搳㑢摡㤲扡㌷ち㜵㜰攳戴改つ㐲昰愵戹戴㑥散挶㑥ち㉡戰ㄹ敦㥥㠹愷搹㤹㜱㘷㘶㥤戸㔴㙡㐵换㑤㔰㉡㤵㡢㈸㉤ㄷㄵ㠴挴ぢ㤷ㄷ敥㉦〸㈴㄰㉡ㄲて昰㠰挴㐳愹㄰㍣㠰㔰㈴〴攲〱〹扥敦捣捣敥捣摡㍢㜶户㉤戸挸㈷搹㍦㘷捥㙤捥㌹晦昵晣晦㤹攴㐴㉥㤷晢㌷ㄲ晦㘵捡㌳㜳昵晣慡ㅦ㐸㝢㙣捡慤搷㘵㌵戰㕣挷ㅦ㥢昰㍣㘳㜵挶昲㠳ㅥ㌴㈸㔶㉣搴晢㠵㡡㙦㍤㈲㑢㤵ㄵ改昹㘸㔴挸攵㑡㈵㕤㐳㍤〷攱㙦㈸㝥搰搹慢㍦て戰㌰㌵㌹扢昸㄰㐶㥤て㕣㑦敥ㅤ㌹ㅤ昶㍤㌸㍥㍥㌶㍥㜶摢ㅤ攳户㡦敤摢㍢㌲搵愸〷つ㑦ㅥ㜴㘴㈳昰㡣晡摥㤱戹挶㘲摤慡摥㈷㔷ㄷ摣㜳搲㌹㈸ㄷ昷摤扡㘸摣㜶攷昸㙤〷づ㤸㜷摤㜵㘷㍦㕥㥤㍢㌱㌵㌹攷㐹搳㝦㡤挶㉣㜰捡户㑤换慡挵戵㐹改㔹捥搹戱愹㐹晣㑤捣ㅦ㑦㜷㡣捤㉦㐹ㄹ昰搵搲㤳㑥㔵晡㍡㍡昶搹ㄳ扥摦戰㤷戹㜹扡㝤ㄸ㑢慤ㅡ㝥㔰戰愷㘴扤慥摢昱愸㈵㝢ㄶ㝢㔷㌷㔶晢敤㜹改昸㔶㘰慤㔸挱㙡搱㕥挰㐰戵〱晢㤴㉦㑦ㅡ捥㔹㜹挲戰㘵挱㍥搲戰㙡昹㌰攵㝡㙥㡡㠷㐸㑥㑣㉤㝦㙣挲户愷㤶っ㑦捤挸攷挶㘴戴㍤散㔵搳㙤慦敦㍣㉥愷慥摥挰㌱㙦散摣づ㌵愷つ慦搹㜲戴㜳换㘸昱改ㄹ摣搲戹㝤㘲㡦搲㝤摥摡戹㡦摡捡㜴㙢搱ㄷ搱户摡㔱㉣㐶㉦ㄲ昴ㄲ㤴〸㠸㐰扤㑣搰㐷搰て㈰昲㝦〳㤷㈴㍢戲㑡慢ㄸ㕡㘵㔱慢㔴戵㑡㑤慢㐸慤㘲㙡㤵戳㕡㘵㐹慢㔸㕡攵㈱慤㜲づ㙤攲㔴敡敤搵愲㔴昹挴晢晦昱㤵㍤敥捣ㄳ㝦晦昰〷㠶㝦昲捤戹晥ㅤ㘸㜴㝦㌴愹㘹捦㌸て㔲㙢㔱昱晥戱㝤晣戳㌱㔷㠰㈹捣〳收ㅤ收昸㜸敤挰㍥攳㔶愳挰㘵㘵㈰㍦㐵㈸㐳㘸摢㙦㍥㘰㌹㌵昷扣挲摤搵㤳㠶㉦㕢ㅢ㌷ㅡ搵㑤扡つ愷收㕦戵㝥攵㝣㘰〴昲捡昶扡搶㈰㙢扡捤㠳慤愴慦摥户愷扤摢㘹愳摥㤰ㄳㄷ慣戰晡㑤㙤搵昶㥣攷㉥㜶慥㍤散挹㠷㥢戵㙢㘶㌴〱愱戶愲挶㕥戳捡戰㉡㥣搷挸搴㤲敢㑢㐷㑤㙦搴㥥戳慡攷愴㌷㉦㈹ㄲ㘵㑤㉤昵㔲㔶㐵㕣㍦㍡敢㘰愱攰搶摡㜵挹㔲昳㥥ぢ〱㤸㔹搶㌰摦㘵改〵慢ぢ挶㘲㕤㕥㤶㙡ㄲ扥ㄳㄵ扢㔳挵㠷摤㙡挳㥦㜲㥤挰㜳敢改㥡㠹摡㡡〱㐹㔳㍢敥搶㘴㍥㥦㔳㐲〱〲户愷㐷㠸摣捤㥤㜹㐱㈱㈲㠱㘲㌲昲ㄵ㘹戲ㅢ㍢㠹搵㘱ㄵ㜵㐹㥡搴㙥搸㘰㌰捥㔷挹㤸っづ㑣慣㠹晡㠳㉦㝤换〶挳㌶㌱昷晡㌶搶戴攱㘸昵昷慣㐸㈷㌸㙡㌸戵扡昴㌲戵㥦攰㡣昴㐱㠰挲㐵〸㠴㡥扢㐷㔵㈷㉥㠸搵挲㜹慢ㄶ㉣ㄵ㤷愴㜵㜶㈹㐰ㄹ㌴㘴愹挴慤㕤㤳昴㑢㔰愴敦㈴ㄸ〶㈸㤷㜳挵㕤㙣㔴㉣㈳攵ち㤴㑥ㄹ扣㥣ㄲ攴散㤷攲攵㝥昳戰㔵て㘴㈸㤴〷㑤㘰㈴搴㙡ち㝤〳㈴㔱捦愸㠶ち㘳㤷㌹〵㉡㌵㉣㈷㔸㙤昱敤ㅡ㉥〹㠹㘸㕢ㄶ㙣㌹㔹㐰㔱㤰㤶〷ㄹ扣〶愲㘹㤳〶搹㡤ㄳ㐴㐴㌶挸搰散ㄸ㌹㑤㘴㙣㥦㈱㈳搰㍥㐹㠴㙣扤慦戳㡣㈰戱慦㈵㔲㜶敡挸㡦摢搲㙣㍤㕢㍥㤴㘶㤷㘲攳昴换〸㉥㈷戸㠲㘰㌷㠰昸㈳㈴ㅣ愵ㅣ昲改愴㕦㠵㘷晤㙡㠲㌷〱㐰㍥改㤴㌹㤱愸愲つ戵ㄹ㍢㤲敤〶㘰㈷㉢愳㌸ㄴ㐵戴㡣㥢㜶收㠰慤㄰ㅤ㔹㥤㕢㐳搷收㤵㡥㝤㜳㘷摡㑣㉥㠷ㄴ㤹搱㌴戹搶つ㥡㈶㌷㠲㑤扢搴㕢搷愰慢㍥㐲㜰㉤㐰㔹扦㡥㄰捡㠵〶敦收㉣㝡㥡㤴㙦〸戳㈸㌴㠶扡㔴昰ㄱ㈱昳〸㤰㈱攴搶ㅣ㕦戶㙤㘸㥡㠳愳收ㅢ摥㠶摥摢㤹扦㈳愴户改捤㙤扤㐳㝦搱㉢戴愲慦〷㝢㠹摦㜵搴㌱㌷愲㕡㝦㌳挱㑤〰㙤㍡㠶愷敦㔷敡㈹㔰㘶戱㥤挰摣㑥㝡㕤㤴㤵扢戰扡㉣㤵〶敡㌷ㄷっ敦慣っ攰挱㌸㌶つ㕢搸昵㍣㔹挷愱戶愶ち㜸㝥戹㍣㕤攸ㅦ昶㕣㥢攵摢㌶戲晦㠶㔰っ昹扣搶㤳㙢戳㤱㌳㙣捤㠴捦㈹㐱㌹搴挱户㜶ㄶㄲ㠹㑥㘹昲㘲扦散昳攵戶㈴改㐲㤲扣ㄵ摢慡摦っ〰㈹㈱㝥搳㔱愲散㘵戳户愹㘶㘹㡢㤵ㅥ扥㡣搳㐹㥢て㜱㡤ㅣ改ぢㅤ戶㤳昰ㅦ昸〳昶扣㘵㌷㠵㐵㥦㍤㈷扤㉡㝣ぢ㔶㕤㤶㐳户㉣㐵捤戶慣㜸㠳挸㡡㥥㥥㌵攷改っ晦㥡愲㤳㌶㈹㤱挹敤㤹㤵ㄹ㘷昱ㄶ㔱搱つ㐹愱㤲攱ㅡ㙡㑡㈰㔲ㅥ摢㙥㡢㤸㉥㐴捣㉤搸㌸㝤ㅦ挱㌸挱㝥㠰挲㉦㈱㘹㌶扢昱っ㠷昵慥搰愵㕤愹攴㑡㐴㠳㜲ㄱ扥搸㔱㔸ㅤ攰㙢㙥㈷戸〳愰捤晣愱〳㌲㠳㄰ㄵ捡ㄳ㠴愸挲ㄸ收㘹㑢㥥㈷つ散㌰ㄱ㔸㥡㙡昸㠱㙢㌳戲㌴㘰㑥扢㈷摣㘰摡昲㤷ㄱ㠹ㅡ㌶愳捣〳㑢搲〱㜵㜹戰㝤摡捡摣攵㘵㔹搳捤㜹户〱搱㜶㙣㝡㉢ㅣ捣戱ㅤ戰㈵搵搹㕣ㄳ㐸摤㥤㡦㌱㠴挰㑥㉢㝦㉢扤戱㥢昲㝥昳搰㌷搸摡搱〵㉢愸换㍥㌳㘴㍡收㑢㈶㜶ㄱ㤱㠳㕡慦戹戰攴㐹㌹㍤㘰ㅥ昱慣㕡摤㜲㈴㤱〱ㅢ㤳挱扡ㄹ㜹ㄶ㔱㠲㌹㤷㌱㐰搷ㄹ㌰ㄷ㍣挳昱㤷つ〶ㄴ㔷㜷愶㥥㔴㔸愴㘰㑥㕡㡥㡦搷㈸㉣㌲㍦㘸捥㉦戹攷ㄱ戱㙤搸捥ㄱ㘳搹摦ㄲ㔸㈱搱㠷㐹愱㐶㘸㐲搳㐴㐹㉢㜵㡢ㅦㅥ挸㜳㌹昲㕥㥥㐰攱㉡㔷愰捦㍣㐳㝢搳慥㡦㘲㌴戴搳㌹愷㝥㐴㡦㥡㠵㍤㤹㔲㤸㥣慡摦挵㍥㜷〳摣㝢攴搴戱㔶㘴敥㔵挵慣ぢ昴昲㘷挸㜸㐵ㄶ捤㐰〸㝤㜴㍢㐲㔲㘱ㄹ㈹〷ㅣ〸㡣昳愹㥤晣捡愶㙡㐳敡摢搱捡ㅥ㐶㈴愹摦㥣㌱ㄶ㘵ㅤ昱㘸摢〸㜶㠴て㌴㘳㙤愳敥㐷㜵㔳慥㙤ㅢ㈴㉤㤲攵㝣搵㈰〵㑦㌴〲昷戸攵攸㈶㠰愲扦愸挸戸㠰㈲攳㠲㉡敡㌷㑦㌲㌴愸昲ㅣ换㍤㙢㜸㔶戰㘴㕢搵ㄲㅦㄸ扥摢ㄲ㌴〹㈶愷攴㡤㔳㉣㌳㐶摡慣昹㔳㌰搹晣㌱愰㝢っ㜲㤴㕢㐷昴㠳㜲㌵㔱挴ㅦ搱愵㘳〹〲㐶㜹㑡昵㜷㘰戴㠲扡ㅤ〱㤱愳搲挵昸づ挶挵挷㔰ㄲち㈱㘲㍤㠳㐴攰ㄵ㑣〸㜹扡戸㡢收㈹挷ち㠰㍤㘲散戰ㄵ㑣晢㐰㌹〰戲敡㜸㝢愵挲㙡愲搳㘸㔳㉢㕣戳戶㉡愵㈶昶慣慤㑦敡㡤ㅢ搶愹づ㌵㑡㐲㤱㙣搴㐸㘹㤶㜵收戸㤵㔴㡤㔰㡡㍢搶㌶㈲换㙤摡摡㜷㑡㤱㔷愱㤸ㄴ捤攴昴㜷㉡㐲㐱愰㌷搲㔱昴搹㘷㤳㐷㈲㘲㐳ㅢ愰㑣㍤ㄵ㤶つ㐴㈱挱㘳戸㜶㔲㤳攵攸〹晣扤㈳捡捥㌶㠲㔴㡤㜱㘱㌸慡㤹愸搷㘷ㅤ㔸〹㔵挳慢㙤ㄱ㤶挶摡㐲つ愳戸戳㕢敤ㅦ㙥㙦㠲ㄱ㈳㌶㘴㔸㈴挳てっ㌶〴㜳㈵㈲慡戴捥〶戸搵捤攲ㄲ㥦㡥㑢挳㔱ㄸ㤸て㙡搳㜲㐵㤹㘱㉤㑢㝥㔸㜵㘸㥥ㄶ㤵ㅣ搵捤㠹㐵ㅦ㉡㍤愰ㅣ㡦㜲㡡挱㜵昳㈴摤㔲戸挴〰戱ㅢ攵收慡〱㐲扢捤〱㜸㌲搸㍡搸挱㡥㠴愱ㄳ㕡㘷㤴愰挵っ挲㑤㉦㠲扣搳㈵㐶㈱㐸㑤㤵晥㝡㐸㝣晥㔹愶慦ㅦ捡挵㤹㠸㠹ㄸ敥捡戰ㅥ㠰摣㘴㘴㤲㕣㌴ㅣ〷捣㐳挹愶㠴㔶㝦㕣㐶ㄳ㘳㠰㈶㥦ㄷ攰ㄶて㘳㔹㠳㘴㥢㍡敥戹〵ㄶ戴㘹㝤㜵㠷㜹捣愹搶ㅢ㌵愹㔴㜱㉣慢㤵㐶摥ㄲ昸㔲㔷〰㐳㙥捡搸㤷㘸㔳㡥攱㈸挵㈵ㄳ㐹摤摢摤晡㈱㜴㔷㐲づ㘳㠴慡㡦〱挸っ户㥣ち㠸慤戹愷㐰晢㜰㘷敢〲㠳扡㍣〷㤱戶愶㠸戲㙣〶昷昱㥡㔱㘴挵㙤㠹㘶㌳敥㡣㑢㥢㍤㔱㜴搴ち㡢戶〴㡥戰捥㔰攰ㄵ㡢㌰㐶扡攴づづ㤲扢ㄸ㐵㜷㉦㍥愶ㅥ㜳ㄷ㠱ち㠵〱挱ㄸ㉦㑦㐱㌹散㉡ㄸ㠹〶户搶戲扡〵愳扦戴扣昵〹〰挱㌰㌰つ㕡戴っつ㥣㈹攴㌷㌶㜰慥㐱慢㡣〸㘹㌲㤸捡ㄸ攵㌰ㅣ昶㐰ㅡ戸㠹〷改〵ㄷ㑡㈸搸愵㉥㠶挵㜷ㄳ㐷㙤ㅣ㠱㕣敦戲戶挲㌹㈳挰昵ㄷ㘷㜷㕢昱㐴慤㐶㜳ㄷ晥戹㉤㠱㔵㕣摤〸捤搱㕤㙤㤷戲搴㥡㘸摦㕤摦㔶ㄱ㕤ㄶ摣㍦㍤㜶搴〸慡㑢昳挱㙡㜸㜱慢㕢㤲㈸晣〸晥㠸㜵摦㑥㥢㌹敦昰㈲敡ち昷扥㝣捥㜱捦㍢㙡㕥〵㥦户晥㐰㈱戸㐲搹换㐹㤶㜳晦挶ㅦ㤵戴㕣攱㠷ㄸ㜱㌳搳收〰㉤〷〹挷㔱昷㉥㐳㘹㌰㠲挷っ㍡㠱敤摥扣㌵㐰㍡搹搵㐶㈷㑡㄰㙣ㄳ㡡㜳昶㌵㈳ㄴ昱〳愰㤵挴ㄲㅥ挹戱攷㕦〳敢㡢敦愳㠴〸攷搵㡥㐸㤰㕦㥢㡤㍡㈵挸愳㉢ㅥ散昵晦㠳愵㤸㥢搷㘵愷晦〲㌳㡢敦戵愳㘸て㔱昴摤〸㐵扣㔰ㄸ愲㐸昰ㅡ㠸攲摦㝢㤱㠹㔳㠱攱搹㔷ㄴ〸攷㥡戶て愰慦晢㠵摦晦攱〱㜴㈶㈲づ㐵㌷〸戵摤㠸攷愶㠹搰戳挶㐴㘰昰㕥㤹〸挷㤱ㄱ㡣攲㠷㈶㐲攴〳㤹㐵挱挶㈶〲㘳㝢ㄹ㠶㘰㈲搴㥡㜰㙢昰〴㜶㤹㑤晦搸㔱㕣扣㤵㍥攲昹㔰㕡晥ㄴ㍣㔲㤷慦㉤㥥㌳㍣挳摥慤捡㡦㜸ㄲ捡捣㕢挰㑤㙥搵㠵㍤慥㕣户㐶㜵㕡挷㔷ㄱ㝢搹户晤㈹㥢扢扦づ㑣㠵㈹㜴摦㡢㤲㈸扥ち㑦㠹攰戹㈱昷㠱㕤摦㌸昲晢㐷㥥㍣挴摢㙡ㄱ慤ㄶ㙥㐶扥㥢㤰㍤敤〹〴㜵ㄳㄷ㐵㉥攵㠷㌹挷昱㠹㤲戵㕣㤷㤳㠶愷慣㈰㕦户攳㙣㐸㜸〹挲っ㠹㙦㉢㤸㤸戸昷㄰㥡㤸㘳㙤敥㑥昵㘱㤳㜲ㄱ㡥㈵㈶慥㝣㝡㜱搸㔰㜴㔴㘴㕤㕡㥢㠵㙦㐱ㄵ扤挲㠹愴慤㐴㥥㍡㤹㠴昸㘶扢慥㍢㐰㕤ㄷㅥ㘴ㄸ昶㡦愵ㄴ攲て愴㤰攴㐱㠶ㄷ〲㤴㤴㍡㠹㑣攱ㄶ㠰㡣挸㕡㝢㠸㤷晥㠰㙤㈱㈰㥢㤷晥扡晣㠸〵扢〸㉣挶扥昸㙥㑦戴戴㐵㘳搵挴㔰慤戲㘹收㤱㔱㠷ㄷㄶ㡣挷愵㈹㑢㘷㍦㑡㌷敤㡥攲㑢〶散㌰昰ㄶ㌲㜶挱愶慦慤㙣摦攳㌴㜰昳〳㝡愶愸ㄴ㠶戳㤳挵㌸㤰慡ㄸ㕤搸戴ㅣㄶㄱづ㠶搹㘶愷扥愸ち㍡换搹㡤㔳㈹㠲㝦晣㔲㠸昵愳慤愱㉦㙤慦愱㡥㜳㝡戱㐰晥㘰㝦敤挹㘰㙣扣㤵ㅣ〳〹扢愹㔶愵昰㝡昸㈹㜴攱愲㜳㐲㙦㘵搵戳㌸㠰㝦㘲捥敡搱搶攸㝦㐶慦ㄵ㘷㥤㘶㙦㠶戱㔳晡晦摤㈸搸㔰晦ぢ挶摥ㄴ㈲摦ㄳ㘵昸㔰㘰晣㘴挳㤰つ㜷〴㥥㙤〴㙦搴挱㔸㔷㔹㠶扣挳摣㍣㍥㕥つ慢㤵〴㠷摦㉢摦㝥㌵愲搹㤷戶㙤㕦㐷〱挸搸㔰攱㙢㄰㐱ㅤ晢愷攵ㄶ㐷㘳㉡㍥〸戰敢戸㔵昵㕣摦㌵㠳㤱㜹〴㝤㐷昸敤㤹〹㥢㘷㐲㝣戵㕤愸㕤㡦㥤攸㝦ㅦ晡㥣㤸㠵挰㍥㈱㠳搷㉡ㄶ挹挸挲收㈲ㄹ㍣㌶っ㈵挲㑢搴づ晥㈵收晤つ愳㡥㑦㔷㘷攱敢っ㔸戴㈵㤴㕤攸㜱㙥扦愱挱慤挳ㅤ慤晢攰て㤲昵㌱〴挷搴ㄲㅥ㝣ㅦ昷戵㝤て搲㙤愳戵昹㙣搹㥤捦慤㕣㜸〱㌸摤摣㕢搲㈴挳㜷昲㡢攴戲㕥㈱挴愵㝤㌸敡戲ㅣ搷㙤づ㕡㡥㌶っ㍡㡦㍥攸愶㈳㙣戴づ昷搹㈶愲摦㘷搰㔵㑣㄰攰愷ㅢ㔱㠶て㠲㕥㍥戲愲昸㈲㤶㐵〶㐰㍥㔷慣〲㜴愶敡攷搷愳敡愱㔸㈰ぢ㥥㌱㐸㡥㘵昱ㅣㅡ㜲扢挲㘵㠳㈵戸㙣愱捥ㄲ挸敢㜱て攴㜳㠲㘷〹㌵㤱捦愱㐳㜳㈲ㄶ㑡㍢㑦攴戳敢㑤㐴搰ち㔰ぢ㑤㡥㍦ㄴ㙢ㄱ扤㡥㙡摤㈶㜰〸㕣㠰㐱㡡㐵捡㥡㘲ㄸ㕡昸㍥㌱㠳昴慢攸摦㤷づ晤昲㐵愶扦ㅣㄲ㑡㄰愲㉡㍤㜹ち㐲㌵昹愷㤳㤳昷㔰摡㜹昲㑦慤㌷昹㈱捡㐸捥㐴て〰〶㝡㐴〵晦愸挵㌴㤰攱㍥昲㈷捥㄰攰㤷㥡挵㤰㠱ㄲ搵昷㍣㌲攸换つ㔷慤㉥㈰ㄳ昷㉤㜰晤ㄹㅦ昷㈸晢㠸ㄷ㈱改换㈹㠶捥搸㘲愸ㄵ㑢㜶攴㠵摤ㄲ戲〱㑢攲搷戲ㅤ㐵㝡戱换〸扦昸㐸㡣㤸愳㐷攳㉦愷戴㈸收〴挲〸㉤㔲搲て㌷㔲㝣㌸㙥晣敤敦戴㕣愶愸㐰〲昵㠴㡤㐹㘷慡昱㠷攲挶晢昱㔵㤶㙡㤳攳つ〲愶㤷攲挶愴㐷搵昸挹戸昱㥦昷敦㙥㌶㡥改㌰ㅣ戹㐰㈲挹戰㜵㤵昵㥦昸㐲㝢㄰捤ぢ㈶昵㘷㥦ㄹㄶ㔳㜲慡搰㜱㕤㘹搰㝥㕣〶昱昰㡤昴っ敥㌶攱ち〸㠴㙣昸㕦㈵ㅣ挳㥤愷㘹㈳㌰昰〹昴ち㠲捤㥥慥㥥搸戹㘸捥㝡㈸攸㌵㡦昹㌸㔳搵戶ㄴ㠹挰ㅣ挸㠷晢扢㠱㔳㍥挳㜴㙣敤㐷ㅣ㈴搳㜸㠷愴㍢攵愱〲㉢㜹昱挱ㄸ戳戹挷㕢㌴愳㍦〶攴㐰㍡〲㌲愳㍦づㄸ〶㘲㜸㕢㌹㌷㐴晥㔷捣晤㐱㔶㍣㐱昰㈴㐰㔹㤰搹㐹〷挵て〱っ挶晦㔱挵挸㡡昲㤷㘸攲㤱昸㘵㐹㌲搲㍦挲づㅦ〵攸㠱晢㔶㐴㐴㔸搶㍦㠶㤲攴㑢㈹㌸搴㑢㍦捥㡡㑦㄰㍣〵㔰㉥㜰戲㥢摥㌵慥愹㑢捤昵㐹㜴ㄵ㡦ㄳ攰愷㍦ㅤ㘵昸㔰攰㍥扣扤戳慤捣愳㜰晣㘱㍦㌴㘹敡ぢ晥㝢昰㐵晥㉡ㄷ摤㠳晦㤰愴愰っ晢扣㜶㜷㜷㘳㤱〹㘸㤳慢摦㌲㌶晢㔵㡣挳㜵戵㈲㈸ㅣ㤱㑡愵愴ㄵ〵昱捤〵ぢㄷ㙦攰㕢づ慡ち㈱㐸〳慡挲㠹㉡づ愱㐰晦ㄴ㥢ㄲ挷挴㤳晥㘹㍥ㄱ戵㙡ㄳ㍦ㄳ㘵昸㈰㠸㔷搵晤愱愸㝢晣㐲攲㕡㔵㔸㙤㉦㈴晥㔵挵㔲昲㠵捦㜲㌰㠵㉣㘴搲㕡㠹㐸㔳㌴昴ㅣ㌲〳㍤㠳㥣摢〳昸㘹ㄷ㐴昵㑣敤捣㤹㝦づ收㐷慥捣扦晢㕤晤捦扥昴㡢㤷㥦昹昵㝢て晥改㕦捦㍦晦敢㍦㍣昳攲扦㝥戴㜸昰㘷㉦扣昰搳㝢扦昴攲换㍢捤㉦㙢摦昹攷捣㤷ㅦㅤ㍦昷攸挳收愹㥢㡦㍣晡㥥㠷敥ㅦ㥦扢㘴戴愷愷户昷愶攱㥦㕦昱㤶愱挷ㅦ晥㥥昸昱㙦㉦㜷㠴㕡㉥㕥㤰㥥〶㤷慤愶昱〵㘴㌰つ捥昸㜵㥤〶㤷慢㌶㙡㌱摡愸㐹ㄴ㤴攰搳攰〴㔴㠵㤱慥攸晢て㌹昳戳㜲</t>
  </si>
  <si>
    <t>㜸〱捤㔸㑤㙣ㅢ㐵ㄴ摥㕤㝢搷扢戶搳㠴㌶晤晦ぢ搰㐲㑢摡㙤摣㌶昴〷ㄵㅡ摢捤㡦㘸㤳戴㜶搳摥㔶㙢敦㙣扣捤晥㤸㤹戵ㄳ㤷ぢㄲ㐵㠰〴ㄲ㐷戸㠲㤰㌸昰㈳㈱㡥㠸㈳㐸ㅣ㈸〷㉥㐸昴㔰㝡㐰㈰戸㠰挴つ挱㝢戳㜶㘲㍢㉥㙤㐳㤰㍡㙤㘶㘷收捤㝢㌳昳收扤敦扤戱㈰ち㠲昰㌷ㄴ晣㘲㠹㘳㘳㔷愱挱㐲攲改戹挰㜵㐹㌹㜴〲㥦改㘳㤴㥡㡤昳づぢ㘳㌰㐱㌱ㅣ愰㌳搹㘰捥㜵愲ㅡ㜵㐲ㄹ㑣㤲〵㐱㔵㌵〹攸㈸〴晦〶㕡ㅤつ戹搲㜱愸㡡戹散㑣改ㅡ㐸㉤㠴〱㈵㠷㠶收㈲摥㌳㤹㡣㥥搱㡦㥦挸㍣慤㡦ㅣㅡ捡搵摣戰㐶挹ㄹ㥦搴㐲㙡扡㠷㠶㘶㙢㈵搷㈹㍦㑦ㅡ挵㘰㠱昸㘷㐸㘹攴㔸挹㍣㝥㌲㜳㝣㜴搴㍥㜵敡㘴ㅡ㤶ㄶ㘶㜳搹㐹攲㔶㐱摥㝡㐹㔵㐰敡㜴㉥㍢㑢㠹扤㕥㌲㘵㔴㐴㈶㑦捡づ㙡㡣㄰敡昸昳㝡㉥ぢ晦摢戴〲扤ㄳ晡㑣愱㐰㝣收㠴㑥摤〹ㅢ㜸㍥捤㥢㈹㤷收㑣户㐶ㄴ㡦㙦㐹昵收㑣㍡㙤㝡愴捦扢捣挸㈵搳㥦㈷搸㤳扤㠹㥡㘳挵攱㈶㘳〷㝢㉤搴㔴㤲㍥㤳换收㉡㈶つ戹㐸㕣攰㐸慦搹㝣㈵扤㙤㉢㥣㠷㡦愲㝡挴㔴搳㔶昸㥡戸换〴㔶㉡㔴㡡〶搵愶㌶捥㈱捥㍡㤴ㄱ攳㝦㠲挵戵㌳愶㘰愶㘴㤸㤲㔱㤲㡣戲㘴㔸㤲㐱㈴挳㤶㡣㜹挹愸㐸㠶㈳ㄹ搷㈴㘳〱收戴㡡㥡㐸㐸捤戲攱挶㘷㡦㉢㍢摥㥥㝥愳戱㝦摢㡤昷づ㝦㤲㐶㔹搳㜰㌶㝤㥡㠴敢㘴〸㌲㥥改晥㜵㤹㠶搹戲ㄷ㕤㐵㥥戰戲㠶昷㌴攵㕢㘴㐹㠱ㄶ摣㕦摡换〵㝥㐸㤶挲扣ㄹ㥡〹㙦搶愴挴て㌵㤸㌴捣戹愲ㄶ㜲昶昱戱ㄶ㜷戲搹〳〹〳扣搹㈶㈵挵〷㈲㐹㈲戸㕥㉣ㅥ搵慡搲换㤹㈷㑤㔶〹捤㤲㑢昶㜵㕤㌹敡つ慣散㜲攸戸㑣〷㤱ㄳ㌴愸㔵㔱愳敢㈵㠷ㅢ㌲ㅡ㠶搲〷ㄵ㠷ㅥ晣挲〲㘷戵つ昰㐹㙡㐸搴㤰㠸戰〴ㅦ㈸㉤㕡㝡㈳㜴㘰㡢昹挰㌳ㅤ㝦㥤㉥㌷扤〹㠴㕥㙣㕡㜱㥥㥡㡢攰㤱㉢愲㡦敡㈳昸敦摥㤰〴㠸㘴㡦摡㈷散㑣挶ㅡㅤ㌱㡦㤹㌲扡挰㠳㝡搴㈰昰愴扤㉢㡥㙦〵㡢摣挵㌶㝡攰㍦摣㙤㡡㡤㉡攱㐳㘹扢㘸搲㜹〲㙥㑢愷昲㠳㜶㉥愰㤴戸㘶㐸㉣㍥㠰〸扤戵㜳㤰㡤搳挰挳昱㕤㔹㤳㤱ㄵ昷ㅤ戶愳㠵戲㐱捤户搸捥摥挴㐲〸愲㜷㜴搳㔶㠴慣㘲㉢〰愴ㄱ挶㜷扡愷㥢㡤ㅢ晦搸㤲ㄳ㤱㜷㜷㤱〱搴㠲搲摤愹攳㤴扣戰㑣㕤戵愳㌱〸㔳㜵㠲昴㔵愷㡣㐸搱扥〰㠲〲㐶㝣扥扤㘱㙦搶㈹㉦㄰㕡㈰ㄸ攴㠸挵㡦扡ㄹ㐹〴晣戱㑣搸昰っ慡ㅥ㔰搵㝡慣㝤搴㍥户ㄴㄲ昰㘶ぢ昶ぢ搱㈶㙣ㄴ搱㤳戶㜴㑣㠹搶〴挲昶㡥攱昱愰㕣㘳攸戵㌴㜰㍢㈹㘳㔶摤㠴㌵慤ぢ㠱㐵攲㜱㈹㈶挴㠵㌸ㄶ〸愳戱ㄸ戸昲㐸㤷愳昲㤰㠱戲㔹㍢㌶户㔹づ㠲昳戱晢㘲敡㌴㉦攴敢〵ㄹ换昱㕦摣搶改㉢晡㈵搰ㅥ㘸挹㈵攸㐸㔲㌷愲戴㙤㜴挵㙡㜰㤱㥥㜸ㅡ㥤愸㑤㘷㘸户㌸晢挰摤㡦挲挵㉥㕢挶晦㍢㔹㤲㌶㌵㑦㝦慥づ㤸㍤㘹晡㤶㑢攸扦敢ぢ㜷愴愱㘷㙢㥢戱摡〲㔵㔲㤰㝦〶㜴扢慢㈶㌱㔱ㄲ㤷挴㠶扣攸㔸㘱㐵愹㄰㘷扥ㄲ挲ㄸ攴㔷慡㡡㙡搶㈱戱扡〳摦扦攰晢ㅢ㈶㔹摡㌶慣戶㐳㤵㑣㈶㈳晣㔴㤲摡㑥摥ㄷ攲㠸慣扤㌶戹ㅣ〷㌰挰㈵捦〷愶㌵㙥㤶㈱㉦㑢㌴戳㌲㌵ㄷ㜸㔵㠸㑥㜴〰㘷收挰㌶挱收敢㡥㐵愸㡡〳〵挸晥攲㤰㤴㌱㠵㝢㌶㠳戰ㄳㄳ㘴㌹愵昶㕡㙢慡㈵㙢㕦㔳㠳敤搹攵搴㉡昹扦㕥㍣昹ㅣㅥ㉣㤹挴㡣㐹摢㠵搵㙥愸㘴搴攴〳㝢㐳㍦㌰㙤昱ち㤵㘰㜱ㄲ㔴㐹㔸㤴昴戰ㅣ㜵挲慤慢㠷㈱㡣㥡摥㜶㍥㍥㐱〹〰㈰㉤〲づ昰㌳㈲挷㡥㥥ㄴ捥戴㠳ㅢ㘳㥢ㅢづ摢㜳づ㔹㐴昰摥扢㥡〴㔹㕢慥挶挲㠰㐷晤㍤慢改昹㘰㍡〸昳づ慢扡㘶㘳㕦て㜲㐴戹㔲㈱㍥㘰ㄷ〵〸扢搷愴愰㕡㈵㔶㡦㍤ㄶ㠲ㅡ㉤㤳愹晣挳㠰㝥㜰㔳㔱ㄱ㌹昰㠹慡愸㐸㈲㤴戵㌹㥥㠸㉥㈱扣㌸昸昱挴敤敢㌷㥥㔳〰㑥㐵㜰㄰㜰ㄱㄹ㥤㜱㉤〰㠹昹㐹㕦㐷㔸摥㡣改昷〵㜸戲㌸㔵㤷㘴㑤ち㠶ㅤ㔰愶㜹慤㘶㘴㜸㙤㠹㜰攴㉤て㠳戲㈱捡㐴昱㐵扦㍢扥戶㙤㥣摢㈰ㅡ㌳㘲㥡㌸搸ㄵ〸昸戹ㄱ㥤搶㜸㔷昲㡦㠰㠹て戸ㄱ㝣㘵㈶敡㤸㔴ㅢ〶㈴愹搰挳㈲捡户㐱㔴捦晤㈱戴挶㝤㝣㈶㜱慥攴㠲ㅦ㉣晡㝣攷㌲挳㕣〷〵㙡㠹〴ㅥ㈳〹㝦扣㡣戶捣㐶㤰ㄱ扤㠷㝢改㉡捡㐹㤷摦㜱㔳ㄶ㠴㠷收挳㉤㡤て户㈲㈵晣㜵愶昲づ愸戰捦扢ㄲ搰㠵㔲㄰㉣攰㑢㘱〳敦戱ち㈱㈱扥愴㔲㕥昴ㅣ挴㌶搸㝥㉣搶昱㕡㙡敡ㅤ㠹㤸ㄱ昳㙣㔹㜹ㄴ㕡戱㜱㕡收㍤昱ㄶ㥣ㅦ㕦㔹㈳㌷㤷摥㍡昱收㉦㘷㕦慦扦㌶昹搱慤敦慦㡡㍦㌴〹㥦扥㝡搴晣敡捥㥤ぢㅦ扣晣搲㤶㘷扦㍥晡戹㡣〱攴扥㠲昷〰㑣散户㤷戱慢攸㠴㉥㐹搹㤱㘹㘰㕢戵〱㡤㈰戱戲ㄲ㜶戱〲愷捥昷搹ㄳ搴戱㕣挷㈷㘸㍡㤰戲攲慢昳㍣㤹㠷㈴㙡㌶挰ㄷ㙥攰昷搹㐵㙡晡っ㘳㡤㕦㙥㙣散攸㜱㙦㤱敤慣攳㌳㔸㠶攳㈵戶晢㙤㠴㜳戸戹㥡攷㑦㤸㔵昶㌰戸ㄳ晦搱〳搴〳㈵〲㉦㐹㤴㈴㔱㤵搴㌵㝡㠴愰散〷㔱摢摡㍣昰昴㄰晣㙥㔲㕥ㄸ慡㔲愷㑣㈰摤㤲㌸挰㐹㐷㜱挹〸搷㄰昰敥㍦户㐲㜳㑦昳㥦ㄳ㥡㐹㙦慣㔷散㕥㑥晥㜸㉥昳〴昰㠸㤸㕡㜰㕦㜹戲搹挰捥〰㠶㘹㡣摡捡〱愸ㅥ挹㘵㡤挸㡣㕢摥愰ㅣ㠴攱つ㌰摣㤶攱つ㘰㔴攷㈹捣㔳搰攰扦ㅣ㠸㝣〵散ㅤ㠲慡㔵〶㜰㈵㜴㕦敤㌰㔴㝤㌱ㄱ攷愳㍦㉡㍡昶挷㕣㜷愸攵㔱㑣挳㈱攵〸㔴㙡㝥攲慡扥攴戲㈵昱摢愶攵搷愵㉦晢扦㔸㌸㥣㝦攷扢戹㔷㍥㝣昷㜷㔵扣搹㈴㜴晦㤴㌰搰㕡㕤挶〵㥦改攵昵慢昲搵攱敥挷挱㌹㐸昶ㅢ㜸扣ㄸ㈴㑡㌲户攵戸㜴㝡㙤戲㕡挸㡢户㈰㝦〳扢晥て㜲昰扡㍡㠱㜳㉦㡣㘸挷㔰㌴㔶摤攰㠹戹摥㌸㥥愳㉢㈷㑤愵㄰㉡㠵㍦㔲㘳挲㑦敦㡦愵晥〱〳搴㙣㤹</t>
  </si>
  <si>
    <t>㜸〱敤㕣㝢㜴㥢挵㤵搷挸㤶慣㤱敤㔸㜹〰攱㙤㘸〲愱づ挶㡦㈴㡥㐳㔳挷戱昳㌰㜱ㅥ挴㠱㤰㐲敡挸搲愷㔸㐴て㈳挹㠹㕤㘰㐹㘹ぢ愴㐰㐳搳ㅥち㝤〱愱戴搰敤㥥㜲扡换愳愷㜴摢戲㕤ち㑤ち戴戴昴〵扢㕤㥥㠵㔲㑡㑦㕦㥣戳㔰昶昷扢摦昷㐹㥦㍥㐹㜶攲愶㘷昳㐷挷昶攸捥捣㥤㍢㜳敦扣敥扤㌳戲㐷㜹㍣㥥㜷㄰昸挹㔰㑤攰愴㠱昱㙣捥㐸㌶昷愴ㄳ〹㈳㤲㡢愷㔳搹收敥㑣㈶㍣摥ㅦ捦收慡㠰攰ㅦ㡣愳㍣敢ㅢ捣挶㍦㘰〴〶㜷ㅡ㤹㉣㤰㝣ㅥ㑦㈰愰扤㈸て㔸㝦㈱㍢愱㔹㑢㔷㌳〲㤶㐷晢ㄹ搵㌰㈲慡搶㡣㠲㠸敡㙡ㄱ㙤敡㔹扥㝥攸㔲㌴㍣㤰㑢㘷㡣昹㡤ㄷ㥡攴㤷戶戶㌶户㌶㉦攸㘸㕤搴摣㌲扦戱㘷㌴㤱ㅢ捤ㄸ㑢㔳挶㘸㉥ㄳ㑥捣㙦摣㌰㍡㤴㠸㐷搶ㄸ攳㥢搲㍢㡣搴㔲㘳愸愵㝤㈸扣㘰㜱敢㠲㠵ぢ㘳㥤㥤㡢敢敡㐰㜹㕤捦昲つㄹ㈳㤶㍤㔲㌴敢㐹㜳㝤捦昲收㜵㐶敥㐸搱㥣〶㥡㈰搹㥢㑥㠶攳愹㈳㐴搴㐷昱㉦散㌵㈲㜱㡥㤳㘱㘴攲愹敤捤攸㜶㤱愰㤱敡㘸敥捥㘶㐷㤳㈳ㅣ昲ㅥ㈳㤱搸㘸挴㘴㝣㤲扤搹摣㠶㜰㈶㤹慤㑢㔲㝥㐶挶㐸㐵㡣散戴攴㡡戱㠸㤱戰㄰戳㠱攴㠵攱捣扡㜰搲愸㈶搰㤰㌴挷戰㉦㙡愴㜲昱摣㜸㝤昲㠲慣戱㌱㥣摡㙥㄰挵㤷㕣㌵ㅡ㡦慡敡㙡晣㝡慡捥㉣搷㌳ㄹ㈸昴㈷搹㌳ㅣ捥攴㈴挵㈱㙣㉤㠷敢㤸㉥挲㐵㔱扦㌸愵ㅡ㕤戵㌸㘶〳昱攴ㅡ㈳㤳㌲ㄲ㙣㠴㈳搹攴㐲ㄲ〱㤹攳㤰㤷㤴捤づ㐷㐹搵㕡敢㠴扣戰ㄵ㝦〳愲昶㑤㤹㌸搸ㅣ㑤㠴㌳昳搷挶㔳㑢㕢㥡㕢㍢㍢摡㍢收昷挷㜷ㄸ㠹戸㤱捤㈱愷慤戵戳㝤晥摡昰ㄸ挱〵慤㙤敤㍡㠴㡡㝡㍡㐹捣㐰㔴㌳户㜱㈰㥣㌰戲㝡㈶戳㘷㈱㔲搵扦挱㈲㜵户攷ㅤっ㝢〷㠷扣㠳ㄱ敦㘰搴㍢㘸㜸〷㘳摥挱敤摥挱㘱敦㘰摣㍢㜸愹㜷㜰〷㙡摡㈱㔰㔳攳戵挲慣搴㥥㜳㍥戸敦散搵㥦晦搴㐷ㅦ㍤改戶戹㝦㔴㕣㤷戲慣㡦〵搰㔵摡晦搶戶搶〵㐵晤㙦㙤㕢戰挸敡㝦㙢㝢㐷换愲㤶㐲㘸搳挷㠱㠸㥥㡤挸㝦㍣愲愰挵换㤲戶㈵晡〴㤶㥣㠸㐸愹ㄷ挰づ㔹ち㝣昷昷ㅢ扥ㄵ㥢扦晥㥥㠵ぢ㝦搹晥㠹ㄳ㙦㔱摣ㅥ愴㉦㈷〳㈸敤㑢ぢ㈴户戰愸㉦㉤㙤ぢ慤慥戴戴㜵ㄴ晡㐱愸㕤㥦挲ㄶ㑦㐵攴㙦㐴㔴扢㉡㤳摥㤵ㅢ㙥捣㠴㜳㠶㍥㡤㐵愷㈳㔲敡㔹慢㌳晦㝡敤㐸攷㥦ㅦ㍢㙤昵捤㙦㍥昹挰㜷挶〳捤㡡摢㤴㜴㘶づ㠰昹ㄷ愴攲戱㜴㈶㘹㡤㙡㑢挷攲㡥㝣换㥤㡢摡ㄶ㜴ㄶ挲攲挵㝡㉥挹㥦㠱挸㝦㈶愱捤摤㍤㍤㡤て㍦搰搸慡攷㌱㜹ㄶ㈲愵㥥戶摡㝤慥㜵敤㔳摦敢扤㙤昹愷摦搸ㄴ㝢收戴㝦㝥㐱㜱㘷㤴㜶㥢〰㉣㉢ㄹ㤰㤶搶搶戶㠵㑥㔶㕢㡢㈵㠲㔲㕢㈴ㄸ㥥㠵㝡㍥㥢㍣ㅢ㤱扦ㄹ㔱㝥㐴摡㤷攸㜳㔸搲㠲㐸愹㈷慣捥っ扥戲㜲昶㥢㥦扡㙥挵摥ㄵ㌳㙦㍥㄰㜸敢㍦ㄵ㜷〰改㑣ㅢ㠰捥㤲捥㉣㕡㕣搴㜸㠷搵㜲挷愲㠲㌸〸戵敡㜶戶戵〰㤱㝦㈱愲㝣㉦ㄶ㉣搱㡢㔸搲㠱㐸愹㐷慤㕥昸づ昸敦扢慣㍢搸昳挱挷㥡敥扡昱昱扤㉦晡㜸㐴戴㤷㕢愰敥戵扦ㄲ㘷㐶㈴㥣捤㔹摢ㄲ㐵㜹㘴㜷慤挹㌷慤㤵㤹挸摦㝦搳㐲㈳㐷㘴搳搲㥤㤴晥ㄲ㐴晥㜳ㄱ搵攲搰㡤散㘸ㅣ挹挴㈳㠶㝥て㡢㤶㈲㔲敡㘱㙢㘰扥㜶㙤㕢昸㝢捦㍦扦昶敥て敤㍥昶扤摦㙦㝢㐸昱搸㤶改搱〵挰扤㐶㕡㍢ㄷ㜷摡㔳戱㙤㐱㝢慢㜳搲戶改㘵愸愱扢ㄱ昹㤷㈳㍡愱㍦㥤摡㝥㜶捥挸㈴ㅢ户ㄷ搶愹戹㘸㝡㠸搹㡢㐸愹㙦㔸ㅤ㜹敦〳㤷慣㠹摣㜵㑤晦扤ぢ晡摡㥦㔰㌳㍥㔲户ㄲ挵攷㕢㍢㜲㙦㈶扣ぢ㘷㕣攱昸㙣㙢㙥攱捦攴㝡〳搴㠶搸挲㔸㐷慣戵㌵扡戰㈵摣ㅥ昶㜱㙢㍥搴〳㡡戸㜵戱捤昱㔴㌴扤㑢㑥慣㤳㤶㠷戳㐶㘱㉥㌴㔹㘵换搳愳愹㘸昶挴昲㠵〳㌹㙣㑦㈷戸换ち㐴㑡慡つ攰㍣㌷戲搲摥㈹敥㙡ㄷ㠶ㄳ愳㐶昷㔸摣㉣㍥搹㔵㡣搳㍣㍤㔴戹㜴㘵挶戸㉣㕦㕡搲愳㙥㘸㠶㍢㠵㜶〹㤷㘶㤱搹慦挶㥥攱㜴搶㐸㐹昷㥡㤲ㅢ攲㤱ㅤ㐶㘶挰愰㕥㘹㐴㠵搵㘳㔸㘴愹ㄴ㑤敢㔳㘰ㄴ㑡㐲昴㜴㘷㙥㙣挵㔸捥㐸㐵㡤㈸晡㍢㘲㘴㜲攳㥢挲㐳〹攳搸㈲ㄴ戳㑤ㄴㅣ㕦㤴扤㌲ㅤㄹ捤昶愴㔳戹㑣㍡㔱㕣搲ㅤ摤ㄹ㠶ㅡㄳ㕤㥢㡥ㅡ搰㐲慡ㄹ㍣捡㔳㔵愵㤴攷摤攵㜶ㅡ搲捤㌶换㐰㌸㠶㤸㑡挹散攲㘹搷扣ㄱ摣㠱㡢㠴挱㌹改㥤㌳〹㌱愱㑢㌲㘷㔵㐶㜴昰㐴㈵㥣搸昳㉡㘳㑢ㅦ昳㈳昷昷㐵昶㝡㘷㕡摣慦搸〹㔵㙦㜵㌸ㄵ㑤ㄸ㤹〹㑤〸挵ㅥ改㔵㠸㝣て㘲㌵㔷㤴ㅥ昵ㄲ㌵愶挶㝤扢攲搱摣戰㝦搸㠸㙦ㅦ捥㈱て㘶㐶㈰㐰搱㤶〴摤㠷㉣㝤ㅥ愳㌵㠸㠲㐱㡦扦㥦㐸晥愰㕥㙢愶㝤搴戲づ㕦㠹愴㈱愳㐵㘹㠵㠵㤱昵㈵㜱捡㘴慢慡捡㜱戹㍡㥣ㅤ捥㜱㝡㑥㔸㔸㑢㝡敢ㄸ慤㐷攴愳愲㌷愹㡥㑡敤戲㥡慡㜸㝤戲搷㠸㠵㘱〰挹敡㔶㘱㕦搲搴愹㝢㡤㙣㐴㔳昹敥挳㕡ㄹ昳〳挲攲慦㑢㜲昶ㅢ㘳戹摥㜰㉥㕣㤳㠴ㅡ㡦㔱搲㐰㙡㤲㕡㈶挴㥡昵㤲㘷搷づ㕡㈹㔰〸〹攸愰㔲㉢ㄹ㈶㈵㉣ㅣ慣ㄷ㑦㤵ㄵ㑦捣〴晢づ㈶晣敥㠹㕥慣㡥挳㑡㠸慥㌲㔲㥢挶㐷㡣㉣搱〳晥〹㐵改㕥㕥㈴戶㍥㌲㜴㐱㉥㥥挸㌶愳愷㔰晡㐶㐷㡥㈴ㅤ搲搲ㅢ㄰搹挱昷㔵捣攲㐳攷㠹㈶㜶捤㑥㡥捤攰愰㈷㐰㙡捣搱搴晣㌵㘷㉢㠸扤㠳て〹㝡ㄳ㍥㠲ㄳ㤵昹㘸ㅦㅣ㡥改㐲つ扢㉥〹〹㙤捡ㄸ㘲㡣〵㈴〱㘹搷㈷㌷愷㌳㍢㠶搲改ㅤ㥣㑦搳㈴㤵ㅤ㌶㡣㥣ㄸ㌸㤶㐱㈷㠶㥢㔲㔵㔵㐵搶㠸挳ㄲ愲㘹攴扦〸㔱㝤㜷㈲搱㘸㔳捣晡户㈰慢ち愶㤶晦㝤〰〲扤慢㉥㙡ㅥ㑢㘴挷搴㕤攰㤶㤶㐰换ㄳ㘳㌷㜵摣昸敡戲㍤㍢慦㕢晤㉦捦晥晣㈲昵〵慢愰挴㕣愱㠱挱㤳㔶㙦㐵愴昶〳㡤扢〸攰攲愰〷㤱搶摢ㄸ㠵ㄱ㘱㉦㄰改㘲㉢㠸㤸㐹㐵㈳㠵摢㠱㡥㌲㌲㄰㈹㥡㈸㘲㜵挵〰搸㐱摤ち晡ㅣ㘳ㄹ㈷㕡㌵愵攳㜴㈹㜲㠳㝡㠲㌲㐵挳㠷㘳愵㈹ㅢ㑤㘹㘸㑡㐲敤〵攱戲〲昸㤸㔵㔰㘲㈳搱慡ㄱ〱㘴㔹晦〶愰㤵ㄷ挰㈸摢搸挹㘸ㄷ㈲㠷〰挶捤愴㍡ㄵ㥦㈲㠰て㄰改㜲㐴敡㌴㐴㈲㠰㉢〰搸㐱㝤〸㙤攴〵搰㠸散㔲〱散㐶㙥㔰㑦㔰愶㘸㙣㤵ㄳ挰㜸㈵〱㡣㔹〵㈵㜶ㄹ㡤㉢ㄱ挰ㅥ〰㙡㘷㐵〱㕣㡦㘲㝤〳愳ㅢㄱ㌹〴戰搷㑣慡㌳昰㈹〲戸㠹㐸ㅦ㐷愴㘸㥦㠹〰昶〱戰㠳㑡㍡〵㈰ㄶ㕤挹㑡扤ㄹ挸㐱㍤㐱㤹愲搵㔷㑥〰㤱㑡〲ㄸ戲ち㑡っ挴昹愰㈴〲戸つ㠰摡㔶㔱〰㜷愰㔸敦㘷㜴㈷㈲㠷〰敥㌲㤳敡㙣㝣㡡〰扥㐸愴㉦㈱㔲戴〹㐵〰㜷〳戰㠳摡散ㄴ〰捤挸搲ㄹ昰ㄵ攴〶昵〴㘵慡〵ㄸ攵〴戰戶㤲〰晡慤㠲ㄲ愳戴ㅤ㤴㐴〰昷〱㔰攷㔵ㄴ挰〳㈸搶て㌲晡㍡㈲㠷〰扥㘱㈶搵〲㝣㡡〰ㅥ㈲搲㌷ㄱ㈹㥡愳㈲㠰㝦〷㘰〷搵敤ㄴ〰㉤搸㔲〱㍣㡣摣愰㥥愰㑣搱挸㉤㈷㠰㡥㑡〲㔸㘴ㄵ㤴搸挳㥤愰㌴㠱㔹㔲㘴㠲戲挵㈲戳愴㉥戶㌲㥥㠰愵㈵㥡㘷㐳っㅦ愶㘷㔰搲昵搴戶㌳攱㠸改㜳㥢ㄵ敢㠱挲つ㔷㘴㙥扣㘰㠲㤴㈸晣愶㍥晣て戳收愸㌳㙢挴愸㈹㌲㙤㈶㌰ㅢ㌰㘹㕣㠶捤挴挸㡥㐹㔴㠷㈹㔶㔶〹㤱㈹搵っ捡挵㤳㡣昸㙥㡤㐹晣慤㜹㝣攷㈴㈴㜶㑢㘵㜳㠷㤳扤㜴㤲戲㔲㐵搳㠲搶挳㍦っ㌳昷摤㡥㘹㤸ㅤ㠰㙣昴㐱㐶㍦㘰昴㌸愳㈷㄰愹ㄶ㙢㥢攵〹昱〸晥㍥〹㔵昲㐵戱㡣㝥㐸㥣ㅦ㌱㝡ち㤱㘳㥢晤〹㤲晥愷㤹㈷扢㐷㈳㤵晡愰㔲㑢㤰㈳扢敥㑦〱攸㥦㈱慡晢㌹愲㜵慢㡤〴散晢㈳㜵㍦攳愳晦㙡㘲㡢〴㔳㠷㝡昷戱挹㠱昱㔴㘴㌸㤳㑥攱㐲㡢㠶㔲㜷〴ㄷㅣ㔹ㄵ昶㈷晢搳㍤愳㌹㝦㜲㜵ㅣㅦ㜵挹㡤挶㠸ㄱ捥昵挰㝦〳㉢慣ㅦ㙥㐶戱戱晡愲㘳晦㥦㌶㤸㠷㠶㌲㕣㘳〵㌳㑣戹ㄷ慥㘹つ㔹攲㙤敥㑤攳戲捣㤰㉢㍤㡡摤敦㠷㍤㝤ㄴㅡ㔹ㅥ晤ぢ昴敥戶摦㝦昹摣戹㥦晢敡㍢搶攷㔵㤸㠴ㄲ㌴摤㤵愵㠷昰戳挸つ㑥㔴愶攸搰捣ㅦ挲晥攷㤰慡挲㌴㌰㤵昱㤳㐰扡慣㌲㝥愲㔵㔰攲晦㕣㠶晡愲㠹扣〴㐰ㅤて戴昲捡昸慦㔱慣㕦㘱昴㉡㈲挷ㄲ㜹捤㑣慡㙥㝣捡㥡昸㉤㤱㕥㐷愴攸昶ㄴ㑤攴㜷〰散愰㐲㘸㈳慦㡣㉦㐷㜶愹㄰晥㠰摣愰㥥愰㑣搱㤹㥡ㄷ㠲挳ㅡ昱㔷ㄲ㠰捦㉡㜰晢㕤㝤昴攳ㅣ㠶扦㑣㍣ㅦ戱ぢ攳挶㉥敥〵搳㘲戸ㄶ散ㄹ捤收搲攲㡤愸㡦昵愶搷愵㜳扤昱散㐸㈲㍣㍥㌳㘶〱㥢㠷㡤ㄴ㝣㠵ㄹ戸っ㕤㜹改㤱ㄱ㈳慡㘳〳改搱㑣挴攸敢㍤ㅡ㝣㠹㄰〷㠶㑥摣㠸㕥㠵㌰㌵昷ㄸ㤶戳挲㉣㐱昰昸攸搴㜲㝢㌹ㅣ㠷㘵㐱㉦攳㍣㙣㈸㐸㜴㔳㍣㤷㌰㙡㘳㔲㉥㜰㈰〶㈹挲〱ㅢ慤㠹㙤ㅡ㠶昵摦㕢ㅦ㕢㤵㠹㐷ㄳ昱㤴挱挱㠰慥挷扢搶㝥㘳㍢㥣慤ㅢ搲搹㌸敦㠱敢㘳㥢㌲攱㔴㜶㠴㝥愳挸昸㡣愲㤴㙣㝥扥搸昲㜸㉡㡢㘶㘴ㄴ〹㌷挴〶㠶搳扢昰㝡㘰㌴㤹㕡ㄵㅥ挹ㅥㄵ愳㠲摤搱ち㌲㌴捡慢扣㕥ㄵ昰〶愶㍡㍥晥户㐰敥戸挲㜵㔸㈳收㙡㉥ㄳㅦㅡ愵搰愴愵㌶挴搵㡣㘴ㅣ㍤㍥扡㈵㈷搰㜹愸昹㔸㙥㜰扡㜸搹摦愲㡢慢戲摥挶晣戳っ㙡㍢晡㙤搶昹㉢愲昳㔶㕤搰㔷戸晣昸㥢ㅥ㑥昸搶㠰㥥晢㌸㜱捦扥扣慦昹ㄸ㈰㑦㌳愷ㄱ昳㌸慢戰㍡㌱ㅢ㤸㜲㑦捤㘰㑣㜰㌸㑢愷ㄵ挰㤵㜰㔷搶挵晡挳㐳㐶〲㕥搶㘴㌸㌷捤㑣㔰晦㑢㠶ㄳ㔹慢慣㈷㥤㑣㠶㌹敤㌸㘵〷㈲戸㉦て挴扡㐷㜳㘹摣戹敢ㄸ㈲㤹㥢㔶㔶㜸っ㔹攱㌱挹慡㡢㙤攴敤㡢挰愴㤵摥ㅥ捥挴㜳挳挹㜸㈴挰〴㙦㐸㡥㡡昹㡡㍤㐴㡥㜵〸㤴挱摥㑦摣敡㡣㜹戰㘳戸㥢愱扡㔳㜴ㅣ㝥捣㙡慦昲攳㐷㑤搱㌹㡦摤㐷づㄵ㑤搷愴㡦㉡ㅥ户㈳〹㙦搸㙦㠵摥戸ち㌹戲㐱愹戵㐴挰㥦㈶ㄲ〱晥㔵慦㐳㌴愱攷戶〶〸挱晥㜴㌸扡ㄲ搶㘶㍡㔳㘳㍤昴〹㘰㘸戹摤㘴㐲昴愵昷攰㝡〶搷㍥㍢攳㔱㈳ㄳ㘰挶〰㔴戴㙡㝡攱晤收ㄸ㔲㌶ㅥ㥦慦㌶㔰慥慤㍥㥢搶ㅣ换㐳改㝣搳搴㔷㐲晦戵昳ㄷ㜷愱㔳㘰慢ち戱昶㠲て㕤㐵㥥搶㈳㐹㝥㕣〸㝣㉥愵㝤㠸㝣ㅢ㔰攸ㅥ㥢㘲户㌶㥣摦ㅡ㐸搵昲㐴㠶づ昷〰㥣搳攲愹昷〹㈳戵づて扢摦㜴慥〷散㜷㌷晥〱捣㜲㈳ㅡ㌴昷㔸㉡愸㤴戴搷㕢㡤愱昶扢摤〰㈵捤㠲㔸㜲挰㄰搷扢慡㐷ㄷ晣㝥㔴㙥攰㘲〱晤㐱晢戱㐹㍦㑡㜰挶扦㠳て〹挱愰づ〰捦ㄳ㔴㥢㄰摢捣晢㤹ㄳ攴挸㘹㡤㔲ㅤ㐴愴戶㈲㐹㌵挰㜱㘸愹㐱㈴㜹㜰㜹晣戵㐰㌹㥣㡤㔲㙤㐳㉤㙥㤶扡㡥挴挳㠰戸〷攵攷攴㌴攴㑥㍥㈷改攴〵愲㐷㌷㤰㠸㤵㔰昴昴摡慣〰戴〷㍡〴〴㍤㥤㠸昴〲㤷㐱㤸㐱㠴㤹㐴㠸〱㠱㠳敤㥦㠵搴っ㤷㄰昹捡愵㡣ㅣ㡦〵㉡攴㐸ㅦ戱㑤摢㈱挷攳㐸㝢㌶㘹㘷㠱攰㤶攳㈸昲㑣㌹ㅥて㤴挳㤲㈳㕤扦㈲挷ㄳ㐸㥣㍥攰㈲㌹㥥㠴摣挹攵㌸㡥㙡㐰昴攸㤳㐹挴㑡㈸㍡㡣㙤㔶〰摡㜲㍣〵〸晡㔴㈲搲㤹㕣〶愱㤱〸愷ㄱ㠱晥㘵㤱攳改㐸捤戴攵攸㝣愱㔳㐶㤰㜳㠰ぢ㐱敥㜶㄰㜷〸㜲㉥㠹㥦㐱攲㝢㠰攰ㄶ攴昵挸㌳〵㜹㈶㔰㘶㔹慦㜹㈶㍤戶搵つ愸㈷㔲㥣㐷捡㌷㈲㔵㈴挵㜷㈳㜷㜲㈹敥㐵㌵㈰㝡㜴ㄳ㠹㔸〹㜵ㄳ㠰㌲㐲㥡て〴㝤㌶ㄱ㍦㕥ㅥ愱㤹〸攷㄰㘱ㅦ㄰㐴㡡㉤㐸㑤户愵㔸㜸㙤㔴㐶㠶㙤挰㠴っ改慥戶摢㜶挸戰㥤愴ㄷ㤰㌴㕤换㙥ㄹ摥㠱㍣㔳㠶ぢ㠱㜲㔸㤳㜱㍦慡㡡ㄸㄷ㤱㌸摤搱㐵㘲㕣㡣摣挹挵㐸户㌵㄰㍤扡㤳㐴慣㠴晡㈲〰㥢ㄵ㠰昶㘴㕣〲〴㝤㉥ㄱ扦㔴ㅥ攱㍤㐴㔸㑡〴扡扡㐵㡣敦㐵慡㘴㔱攳愱㔴ㄹ㌹㉥〳㉡攴昸ㄵ〷㙤㠷ㅣ扢㐹㝢㌹㘹摦〷〴户ㅣ改㤶㌶攵搸〳㤴挳㤲㈳㥤搹㈲挷㕥ㄲ晦㍡㔲㐵㜲㕣㠹摣挹攵㐸敦㌷㄰㜱〹㑦㈲㔶㐲搱〵㕥㐶㡥慢㠱愰晢㠸昸捤昲〸攷ㄱ㘱つㄱ攸㌱ㄷ㌹昶㈳㔵㈲㐷㍣昵㉡㈳挷㜵㐰㠵ㅣㅦ㜶搰㜶挸㜱㍤㘹㙦㐰攴㍢〰㠴〹昴㔰㤸昰づ攷攵㌴㈰晢㘳㔸攳㌹愸㠸㕣ㄶ㉢攳㌹ㅣ㜶㜵㌱㐴〰挵换㜸㠲愸㡥㡥㑡㑤㜹戳昴搴搲愲㈲㍢昵㤴搲㜲愷攱㍡愷㑣戱㘹搲㍡㉣搹挹㤰挴戴㉤搳挷愳挹搶㔵愶敢挹㌲㜷搵摣捡㍥㕡㠷摣敢㌰㌶㝦㠳㘵㉣㜳挸愳㌷㜲摡㈸晣㐰㑦ㄹ〰㑣㐳昹攰愴㔳挴攱戲慥〵㜲㤰挶戲㤹㔷㙦摤㠹昴愵戲㔰㌵㠳㔶ち㠶挴㌴ぢ㕣㍦㥡㉢㉡〹㡦捤戴㑡㜰捦扤㍥〵昳㉦ㄲ捥㐴㡦ㄲ摢〱扣㤹㘶慥㤸〱㔳㜴㐱㠰〸㠳㐳攳㠷㔳㘹㤳㈵敢ㅦ愰攴㜰㍣晥つ挰慦愷戸昳ㄷ〱〱愶搶ㅡ攱㤴㡣挲㐰㉥摡㙢散ㄴ㝦搰〶〳捥ㅣ扣ㅡ㑦ㄸ㌳愵㐲㍥㈹㝡戲㡥㜵て㘵攱㕢挸搱㘸戴㈰㔹攸㍡戶搱㐸㠴昹㈸つ㌶㥥〵㙤㠸攴㜰扦㤵㈷挰〷㘷㐷捦〸㐱㈲搵搶㈸㈹ㄹ㈷晦〴晢㕢㌱ㄳ㕣㐳㔳ㅣ㔵㡣㕦㑣挲敢㕤敡搳户㌲摣搳攵戱〱换攳昴㌸挸㑦攰慡挰㕥敢扣㥥攱㑡㥡㘹摦ㅡ㥡㍢㥣㙣㕥㜵㜶ㅥ晤ㄹ昵昴㍤㘵㜲㜸㤵挹㤷戹つ㕣㍡〹ㄸ㝣戹㌸㑣昷挴昸戴㔸㕦㉡㤲ㄸ㡤ㅡ㘲昷摢㝢戶㤸晦㐷挵㜸挹昷㘲捣戱㥡㐰㉥㤶㔰晡昰攵ㄸ晢㤵摥搴ㅤ㠰晡〲㡣㤴㙣㜶愰ㄱ搴㥢慤㜵昷〴㠴㝤搸㜷㘱㐱㔴㥡㔱戸挹㤵敦㘱㘰㙢㉢挹攲㥥挶㕢㡤晣㜵㥡慣㌸〷㕡㝦扡ㅦ捦㠳㡤愸㈳㙢㜵摣捣㍡㉡挶〹㝣㥡ㅢ㥦ㅦ㐶敥㔴㕤㝢㈴㠲㕤㑦㍥㍣㙦㕣㘵㝤㜶昱㡣挱㈹愳㜸搹㈵捡㥢摣㌲㠸晥㐴㉦㥦户攰敡㔳㍦㐲㕡㤴戴㉤ㄸ㌵挵㍢㌱㔳㐹㌳挷㔳㕦㡣摣挹㤵㌴摥㥤〱搱愳㉦㈱ㄱ㉢愱㜸㘳㔶㐶㐹摢ち〴晤㝥㈲昲㌶慤っ挲㈰ㄱ戶㈱昲昱㔲挵扤搱㔴扣ㅦ愲ㅦ挴㤷愴挷㈱㤰愴攷〵换搴㡦ㄷ㠵戸晦慡愱㘹ㅦ攰晤㤱づ㠳散てづㅥ攴挵㡡㐷㍤㡢挸㙥ㅦㄷ㠴㄰ㅡ㌰㍤㝡㠸敤㐷㄰愹㤷㤰㜴㉢挴扣ㅤ㌱ㄵ攲㈸㔰づ摤㌸㝢〵昵㐴搰〶㈹扦㡡㤴㈹㘸换㝤戵ㅤ戹㤳ぢ晡㌵㔴〳愲㐷て㤳㠸㤵㔰扦〵㘰昳〱㄰㝣㠸㑦㈸づ〴㝤㈹ㄱ㕦㉦㡦戰㠳〸〹㈲晣づ〸愲つ㈷㤱㍡摤㌶捥㈶㜸收摥㡦ち㉥ㄷ㑣ㅡ㔵愱ㅤ昳㐲挷敥㡣㐳㍢ㅥ㘱㕢㤷戱慤户㠱㐰㔴㥤㘱ち㠰っㅣ㈱户㔷慡挴㘳㐸㌷㈳昴ㅤ昸づ〷㜲攳〹昸㙢〹搲㑢㘵㐲ㅣ㜵戳ㄸ扥戳㜴〶㍢㘱戵晢㕡㍤㕦㜷㈵㐸搵捥㜲扤㠶㤶㙡㉣愱㙢搲㜷攳㕦㑢㕦晣收敢戳攳㠵愷㤱慣挳攰愷㌳㝣搶摡㜸㈴㤳捥愶㘳㌹㝣㌹㉡㤵㙤攴敢昲ㄸ戶挲㙥摦昵愰㔸戶㑤㌲㔶㥤攲搷捤㜶昲戵㘵㜰㐷㉡扤㉢㈵扤昱㘵昹挸㥥慤改㥡ㅡ㌶挳つ㔲挲扢㈰戲㄰㥤㙢慣慣㜷〲愸慦ち㜹㠹㠹㄰愲㉦㔰〰㌹て㤸㐳攷ㅦ㠳㡦扥戲㐳昵挴㤱戶ㅡ㔲ㄱㄵ㔵㐶㜵㑤㑤㠹摥㕣攲挱愳ㅦ㕤摥挲晡晤㜴攰昹昶㠰㘵户戲㕤扥ㄲ扢㔷㤰㈸㉢搳㥢慢挷㤰慦挷ㄱ〵㐳㜴攳戱㐳晥て〰㤸搱戳㝣㄰㙦㌴敤㔷㥢㥣〵晥换㤱㕦㠷㝣㌹ぢ㌶攲つ扣晦ち攴㑣㐷㑥昱㔷晣晣㔷㈲㝢ㅡ戲ㅤ㌷ㄹ㈱晡〷㐵㤴敦㘳戳㜲扦戹ㅢ㔹昲㡤㌷㈵晥㍤收㕦㡤㉣晣捡愴㔵昴敦㌱愵慥〴㤷㥣㉥㐸㝡㌴攷〰㠷㕢㕤㡥ㅣづ㜹昱㤰搱换㈷敤㕣〳〰㐳㐶㡦ㅥ㐳㠸㕥㍤〱攸挲ㄳ㠰㙥㍣〶㐵户ㅣ㠷㑤㡤㠳ㅣ㐵㉡愲戹づ㌹㝡て愲㘰㠸㥥㌹㈱㑡搱㘸捡㐱㤳㜵㑤㐶㐳昴搸ㄵ㌸㥢つ㠲晡㈶ㄶㅥ㐷搲攲㜱㘳搶㍥㘴攱搷攴散㈴㐲捣㐸愲戱㔲捥㜶㈰户㤴戳㤳㔱㐱摡戹ㄹ〰㌸愳㡦㡤㈱㐴㍦㥢〰㡤㌶㐰挷ㅡ㠳㥡〳㐰㌸㡢㍢㌹扢〵戹晡㔶㐴挱㄰㕤㘵ㄵ㌹愳ぢ慤挰搹愹㈰愸㙦㘷搵㔳㐸㝡ㅥ㈰晣攲㔹愱〵㜰愳㔱昴㠲〹㘷㕢换㜲㜶㜱㔹捥攸ぢ㤳㜶扥〸〰㥣搱敦挵㄰愲敦㑢〰㍡扡〴愰戳㡢㐱戵〱㄰捥戶㔸㥣戱㐰摦㡤㔸摦㠳㈸ㄸ愲〳慢㈲㘷㜴㙣ㄵ㌸㍢㠳㔵敦㘵搵戹㈴㉤㡥㈹㘶㝤つ㔹昸㌵挷㡣㡥㈹攱㙣㙤㔹捥搶㤴攵㡣敥㈹㘹攷㝥〰攰㡣慥㈸㠶㄰摤㔱〲扣挷〶㤶㕡㠰㕡〶㐰㌸敢戳㌸㤳搹昸㈰㜲昵搷ㄱ〵㐳㜴㈹㔵攴㙣戹㕤㈸敢散㙣戴愱扦捤慡昳〱愹㕥㐰昸昵攸㠷㉤㐰挶㡣慥㈲攱㙣㘹㔹捥捥㉤换ㄹㅤ㐶搲㠹㐷〰㠰戳搵㈴㠲㄰敡戳〱㝡㠳㈴㠷ㅥ㈱〶㐵て㡦㜰搶改攴散㔱攴敡挷㄰〵㐳㜴昲㔴攴㙣㠳㕤㈸㥣㉤〰㐱晤㈴慢戶〳昲㙤〴攴摥〸ㅤ㤷㤳づ慦〳㤵㤰㤰挳ㄵ㈴㕢敡昴搸昹愳攱〴扥㥥扣ㅥ昶㐸㡥㔹㐷㠳ㄶ㕢㙤㕡㠵㤳㥥㈶挲挲挵㕢戹愹扢㘵㔰㝣ㄸ㔸扣挹〹㌲㌵慢㌱攸㙢挶搸ㅤ㕡㉢ㄸㄲ搷㤱挳改ㄶ搴㑦愱㠰晡㌳扤㌵挴搱㍦㐶捣㐹捥㍦戵挹捥晤〹换慣攰愳つ㜴攸〶ㄷ㙢捥㉣摣昰昱㉥户㈹〱摢昳㄰慥捥㥦㘶昳戴戱㐸㐳㍢晢愰戶搸戹㍦戳〰㑥㔵㐵ㅤ㕥㔶捦㤹㡥搵攳晦〵㜲㉢㙡㉡㙡㙥搹㈵㜵〹敡挸散㝦〶〰㤶搴㔶㔲㐶〸㔱㥤ㄷ㠰扡扢〰摢㉣愰㠱ㅡ㌷て㐰扦㔹㜰攴攲搰㄰㈸㜳扣摣挷ㅤ㔵㜷挹㕦挲挲晦㐱㑡扥㌹慡㐴昱㘶搶昳挸挲慦戹㙢㔲昱ㄶ改㥣攴㤰㑥攱っ㍦愱慣㈰㠶㔱㐹〴昱㌲〰〸㈲㑥㈲〸㈱慡摢〲㔰户ㄶ㠰晡㌵㠳愲㝥㉣㝢换㙣㤰攴ㄹ捥〲晤ち㘲晤㉡愲㘰㘸〴㜱挵扤㠵慡戳ㄴ捡摥搲捤慡扦㐷㤶㕥〶㈸㤴戱ぢ晦〰愰扥捡户ㄳㅦ攷㔶昶㜰㍡戴㥥㈶㌸〲㡡扥慦戸〲摦㍦ㅣ攷㌴慦挲挵戵㜹摤㕢敤㕤㌲㌵㕡㕣昵㜴晦昰捦㔷〷㡥晦〶㍡攰挸戱㔴㐹㔱㑥晢㍦㈱扦㘱っㄱ愷㤷㙢㡡扤〱㍢㔸挲㌲昳㈳㘰㝤㠶慣捦㔹换ㅡ挶敤㥡㕢搵㘹晢扡㝤扦扡捡晤㠴敦搸㤹㥦搹扢愳攷戱慥搴㥤敡㈱摦㡣㠳㕤㡦戴て晦晡戶㕦㍤摥愵㜶愳㘶戹㔷㘹㌵㘰戳散戳㍣扦㔵攰晥㤲㔰攸㙡㔰㤲㤱晤㕦〰昵㔵敡ㅡ㝣㜰〰㔵㌵㙡㔰㙡挲攸摢挸㘹戸づ搱搴ㄸ摤㘳搷慣挴攸㕦づ敥昳㉣扣敦愱慥㙦㍥㍦敢攴挷㕥晣㔶搷昲㉢て㝣戶昹晡敦㜴愹㥢㔰戳ㅣ愳敦扣㕤㠱搱扦㕡〵敥㉦〳㠵昶㠱㤲㌰㕡㠵昹〵㐶㙦㐶㕡ㄸ㝤ぢ㌵昲㡣搲〸㙥戸挵敥慥㌹㜲㜶㝣〸㈳㝡慢㕤戳ㄲ愳㡦㍣㜳摦㠷慦㜸昲ㄳ㕤愶ㅦ昱搶慥㕦㍣晥㤷㠱攷敦晡㑣㤷扡ㅤ㌵换㌱晡㤷㑡㡣晥搹㉡㜰㝦改㈷戴ㅦ㤴㠴搱㕡㤳㔱㉡㡤挲攸ㅦ㥤㡣搶㤳搱扢㔱㐴搷挳㈱㑦摤㠶㝢散ㅡ㤵ㄸ㍣敢㤲扤て晦㘹摥扦㜵摤㌹戲㌴昸搳㍢ㅦ散㔲昷愲㐶㌹挶㝥㔷㠹戱搷慤〲昷㤷㜹㐲㔴㌷㠵戱㤹㈶㘳昷㈳㉤㡣扤收㘴散ㄸ㌲㐶㙤㜰㙡㔳㤵㉡愴搴慣挴㘰敤㑦挹摡戵搶〸敥改㌲ㄹ扥愱㑢㝤ㅢ㌵换㌱晡㜲㈵㐶㕦戲ち摣㕦摡〹㔱晢ㄴ㐶㑦㌴ㄹ愵ち㈹㡣扥攰㘴昴㘴㌲晡愸摤㕤㝢㤲㥡㥦㠷㌰㔵ㅦ戳㙢㔶㘲昴㍦晥㌴て㘳昹㘲㤷改〴㝦挹ㅡ搱㕦㜷㈹㙡㤵攵ㄸ晤敦㑡㡣晥㤷㔵攰晥㜲㡥愲愶㠳㕦㡦㝥ㄷ㜸攱愱挹扦㄰搵ㅤ㘱㝦づ㜲昵㕣捡挰ㅢ戲㌵つ昵戴㕤㈷㥦挳㍡㔴㌹愴捥㤹㐴慦㔲㔴ㄱ㐴㘴㍦㜳㡡散㉣ㄴ㉡ㅥ挹㠵敥㍦挷收㜹慡愹愷㉡㜵晦㐷㔶㠱晢㐹㜳㠸㈷戹㌴㝡㡥搹㈸㡦㘳㘹昴㐹㘷愳慤㈸㙣攰㐱㝢㜸㉢㡤愷戲搴愸㌴㍥〷㝥㌹㝤㕤敤晢㍦搹搵晡挶㌳㤷㍦昸挲㉤㕤㡡㈷㜲㠱戱㉤㜹挶づ㔴㘲散晢㔶㐱挹㔳㘵ㅥ攴㤳㍤㔵㜶晣㌷〵㕥㔹昹㘲昴㠱搴挶捣㙣㥥扤㜲㌵㤸㄰㌷㔲ㅤ㕥ㄵ㘶昰晦っ晡昱㠰ㄶ㙦〹昱ㅦ㠵㉣㡦〸ㅥ搶搲㘵㙡扦㕢搳㤲㘲㘵㝦㙣㝤〶て搹㙡㘲㝤㔹㕣㝥㐵〳昸㍥㜶づ㕦挴㑡ㅤつ㘶〷ㅣ㝢搵ㄸ㔳〴昳戱㘱㔹㥦摡㑡ㄴ扢㥤挷づ㠳慢㈰て晢〲挴换挷㠸㔳㌳㍡晣ㅤ攸㡥昳㜱㐴搴昱挴戶㕡㍤㡡㘱㌶摤㈵扢㍤敦㐸扦㘱㐹攸㑥搴㤱昷散戲〲ㄱ攱换〰捣敡〷㠶㜹㜵散愳㝡攳㘶㡥㕥捥㤵攴摥昵捦〶㙡㙢挹戱ㅤㄴ戵〹捥㈲晦搲〹扢昶㜰搹慥㜵㤵㜶慤扢戸㙢㡡ち〹扢㘷〷挵㔳㕤ㅡ散㤹戰挱㠷捡㌶戸愲戴挱㔵慥〶愹ㄸㄴ㌵挸搳㔵ㅡ散〳㤰㜷挴ㄷ㑢晥晥戲慤慤㈱㘹㉥捦㠲攴搷㌲慢㈰㜹挵搳戹愸㌵ㅥ㜹搲摡㝡〰㤵㠷晡摥戲つ㥥㑦敡挵つづ㌰换搱㈰㑦捤愲〶㜹昴㐸㠳ㄷ〰愸摣攰㤷换㌶戸㤹搴㡢ㅢ摣挲㉣㐷㠳㍣扤㥣つ㠶㜸〴挸㘶㝡㌱㌱㉦㘱戴ㄵ㔱㔰昱ㄴ㤰㕤㜵㍦摡愲愲㌶て㤲ぢ攰慥㡦㈷㠳ㄴ摣㘱ㄵ㥣㠵〲扤つ戹㡡愷㠰昴㍥っ愰挱晥㔷㐷㡤攲摥捥㝡搵攷敤㕥晦愶敤昸挲㡡㠸〰㔷㍦挷㘱〱挰挱〹㙡㠳㔹㡥㕥昳〰㤱㕥晦愱戶摢昳昲㕤摤㡡㍢扦㌴戴ㅤ㐰㠵㔹㜰㡢摤㥡挷戹晥攲㈴㕤㉣愳ㅤ捣㜲戴挶㤳挳㈹㈳ㅦ搷散㈱㙦㉡㕣ㅤ㔳㌴昲㤳㘸㐷㜱㌷㈰つ㥤戲〰㈶ㄴ搷愶㙣ㅤ㘹收㜲㔹ち捥㠸ㄳ㠷换㐹㜰㉥㘳㉥㔷㤲攰㘴㥣㌸㕣〴㠲㤳㘵㉥攷扦攰攴㥣㌸㥣户㠲㌳捡㕣㑥㔹挱搹改挴攱㔴ㄳ㥣㕤捣摤㘲攳㡣㌹㜱㌸愳㘴愲㕣㙢㑤ㄴ㝥摦㉤攰昵㉢捥㌲㈹戸挶㉡攰捤㕣〰㙦㙥㌸昳愴攰㈳㔶〱㡤㌹㝤〵㜲ㅢ㌸扦敡㤰慡昹愱㔷攱㥢㝤㉦㝡敦愸㝥搱㥢慡㝥挳挳搱㙡昵㔶㜹ㄴ攷㤱㜴改㑡〰㡡㔳㐸扡晤㑦〰昰㉢㝦㡡愳㉦㌸㔷戱㤸〳㉦㌸扢㉤㠰〹㈵愳挰㜶㝦挲愴ㄵ㐲ㅣつ㔹㈷㔷〳㠰愶㈳攳㠰挲㘲㉣㡥㠷㘰㝤搸挴㤲㤱㈸挱攲㠸〸搶㌵㈶㤶㡣㐵〹ㄶ挷㐴戰慥㌳戱㘴㌴㑡戰㌸㉡㠲昵㔱ㄳ㑢挶愳〴㡢攳㈲㔸㌷〸㔶〳㐵扡ㄹ㔸摥㌱ㄵ搹ㄶ摤戶敤捤㠶敡挶ㄳ慡㉦㕡㔶㜷敢慦扥晦摣扥ㅦ㕦戲昴攵户㍥晢搹ㅦ扦戰敦攰㕢てつ㉤晤摥晥晤摦㍤敦戶㠳捦捤㠸摤敥扤晦捤晥摢慦㘸摤㜱挵㘵戱ぢ摥扤敡㡡㉤㤷㥥摦扡㘱㝡㔳㔵㔵㑤捤㤹㌳ㅦ㥤㍤㉦戴晢戲〷搵㜷㝥㝥㕣㑡挹ㄸ戰ㅢ㌷愲㈵慡㤷昴〶㠵㌸ㄶ搲㡤㡦〱搰㝢ㄱ搵㝢㤵っ〵㔱㡢攴捤㈱ㄱ搴㡦ㄳ慢㑡㔱散㌲㌵㔲搶搴㔸㡥㉡昰慣㈸㑡㕡ち㤲慥〲ち㔷ちㄲ慥〲捡㔳ち㜶戸ち㈸㐲㈹戸搴㔵㐰愹㐹㐱扣戸㈰㐴敥愴㤷户〰搰户㌲晡㌴愲愰㈲㠳㔲挳㈸慡愱ㄴ㤹㤶㠲愸㔵㄰㈲敢㥦㐳慥㈲愷㔲㌴㔴㔴挷攳㈳昱〹扥㘰㔵㔰㙡〲愴㤵攴㉢㈲慡㌷挱攴㡡搴㘸㔲慥挵晣㐹㝥挹㈵㌵摤㝡〱搲㤴挷㤹㤱捦挹攳㑥换㘷㐹㥤攳捤慦㈸昰㕦〶ㄱ愵愹㐰昴ㄸ㜷㠹攰㐳ㅣ㤴㠸攷昴捡敥㈳扢㠳㕣捦〱㜵挸㠸〱昳晢扦户㐱ㅡっ㑡攷㈱㐹㉡㡡㕦挶攱㜶〰戲㤴㜵ㅥ㤲愴攲搸〸挶ㅤ〰㈸㉣愵昳㤰㈴ㄵ〷㐲㌶㠸晤〰㝣㙣攰㄰扡㐷攲㔳摣昲敦㐴ぢ㡡扤㘴㔳晡ぢ㑣戱㐷㤲扡㡢㈹昶㠳昴昳慢㐳㌸㤱㙡捥㕣挰ㅥ㈵搵㑢㜲㠵っ㜳扦㘴㤱㈲㠵㄰ㄳ㌲㜳敦〶〰敦㈱㍦捥慥㍣㘴昹ㄷ㌷昲㌶㈷换ㄱ攴㡡慥㑦㥡㕦昹㤰㐹㠶晦㍢㈵昹㠵ㄹ㘲㑤扢ㄹ捣㙥㉡㐲つ㥡㔹㡣ㅢ㑣㌰㍦晦昰㉦晥㠸㍤愵挹㔷〳㤶昸〷つ昸㤴捡捣戰〱㜳敥ㅤㅡ㤶㌵昱敥㠱㠸挸㌴㘶㑤〱㤴㜴〳搳昸戵㍤㍡㙦㕡摡捤㥢敦搴晥ㅦ㍡㉢㐹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</si>
</sst>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8" formatCode="&quot;$&quot;#,##0.00_);[Red]\(&quot;$&quot;#,##0.00\)"/>
    <numFmt numFmtId="44" formatCode="_(&quot;$&quot;* #,##0.00_);_(&quot;$&quot;* \(#,##0.00\);_(&quot;$&quot;* &quot;-&quot;??_);_(@_)"/>
    <numFmt numFmtId="43" formatCode="_(* #,##0.00_);_(* \(#,##0.00\);_(* &quot;-&quot;??_);_(@_)"/>
    <numFmt numFmtId="164" formatCode="_(* #,##0_);_(* \(#,##0\);_(* &quot;-&quot;??_);_(@_)"/>
    <numFmt numFmtId="165" formatCode="yyyy\-mm\-dd"/>
    <numFmt numFmtId="173" formatCode="0.0000"/>
    <numFmt numFmtId="181" formatCode=";;"/>
  </numFmts>
  <fonts count="14" x14ac:knownFonts="1">
    <font>
      <sz val="11"/>
      <color theme="1"/>
      <name val="Calibri"/>
      <family val="2"/>
      <scheme val="minor"/>
    </font>
    <font>
      <sz val="11"/>
      <color theme="1"/>
      <name val="Calibri"/>
      <family val="2"/>
      <scheme val="minor"/>
    </font>
    <font>
      <b/>
      <sz val="11"/>
      <color theme="1"/>
      <name val="Calibri"/>
      <family val="2"/>
      <scheme val="minor"/>
    </font>
    <font>
      <sz val="13"/>
      <color theme="1"/>
      <name val="Times New Roman"/>
      <family val="1"/>
    </font>
    <font>
      <sz val="13"/>
      <color rgb="FF444444"/>
      <name val="Times New Roman"/>
      <family val="1"/>
    </font>
    <font>
      <b/>
      <sz val="13"/>
      <color theme="1"/>
      <name val="Times New Roman"/>
      <family val="1"/>
    </font>
    <font>
      <sz val="12"/>
      <color theme="1"/>
      <name val="Times New Roman"/>
      <family val="1"/>
    </font>
    <font>
      <sz val="12"/>
      <name val="Times New Roman"/>
      <family val="1"/>
    </font>
    <font>
      <sz val="12"/>
      <color rgb="FFFF0000"/>
      <name val="Times New Roman"/>
      <family val="1"/>
    </font>
    <font>
      <b/>
      <i/>
      <sz val="13"/>
      <color theme="1"/>
      <name val="Times New Roman"/>
      <family val="1"/>
    </font>
    <font>
      <sz val="13"/>
      <color rgb="FFFF0000"/>
      <name val="Times New Roman"/>
      <family val="1"/>
    </font>
    <font>
      <b/>
      <sz val="13"/>
      <color rgb="FFFF0000"/>
      <name val="Times New Roman"/>
      <family val="1"/>
    </font>
    <font>
      <sz val="9"/>
      <color indexed="81"/>
      <name val="Tahoma"/>
      <family val="2"/>
    </font>
    <font>
      <b/>
      <sz val="9"/>
      <color indexed="81"/>
      <name val="Tahoma"/>
      <family val="2"/>
    </font>
  </fonts>
  <fills count="8">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rgb="FF92D050"/>
        <bgColor indexed="64"/>
      </patternFill>
    </fill>
    <fill>
      <patternFill patternType="solid">
        <fgColor theme="9" tint="0.59999389629810485"/>
        <bgColor indexed="64"/>
      </patternFill>
    </fill>
    <fill>
      <patternFill patternType="mediumGray">
        <bgColor rgb="FF00FF00"/>
      </patternFill>
    </fill>
    <fill>
      <patternFill patternType="gray0625">
        <bgColor rgb="FF00FFFF"/>
      </patternFill>
    </fill>
  </fills>
  <borders count="2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top style="medium">
        <color rgb="FFDDDDDD"/>
      </top>
      <bottom/>
      <diagonal/>
    </border>
    <border>
      <left style="medium">
        <color indexed="64"/>
      </left>
      <right/>
      <top style="medium">
        <color rgb="FFDDDDDD"/>
      </top>
      <bottom style="medium">
        <color indexed="64"/>
      </bottom>
      <diagonal/>
    </border>
    <border>
      <left/>
      <right/>
      <top style="medium">
        <color rgb="FFDDDDDD"/>
      </top>
      <bottom style="medium">
        <color indexed="64"/>
      </bottom>
      <diagonal/>
    </border>
    <border>
      <left/>
      <right style="medium">
        <color indexed="64"/>
      </right>
      <top style="medium">
        <color rgb="FFDDDDDD"/>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182">
    <xf numFmtId="0" fontId="0" fillId="0" borderId="0" xfId="0"/>
    <xf numFmtId="0" fontId="0" fillId="0" borderId="4" xfId="0" applyBorder="1"/>
    <xf numFmtId="0" fontId="0" fillId="0" borderId="0" xfId="0" applyBorder="1"/>
    <xf numFmtId="0" fontId="0" fillId="0" borderId="5" xfId="0" applyBorder="1"/>
    <xf numFmtId="0" fontId="2" fillId="0" borderId="4" xfId="0" applyFont="1" applyBorder="1"/>
    <xf numFmtId="164" fontId="0" fillId="0" borderId="0" xfId="1" applyNumberFormat="1" applyFont="1" applyBorder="1"/>
    <xf numFmtId="164" fontId="0" fillId="0" borderId="5" xfId="1" applyNumberFormat="1" applyFont="1" applyBorder="1"/>
    <xf numFmtId="0" fontId="0" fillId="0" borderId="6" xfId="0" applyBorder="1"/>
    <xf numFmtId="164" fontId="0" fillId="0" borderId="7" xfId="1" applyNumberFormat="1" applyFont="1" applyBorder="1"/>
    <xf numFmtId="164" fontId="0" fillId="0" borderId="8" xfId="1" applyNumberFormat="1" applyFont="1" applyBorder="1"/>
    <xf numFmtId="0" fontId="3" fillId="0" borderId="0" xfId="0" applyFont="1"/>
    <xf numFmtId="0" fontId="4" fillId="0" borderId="0" xfId="0" applyFont="1" applyFill="1" applyBorder="1" applyAlignment="1">
      <alignment horizontal="center" vertical="center" wrapText="1"/>
    </xf>
    <xf numFmtId="6" fontId="4" fillId="0" borderId="12" xfId="0" applyNumberFormat="1" applyFont="1" applyFill="1" applyBorder="1" applyAlignment="1">
      <alignment horizontal="center" vertical="center" wrapText="1"/>
    </xf>
    <xf numFmtId="0" fontId="4" fillId="0" borderId="5" xfId="0" applyFont="1" applyFill="1" applyBorder="1" applyAlignment="1">
      <alignment horizontal="center" vertical="center" wrapText="1"/>
    </xf>
    <xf numFmtId="6" fontId="4" fillId="0" borderId="14" xfId="0" applyNumberFormat="1" applyFont="1" applyFill="1" applyBorder="1" applyAlignment="1">
      <alignment horizontal="center" vertical="center" wrapText="1"/>
    </xf>
    <xf numFmtId="6" fontId="4" fillId="0" borderId="15" xfId="0" applyNumberFormat="1" applyFont="1" applyFill="1" applyBorder="1" applyAlignment="1">
      <alignment horizontal="center" vertical="center" wrapText="1"/>
    </xf>
    <xf numFmtId="10" fontId="3" fillId="0" borderId="0" xfId="0" applyNumberFormat="1" applyFont="1"/>
    <xf numFmtId="0" fontId="4" fillId="0" borderId="12" xfId="0" applyFont="1" applyFill="1" applyBorder="1" applyAlignment="1">
      <alignment horizontal="left" vertical="top" wrapText="1"/>
    </xf>
    <xf numFmtId="0" fontId="4" fillId="0" borderId="12" xfId="0" applyFont="1" applyFill="1" applyBorder="1" applyAlignment="1">
      <alignment horizontal="left" vertical="top"/>
    </xf>
    <xf numFmtId="10" fontId="3" fillId="0" borderId="0" xfId="2" applyNumberFormat="1" applyFont="1"/>
    <xf numFmtId="0" fontId="3" fillId="0" borderId="0" xfId="0" applyFont="1" applyAlignment="1">
      <alignment horizontal="left" vertical="top"/>
    </xf>
    <xf numFmtId="0" fontId="4" fillId="0" borderId="4" xfId="0" applyFont="1" applyFill="1" applyBorder="1" applyAlignment="1">
      <alignment horizontal="left" vertical="top" wrapText="1"/>
    </xf>
    <xf numFmtId="0" fontId="4" fillId="0" borderId="13" xfId="0" applyFont="1" applyFill="1" applyBorder="1" applyAlignment="1">
      <alignment horizontal="left" vertical="top" wrapText="1"/>
    </xf>
    <xf numFmtId="0" fontId="3" fillId="0" borderId="2" xfId="0" applyFont="1" applyBorder="1"/>
    <xf numFmtId="0" fontId="3" fillId="0" borderId="3" xfId="0" applyFont="1" applyBorder="1"/>
    <xf numFmtId="0" fontId="3" fillId="0" borderId="9" xfId="0" applyFont="1" applyBorder="1"/>
    <xf numFmtId="0" fontId="3" fillId="0" borderId="11" xfId="0" applyFont="1" applyBorder="1"/>
    <xf numFmtId="0" fontId="3" fillId="0" borderId="10" xfId="0" applyFont="1" applyBorder="1"/>
    <xf numFmtId="0" fontId="3" fillId="0" borderId="4" xfId="0" applyFont="1" applyBorder="1"/>
    <xf numFmtId="164" fontId="3" fillId="0" borderId="0" xfId="1" applyNumberFormat="1" applyFont="1" applyBorder="1"/>
    <xf numFmtId="164" fontId="3" fillId="0" borderId="5" xfId="1" applyNumberFormat="1" applyFont="1" applyBorder="1"/>
    <xf numFmtId="0" fontId="3" fillId="0" borderId="6" xfId="0" applyFont="1" applyBorder="1"/>
    <xf numFmtId="164" fontId="3" fillId="0" borderId="7" xfId="1" applyNumberFormat="1" applyFont="1" applyBorder="1"/>
    <xf numFmtId="164" fontId="3" fillId="0" borderId="8" xfId="1" applyNumberFormat="1" applyFont="1" applyBorder="1"/>
    <xf numFmtId="0" fontId="4" fillId="2" borderId="12" xfId="0" applyFont="1" applyFill="1" applyBorder="1" applyAlignment="1">
      <alignment horizontal="left" vertical="top" wrapText="1"/>
    </xf>
    <xf numFmtId="0" fontId="3" fillId="2" borderId="0" xfId="0" applyFont="1" applyFill="1" applyAlignment="1">
      <alignment horizontal="left" vertical="top"/>
    </xf>
    <xf numFmtId="0" fontId="3" fillId="0" borderId="0" xfId="0" applyFont="1" applyBorder="1"/>
    <xf numFmtId="0" fontId="3" fillId="0" borderId="5" xfId="0" applyFont="1" applyBorder="1"/>
    <xf numFmtId="49" fontId="3" fillId="0" borderId="0" xfId="0" applyNumberFormat="1" applyFont="1"/>
    <xf numFmtId="0" fontId="3" fillId="0" borderId="4" xfId="0" applyFont="1" applyBorder="1" applyAlignment="1">
      <alignment horizontal="left" vertical="top"/>
    </xf>
    <xf numFmtId="0" fontId="3" fillId="0" borderId="6" xfId="0" applyFont="1" applyBorder="1" applyAlignment="1">
      <alignment horizontal="left" vertical="top"/>
    </xf>
    <xf numFmtId="0" fontId="3" fillId="2" borderId="9" xfId="0" applyFont="1" applyFill="1" applyBorder="1" applyAlignment="1">
      <alignment horizontal="left" vertical="top"/>
    </xf>
    <xf numFmtId="0" fontId="3" fillId="2" borderId="10" xfId="0" applyFont="1" applyFill="1" applyBorder="1"/>
    <xf numFmtId="0" fontId="3" fillId="0" borderId="7" xfId="0" applyFont="1" applyBorder="1"/>
    <xf numFmtId="0" fontId="3" fillId="0" borderId="8" xfId="0" applyFont="1" applyBorder="1"/>
    <xf numFmtId="0" fontId="3" fillId="2" borderId="11" xfId="0" applyFont="1" applyFill="1" applyBorder="1"/>
    <xf numFmtId="4" fontId="3" fillId="0" borderId="0" xfId="0" applyNumberFormat="1" applyFont="1"/>
    <xf numFmtId="10" fontId="3" fillId="0" borderId="0" xfId="0" applyNumberFormat="1" applyFont="1" applyBorder="1"/>
    <xf numFmtId="10" fontId="3" fillId="0" borderId="5" xfId="0" applyNumberFormat="1" applyFont="1" applyBorder="1"/>
    <xf numFmtId="10" fontId="3" fillId="0" borderId="7" xfId="0" applyNumberFormat="1" applyFont="1" applyBorder="1"/>
    <xf numFmtId="10" fontId="3" fillId="0" borderId="8" xfId="0" applyNumberFormat="1" applyFont="1" applyBorder="1"/>
    <xf numFmtId="9" fontId="3" fillId="0" borderId="5" xfId="0" applyNumberFormat="1" applyFont="1" applyBorder="1"/>
    <xf numFmtId="10" fontId="3" fillId="0" borderId="5" xfId="0" applyNumberFormat="1" applyFont="1" applyBorder="1" applyAlignment="1">
      <alignment horizontal="right"/>
    </xf>
    <xf numFmtId="10" fontId="3" fillId="0" borderId="8" xfId="0" applyNumberFormat="1" applyFont="1" applyBorder="1" applyAlignment="1">
      <alignment horizontal="right"/>
    </xf>
    <xf numFmtId="0" fontId="3" fillId="2" borderId="9" xfId="0" applyFont="1" applyFill="1" applyBorder="1"/>
    <xf numFmtId="0" fontId="3" fillId="0" borderId="0" xfId="0" applyFont="1" applyBorder="1" applyAlignment="1">
      <alignment horizontal="left" vertical="top"/>
    </xf>
    <xf numFmtId="10" fontId="0" fillId="0" borderId="0" xfId="0" applyNumberFormat="1"/>
    <xf numFmtId="0" fontId="5" fillId="0" borderId="0" xfId="0" applyFont="1" applyBorder="1"/>
    <xf numFmtId="0" fontId="5" fillId="0" borderId="5" xfId="0" applyFont="1" applyBorder="1"/>
    <xf numFmtId="0" fontId="5" fillId="0" borderId="4" xfId="0" applyFont="1" applyBorder="1"/>
    <xf numFmtId="164" fontId="3" fillId="0" borderId="5" xfId="0" applyNumberFormat="1" applyFont="1" applyBorder="1"/>
    <xf numFmtId="43" fontId="3" fillId="0" borderId="5" xfId="1" applyFont="1" applyBorder="1"/>
    <xf numFmtId="0" fontId="3" fillId="3" borderId="4" xfId="0" applyFont="1" applyFill="1" applyBorder="1"/>
    <xf numFmtId="0" fontId="3" fillId="3" borderId="5" xfId="0" applyFont="1" applyFill="1" applyBorder="1"/>
    <xf numFmtId="164" fontId="3" fillId="3" borderId="0" xfId="1" applyNumberFormat="1" applyFont="1" applyFill="1" applyBorder="1"/>
    <xf numFmtId="164" fontId="3" fillId="3" borderId="5" xfId="1" applyNumberFormat="1" applyFont="1" applyFill="1" applyBorder="1"/>
    <xf numFmtId="164" fontId="3" fillId="0" borderId="11" xfId="0" applyNumberFormat="1" applyFont="1" applyBorder="1"/>
    <xf numFmtId="164" fontId="3" fillId="0" borderId="0" xfId="0" applyNumberFormat="1" applyFont="1" applyBorder="1"/>
    <xf numFmtId="164" fontId="3" fillId="0" borderId="7" xfId="0" applyNumberFormat="1" applyFont="1" applyBorder="1"/>
    <xf numFmtId="0" fontId="3" fillId="0" borderId="1" xfId="0" applyFont="1" applyBorder="1"/>
    <xf numFmtId="164" fontId="3" fillId="0" borderId="0" xfId="0" applyNumberFormat="1" applyFont="1"/>
    <xf numFmtId="0" fontId="2" fillId="0" borderId="0" xfId="0" applyFont="1"/>
    <xf numFmtId="0" fontId="0" fillId="0" borderId="0" xfId="0" quotePrefix="1"/>
    <xf numFmtId="0" fontId="6" fillId="0" borderId="0" xfId="0" applyFont="1"/>
    <xf numFmtId="10" fontId="6" fillId="0" borderId="11" xfId="0" applyNumberFormat="1" applyFont="1" applyFill="1" applyBorder="1"/>
    <xf numFmtId="0" fontId="6" fillId="0" borderId="10" xfId="0" applyFont="1" applyBorder="1"/>
    <xf numFmtId="10" fontId="6" fillId="0" borderId="0" xfId="0" applyNumberFormat="1" applyFont="1" applyFill="1" applyBorder="1"/>
    <xf numFmtId="10" fontId="6" fillId="0" borderId="5" xfId="0" applyNumberFormat="1" applyFont="1" applyBorder="1"/>
    <xf numFmtId="10" fontId="7" fillId="0" borderId="7" xfId="2" applyNumberFormat="1" applyFont="1" applyFill="1" applyBorder="1"/>
    <xf numFmtId="0" fontId="6" fillId="0" borderId="8" xfId="0" applyFont="1" applyBorder="1"/>
    <xf numFmtId="0" fontId="6" fillId="0" borderId="0" xfId="0" applyFont="1" applyFill="1" applyBorder="1" applyAlignment="1">
      <alignment horizontal="center"/>
    </xf>
    <xf numFmtId="10" fontId="6" fillId="0" borderId="0" xfId="2" applyNumberFormat="1" applyFont="1" applyFill="1" applyBorder="1"/>
    <xf numFmtId="0" fontId="6" fillId="0" borderId="0" xfId="0" applyFont="1" applyBorder="1"/>
    <xf numFmtId="0" fontId="6" fillId="0" borderId="0" xfId="0" applyFont="1" applyAlignment="1">
      <alignment horizontal="center" vertical="center"/>
    </xf>
    <xf numFmtId="165" fontId="6" fillId="0" borderId="0" xfId="0" applyNumberFormat="1" applyFont="1" applyAlignment="1">
      <alignment horizontal="center"/>
    </xf>
    <xf numFmtId="4" fontId="6" fillId="0" borderId="0" xfId="0" applyNumberFormat="1" applyFont="1"/>
    <xf numFmtId="10" fontId="6" fillId="0" borderId="0" xfId="2" applyNumberFormat="1" applyFont="1" applyAlignment="1">
      <alignment horizontal="center"/>
    </xf>
    <xf numFmtId="10" fontId="6" fillId="0" borderId="0" xfId="2" applyNumberFormat="1" applyFont="1"/>
    <xf numFmtId="10" fontId="6" fillId="0" borderId="0" xfId="0" applyNumberFormat="1" applyFont="1"/>
    <xf numFmtId="10" fontId="3" fillId="0" borderId="7" xfId="2" applyNumberFormat="1" applyFont="1" applyBorder="1"/>
    <xf numFmtId="0" fontId="3" fillId="0" borderId="4" xfId="0" applyFont="1" applyBorder="1" applyAlignment="1">
      <alignment horizontal="center" vertical="center"/>
    </xf>
    <xf numFmtId="0" fontId="3" fillId="0" borderId="0" xfId="0" applyFont="1" applyBorder="1" applyAlignment="1">
      <alignment horizontal="right"/>
    </xf>
    <xf numFmtId="0" fontId="3" fillId="0" borderId="5" xfId="0" applyFont="1" applyBorder="1" applyAlignment="1">
      <alignment horizontal="center" vertical="center" wrapText="1"/>
    </xf>
    <xf numFmtId="165" fontId="3" fillId="0" borderId="4" xfId="0" applyNumberFormat="1" applyFont="1" applyBorder="1" applyAlignment="1">
      <alignment horizontal="center" vertical="center"/>
    </xf>
    <xf numFmtId="4" fontId="3" fillId="0" borderId="0" xfId="0" applyNumberFormat="1" applyFont="1" applyBorder="1"/>
    <xf numFmtId="10" fontId="3" fillId="0" borderId="5" xfId="2" applyNumberFormat="1" applyFont="1" applyBorder="1"/>
    <xf numFmtId="165" fontId="3" fillId="0" borderId="6" xfId="0" applyNumberFormat="1" applyFont="1" applyBorder="1" applyAlignment="1">
      <alignment horizontal="center" vertical="center"/>
    </xf>
    <xf numFmtId="4" fontId="3" fillId="0" borderId="7" xfId="0" applyNumberFormat="1" applyFont="1" applyBorder="1"/>
    <xf numFmtId="10" fontId="3" fillId="0" borderId="8" xfId="2" applyNumberFormat="1" applyFont="1" applyBorder="1"/>
    <xf numFmtId="0" fontId="3" fillId="2" borderId="0" xfId="0" applyFont="1" applyFill="1"/>
    <xf numFmtId="0" fontId="3" fillId="2" borderId="4" xfId="0" applyFont="1" applyFill="1" applyBorder="1"/>
    <xf numFmtId="0" fontId="3" fillId="2" borderId="6" xfId="0" applyFont="1" applyFill="1" applyBorder="1"/>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6" fontId="4" fillId="2" borderId="1" xfId="0" applyNumberFormat="1" applyFont="1" applyFill="1" applyBorder="1" applyAlignment="1">
      <alignment horizontal="center" vertical="center" wrapText="1"/>
    </xf>
    <xf numFmtId="6" fontId="4" fillId="2" borderId="2" xfId="0" applyNumberFormat="1" applyFont="1" applyFill="1" applyBorder="1" applyAlignment="1">
      <alignment horizontal="center" vertical="center" wrapText="1"/>
    </xf>
    <xf numFmtId="6" fontId="4" fillId="2" borderId="3" xfId="0" applyNumberFormat="1" applyFont="1" applyFill="1" applyBorder="1" applyAlignment="1">
      <alignment horizontal="center" vertical="center" wrapText="1"/>
    </xf>
    <xf numFmtId="0" fontId="3" fillId="2" borderId="1" xfId="0" applyFont="1" applyFill="1" applyBorder="1" applyAlignment="1">
      <alignment horizontal="center" vertical="top"/>
    </xf>
    <xf numFmtId="0" fontId="3" fillId="2" borderId="2" xfId="0" applyFont="1" applyFill="1" applyBorder="1" applyAlignment="1">
      <alignment horizontal="center" vertical="top"/>
    </xf>
    <xf numFmtId="0" fontId="3" fillId="2" borderId="3" xfId="0" applyFont="1" applyFill="1" applyBorder="1" applyAlignment="1">
      <alignment horizontal="center" vertical="top"/>
    </xf>
    <xf numFmtId="0" fontId="3" fillId="2" borderId="9" xfId="0" applyFont="1" applyFill="1" applyBorder="1" applyAlignment="1">
      <alignment horizontal="center"/>
    </xf>
    <xf numFmtId="0" fontId="3" fillId="2" borderId="11" xfId="0" applyFont="1" applyFill="1" applyBorder="1" applyAlignment="1">
      <alignment horizontal="center"/>
    </xf>
    <xf numFmtId="0" fontId="3" fillId="2" borderId="10" xfId="0" applyFont="1" applyFill="1" applyBorder="1" applyAlignment="1">
      <alignment horizontal="center"/>
    </xf>
    <xf numFmtId="0" fontId="6" fillId="2" borderId="1" xfId="0" applyFont="1" applyFill="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6" fillId="0" borderId="9" xfId="0" applyFont="1" applyFill="1" applyBorder="1" applyAlignment="1">
      <alignment horizontal="center"/>
    </xf>
    <xf numFmtId="0" fontId="6" fillId="0" borderId="11" xfId="0" applyFont="1" applyFill="1" applyBorder="1" applyAlignment="1">
      <alignment horizontal="center"/>
    </xf>
    <xf numFmtId="0" fontId="6" fillId="0" borderId="4" xfId="0" applyFont="1" applyFill="1" applyBorder="1" applyAlignment="1">
      <alignment horizontal="center"/>
    </xf>
    <xf numFmtId="0" fontId="6" fillId="0" borderId="0" xfId="0" applyFont="1" applyFill="1" applyBorder="1" applyAlignment="1">
      <alignment horizontal="center"/>
    </xf>
    <xf numFmtId="0" fontId="6" fillId="0" borderId="6" xfId="0" applyFont="1" applyFill="1" applyBorder="1" applyAlignment="1">
      <alignment horizontal="center"/>
    </xf>
    <xf numFmtId="0" fontId="6" fillId="0" borderId="7" xfId="0" applyFont="1" applyFill="1" applyBorder="1" applyAlignment="1">
      <alignment horizontal="center"/>
    </xf>
    <xf numFmtId="10" fontId="8" fillId="0" borderId="0" xfId="2" applyNumberFormat="1" applyFont="1"/>
    <xf numFmtId="10" fontId="8" fillId="0" borderId="0" xfId="2" applyNumberFormat="1" applyFont="1" applyAlignment="1">
      <alignment horizontal="center"/>
    </xf>
    <xf numFmtId="10" fontId="8" fillId="0" borderId="0" xfId="0" applyNumberFormat="1" applyFont="1"/>
    <xf numFmtId="0" fontId="5" fillId="4" borderId="0" xfId="0" applyFont="1" applyFill="1" applyAlignment="1">
      <alignment horizontal="center"/>
    </xf>
    <xf numFmtId="43" fontId="3" fillId="0" borderId="0" xfId="1" applyFont="1"/>
    <xf numFmtId="0" fontId="3" fillId="4" borderId="0" xfId="0" applyFont="1" applyFill="1"/>
    <xf numFmtId="14" fontId="3" fillId="0" borderId="0" xfId="0" applyNumberFormat="1" applyFont="1"/>
    <xf numFmtId="173" fontId="3" fillId="0" borderId="0" xfId="0" applyNumberFormat="1" applyFont="1"/>
    <xf numFmtId="0" fontId="9" fillId="0" borderId="1" xfId="0" applyFont="1" applyBorder="1" applyAlignment="1">
      <alignment horizontal="center"/>
    </xf>
    <xf numFmtId="0" fontId="9" fillId="0" borderId="3" xfId="0" applyFont="1" applyBorder="1" applyAlignment="1">
      <alignment horizontal="center"/>
    </xf>
    <xf numFmtId="0" fontId="3" fillId="4" borderId="0" xfId="0" applyFont="1" applyFill="1" applyAlignment="1">
      <alignment horizontal="center"/>
    </xf>
    <xf numFmtId="9" fontId="3" fillId="0" borderId="0" xfId="2" applyNumberFormat="1" applyFont="1"/>
    <xf numFmtId="0" fontId="5" fillId="0" borderId="0" xfId="0" applyFont="1"/>
    <xf numFmtId="0" fontId="3" fillId="0" borderId="1" xfId="0" applyFont="1" applyBorder="1" applyAlignment="1">
      <alignment horizontal="center"/>
    </xf>
    <xf numFmtId="0" fontId="3" fillId="0" borderId="3" xfId="0" applyFont="1" applyBorder="1" applyAlignment="1">
      <alignment horizontal="center"/>
    </xf>
    <xf numFmtId="44" fontId="3" fillId="0" borderId="0" xfId="3" applyFont="1"/>
    <xf numFmtId="164" fontId="3" fillId="0" borderId="0" xfId="1" applyNumberFormat="1" applyFont="1"/>
    <xf numFmtId="164" fontId="3" fillId="0" borderId="10" xfId="1" applyNumberFormat="1" applyFont="1" applyBorder="1"/>
    <xf numFmtId="164" fontId="3" fillId="0" borderId="0" xfId="0" applyNumberFormat="1" applyFont="1" applyFill="1" applyBorder="1"/>
    <xf numFmtId="164" fontId="3" fillId="4" borderId="0" xfId="1" applyNumberFormat="1" applyFont="1" applyFill="1"/>
    <xf numFmtId="8" fontId="3" fillId="0" borderId="0" xfId="3" applyNumberFormat="1" applyFont="1"/>
    <xf numFmtId="0" fontId="5" fillId="0" borderId="5" xfId="1" applyNumberFormat="1" applyFont="1" applyBorder="1"/>
    <xf numFmtId="10" fontId="3" fillId="0" borderId="3" xfId="0" applyNumberFormat="1" applyFont="1" applyBorder="1"/>
    <xf numFmtId="0" fontId="3" fillId="0" borderId="0" xfId="0" applyFont="1" applyAlignment="1"/>
    <xf numFmtId="44" fontId="3" fillId="0" borderId="18" xfId="3" applyFont="1" applyBorder="1"/>
    <xf numFmtId="44" fontId="3" fillId="0" borderId="2" xfId="3" applyFont="1" applyBorder="1"/>
    <xf numFmtId="44" fontId="3" fillId="0" borderId="3" xfId="3" applyFont="1" applyBorder="1"/>
    <xf numFmtId="44" fontId="3" fillId="0" borderId="19" xfId="3" applyFont="1" applyBorder="1"/>
    <xf numFmtId="44" fontId="3" fillId="0" borderId="0" xfId="3" applyFont="1" applyBorder="1"/>
    <xf numFmtId="44" fontId="3" fillId="0" borderId="5" xfId="3" applyFont="1" applyBorder="1"/>
    <xf numFmtId="44" fontId="3" fillId="0" borderId="7" xfId="3" applyFont="1" applyBorder="1"/>
    <xf numFmtId="44" fontId="3" fillId="0" borderId="8" xfId="3" applyFont="1" applyBorder="1"/>
    <xf numFmtId="0" fontId="3" fillId="4" borderId="9" xfId="0" applyFont="1" applyFill="1" applyBorder="1"/>
    <xf numFmtId="0" fontId="3" fillId="4" borderId="11" xfId="0" applyFont="1" applyFill="1" applyBorder="1" applyAlignment="1"/>
    <xf numFmtId="0" fontId="3" fillId="4" borderId="4" xfId="0" applyFont="1" applyFill="1" applyBorder="1" applyAlignment="1"/>
    <xf numFmtId="10" fontId="3" fillId="5" borderId="1" xfId="0" applyNumberFormat="1" applyFont="1" applyFill="1" applyBorder="1"/>
    <xf numFmtId="10" fontId="3" fillId="5" borderId="17" xfId="0" applyNumberFormat="1" applyFont="1" applyFill="1" applyBorder="1"/>
    <xf numFmtId="10" fontId="3" fillId="5" borderId="0" xfId="0" applyNumberFormat="1" applyFont="1" applyFill="1" applyBorder="1"/>
    <xf numFmtId="0" fontId="3" fillId="4" borderId="11" xfId="0" applyFont="1" applyFill="1" applyBorder="1" applyAlignment="1">
      <alignment horizontal="center"/>
    </xf>
    <xf numFmtId="0" fontId="3" fillId="4" borderId="10" xfId="0" applyFont="1" applyFill="1" applyBorder="1" applyAlignment="1">
      <alignment horizontal="center"/>
    </xf>
    <xf numFmtId="10" fontId="3" fillId="5" borderId="5" xfId="0" applyNumberFormat="1" applyFont="1" applyFill="1" applyBorder="1"/>
    <xf numFmtId="0" fontId="3" fillId="4" borderId="4" xfId="0" applyFont="1" applyFill="1" applyBorder="1" applyAlignment="1">
      <alignment horizontal="center" vertical="center" wrapText="1"/>
    </xf>
    <xf numFmtId="0" fontId="3" fillId="4" borderId="6" xfId="0" applyFont="1" applyFill="1" applyBorder="1" applyAlignment="1">
      <alignment horizontal="center" vertical="center" wrapText="1"/>
    </xf>
    <xf numFmtId="10" fontId="3" fillId="5" borderId="7" xfId="0" applyNumberFormat="1" applyFont="1" applyFill="1" applyBorder="1"/>
    <xf numFmtId="181" fontId="3" fillId="5" borderId="0" xfId="0" applyNumberFormat="1" applyFont="1" applyFill="1" applyBorder="1"/>
    <xf numFmtId="44" fontId="5" fillId="0" borderId="7" xfId="3" applyFont="1" applyBorder="1"/>
    <xf numFmtId="44" fontId="5" fillId="0" borderId="5" xfId="3" applyFont="1" applyBorder="1"/>
    <xf numFmtId="44" fontId="5" fillId="0" borderId="16" xfId="3" applyFont="1" applyBorder="1"/>
    <xf numFmtId="10" fontId="10" fillId="6" borderId="5" xfId="0" applyNumberFormat="1" applyFont="1" applyFill="1" applyBorder="1"/>
    <xf numFmtId="10" fontId="11" fillId="6" borderId="0" xfId="0" applyNumberFormat="1" applyFont="1" applyFill="1"/>
    <xf numFmtId="44" fontId="11" fillId="7" borderId="0" xfId="3" applyFont="1" applyFill="1"/>
    <xf numFmtId="0" fontId="5" fillId="0" borderId="0" xfId="0" applyFont="1" applyBorder="1" applyAlignment="1">
      <alignment horizontal="center"/>
    </xf>
    <xf numFmtId="3" fontId="3" fillId="0" borderId="0" xfId="0" applyNumberFormat="1" applyFont="1"/>
    <xf numFmtId="0" fontId="3" fillId="0" borderId="5" xfId="0" applyFont="1" applyBorder="1" applyAlignment="1">
      <alignment horizontal="center" vertical="center"/>
    </xf>
    <xf numFmtId="10" fontId="3" fillId="0" borderId="0" xfId="2" applyNumberFormat="1" applyFont="1" applyBorder="1"/>
    <xf numFmtId="0" fontId="3" fillId="0" borderId="1" xfId="0" applyFont="1" applyFill="1" applyBorder="1"/>
  </cellXfs>
  <cellStyles count="4">
    <cellStyle name="Comma" xfId="1" builtinId="3"/>
    <cellStyle name="Currency" xfId="3"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growth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4.2066272965879267E-2"/>
                  <c:y val="-0.1263079615048119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Assumptions!$C$3:$P$3</c:f>
              <c:numCache>
                <c:formatCode>General</c:formatCode>
                <c:ptCount val="14"/>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numCache>
            </c:numRef>
          </c:xVal>
          <c:yVal>
            <c:numRef>
              <c:f>Assumptions!$C$4:$P$4</c:f>
              <c:numCache>
                <c:formatCode>"$"#,##0_);[Red]\("$"#,##0\)</c:formatCode>
                <c:ptCount val="14"/>
                <c:pt idx="0">
                  <c:v>5457</c:v>
                </c:pt>
                <c:pt idx="1">
                  <c:v>6269</c:v>
                </c:pt>
                <c:pt idx="2">
                  <c:v>6705</c:v>
                </c:pt>
                <c:pt idx="3">
                  <c:v>7249</c:v>
                </c:pt>
                <c:pt idx="4">
                  <c:v>7455</c:v>
                </c:pt>
                <c:pt idx="5">
                  <c:v>7260</c:v>
                </c:pt>
                <c:pt idx="6">
                  <c:v>7392</c:v>
                </c:pt>
                <c:pt idx="7">
                  <c:v>7383</c:v>
                </c:pt>
                <c:pt idx="8">
                  <c:v>7146</c:v>
                </c:pt>
                <c:pt idx="9">
                  <c:v>7435</c:v>
                </c:pt>
                <c:pt idx="10">
                  <c:v>7493</c:v>
                </c:pt>
                <c:pt idx="11">
                  <c:v>7214</c:v>
                </c:pt>
                <c:pt idx="12">
                  <c:v>7402</c:v>
                </c:pt>
                <c:pt idx="13">
                  <c:v>7531</c:v>
                </c:pt>
              </c:numCache>
            </c:numRef>
          </c:yVal>
          <c:smooth val="0"/>
          <c:extLst>
            <c:ext xmlns:c16="http://schemas.microsoft.com/office/drawing/2014/chart" uri="{C3380CC4-5D6E-409C-BE32-E72D297353CC}">
              <c16:uniqueId val="{00000001-DF21-4DB5-AD74-DE7B23777DC3}"/>
            </c:ext>
          </c:extLst>
        </c:ser>
        <c:dLbls>
          <c:showLegendKey val="0"/>
          <c:showVal val="0"/>
          <c:showCatName val="0"/>
          <c:showSerName val="0"/>
          <c:showPercent val="0"/>
          <c:showBubbleSize val="0"/>
        </c:dLbls>
        <c:axId val="438775104"/>
        <c:axId val="691379008"/>
      </c:scatterChart>
      <c:valAx>
        <c:axId val="4387751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379008"/>
        <c:crosses val="autoZero"/>
        <c:crossBetween val="midCat"/>
      </c:valAx>
      <c:valAx>
        <c:axId val="691379008"/>
        <c:scaling>
          <c:orientation val="minMax"/>
          <c:min val="5000"/>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7751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DGX</a:t>
            </a:r>
            <a:r>
              <a:rPr lang="en-US" baseline="0"/>
              <a:t> VS SP500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0.54692016622922135"/>
                  <c:y val="-0.2250503062117235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Beta!$G$4:$G$72</c:f>
              <c:numCache>
                <c:formatCode>0.00%</c:formatCode>
                <c:ptCount val="69"/>
                <c:pt idx="0">
                  <c:v>2.2020314181695956E-2</c:v>
                </c:pt>
                <c:pt idx="1">
                  <c:v>-3.9309491967079377E-2</c:v>
                </c:pt>
                <c:pt idx="2">
                  <c:v>-5.2999512861744189E-2</c:v>
                </c:pt>
                <c:pt idx="3">
                  <c:v>4.211188893710243E-2</c:v>
                </c:pt>
                <c:pt idx="4">
                  <c:v>5.5041740944551006E-3</c:v>
                </c:pt>
                <c:pt idx="5">
                  <c:v>-2.0612859336735363E-2</c:v>
                </c:pt>
                <c:pt idx="6">
                  <c:v>3.4805703537932539E-2</c:v>
                </c:pt>
                <c:pt idx="7">
                  <c:v>-1.247991581523499E-2</c:v>
                </c:pt>
                <c:pt idx="8">
                  <c:v>-6.1345718284500798E-2</c:v>
                </c:pt>
                <c:pt idx="9">
                  <c:v>2.0122613493541851E-2</c:v>
                </c:pt>
                <c:pt idx="10">
                  <c:v>-1.3879264151735741E-2</c:v>
                </c:pt>
                <c:pt idx="11">
                  <c:v>1.9705007013114052E-2</c:v>
                </c:pt>
                <c:pt idx="12">
                  <c:v>5.1966699320902835E-3</c:v>
                </c:pt>
                <c:pt idx="13">
                  <c:v>-8.6134402689206591E-5</c:v>
                </c:pt>
                <c:pt idx="14">
                  <c:v>-2.4337490481273244E-3</c:v>
                </c:pt>
                <c:pt idx="15">
                  <c:v>2.3855102814838776E-2</c:v>
                </c:pt>
                <c:pt idx="16">
                  <c:v>-5.4221197289184486E-3</c:v>
                </c:pt>
                <c:pt idx="17">
                  <c:v>3.0767949946868562E-3</c:v>
                </c:pt>
                <c:pt idx="18">
                  <c:v>4.8717692833051924E-3</c:v>
                </c:pt>
                <c:pt idx="19">
                  <c:v>1.6109427052745217E-2</c:v>
                </c:pt>
                <c:pt idx="20">
                  <c:v>2.2663001872078365E-4</c:v>
                </c:pt>
                <c:pt idx="21">
                  <c:v>-8.9547443888423946E-3</c:v>
                </c:pt>
                <c:pt idx="22">
                  <c:v>-1.3341363005702964E-2</c:v>
                </c:pt>
                <c:pt idx="23">
                  <c:v>1.5133005838636155E-2</c:v>
                </c:pt>
                <c:pt idx="24">
                  <c:v>1.4921701124265808E-2</c:v>
                </c:pt>
                <c:pt idx="25">
                  <c:v>1.8561698932334234E-4</c:v>
                </c:pt>
                <c:pt idx="26">
                  <c:v>6.0455788230671156E-3</c:v>
                </c:pt>
                <c:pt idx="27">
                  <c:v>7.6089367322167041E-3</c:v>
                </c:pt>
                <c:pt idx="28">
                  <c:v>-2.4922571620971828E-3</c:v>
                </c:pt>
                <c:pt idx="29">
                  <c:v>5.9295048675272839E-3</c:v>
                </c:pt>
                <c:pt idx="30">
                  <c:v>8.580255600155972E-3</c:v>
                </c:pt>
                <c:pt idx="31">
                  <c:v>9.2899226793400173E-3</c:v>
                </c:pt>
                <c:pt idx="32">
                  <c:v>-1.0337543818186678E-2</c:v>
                </c:pt>
                <c:pt idx="33">
                  <c:v>1.1529298027954622E-2</c:v>
                </c:pt>
                <c:pt idx="34">
                  <c:v>8.4632633615978944E-3</c:v>
                </c:pt>
                <c:pt idx="35">
                  <c:v>-5.3699246074479902E-3</c:v>
                </c:pt>
                <c:pt idx="36">
                  <c:v>-9.7973598006739562E-3</c:v>
                </c:pt>
                <c:pt idx="37">
                  <c:v>-4.1911837956969282E-2</c:v>
                </c:pt>
                <c:pt idx="38">
                  <c:v>2.3492559529497125E-4</c:v>
                </c:pt>
                <c:pt idx="39">
                  <c:v>-4.0212067215141631E-2</c:v>
                </c:pt>
                <c:pt idx="40">
                  <c:v>2.392277154589377E-2</c:v>
                </c:pt>
                <c:pt idx="41">
                  <c:v>2.1057905033601013E-2</c:v>
                </c:pt>
                <c:pt idx="42">
                  <c:v>-1.6218488258933111E-2</c:v>
                </c:pt>
                <c:pt idx="43">
                  <c:v>-3.8638907210388186E-2</c:v>
                </c:pt>
                <c:pt idx="44">
                  <c:v>4.7335464575286881E-2</c:v>
                </c:pt>
                <c:pt idx="45">
                  <c:v>-4.7137950507420104E-2</c:v>
                </c:pt>
                <c:pt idx="46">
                  <c:v>-1.2662098041787133E-2</c:v>
                </c:pt>
                <c:pt idx="47">
                  <c:v>-7.3122277144849715E-2</c:v>
                </c:pt>
                <c:pt idx="48">
                  <c:v>2.820047983437618E-2</c:v>
                </c:pt>
                <c:pt idx="49">
                  <c:v>1.8415386100102221E-2</c:v>
                </c:pt>
                <c:pt idx="50">
                  <c:v>2.5086167745253206E-2</c:v>
                </c:pt>
                <c:pt idx="51">
                  <c:v>2.8272388300819334E-2</c:v>
                </c:pt>
                <c:pt idx="52">
                  <c:v>-2.2303390324746237E-3</c:v>
                </c:pt>
                <c:pt idx="53">
                  <c:v>1.5553381304669319E-2</c:v>
                </c:pt>
                <c:pt idx="54">
                  <c:v>4.98615380034194E-4</c:v>
                </c:pt>
                <c:pt idx="55">
                  <c:v>2.4700977636231729E-2</c:v>
                </c:pt>
                <c:pt idx="56">
                  <c:v>6.1311241771149416E-3</c:v>
                </c:pt>
                <c:pt idx="57">
                  <c:v>3.9382861407176529E-3</c:v>
                </c:pt>
                <c:pt idx="58">
                  <c:v>-2.1858629744985571E-2</c:v>
                </c:pt>
                <c:pt idx="59">
                  <c:v>2.8538168090083235E-2</c:v>
                </c:pt>
                <c:pt idx="60">
                  <c:v>-7.7429814729792438E-3</c:v>
                </c:pt>
                <c:pt idx="61">
                  <c:v>1.1957297453017672E-2</c:v>
                </c:pt>
                <c:pt idx="62">
                  <c:v>2.0373906399341182E-2</c:v>
                </c:pt>
                <c:pt idx="63">
                  <c:v>5.0584738426447959E-3</c:v>
                </c:pt>
                <c:pt idx="64">
                  <c:v>-8.1889298028035189E-4</c:v>
                </c:pt>
                <c:pt idx="65">
                  <c:v>1.1924997137895669E-2</c:v>
                </c:pt>
                <c:pt idx="66">
                  <c:v>1.9573502624107681E-3</c:v>
                </c:pt>
                <c:pt idx="67">
                  <c:v>-2.2049821521927481E-2</c:v>
                </c:pt>
                <c:pt idx="68">
                  <c:v>-7.6189673296230441E-3</c:v>
                </c:pt>
              </c:numCache>
            </c:numRef>
          </c:xVal>
          <c:yVal>
            <c:numRef>
              <c:f>Beta!$F$4:$F$72</c:f>
              <c:numCache>
                <c:formatCode>0.00%</c:formatCode>
                <c:ptCount val="69"/>
                <c:pt idx="0">
                  <c:v>3.3959604549373572E-2</c:v>
                </c:pt>
                <c:pt idx="1">
                  <c:v>-3.3474616887356208E-2</c:v>
                </c:pt>
                <c:pt idx="2">
                  <c:v>-4.736558118207438E-2</c:v>
                </c:pt>
                <c:pt idx="3">
                  <c:v>6.1043345732520619E-2</c:v>
                </c:pt>
                <c:pt idx="4">
                  <c:v>-1.8636273603268541E-2</c:v>
                </c:pt>
                <c:pt idx="5">
                  <c:v>-1.1370337729007569E-2</c:v>
                </c:pt>
                <c:pt idx="6">
                  <c:v>5.3267800709068634E-2</c:v>
                </c:pt>
                <c:pt idx="7">
                  <c:v>-2.4984810101451864E-2</c:v>
                </c:pt>
                <c:pt idx="8">
                  <c:v>-4.4782799431303762E-2</c:v>
                </c:pt>
                <c:pt idx="9">
                  <c:v>5.1978833405955608E-3</c:v>
                </c:pt>
                <c:pt idx="10">
                  <c:v>-2.9852964086211388E-2</c:v>
                </c:pt>
                <c:pt idx="11">
                  <c:v>2.9579722133987917E-2</c:v>
                </c:pt>
                <c:pt idx="12">
                  <c:v>-1.6168525030102278E-2</c:v>
                </c:pt>
                <c:pt idx="13">
                  <c:v>4.5602609533522527E-2</c:v>
                </c:pt>
                <c:pt idx="14">
                  <c:v>-1.214275515305565E-2</c:v>
                </c:pt>
                <c:pt idx="15">
                  <c:v>9.8040775634619E-3</c:v>
                </c:pt>
                <c:pt idx="16">
                  <c:v>-3.4204710459751963E-3</c:v>
                </c:pt>
                <c:pt idx="17">
                  <c:v>3.520264842639468E-2</c:v>
                </c:pt>
                <c:pt idx="18">
                  <c:v>2.0023253240891672E-2</c:v>
                </c:pt>
                <c:pt idx="19">
                  <c:v>1.6263484317233182E-2</c:v>
                </c:pt>
                <c:pt idx="20">
                  <c:v>1.4387389888365819E-2</c:v>
                </c:pt>
                <c:pt idx="21">
                  <c:v>6.5369098309839106E-3</c:v>
                </c:pt>
                <c:pt idx="22">
                  <c:v>-1.8921170511951774E-2</c:v>
                </c:pt>
                <c:pt idx="23">
                  <c:v>4.9902126279339929E-3</c:v>
                </c:pt>
                <c:pt idx="24">
                  <c:v>4.4094643706052893E-2</c:v>
                </c:pt>
                <c:pt idx="25">
                  <c:v>-4.271717887826927E-3</c:v>
                </c:pt>
                <c:pt idx="26">
                  <c:v>-7.0016891224203626E-2</c:v>
                </c:pt>
                <c:pt idx="27">
                  <c:v>1.9670294959397934E-2</c:v>
                </c:pt>
                <c:pt idx="28">
                  <c:v>-2.8522749665193278E-3</c:v>
                </c:pt>
                <c:pt idx="29">
                  <c:v>2.6459809318139224E-2</c:v>
                </c:pt>
                <c:pt idx="30">
                  <c:v>-8.3803688304195448E-3</c:v>
                </c:pt>
                <c:pt idx="31">
                  <c:v>-4.8074998725936091E-3</c:v>
                </c:pt>
                <c:pt idx="32">
                  <c:v>-5.7448569257147484E-3</c:v>
                </c:pt>
                <c:pt idx="33">
                  <c:v>-1.0664746317410436E-2</c:v>
                </c:pt>
                <c:pt idx="34">
                  <c:v>-5.3753584778013395E-3</c:v>
                </c:pt>
                <c:pt idx="35">
                  <c:v>2.7839386332040267E-3</c:v>
                </c:pt>
                <c:pt idx="36">
                  <c:v>-4.3369758558125894E-2</c:v>
                </c:pt>
                <c:pt idx="37">
                  <c:v>-2.5543268630286171E-2</c:v>
                </c:pt>
                <c:pt idx="38">
                  <c:v>2.2195675124242524E-2</c:v>
                </c:pt>
                <c:pt idx="39">
                  <c:v>-0.11385171416075016</c:v>
                </c:pt>
                <c:pt idx="40">
                  <c:v>2.0666198714132687E-2</c:v>
                </c:pt>
                <c:pt idx="41">
                  <c:v>4.1430009078503256E-2</c:v>
                </c:pt>
                <c:pt idx="42">
                  <c:v>-1.532279209921354E-2</c:v>
                </c:pt>
                <c:pt idx="43">
                  <c:v>-1.8851511107912756E-2</c:v>
                </c:pt>
                <c:pt idx="44">
                  <c:v>-6.0139674860284369E-2</c:v>
                </c:pt>
                <c:pt idx="45">
                  <c:v>-1.1468980686326648E-2</c:v>
                </c:pt>
                <c:pt idx="46">
                  <c:v>-2.4041833712083675E-2</c:v>
                </c:pt>
                <c:pt idx="47">
                  <c:v>-4.522852424736077E-2</c:v>
                </c:pt>
                <c:pt idx="48">
                  <c:v>3.7872999697627094E-3</c:v>
                </c:pt>
                <c:pt idx="49">
                  <c:v>8.4992702439228018E-3</c:v>
                </c:pt>
                <c:pt idx="50">
                  <c:v>2.7663648893662858E-2</c:v>
                </c:pt>
                <c:pt idx="51">
                  <c:v>2.9638433357309511E-2</c:v>
                </c:pt>
                <c:pt idx="52">
                  <c:v>-1.2651989306011763E-2</c:v>
                </c:pt>
                <c:pt idx="53">
                  <c:v>2.6230644552379709E-2</c:v>
                </c:pt>
                <c:pt idx="54">
                  <c:v>1.5953240766393994E-2</c:v>
                </c:pt>
                <c:pt idx="55">
                  <c:v>-1.4471686327393792E-2</c:v>
                </c:pt>
                <c:pt idx="56">
                  <c:v>-1.1387989827691108E-4</c:v>
                </c:pt>
                <c:pt idx="57">
                  <c:v>-1.5958077065742322E-2</c:v>
                </c:pt>
                <c:pt idx="58">
                  <c:v>-2.3891529708377164E-2</c:v>
                </c:pt>
                <c:pt idx="59">
                  <c:v>4.7225457146614393E-2</c:v>
                </c:pt>
                <c:pt idx="60">
                  <c:v>8.8919618087912669E-3</c:v>
                </c:pt>
                <c:pt idx="61">
                  <c:v>7.5910121687691951E-3</c:v>
                </c:pt>
                <c:pt idx="62">
                  <c:v>9.4084983776799441E-3</c:v>
                </c:pt>
                <c:pt idx="63">
                  <c:v>-4.0134973506857725E-3</c:v>
                </c:pt>
                <c:pt idx="64">
                  <c:v>-4.7039327893241514E-2</c:v>
                </c:pt>
                <c:pt idx="65">
                  <c:v>0.10601332177552143</c:v>
                </c:pt>
                <c:pt idx="66">
                  <c:v>3.5546987357293981E-2</c:v>
                </c:pt>
                <c:pt idx="67">
                  <c:v>3.8391338517795291E-3</c:v>
                </c:pt>
                <c:pt idx="68">
                  <c:v>-1.9756192354404525E-2</c:v>
                </c:pt>
              </c:numCache>
            </c:numRef>
          </c:yVal>
          <c:smooth val="0"/>
          <c:extLst>
            <c:ext xmlns:c16="http://schemas.microsoft.com/office/drawing/2014/chart" uri="{C3380CC4-5D6E-409C-BE32-E72D297353CC}">
              <c16:uniqueId val="{00000000-01E1-4D7B-8C03-4A7EA3C5E800}"/>
            </c:ext>
          </c:extLst>
        </c:ser>
        <c:dLbls>
          <c:showLegendKey val="0"/>
          <c:showVal val="0"/>
          <c:showCatName val="0"/>
          <c:showSerName val="0"/>
          <c:showPercent val="0"/>
          <c:showBubbleSize val="0"/>
        </c:dLbls>
        <c:axId val="617187616"/>
        <c:axId val="624989744"/>
      </c:scatterChart>
      <c:valAx>
        <c:axId val="61718761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989744"/>
        <c:crosses val="autoZero"/>
        <c:crossBetween val="midCat"/>
      </c:valAx>
      <c:valAx>
        <c:axId val="6249897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1876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569819</xdr:colOff>
      <xdr:row>10</xdr:row>
      <xdr:rowOff>21290</xdr:rowOff>
    </xdr:from>
    <xdr:to>
      <xdr:col>6</xdr:col>
      <xdr:colOff>470647</xdr:colOff>
      <xdr:row>24</xdr:row>
      <xdr:rowOff>89646</xdr:rowOff>
    </xdr:to>
    <xdr:graphicFrame macro="">
      <xdr:nvGraphicFramePr>
        <xdr:cNvPr id="2" name="Chart 1">
          <a:extLst>
            <a:ext uri="{FF2B5EF4-FFF2-40B4-BE49-F238E27FC236}">
              <a16:creationId xmlns:a16="http://schemas.microsoft.com/office/drawing/2014/main" id="{F38EAD09-C922-44E5-A9DA-303E7E4041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60325</xdr:colOff>
      <xdr:row>5</xdr:row>
      <xdr:rowOff>57150</xdr:rowOff>
    </xdr:from>
    <xdr:to>
      <xdr:col>14</xdr:col>
      <xdr:colOff>365125</xdr:colOff>
      <xdr:row>20</xdr:row>
      <xdr:rowOff>38100</xdr:rowOff>
    </xdr:to>
    <xdr:graphicFrame macro="">
      <xdr:nvGraphicFramePr>
        <xdr:cNvPr id="2" name="Chart 1">
          <a:extLst>
            <a:ext uri="{FF2B5EF4-FFF2-40B4-BE49-F238E27FC236}">
              <a16:creationId xmlns:a16="http://schemas.microsoft.com/office/drawing/2014/main" id="{C57AE51A-D570-441F-B5FB-F0EC7C83B0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46"/>
  <sheetViews>
    <sheetView zoomScaleNormal="100" workbookViewId="0">
      <selection activeCell="B46" sqref="B46"/>
    </sheetView>
  </sheetViews>
  <sheetFormatPr defaultRowHeight="14.5" x14ac:dyDescent="0.35"/>
  <cols>
    <col min="2" max="2" width="58.26953125" bestFit="1" customWidth="1"/>
    <col min="3" max="4" width="9.7265625" bestFit="1" customWidth="1"/>
    <col min="5" max="7" width="10.08984375" bestFit="1" customWidth="1"/>
  </cols>
  <sheetData>
    <row r="1" spans="2:7" ht="15" thickBot="1" x14ac:dyDescent="0.4"/>
    <row r="2" spans="2:7" ht="15" thickBot="1" x14ac:dyDescent="0.4">
      <c r="B2" s="102" t="s">
        <v>68</v>
      </c>
      <c r="C2" s="103"/>
      <c r="D2" s="103"/>
      <c r="E2" s="103"/>
      <c r="F2" s="103"/>
      <c r="G2" s="104"/>
    </row>
    <row r="3" spans="2:7" x14ac:dyDescent="0.35">
      <c r="B3" s="1"/>
      <c r="C3" s="2" t="s">
        <v>0</v>
      </c>
      <c r="D3" s="2" t="s">
        <v>1</v>
      </c>
      <c r="E3" s="2" t="s">
        <v>2</v>
      </c>
      <c r="F3" s="2" t="s">
        <v>3</v>
      </c>
      <c r="G3" s="3" t="s">
        <v>4</v>
      </c>
    </row>
    <row r="4" spans="2:7" x14ac:dyDescent="0.35">
      <c r="B4" s="4" t="s">
        <v>5</v>
      </c>
      <c r="C4" s="2"/>
      <c r="D4" s="2"/>
      <c r="E4" s="2"/>
      <c r="F4" s="2"/>
      <c r="G4" s="3"/>
    </row>
    <row r="5" spans="2:7" x14ac:dyDescent="0.35">
      <c r="B5" s="4" t="s">
        <v>6</v>
      </c>
      <c r="C5" s="2"/>
      <c r="D5" s="2"/>
      <c r="E5" s="2"/>
      <c r="F5" s="2"/>
      <c r="G5" s="3"/>
    </row>
    <row r="6" spans="2:7" x14ac:dyDescent="0.35">
      <c r="B6" s="1" t="s">
        <v>7</v>
      </c>
      <c r="C6" s="5">
        <v>192</v>
      </c>
      <c r="D6" s="5">
        <v>133</v>
      </c>
      <c r="E6" s="5">
        <v>359</v>
      </c>
      <c r="F6" s="5">
        <v>137</v>
      </c>
      <c r="G6" s="6">
        <v>135</v>
      </c>
    </row>
    <row r="7" spans="2:7" x14ac:dyDescent="0.35">
      <c r="B7" s="1" t="s">
        <v>8</v>
      </c>
      <c r="C7" s="5">
        <v>932</v>
      </c>
      <c r="D7" s="5">
        <v>901</v>
      </c>
      <c r="E7" s="5">
        <v>926</v>
      </c>
      <c r="F7" s="5">
        <v>924</v>
      </c>
      <c r="G7" s="6">
        <v>1012</v>
      </c>
    </row>
    <row r="8" spans="2:7" x14ac:dyDescent="0.35">
      <c r="B8" s="1" t="s">
        <v>9</v>
      </c>
      <c r="C8" s="5">
        <v>110</v>
      </c>
      <c r="D8" s="5">
        <v>84</v>
      </c>
      <c r="E8" s="5">
        <v>82</v>
      </c>
      <c r="F8" s="5">
        <v>95</v>
      </c>
      <c r="G8" s="6">
        <v>99</v>
      </c>
    </row>
    <row r="9" spans="2:7" x14ac:dyDescent="0.35">
      <c r="B9" s="1" t="s">
        <v>10</v>
      </c>
      <c r="C9" s="5">
        <v>169</v>
      </c>
      <c r="D9" s="5">
        <v>0</v>
      </c>
      <c r="E9" s="5">
        <v>0</v>
      </c>
      <c r="F9" s="5">
        <v>0</v>
      </c>
      <c r="G9" s="6">
        <v>0</v>
      </c>
    </row>
    <row r="10" spans="2:7" x14ac:dyDescent="0.35">
      <c r="B10" s="1" t="s">
        <v>11</v>
      </c>
      <c r="C10" s="5">
        <v>200</v>
      </c>
      <c r="D10" s="5">
        <v>207</v>
      </c>
      <c r="E10" s="5">
        <v>155</v>
      </c>
      <c r="F10" s="5">
        <v>150</v>
      </c>
      <c r="G10" s="6">
        <v>144</v>
      </c>
    </row>
    <row r="11" spans="2:7" x14ac:dyDescent="0.35">
      <c r="B11" s="1" t="s">
        <v>12</v>
      </c>
      <c r="C11" s="5">
        <v>0</v>
      </c>
      <c r="D11" s="5">
        <v>176</v>
      </c>
      <c r="E11" s="5">
        <v>9</v>
      </c>
      <c r="F11" s="5">
        <v>0</v>
      </c>
      <c r="G11" s="6">
        <v>0</v>
      </c>
    </row>
    <row r="12" spans="2:7" x14ac:dyDescent="0.35">
      <c r="B12" s="1" t="s">
        <v>13</v>
      </c>
      <c r="C12" s="5">
        <f>SUM(C6:C11)</f>
        <v>1603</v>
      </c>
      <c r="D12" s="5">
        <f t="shared" ref="D12:G12" si="0">SUM(D6:D11)</f>
        <v>1501</v>
      </c>
      <c r="E12" s="5">
        <f t="shared" si="0"/>
        <v>1531</v>
      </c>
      <c r="F12" s="5">
        <f t="shared" si="0"/>
        <v>1306</v>
      </c>
      <c r="G12" s="6">
        <f t="shared" si="0"/>
        <v>1390</v>
      </c>
    </row>
    <row r="13" spans="2:7" x14ac:dyDescent="0.35">
      <c r="B13" s="4" t="s">
        <v>14</v>
      </c>
      <c r="C13" s="5"/>
      <c r="D13" s="5"/>
      <c r="E13" s="5"/>
      <c r="F13" s="5"/>
      <c r="G13" s="6"/>
    </row>
    <row r="14" spans="2:7" x14ac:dyDescent="0.35">
      <c r="B14" s="4" t="s">
        <v>15</v>
      </c>
      <c r="C14" s="5"/>
      <c r="D14" s="5"/>
      <c r="E14" s="5"/>
      <c r="F14" s="5"/>
      <c r="G14" s="6"/>
    </row>
    <row r="15" spans="2:7" x14ac:dyDescent="0.35">
      <c r="B15" s="1" t="s">
        <v>16</v>
      </c>
      <c r="C15" s="5">
        <v>3126</v>
      </c>
      <c r="D15" s="5">
        <v>3232</v>
      </c>
      <c r="E15" s="5">
        <v>3429</v>
      </c>
      <c r="F15" s="5">
        <v>3671</v>
      </c>
      <c r="G15" s="6">
        <v>3970</v>
      </c>
    </row>
    <row r="16" spans="2:7" x14ac:dyDescent="0.35">
      <c r="B16" s="1" t="s">
        <v>17</v>
      </c>
      <c r="C16" s="5">
        <v>-2193</v>
      </c>
      <c r="D16" s="5">
        <v>-2307</v>
      </c>
      <c r="E16" s="5">
        <v>-2400</v>
      </c>
      <c r="F16" s="5">
        <v>-2526</v>
      </c>
      <c r="G16" s="6">
        <v>-2682</v>
      </c>
    </row>
    <row r="17" spans="2:7" x14ac:dyDescent="0.35">
      <c r="B17" s="1" t="s">
        <v>18</v>
      </c>
      <c r="C17" s="5">
        <f>SUM(C15:C16)</f>
        <v>933</v>
      </c>
      <c r="D17" s="5">
        <f t="shared" ref="D17:G17" si="1">SUM(D15:D16)</f>
        <v>925</v>
      </c>
      <c r="E17" s="5">
        <f t="shared" si="1"/>
        <v>1029</v>
      </c>
      <c r="F17" s="5">
        <f t="shared" si="1"/>
        <v>1145</v>
      </c>
      <c r="G17" s="6">
        <f t="shared" si="1"/>
        <v>1288</v>
      </c>
    </row>
    <row r="18" spans="2:7" x14ac:dyDescent="0.35">
      <c r="B18" s="1" t="s">
        <v>19</v>
      </c>
      <c r="C18" s="5"/>
      <c r="D18" s="5">
        <v>473</v>
      </c>
      <c r="E18" s="5">
        <v>443</v>
      </c>
      <c r="F18" s="5">
        <v>462</v>
      </c>
      <c r="G18" s="6">
        <v>436</v>
      </c>
    </row>
    <row r="19" spans="2:7" x14ac:dyDescent="0.35">
      <c r="B19" s="1" t="s">
        <v>20</v>
      </c>
      <c r="C19" s="5">
        <v>6032</v>
      </c>
      <c r="D19" s="5">
        <v>5905</v>
      </c>
      <c r="E19" s="5">
        <v>6000</v>
      </c>
      <c r="F19" s="5">
        <v>6335</v>
      </c>
      <c r="G19" s="6">
        <v>6563</v>
      </c>
    </row>
    <row r="20" spans="2:7" x14ac:dyDescent="0.35">
      <c r="B20" s="1" t="s">
        <v>21</v>
      </c>
      <c r="C20" s="5">
        <v>1071</v>
      </c>
      <c r="D20" s="5">
        <v>984</v>
      </c>
      <c r="E20" s="5">
        <v>949</v>
      </c>
      <c r="F20" s="5">
        <v>1119</v>
      </c>
      <c r="G20" s="6">
        <v>1207</v>
      </c>
    </row>
    <row r="21" spans="2:7" x14ac:dyDescent="0.35">
      <c r="B21" s="1" t="s">
        <v>22</v>
      </c>
      <c r="C21" s="5">
        <v>238</v>
      </c>
      <c r="D21" s="5">
        <v>174</v>
      </c>
      <c r="E21" s="5">
        <v>148</v>
      </c>
      <c r="F21" s="5">
        <v>136</v>
      </c>
      <c r="G21" s="6">
        <v>119</v>
      </c>
    </row>
    <row r="22" spans="2:7" x14ac:dyDescent="0.35">
      <c r="B22" s="1" t="s">
        <v>23</v>
      </c>
      <c r="C22" s="5">
        <f>SUM(C17:C21)</f>
        <v>8274</v>
      </c>
      <c r="D22" s="5">
        <f>SUM(D17:D21)</f>
        <v>8461</v>
      </c>
      <c r="E22" s="5">
        <f t="shared" ref="E22:G22" si="2">SUM(E17:E21)</f>
        <v>8569</v>
      </c>
      <c r="F22" s="5">
        <f t="shared" si="2"/>
        <v>9197</v>
      </c>
      <c r="G22" s="6">
        <f t="shared" si="2"/>
        <v>9613</v>
      </c>
    </row>
    <row r="23" spans="2:7" x14ac:dyDescent="0.35">
      <c r="B23" s="1" t="s">
        <v>24</v>
      </c>
      <c r="C23" s="5">
        <f>C22+C12</f>
        <v>9877</v>
      </c>
      <c r="D23" s="5">
        <f>D22+D12</f>
        <v>9962</v>
      </c>
      <c r="E23" s="5">
        <f>E22+E12</f>
        <v>10100</v>
      </c>
      <c r="F23" s="5">
        <f>F22+F12</f>
        <v>10503</v>
      </c>
      <c r="G23" s="6">
        <f>G22+G12</f>
        <v>11003</v>
      </c>
    </row>
    <row r="24" spans="2:7" x14ac:dyDescent="0.35">
      <c r="B24" s="1"/>
      <c r="C24" s="5"/>
      <c r="D24" s="5"/>
      <c r="E24" s="5"/>
      <c r="F24" s="5"/>
      <c r="G24" s="6"/>
    </row>
    <row r="25" spans="2:7" x14ac:dyDescent="0.35">
      <c r="B25" s="4" t="s">
        <v>25</v>
      </c>
      <c r="C25" s="5"/>
      <c r="D25" s="5"/>
      <c r="E25" s="5"/>
      <c r="F25" s="5"/>
      <c r="G25" s="6"/>
    </row>
    <row r="26" spans="2:7" x14ac:dyDescent="0.35">
      <c r="B26" s="4" t="s">
        <v>26</v>
      </c>
      <c r="C26" s="5"/>
      <c r="D26" s="5"/>
      <c r="E26" s="5"/>
      <c r="F26" s="5"/>
      <c r="G26" s="6"/>
    </row>
    <row r="27" spans="2:7" x14ac:dyDescent="0.35">
      <c r="B27" s="4" t="s">
        <v>27</v>
      </c>
      <c r="C27" s="5"/>
      <c r="D27" s="5"/>
      <c r="E27" s="5"/>
      <c r="F27" s="5"/>
      <c r="G27" s="6"/>
    </row>
    <row r="28" spans="2:7" x14ac:dyDescent="0.35">
      <c r="B28" s="1" t="s">
        <v>28</v>
      </c>
      <c r="C28" s="5">
        <v>518</v>
      </c>
      <c r="D28" s="5">
        <v>159</v>
      </c>
      <c r="E28" s="5">
        <v>6</v>
      </c>
      <c r="F28" s="5">
        <v>36</v>
      </c>
      <c r="G28" s="6">
        <v>464</v>
      </c>
    </row>
    <row r="29" spans="2:7" x14ac:dyDescent="0.35">
      <c r="B29" s="1" t="s">
        <v>29</v>
      </c>
      <c r="C29" s="5">
        <v>257</v>
      </c>
      <c r="D29" s="5">
        <v>279</v>
      </c>
      <c r="E29" s="5">
        <v>261</v>
      </c>
      <c r="F29" s="5">
        <v>295</v>
      </c>
      <c r="G29" s="6">
        <v>320</v>
      </c>
    </row>
    <row r="30" spans="2:7" x14ac:dyDescent="0.35">
      <c r="B30" s="1" t="s">
        <v>30</v>
      </c>
      <c r="C30" s="5">
        <v>63</v>
      </c>
      <c r="D30" s="5">
        <v>4</v>
      </c>
      <c r="E30" s="5">
        <v>3</v>
      </c>
      <c r="F30" s="5">
        <v>9</v>
      </c>
      <c r="G30" s="6">
        <v>17</v>
      </c>
    </row>
    <row r="31" spans="2:7" x14ac:dyDescent="0.35">
      <c r="B31" s="1" t="s">
        <v>31</v>
      </c>
      <c r="C31" s="5">
        <v>767</v>
      </c>
      <c r="D31" s="5">
        <v>674</v>
      </c>
      <c r="E31" s="5">
        <v>647</v>
      </c>
      <c r="F31" s="5">
        <v>649</v>
      </c>
      <c r="G31" s="6">
        <v>599</v>
      </c>
    </row>
    <row r="32" spans="2:7" x14ac:dyDescent="0.35">
      <c r="B32" s="1" t="s">
        <v>32</v>
      </c>
      <c r="C32" s="5">
        <v>104</v>
      </c>
      <c r="D32" s="5">
        <v>57</v>
      </c>
      <c r="E32" s="5">
        <v>64</v>
      </c>
      <c r="F32" s="5">
        <v>68</v>
      </c>
      <c r="G32" s="6">
        <v>85</v>
      </c>
    </row>
    <row r="33" spans="2:7" x14ac:dyDescent="0.35">
      <c r="B33" s="1" t="s">
        <v>33</v>
      </c>
      <c r="C33" s="5">
        <f>SUM(C28:C32)</f>
        <v>1709</v>
      </c>
      <c r="D33" s="5">
        <f t="shared" ref="D33:G33" si="3">SUM(D28:D32)</f>
        <v>1173</v>
      </c>
      <c r="E33" s="5">
        <f t="shared" si="3"/>
        <v>981</v>
      </c>
      <c r="F33" s="5">
        <f t="shared" si="3"/>
        <v>1057</v>
      </c>
      <c r="G33" s="6">
        <f t="shared" si="3"/>
        <v>1485</v>
      </c>
    </row>
    <row r="34" spans="2:7" x14ac:dyDescent="0.35">
      <c r="B34" s="4" t="s">
        <v>34</v>
      </c>
      <c r="C34" s="5"/>
      <c r="D34" s="5"/>
      <c r="E34" s="5"/>
      <c r="F34" s="5"/>
      <c r="G34" s="6"/>
    </row>
    <row r="35" spans="2:7" x14ac:dyDescent="0.35">
      <c r="B35" s="1" t="s">
        <v>35</v>
      </c>
      <c r="C35" s="5">
        <v>3244</v>
      </c>
      <c r="D35" s="5">
        <v>3492</v>
      </c>
      <c r="E35" s="5">
        <v>3728</v>
      </c>
      <c r="F35" s="5">
        <v>3748</v>
      </c>
      <c r="G35" s="6">
        <v>3429</v>
      </c>
    </row>
    <row r="36" spans="2:7" x14ac:dyDescent="0.35">
      <c r="B36" s="1" t="s">
        <v>36</v>
      </c>
      <c r="C36" s="5">
        <v>623</v>
      </c>
      <c r="D36" s="5">
        <v>613</v>
      </c>
      <c r="E36" s="5">
        <v>763</v>
      </c>
      <c r="F36" s="5">
        <v>777</v>
      </c>
      <c r="G36" s="6">
        <v>873</v>
      </c>
    </row>
    <row r="37" spans="2:7" x14ac:dyDescent="0.35">
      <c r="B37" s="1" t="s">
        <v>37</v>
      </c>
      <c r="C37" s="5">
        <f>SUM(C35:C36)</f>
        <v>3867</v>
      </c>
      <c r="D37" s="5">
        <f t="shared" ref="D37:G37" si="4">SUM(D35:D36)</f>
        <v>4105</v>
      </c>
      <c r="E37" s="5">
        <f t="shared" si="4"/>
        <v>4491</v>
      </c>
      <c r="F37" s="5">
        <f t="shared" si="4"/>
        <v>4525</v>
      </c>
      <c r="G37" s="6">
        <f t="shared" si="4"/>
        <v>4302</v>
      </c>
    </row>
    <row r="38" spans="2:7" x14ac:dyDescent="0.35">
      <c r="B38" s="1" t="s">
        <v>38</v>
      </c>
      <c r="C38" s="5">
        <f>C33+C37</f>
        <v>5576</v>
      </c>
      <c r="D38" s="5">
        <f>D33+D37</f>
        <v>5278</v>
      </c>
      <c r="E38" s="5">
        <f>E33+E37</f>
        <v>5472</v>
      </c>
      <c r="F38" s="5">
        <f>F33+F37</f>
        <v>5582</v>
      </c>
      <c r="G38" s="6">
        <f>G33+G37</f>
        <v>5787</v>
      </c>
    </row>
    <row r="39" spans="2:7" x14ac:dyDescent="0.35">
      <c r="B39" s="4" t="s">
        <v>39</v>
      </c>
      <c r="C39" s="5"/>
      <c r="D39" s="5"/>
      <c r="E39" s="5"/>
      <c r="F39" s="5"/>
      <c r="G39" s="6"/>
    </row>
    <row r="40" spans="2:7" x14ac:dyDescent="0.35">
      <c r="B40" s="1" t="s">
        <v>40</v>
      </c>
      <c r="C40" s="5">
        <v>2</v>
      </c>
      <c r="D40" s="5">
        <v>2</v>
      </c>
      <c r="E40" s="5">
        <v>2</v>
      </c>
      <c r="F40" s="5">
        <v>2</v>
      </c>
      <c r="G40" s="6">
        <v>2</v>
      </c>
    </row>
    <row r="41" spans="2:7" x14ac:dyDescent="0.35">
      <c r="B41" s="1" t="s">
        <v>41</v>
      </c>
      <c r="C41" s="5">
        <v>2418</v>
      </c>
      <c r="D41" s="5">
        <v>2481</v>
      </c>
      <c r="E41" s="5">
        <v>2545</v>
      </c>
      <c r="F41" s="5">
        <v>2612</v>
      </c>
      <c r="G41" s="6">
        <v>2667</v>
      </c>
    </row>
    <row r="42" spans="2:7" x14ac:dyDescent="0.35">
      <c r="B42" s="1" t="s">
        <v>42</v>
      </c>
      <c r="C42" s="5">
        <v>5723</v>
      </c>
      <c r="D42" s="5">
        <v>6199</v>
      </c>
      <c r="E42" s="5">
        <v>6613</v>
      </c>
      <c r="F42" s="5">
        <v>7138</v>
      </c>
      <c r="G42" s="6">
        <v>7602</v>
      </c>
    </row>
    <row r="43" spans="2:7" x14ac:dyDescent="0.35">
      <c r="B43" s="1" t="s">
        <v>43</v>
      </c>
      <c r="C43" s="5">
        <v>-3815</v>
      </c>
      <c r="D43" s="5">
        <v>-3960</v>
      </c>
      <c r="E43" s="5">
        <v>-4460</v>
      </c>
      <c r="F43" s="5">
        <v>-4783</v>
      </c>
      <c r="G43" s="6">
        <v>-4996</v>
      </c>
    </row>
    <row r="44" spans="2:7" x14ac:dyDescent="0.35">
      <c r="B44" s="1" t="s">
        <v>44</v>
      </c>
      <c r="C44" s="5">
        <v>-27</v>
      </c>
      <c r="D44" s="5">
        <v>-38</v>
      </c>
      <c r="E44" s="5">
        <v>-72</v>
      </c>
      <c r="F44" s="5">
        <v>-48</v>
      </c>
      <c r="G44" s="6">
        <v>-59</v>
      </c>
    </row>
    <row r="45" spans="2:7" x14ac:dyDescent="0.35">
      <c r="B45" s="1" t="s">
        <v>45</v>
      </c>
      <c r="C45" s="5">
        <f>SUM(C40:C44)</f>
        <v>4301</v>
      </c>
      <c r="D45" s="5">
        <f t="shared" ref="D45:G45" si="5">SUM(D40:D44)</f>
        <v>4684</v>
      </c>
      <c r="E45" s="5">
        <f t="shared" si="5"/>
        <v>4628</v>
      </c>
      <c r="F45" s="5">
        <f t="shared" si="5"/>
        <v>4921</v>
      </c>
      <c r="G45" s="6">
        <f t="shared" si="5"/>
        <v>5216</v>
      </c>
    </row>
    <row r="46" spans="2:7" ht="15" thickBot="1" x14ac:dyDescent="0.4">
      <c r="B46" s="7" t="s">
        <v>46</v>
      </c>
      <c r="C46" s="8">
        <f>C45+C38</f>
        <v>9877</v>
      </c>
      <c r="D46" s="8">
        <f>D45+D38</f>
        <v>9962</v>
      </c>
      <c r="E46" s="8">
        <f>E45+E38</f>
        <v>10100</v>
      </c>
      <c r="F46" s="8">
        <f>F45+F38</f>
        <v>10503</v>
      </c>
      <c r="G46" s="9">
        <f>G45+G38</f>
        <v>11003</v>
      </c>
    </row>
  </sheetData>
  <mergeCells count="1">
    <mergeCell ref="B2: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4BBAE-27FD-4AD9-838D-2E13B482B889}">
  <dimension ref="B1:G27"/>
  <sheetViews>
    <sheetView workbookViewId="0">
      <selection activeCell="B31" sqref="B31"/>
    </sheetView>
  </sheetViews>
  <sheetFormatPr defaultRowHeight="14.5" x14ac:dyDescent="0.35"/>
  <cols>
    <col min="2" max="2" width="58.26953125" bestFit="1" customWidth="1"/>
    <col min="3" max="7" width="9.7265625" bestFit="1" customWidth="1"/>
  </cols>
  <sheetData>
    <row r="1" spans="2:7" ht="15" thickBot="1" x14ac:dyDescent="0.4"/>
    <row r="2" spans="2:7" ht="15" thickBot="1" x14ac:dyDescent="0.4">
      <c r="B2" s="102" t="s">
        <v>69</v>
      </c>
      <c r="C2" s="103"/>
      <c r="D2" s="103"/>
      <c r="E2" s="103"/>
      <c r="F2" s="103"/>
      <c r="G2" s="104"/>
    </row>
    <row r="3" spans="2:7" x14ac:dyDescent="0.35">
      <c r="B3" s="1"/>
      <c r="C3" s="2" t="s">
        <v>0</v>
      </c>
      <c r="D3" s="2" t="s">
        <v>1</v>
      </c>
      <c r="E3" s="2" t="s">
        <v>2</v>
      </c>
      <c r="F3" s="2" t="s">
        <v>3</v>
      </c>
      <c r="G3" s="3" t="s">
        <v>4</v>
      </c>
    </row>
    <row r="4" spans="2:7" x14ac:dyDescent="0.35">
      <c r="B4" s="1" t="s">
        <v>47</v>
      </c>
      <c r="C4" s="5">
        <v>7435</v>
      </c>
      <c r="D4" s="5">
        <v>7493</v>
      </c>
      <c r="E4" s="5">
        <v>7515</v>
      </c>
      <c r="F4" s="5">
        <v>7709</v>
      </c>
      <c r="G4" s="6">
        <v>7531</v>
      </c>
    </row>
    <row r="5" spans="2:7" x14ac:dyDescent="0.35">
      <c r="B5" s="1" t="s">
        <v>48</v>
      </c>
      <c r="C5" s="5">
        <v>-4417</v>
      </c>
      <c r="D5" s="5">
        <v>-4434</v>
      </c>
      <c r="E5" s="5">
        <v>-4439</v>
      </c>
      <c r="F5" s="5">
        <v>-4523</v>
      </c>
      <c r="G5" s="6">
        <v>-4707</v>
      </c>
    </row>
    <row r="6" spans="2:7" x14ac:dyDescent="0.35">
      <c r="B6" s="1" t="s">
        <v>66</v>
      </c>
      <c r="C6" s="5">
        <v>-220</v>
      </c>
      <c r="D6" s="5">
        <v>-223</v>
      </c>
      <c r="E6" s="5">
        <v>-177</v>
      </c>
      <c r="F6" s="5">
        <v>-196</v>
      </c>
      <c r="G6" s="6">
        <v>-219</v>
      </c>
    </row>
    <row r="7" spans="2:7" x14ac:dyDescent="0.35">
      <c r="B7" s="1" t="s">
        <v>49</v>
      </c>
      <c r="C7" s="5">
        <f>SUM(C4:C6)</f>
        <v>2798</v>
      </c>
      <c r="D7" s="5">
        <f>SUM(D4:D6)</f>
        <v>2836</v>
      </c>
      <c r="E7" s="5">
        <f>SUM(E4:E6)</f>
        <v>2899</v>
      </c>
      <c r="F7" s="5">
        <f>SUM(F4:F6)</f>
        <v>2990</v>
      </c>
      <c r="G7" s="6">
        <f>SUM(G4:G6)</f>
        <v>2605</v>
      </c>
    </row>
    <row r="8" spans="2:7" x14ac:dyDescent="0.35">
      <c r="B8" s="1"/>
      <c r="C8" s="5"/>
      <c r="D8" s="5"/>
      <c r="E8" s="5"/>
      <c r="F8" s="5"/>
      <c r="G8" s="6"/>
    </row>
    <row r="9" spans="2:7" x14ac:dyDescent="0.35">
      <c r="B9" s="4" t="s">
        <v>50</v>
      </c>
      <c r="C9" s="5"/>
      <c r="D9" s="5"/>
      <c r="E9" s="5"/>
      <c r="F9" s="5"/>
      <c r="G9" s="6"/>
    </row>
    <row r="10" spans="2:7" x14ac:dyDescent="0.35">
      <c r="B10" s="1" t="s">
        <v>51</v>
      </c>
      <c r="C10" s="5">
        <v>-1728</v>
      </c>
      <c r="D10" s="5">
        <v>-1679</v>
      </c>
      <c r="E10" s="5">
        <v>-1681</v>
      </c>
      <c r="F10" s="5">
        <v>-1750</v>
      </c>
      <c r="G10" s="6">
        <v>-1424</v>
      </c>
    </row>
    <row r="11" spans="2:7" x14ac:dyDescent="0.35">
      <c r="B11" s="1" t="s">
        <v>52</v>
      </c>
      <c r="C11" s="5">
        <v>-87</v>
      </c>
      <c r="D11" s="5">
        <v>-92</v>
      </c>
      <c r="E11" s="5">
        <v>-59</v>
      </c>
      <c r="F11" s="5">
        <v>-75</v>
      </c>
      <c r="G11" s="6">
        <v>-76</v>
      </c>
    </row>
    <row r="12" spans="2:7" x14ac:dyDescent="0.35">
      <c r="B12" s="1" t="s">
        <v>53</v>
      </c>
      <c r="C12" s="5">
        <f>SUM(C10:C11)</f>
        <v>-1815</v>
      </c>
      <c r="D12" s="5">
        <f t="shared" ref="D12:G12" si="0">SUM(D10:D11)</f>
        <v>-1771</v>
      </c>
      <c r="E12" s="5">
        <f t="shared" si="0"/>
        <v>-1740</v>
      </c>
      <c r="F12" s="5">
        <f t="shared" si="0"/>
        <v>-1825</v>
      </c>
      <c r="G12" s="6">
        <f t="shared" si="0"/>
        <v>-1500</v>
      </c>
    </row>
    <row r="13" spans="2:7" x14ac:dyDescent="0.35">
      <c r="B13" s="1"/>
      <c r="C13" s="5"/>
      <c r="D13" s="5"/>
      <c r="E13" s="5"/>
      <c r="F13" s="5"/>
      <c r="G13" s="6"/>
    </row>
    <row r="14" spans="2:7" x14ac:dyDescent="0.35">
      <c r="B14" s="1" t="s">
        <v>54</v>
      </c>
      <c r="C14" s="5">
        <v>983</v>
      </c>
      <c r="D14" s="5">
        <v>1065</v>
      </c>
      <c r="E14" s="5">
        <v>1159</v>
      </c>
      <c r="F14" s="5">
        <v>1165</v>
      </c>
      <c r="G14" s="6">
        <v>1105</v>
      </c>
    </row>
    <row r="15" spans="2:7" x14ac:dyDescent="0.35">
      <c r="B15" s="1" t="s">
        <v>55</v>
      </c>
      <c r="C15" s="5">
        <v>-167</v>
      </c>
      <c r="D15" s="5">
        <v>-154</v>
      </c>
      <c r="E15" s="5">
        <v>-144</v>
      </c>
      <c r="F15" s="5">
        <v>-153</v>
      </c>
      <c r="G15" s="6">
        <v>-169</v>
      </c>
    </row>
    <row r="16" spans="2:7" x14ac:dyDescent="0.35">
      <c r="B16" s="1" t="s">
        <v>67</v>
      </c>
      <c r="C16" s="5">
        <v>3</v>
      </c>
      <c r="D16" s="5">
        <v>1</v>
      </c>
      <c r="E16" s="5">
        <v>1</v>
      </c>
      <c r="F16" s="5">
        <v>2</v>
      </c>
      <c r="G16" s="6">
        <v>2</v>
      </c>
    </row>
    <row r="17" spans="2:7" x14ac:dyDescent="0.35">
      <c r="B17" s="1" t="s">
        <v>56</v>
      </c>
      <c r="C17" s="5">
        <v>30</v>
      </c>
      <c r="D17" s="5">
        <v>191</v>
      </c>
      <c r="E17" s="5">
        <v>70</v>
      </c>
      <c r="F17" s="5">
        <v>16</v>
      </c>
      <c r="G17" s="6">
        <v>-8</v>
      </c>
    </row>
    <row r="18" spans="2:7" x14ac:dyDescent="0.35">
      <c r="B18" s="1" t="s">
        <v>57</v>
      </c>
      <c r="C18" s="5">
        <f>SUM(C14:C17)</f>
        <v>849</v>
      </c>
      <c r="D18" s="5">
        <f t="shared" ref="D18:G18" si="1">SUM(D14:D17)</f>
        <v>1103</v>
      </c>
      <c r="E18" s="5">
        <f t="shared" si="1"/>
        <v>1086</v>
      </c>
      <c r="F18" s="5">
        <f t="shared" si="1"/>
        <v>1030</v>
      </c>
      <c r="G18" s="6">
        <f t="shared" si="1"/>
        <v>930</v>
      </c>
    </row>
    <row r="19" spans="2:7" x14ac:dyDescent="0.35">
      <c r="B19" s="1"/>
      <c r="C19" s="5"/>
      <c r="D19" s="5"/>
      <c r="E19" s="5"/>
      <c r="F19" s="5"/>
      <c r="G19" s="6"/>
    </row>
    <row r="20" spans="2:7" x14ac:dyDescent="0.35">
      <c r="B20" s="1" t="s">
        <v>58</v>
      </c>
      <c r="C20" s="5">
        <v>-262</v>
      </c>
      <c r="D20" s="5">
        <v>-373</v>
      </c>
      <c r="E20" s="5">
        <v>-429</v>
      </c>
      <c r="F20" s="5">
        <v>-241</v>
      </c>
      <c r="G20" s="6">
        <v>-182</v>
      </c>
    </row>
    <row r="21" spans="2:7" x14ac:dyDescent="0.35">
      <c r="B21" s="1" t="s">
        <v>59</v>
      </c>
      <c r="C21" s="5"/>
      <c r="D21" s="5">
        <v>23</v>
      </c>
      <c r="E21" s="5">
        <v>39</v>
      </c>
      <c r="F21" s="5">
        <v>35</v>
      </c>
      <c r="G21" s="6">
        <v>44</v>
      </c>
    </row>
    <row r="22" spans="2:7" x14ac:dyDescent="0.35">
      <c r="B22" s="1" t="s">
        <v>60</v>
      </c>
      <c r="C22" s="5">
        <f>C18+SUM(C20:C21)</f>
        <v>587</v>
      </c>
      <c r="D22" s="5">
        <f>D18+SUM(D20:D21)</f>
        <v>753</v>
      </c>
      <c r="E22" s="5">
        <f t="shared" ref="E22:G22" si="2">E18+SUM(E20:E21)</f>
        <v>696</v>
      </c>
      <c r="F22" s="5">
        <f t="shared" si="2"/>
        <v>824</v>
      </c>
      <c r="G22" s="6">
        <f t="shared" si="2"/>
        <v>792</v>
      </c>
    </row>
    <row r="23" spans="2:7" x14ac:dyDescent="0.35">
      <c r="B23" s="1" t="s">
        <v>61</v>
      </c>
      <c r="C23" s="5">
        <v>5</v>
      </c>
      <c r="D23" s="5"/>
      <c r="E23" s="5"/>
      <c r="F23" s="5"/>
      <c r="G23" s="6"/>
    </row>
    <row r="24" spans="2:7" x14ac:dyDescent="0.35">
      <c r="B24" s="1" t="s">
        <v>62</v>
      </c>
      <c r="C24" s="5">
        <v>-36</v>
      </c>
      <c r="D24" s="5">
        <v>-44</v>
      </c>
      <c r="E24" s="5">
        <v>-51</v>
      </c>
      <c r="F24" s="5">
        <v>-52</v>
      </c>
      <c r="G24" s="6">
        <v>-52</v>
      </c>
    </row>
    <row r="25" spans="2:7" x14ac:dyDescent="0.35">
      <c r="B25" s="1" t="s">
        <v>63</v>
      </c>
      <c r="C25" s="5">
        <f>SUM(C22:C24)</f>
        <v>556</v>
      </c>
      <c r="D25" s="5">
        <f>SUM(D22:D24)</f>
        <v>709</v>
      </c>
      <c r="E25" s="5">
        <f t="shared" ref="E25:G25" si="3">SUM(E22:E24)</f>
        <v>645</v>
      </c>
      <c r="F25" s="5">
        <f t="shared" si="3"/>
        <v>772</v>
      </c>
      <c r="G25" s="6">
        <f t="shared" si="3"/>
        <v>740</v>
      </c>
    </row>
    <row r="26" spans="2:7" x14ac:dyDescent="0.35">
      <c r="B26" s="1" t="s">
        <v>64</v>
      </c>
      <c r="C26" s="5">
        <v>-2</v>
      </c>
      <c r="D26" s="5">
        <v>-3</v>
      </c>
      <c r="E26" s="5">
        <v>-3</v>
      </c>
      <c r="F26" s="5">
        <v>-3</v>
      </c>
      <c r="G26" s="6">
        <v>-3</v>
      </c>
    </row>
    <row r="27" spans="2:7" ht="15" thickBot="1" x14ac:dyDescent="0.4">
      <c r="B27" s="7" t="s">
        <v>65</v>
      </c>
      <c r="C27" s="8">
        <v>554</v>
      </c>
      <c r="D27" s="8">
        <v>706</v>
      </c>
      <c r="E27" s="8">
        <v>642</v>
      </c>
      <c r="F27" s="8">
        <v>769</v>
      </c>
      <c r="G27" s="9">
        <v>733</v>
      </c>
    </row>
  </sheetData>
  <mergeCells count="1">
    <mergeCell ref="B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9CF3E-2EFF-4AAB-A530-585D5F0B3B86}">
  <dimension ref="A1:P31"/>
  <sheetViews>
    <sheetView workbookViewId="0"/>
  </sheetViews>
  <sheetFormatPr defaultRowHeight="14.5" x14ac:dyDescent="0.35"/>
  <cols>
    <col min="1" max="2" width="36.6328125" customWidth="1"/>
  </cols>
  <sheetData>
    <row r="1" spans="1:16" x14ac:dyDescent="0.35">
      <c r="A1" s="71" t="s">
        <v>133</v>
      </c>
    </row>
    <row r="2" spans="1:16" x14ac:dyDescent="0.35">
      <c r="P2">
        <f ca="1">_xll.CB.RecalcCounterFN()</f>
        <v>2001</v>
      </c>
    </row>
    <row r="3" spans="1:16" x14ac:dyDescent="0.35">
      <c r="A3" t="s">
        <v>134</v>
      </c>
      <c r="B3" t="s">
        <v>135</v>
      </c>
      <c r="C3">
        <v>0</v>
      </c>
    </row>
    <row r="4" spans="1:16" x14ac:dyDescent="0.35">
      <c r="A4" t="s">
        <v>136</v>
      </c>
    </row>
    <row r="5" spans="1:16" x14ac:dyDescent="0.35">
      <c r="A5" t="s">
        <v>137</v>
      </c>
    </row>
    <row r="7" spans="1:16" x14ac:dyDescent="0.35">
      <c r="A7" s="71" t="s">
        <v>138</v>
      </c>
      <c r="B7" t="s">
        <v>139</v>
      </c>
    </row>
    <row r="8" spans="1:16" x14ac:dyDescent="0.35">
      <c r="B8">
        <v>2</v>
      </c>
    </row>
    <row r="10" spans="1:16" x14ac:dyDescent="0.35">
      <c r="A10" t="s">
        <v>140</v>
      </c>
    </row>
    <row r="11" spans="1:16" x14ac:dyDescent="0.35">
      <c r="A11" t="e">
        <f>CB_DATA_!#REF!</f>
        <v>#REF!</v>
      </c>
      <c r="B11" t="e">
        <f>Proforma!#REF!</f>
        <v>#REF!</v>
      </c>
    </row>
    <row r="13" spans="1:16" x14ac:dyDescent="0.35">
      <c r="A13" t="s">
        <v>141</v>
      </c>
    </row>
    <row r="14" spans="1:16" x14ac:dyDescent="0.35">
      <c r="A14" t="s">
        <v>145</v>
      </c>
      <c r="B14" t="s">
        <v>149</v>
      </c>
    </row>
    <row r="16" spans="1:16" x14ac:dyDescent="0.35">
      <c r="A16" t="s">
        <v>142</v>
      </c>
    </row>
    <row r="19" spans="1:2" x14ac:dyDescent="0.35">
      <c r="A19" t="s">
        <v>143</v>
      </c>
    </row>
    <row r="20" spans="1:2" x14ac:dyDescent="0.35">
      <c r="A20">
        <v>31</v>
      </c>
      <c r="B20">
        <v>31</v>
      </c>
    </row>
    <row r="25" spans="1:2" x14ac:dyDescent="0.35">
      <c r="A25" s="71" t="s">
        <v>144</v>
      </c>
    </row>
    <row r="26" spans="1:2" x14ac:dyDescent="0.35">
      <c r="A26" s="72" t="s">
        <v>146</v>
      </c>
      <c r="B26" s="72" t="s">
        <v>192</v>
      </c>
    </row>
    <row r="27" spans="1:2" x14ac:dyDescent="0.35">
      <c r="A27" t="s">
        <v>147</v>
      </c>
      <c r="B27" t="s">
        <v>195</v>
      </c>
    </row>
    <row r="28" spans="1:2" x14ac:dyDescent="0.35">
      <c r="A28" s="72" t="s">
        <v>148</v>
      </c>
      <c r="B28" s="72" t="s">
        <v>148</v>
      </c>
    </row>
    <row r="29" spans="1:2" x14ac:dyDescent="0.35">
      <c r="A29" s="72" t="s">
        <v>192</v>
      </c>
      <c r="B29" s="72" t="s">
        <v>146</v>
      </c>
    </row>
    <row r="30" spans="1:2" x14ac:dyDescent="0.35">
      <c r="A30" t="s">
        <v>194</v>
      </c>
      <c r="B30" t="s">
        <v>193</v>
      </c>
    </row>
    <row r="31" spans="1:2" x14ac:dyDescent="0.35">
      <c r="A31" s="72" t="s">
        <v>148</v>
      </c>
      <c r="B31" s="72"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851F2-57E9-40E5-83E0-95F8F9F66998}">
  <dimension ref="B1:AG96"/>
  <sheetViews>
    <sheetView topLeftCell="A37" zoomScale="70" zoomScaleNormal="70" workbookViewId="0">
      <selection activeCell="L18" sqref="L18"/>
    </sheetView>
  </sheetViews>
  <sheetFormatPr defaultRowHeight="16.5" x14ac:dyDescent="0.35"/>
  <cols>
    <col min="1" max="1" width="8.7265625" style="10"/>
    <col min="2" max="2" width="36.90625" style="10" bestFit="1" customWidth="1"/>
    <col min="3" max="7" width="9.7265625" style="10" bestFit="1" customWidth="1"/>
    <col min="8" max="8" width="8.7265625" style="10"/>
    <col min="9" max="9" width="15.36328125" style="10" bestFit="1" customWidth="1"/>
    <col min="10" max="11" width="8.7265625" style="10"/>
    <col min="12" max="12" width="36.90625" style="10" bestFit="1" customWidth="1"/>
    <col min="13" max="13" width="12.26953125" style="10" bestFit="1" customWidth="1"/>
    <col min="14" max="14" width="10.54296875" style="10" bestFit="1" customWidth="1"/>
    <col min="15" max="15" width="10.453125" style="10" bestFit="1" customWidth="1"/>
    <col min="16" max="17" width="11.81640625" style="10" bestFit="1" customWidth="1"/>
    <col min="18" max="18" width="9.1796875" style="142" bestFit="1" customWidth="1"/>
    <col min="19" max="21" width="8.7265625" style="10"/>
    <col min="22" max="33" width="9.1796875" style="10" bestFit="1" customWidth="1"/>
    <col min="34" max="16384" width="8.7265625" style="10"/>
  </cols>
  <sheetData>
    <row r="1" spans="2:18" ht="17" thickBot="1" x14ac:dyDescent="0.4"/>
    <row r="2" spans="2:18" ht="17" thickBot="1" x14ac:dyDescent="0.4">
      <c r="B2" s="105" t="s">
        <v>72</v>
      </c>
      <c r="C2" s="106"/>
      <c r="D2" s="106"/>
      <c r="E2" s="106"/>
      <c r="F2" s="106"/>
      <c r="G2" s="107"/>
      <c r="I2" s="105" t="s">
        <v>71</v>
      </c>
      <c r="J2" s="107"/>
      <c r="L2" s="105" t="s">
        <v>72</v>
      </c>
      <c r="M2" s="106"/>
      <c r="N2" s="106"/>
      <c r="O2" s="106"/>
      <c r="P2" s="106"/>
      <c r="Q2" s="106"/>
      <c r="R2" s="107"/>
    </row>
    <row r="3" spans="2:18" x14ac:dyDescent="0.35">
      <c r="B3" s="28"/>
      <c r="C3" s="36">
        <v>2014</v>
      </c>
      <c r="D3" s="36">
        <v>2015</v>
      </c>
      <c r="E3" s="36">
        <v>2016</v>
      </c>
      <c r="F3" s="36">
        <v>2017</v>
      </c>
      <c r="G3" s="37">
        <v>2018</v>
      </c>
      <c r="I3" s="28"/>
      <c r="J3" s="37"/>
      <c r="L3" s="28"/>
      <c r="M3" s="57">
        <v>2018</v>
      </c>
      <c r="N3" s="57">
        <v>2019</v>
      </c>
      <c r="O3" s="57">
        <v>2020</v>
      </c>
      <c r="P3" s="57">
        <v>2021</v>
      </c>
      <c r="Q3" s="57">
        <v>2022</v>
      </c>
      <c r="R3" s="58">
        <v>2023</v>
      </c>
    </row>
    <row r="4" spans="2:18" x14ac:dyDescent="0.35">
      <c r="B4" s="28" t="s">
        <v>76</v>
      </c>
      <c r="C4" s="29">
        <v>7435</v>
      </c>
      <c r="D4" s="29">
        <v>7493</v>
      </c>
      <c r="E4" s="29">
        <v>7515</v>
      </c>
      <c r="F4" s="29">
        <v>7709</v>
      </c>
      <c r="G4" s="30">
        <v>7531</v>
      </c>
      <c r="I4" s="28" t="s">
        <v>74</v>
      </c>
      <c r="J4" s="174">
        <v>2.1499999999999998E-2</v>
      </c>
      <c r="L4" s="28" t="s">
        <v>76</v>
      </c>
      <c r="M4" s="29">
        <v>7531</v>
      </c>
      <c r="N4" s="29">
        <f>M4*(1+$J$4)</f>
        <v>7692.9165000000003</v>
      </c>
      <c r="O4" s="29">
        <f t="shared" ref="O4:R4" si="0">N4*(1+$J$4)</f>
        <v>7858.3142047500005</v>
      </c>
      <c r="P4" s="29">
        <f t="shared" si="0"/>
        <v>8027.2679601521259</v>
      </c>
      <c r="Q4" s="29">
        <f t="shared" si="0"/>
        <v>8199.854221295398</v>
      </c>
      <c r="R4" s="30">
        <f t="shared" si="0"/>
        <v>8376.1510870532493</v>
      </c>
    </row>
    <row r="5" spans="2:18" x14ac:dyDescent="0.35">
      <c r="B5" s="28" t="s">
        <v>89</v>
      </c>
      <c r="C5" s="29">
        <v>-4417</v>
      </c>
      <c r="D5" s="29">
        <v>-4434</v>
      </c>
      <c r="E5" s="29">
        <v>-4439</v>
      </c>
      <c r="F5" s="29">
        <v>-4523</v>
      </c>
      <c r="G5" s="30">
        <v>-4707</v>
      </c>
      <c r="I5" s="28" t="s">
        <v>75</v>
      </c>
      <c r="J5" s="48">
        <v>0.59770000000000001</v>
      </c>
      <c r="L5" s="28" t="s">
        <v>89</v>
      </c>
      <c r="M5" s="29">
        <v>-4707</v>
      </c>
      <c r="N5" s="29">
        <f>-$J$5*N4</f>
        <v>-4598.0561920500004</v>
      </c>
      <c r="O5" s="29">
        <f t="shared" ref="O5:R5" si="1">-$J$5*O4</f>
        <v>-4696.9144001790755</v>
      </c>
      <c r="P5" s="29">
        <f t="shared" si="1"/>
        <v>-4797.8980597829259</v>
      </c>
      <c r="Q5" s="29">
        <f t="shared" si="1"/>
        <v>-4901.0528680682592</v>
      </c>
      <c r="R5" s="30">
        <f t="shared" si="1"/>
        <v>-5006.4255047317274</v>
      </c>
    </row>
    <row r="6" spans="2:18" x14ac:dyDescent="0.35">
      <c r="B6" s="28" t="s">
        <v>66</v>
      </c>
      <c r="C6" s="29">
        <v>-220</v>
      </c>
      <c r="D6" s="29">
        <v>-223</v>
      </c>
      <c r="E6" s="29">
        <v>-177</v>
      </c>
      <c r="F6" s="29">
        <v>-196</v>
      </c>
      <c r="G6" s="30">
        <v>-219</v>
      </c>
      <c r="I6" s="28" t="s">
        <v>77</v>
      </c>
      <c r="J6" s="51">
        <v>0.11</v>
      </c>
      <c r="L6" s="28" t="s">
        <v>66</v>
      </c>
      <c r="M6" s="29">
        <v>-219</v>
      </c>
      <c r="N6" s="29">
        <f>-$J$6*AVERAGE(M42:N42)</f>
        <v>-514.52728524999998</v>
      </c>
      <c r="O6" s="29">
        <f t="shared" ref="O6:R6" si="2">-$J$6*AVERAGE(N42:O42)</f>
        <v>-598.72238213287494</v>
      </c>
      <c r="P6" s="29">
        <f t="shared" si="2"/>
        <v>-611.59491334873189</v>
      </c>
      <c r="Q6" s="29">
        <f t="shared" si="2"/>
        <v>-624.74420398572954</v>
      </c>
      <c r="R6" s="30">
        <f t="shared" si="2"/>
        <v>-638.17620437142284</v>
      </c>
    </row>
    <row r="7" spans="2:18" x14ac:dyDescent="0.35">
      <c r="B7" s="28" t="s">
        <v>49</v>
      </c>
      <c r="C7" s="29">
        <f>SUM(C4:C6)</f>
        <v>2798</v>
      </c>
      <c r="D7" s="29">
        <f>SUM(D4:D6)</f>
        <v>2836</v>
      </c>
      <c r="E7" s="29">
        <f>SUM(E4:E6)</f>
        <v>2899</v>
      </c>
      <c r="F7" s="29">
        <f>SUM(F4:F6)</f>
        <v>2990</v>
      </c>
      <c r="G7" s="30">
        <f>SUM(G4:G6)</f>
        <v>2605</v>
      </c>
      <c r="I7" s="28"/>
      <c r="J7" s="37"/>
      <c r="L7" s="28" t="s">
        <v>49</v>
      </c>
      <c r="M7" s="29">
        <f>SUM(M4:M6)</f>
        <v>2605</v>
      </c>
      <c r="N7" s="29">
        <f>SUM(N4:N6)</f>
        <v>2580.3330226999997</v>
      </c>
      <c r="O7" s="29">
        <f t="shared" ref="O7:Q7" si="3">SUM(O4:O6)</f>
        <v>2562.6774224380501</v>
      </c>
      <c r="P7" s="29">
        <f t="shared" si="3"/>
        <v>2617.774987020468</v>
      </c>
      <c r="Q7" s="29">
        <f t="shared" si="3"/>
        <v>2674.0571492414092</v>
      </c>
      <c r="R7" s="30">
        <f t="shared" ref="R7" si="4">SUM(R4:R6)</f>
        <v>2731.5493779500989</v>
      </c>
    </row>
    <row r="8" spans="2:18" x14ac:dyDescent="0.35">
      <c r="B8" s="28"/>
      <c r="C8" s="29"/>
      <c r="D8" s="29"/>
      <c r="E8" s="29"/>
      <c r="F8" s="29"/>
      <c r="G8" s="30"/>
      <c r="I8" s="28"/>
      <c r="J8" s="37"/>
      <c r="L8" s="28"/>
      <c r="M8" s="29"/>
      <c r="N8" s="29"/>
      <c r="O8" s="29"/>
      <c r="P8" s="29"/>
      <c r="Q8" s="29"/>
      <c r="R8" s="30"/>
    </row>
    <row r="9" spans="2:18" x14ac:dyDescent="0.35">
      <c r="B9" s="59" t="s">
        <v>50</v>
      </c>
      <c r="C9" s="29"/>
      <c r="D9" s="29"/>
      <c r="E9" s="29"/>
      <c r="F9" s="29"/>
      <c r="G9" s="30"/>
      <c r="I9" s="28"/>
      <c r="J9" s="37"/>
      <c r="L9" s="59" t="s">
        <v>50</v>
      </c>
      <c r="M9" s="29"/>
      <c r="N9" s="29"/>
      <c r="O9" s="29"/>
      <c r="P9" s="29"/>
      <c r="Q9" s="29"/>
      <c r="R9" s="30"/>
    </row>
    <row r="10" spans="2:18" x14ac:dyDescent="0.35">
      <c r="B10" s="28" t="s">
        <v>51</v>
      </c>
      <c r="C10" s="29">
        <v>-1728</v>
      </c>
      <c r="D10" s="29">
        <v>-1679</v>
      </c>
      <c r="E10" s="29">
        <v>-1681</v>
      </c>
      <c r="F10" s="29">
        <v>-1750</v>
      </c>
      <c r="G10" s="30">
        <v>-1424</v>
      </c>
      <c r="I10" s="28" t="s">
        <v>75</v>
      </c>
      <c r="J10" s="174">
        <v>0.21929999999999999</v>
      </c>
      <c r="L10" s="28" t="s">
        <v>51</v>
      </c>
      <c r="M10" s="29">
        <v>-1424</v>
      </c>
      <c r="N10" s="29">
        <f>-$J$10*N4</f>
        <v>-1687.0565884499999</v>
      </c>
      <c r="O10" s="29">
        <f t="shared" ref="O10:Q10" si="5">-$J$10*O4</f>
        <v>-1723.3283051016751</v>
      </c>
      <c r="P10" s="29">
        <f t="shared" si="5"/>
        <v>-1760.3798636613612</v>
      </c>
      <c r="Q10" s="29">
        <f t="shared" si="5"/>
        <v>-1798.2280307300807</v>
      </c>
      <c r="R10" s="30">
        <f t="shared" ref="R10" si="6">-$J$10*R4</f>
        <v>-1836.8899333907775</v>
      </c>
    </row>
    <row r="11" spans="2:18" x14ac:dyDescent="0.35">
      <c r="B11" s="28" t="s">
        <v>52</v>
      </c>
      <c r="C11" s="29">
        <v>-87</v>
      </c>
      <c r="D11" s="29">
        <v>-92</v>
      </c>
      <c r="E11" s="29">
        <v>-59</v>
      </c>
      <c r="F11" s="29">
        <v>-75</v>
      </c>
      <c r="G11" s="30">
        <v>-76</v>
      </c>
      <c r="I11" s="28" t="s">
        <v>75</v>
      </c>
      <c r="J11" s="48">
        <v>1.03E-2</v>
      </c>
      <c r="L11" s="28" t="s">
        <v>52</v>
      </c>
      <c r="M11" s="29">
        <v>-76</v>
      </c>
      <c r="N11" s="29">
        <f>-$J$11*N4</f>
        <v>-79.23703995000001</v>
      </c>
      <c r="O11" s="29">
        <f t="shared" ref="O11:Q11" si="7">-$J$11*O4</f>
        <v>-80.940636308925008</v>
      </c>
      <c r="P11" s="29">
        <f t="shared" si="7"/>
        <v>-82.680859989566898</v>
      </c>
      <c r="Q11" s="29">
        <f t="shared" si="7"/>
        <v>-84.458498479342595</v>
      </c>
      <c r="R11" s="30">
        <f t="shared" ref="R11" si="8">-$J$11*R4</f>
        <v>-86.274356196648469</v>
      </c>
    </row>
    <row r="12" spans="2:18" x14ac:dyDescent="0.35">
      <c r="B12" s="28" t="s">
        <v>53</v>
      </c>
      <c r="C12" s="29">
        <f>SUM(C10:C11)</f>
        <v>-1815</v>
      </c>
      <c r="D12" s="29">
        <f t="shared" ref="D12:G12" si="9">SUM(D10:D11)</f>
        <v>-1771</v>
      </c>
      <c r="E12" s="29">
        <f t="shared" si="9"/>
        <v>-1740</v>
      </c>
      <c r="F12" s="29">
        <f t="shared" si="9"/>
        <v>-1825</v>
      </c>
      <c r="G12" s="30">
        <f t="shared" si="9"/>
        <v>-1500</v>
      </c>
      <c r="I12" s="28"/>
      <c r="J12" s="37"/>
      <c r="L12" s="28" t="s">
        <v>53</v>
      </c>
      <c r="M12" s="29">
        <f t="shared" ref="M12:N12" si="10">SUM(M10:M11)</f>
        <v>-1500</v>
      </c>
      <c r="N12" s="29">
        <f t="shared" si="10"/>
        <v>-1766.2936284</v>
      </c>
      <c r="O12" s="29">
        <f t="shared" ref="O12" si="11">SUM(O10:O11)</f>
        <v>-1804.2689414106001</v>
      </c>
      <c r="P12" s="29">
        <f t="shared" ref="P12" si="12">SUM(P10:P11)</f>
        <v>-1843.0607236509281</v>
      </c>
      <c r="Q12" s="29">
        <f t="shared" ref="Q12:R12" si="13">SUM(Q10:Q11)</f>
        <v>-1882.6865292094233</v>
      </c>
      <c r="R12" s="30">
        <f t="shared" si="13"/>
        <v>-1923.1642895874261</v>
      </c>
    </row>
    <row r="13" spans="2:18" x14ac:dyDescent="0.35">
      <c r="B13" s="28"/>
      <c r="C13" s="29"/>
      <c r="D13" s="29"/>
      <c r="E13" s="29"/>
      <c r="F13" s="29"/>
      <c r="G13" s="30"/>
      <c r="I13" s="28"/>
      <c r="J13" s="37"/>
      <c r="L13" s="28"/>
      <c r="M13" s="29"/>
      <c r="N13" s="29"/>
      <c r="O13" s="29"/>
      <c r="P13" s="29"/>
      <c r="Q13" s="29"/>
      <c r="R13" s="30"/>
    </row>
    <row r="14" spans="2:18" x14ac:dyDescent="0.35">
      <c r="B14" s="28" t="s">
        <v>54</v>
      </c>
      <c r="C14" s="29">
        <v>983</v>
      </c>
      <c r="D14" s="29">
        <v>1065</v>
      </c>
      <c r="E14" s="29">
        <v>1159</v>
      </c>
      <c r="F14" s="29">
        <v>1165</v>
      </c>
      <c r="G14" s="30">
        <v>1105</v>
      </c>
      <c r="I14" s="28"/>
      <c r="J14" s="48"/>
      <c r="L14" s="28" t="s">
        <v>54</v>
      </c>
      <c r="M14" s="29">
        <f>M7+M12</f>
        <v>1105</v>
      </c>
      <c r="N14" s="29">
        <f t="shared" ref="N14:Q14" si="14">N7+N12</f>
        <v>814.03939429999969</v>
      </c>
      <c r="O14" s="29">
        <f t="shared" si="14"/>
        <v>758.40848102745008</v>
      </c>
      <c r="P14" s="29">
        <f t="shared" si="14"/>
        <v>774.71426336953982</v>
      </c>
      <c r="Q14" s="29">
        <f t="shared" si="14"/>
        <v>791.37062003198594</v>
      </c>
      <c r="R14" s="30">
        <f t="shared" ref="R14" si="15">R7+R12</f>
        <v>808.38508836267283</v>
      </c>
    </row>
    <row r="15" spans="2:18" x14ac:dyDescent="0.35">
      <c r="B15" s="28" t="s">
        <v>55</v>
      </c>
      <c r="C15" s="29">
        <v>-167</v>
      </c>
      <c r="D15" s="29">
        <v>-154</v>
      </c>
      <c r="E15" s="29">
        <v>-144</v>
      </c>
      <c r="F15" s="29">
        <v>-153</v>
      </c>
      <c r="G15" s="30">
        <v>-169</v>
      </c>
      <c r="I15" s="28" t="s">
        <v>78</v>
      </c>
      <c r="J15" s="48">
        <v>4.1399999999999999E-2</v>
      </c>
      <c r="L15" s="28" t="s">
        <v>55</v>
      </c>
      <c r="M15" s="29">
        <v>-169</v>
      </c>
      <c r="N15" s="29">
        <f ca="1">-$J$15*(SUM(M55,M59)+SUM(N55,N59))/2</f>
        <v>-172.06082951146726</v>
      </c>
      <c r="O15" s="29">
        <f t="shared" ref="O15:R15" ca="1" si="16">-$J$15*(SUM(N55,N59)+SUM(O55,O59))/2</f>
        <v>-163.28439353005925</v>
      </c>
      <c r="P15" s="29">
        <f t="shared" ca="1" si="16"/>
        <v>-122.88327370295571</v>
      </c>
      <c r="Q15" s="29">
        <f t="shared" ca="1" si="16"/>
        <v>-93.662789684363744</v>
      </c>
      <c r="R15" s="30">
        <f t="shared" ca="1" si="16"/>
        <v>-78.078329999999994</v>
      </c>
    </row>
    <row r="16" spans="2:18" x14ac:dyDescent="0.35">
      <c r="B16" s="28" t="s">
        <v>67</v>
      </c>
      <c r="C16" s="29">
        <v>3</v>
      </c>
      <c r="D16" s="29">
        <v>1</v>
      </c>
      <c r="E16" s="29">
        <v>1</v>
      </c>
      <c r="F16" s="29">
        <v>2</v>
      </c>
      <c r="G16" s="30">
        <v>2</v>
      </c>
      <c r="I16" s="28" t="s">
        <v>79</v>
      </c>
      <c r="J16" s="48">
        <v>1.11E-2</v>
      </c>
      <c r="L16" s="28" t="s">
        <v>67</v>
      </c>
      <c r="M16" s="29">
        <v>2</v>
      </c>
      <c r="N16" s="29">
        <f ca="1">$J$16*AVERAGE(M33:N33)</f>
        <v>1.8592500000000001</v>
      </c>
      <c r="O16" s="29">
        <f t="shared" ref="O16:R16" ca="1" si="17">$J$16*AVERAGE(N33:O33)</f>
        <v>2.2200000000000002</v>
      </c>
      <c r="P16" s="29">
        <f t="shared" ca="1" si="17"/>
        <v>2.2200000000000002</v>
      </c>
      <c r="Q16" s="29">
        <f t="shared" ca="1" si="17"/>
        <v>5.7626936734405652</v>
      </c>
      <c r="R16" s="30">
        <f t="shared" ca="1" si="17"/>
        <v>13.444856482114346</v>
      </c>
    </row>
    <row r="17" spans="2:18" x14ac:dyDescent="0.35">
      <c r="B17" s="28" t="s">
        <v>56</v>
      </c>
      <c r="C17" s="29">
        <v>30</v>
      </c>
      <c r="D17" s="29">
        <v>191</v>
      </c>
      <c r="E17" s="29">
        <v>70</v>
      </c>
      <c r="F17" s="29">
        <v>16</v>
      </c>
      <c r="G17" s="30">
        <v>-8</v>
      </c>
      <c r="I17" s="28" t="s">
        <v>81</v>
      </c>
      <c r="J17" s="60">
        <f>AVERAGE(C17:G17)</f>
        <v>59.8</v>
      </c>
      <c r="L17" s="28" t="s">
        <v>56</v>
      </c>
      <c r="M17" s="29">
        <v>-8</v>
      </c>
      <c r="N17" s="29">
        <f>$J$17</f>
        <v>59.8</v>
      </c>
      <c r="O17" s="29">
        <f t="shared" ref="O17:R17" si="18">$J$17</f>
        <v>59.8</v>
      </c>
      <c r="P17" s="29">
        <f t="shared" si="18"/>
        <v>59.8</v>
      </c>
      <c r="Q17" s="29">
        <f t="shared" si="18"/>
        <v>59.8</v>
      </c>
      <c r="R17" s="30">
        <f t="shared" si="18"/>
        <v>59.8</v>
      </c>
    </row>
    <row r="18" spans="2:18" x14ac:dyDescent="0.35">
      <c r="B18" s="28" t="s">
        <v>57</v>
      </c>
      <c r="C18" s="29">
        <f>SUM(C14:C17)</f>
        <v>849</v>
      </c>
      <c r="D18" s="29">
        <f t="shared" ref="D18:G18" si="19">SUM(D14:D17)</f>
        <v>1103</v>
      </c>
      <c r="E18" s="29">
        <f t="shared" si="19"/>
        <v>1086</v>
      </c>
      <c r="F18" s="29">
        <f t="shared" si="19"/>
        <v>1030</v>
      </c>
      <c r="G18" s="30">
        <f t="shared" si="19"/>
        <v>930</v>
      </c>
      <c r="I18" s="28"/>
      <c r="J18" s="37"/>
      <c r="L18" s="28" t="s">
        <v>57</v>
      </c>
      <c r="M18" s="29">
        <f t="shared" ref="M18:N18" si="20">SUM(M14:M17)</f>
        <v>930</v>
      </c>
      <c r="N18" s="29">
        <f t="shared" ca="1" si="20"/>
        <v>703.6378147885323</v>
      </c>
      <c r="O18" s="29">
        <f t="shared" ref="O18" ca="1" si="21">SUM(O14:O17)</f>
        <v>657.14408749739084</v>
      </c>
      <c r="P18" s="29">
        <f t="shared" ref="P18" ca="1" si="22">SUM(P14:P17)</f>
        <v>713.85098966658416</v>
      </c>
      <c r="Q18" s="29">
        <f t="shared" ref="Q18:R18" ca="1" si="23">SUM(Q14:Q17)</f>
        <v>763.27052402106278</v>
      </c>
      <c r="R18" s="30">
        <f t="shared" ca="1" si="23"/>
        <v>803.55161484478708</v>
      </c>
    </row>
    <row r="19" spans="2:18" x14ac:dyDescent="0.35">
      <c r="B19" s="28"/>
      <c r="C19" s="29"/>
      <c r="D19" s="29"/>
      <c r="E19" s="29"/>
      <c r="F19" s="29"/>
      <c r="G19" s="30"/>
      <c r="I19" s="28"/>
      <c r="J19" s="37"/>
      <c r="L19" s="28"/>
      <c r="M19" s="29"/>
      <c r="N19" s="29"/>
      <c r="O19" s="29"/>
      <c r="P19" s="29"/>
      <c r="Q19" s="29"/>
      <c r="R19" s="30"/>
    </row>
    <row r="20" spans="2:18" x14ac:dyDescent="0.35">
      <c r="B20" s="28" t="s">
        <v>58</v>
      </c>
      <c r="C20" s="29">
        <v>-262</v>
      </c>
      <c r="D20" s="29">
        <v>-373</v>
      </c>
      <c r="E20" s="29">
        <v>-429</v>
      </c>
      <c r="F20" s="29">
        <v>-241</v>
      </c>
      <c r="G20" s="30">
        <v>-182</v>
      </c>
      <c r="I20" s="28" t="s">
        <v>80</v>
      </c>
      <c r="J20" s="48">
        <v>0.29430000000000001</v>
      </c>
      <c r="L20" s="28" t="s">
        <v>58</v>
      </c>
      <c r="M20" s="29">
        <v>-182</v>
      </c>
      <c r="N20" s="29">
        <f ca="1">-$J$20*N18</f>
        <v>-207.08060889226505</v>
      </c>
      <c r="O20" s="29">
        <f t="shared" ref="O20:Q20" ca="1" si="24">-$J$20*O18</f>
        <v>-193.39750495048213</v>
      </c>
      <c r="P20" s="29">
        <f t="shared" ca="1" si="24"/>
        <v>-210.08634625887572</v>
      </c>
      <c r="Q20" s="29">
        <f t="shared" ca="1" si="24"/>
        <v>-224.63051521939877</v>
      </c>
      <c r="R20" s="30">
        <f t="shared" ref="R20" ca="1" si="25">-$J$20*R18</f>
        <v>-236.48524024882084</v>
      </c>
    </row>
    <row r="21" spans="2:18" x14ac:dyDescent="0.35">
      <c r="B21" s="28" t="s">
        <v>59</v>
      </c>
      <c r="C21" s="29">
        <v>0</v>
      </c>
      <c r="D21" s="29">
        <v>23</v>
      </c>
      <c r="E21" s="29">
        <v>39</v>
      </c>
      <c r="F21" s="29">
        <v>35</v>
      </c>
      <c r="G21" s="30">
        <v>44</v>
      </c>
      <c r="I21" s="28" t="s">
        <v>75</v>
      </c>
      <c r="J21" s="48">
        <v>4.7000000000000002E-3</v>
      </c>
      <c r="L21" s="28" t="s">
        <v>59</v>
      </c>
      <c r="M21" s="29">
        <v>44</v>
      </c>
      <c r="N21" s="29">
        <f>$J$21*N4</f>
        <v>36.15670755</v>
      </c>
      <c r="O21" s="29">
        <f t="shared" ref="O21:Q21" si="26">$J$21*O4</f>
        <v>36.934076762325006</v>
      </c>
      <c r="P21" s="29">
        <f t="shared" si="26"/>
        <v>37.728159412714994</v>
      </c>
      <c r="Q21" s="29">
        <f t="shared" si="26"/>
        <v>38.539314840088373</v>
      </c>
      <c r="R21" s="30">
        <f t="shared" ref="R21" si="27">$J$21*R4</f>
        <v>39.367910109150273</v>
      </c>
    </row>
    <row r="22" spans="2:18" x14ac:dyDescent="0.35">
      <c r="B22" s="28" t="s">
        <v>60</v>
      </c>
      <c r="C22" s="29">
        <f>C18+SUM(C20:C21)</f>
        <v>587</v>
      </c>
      <c r="D22" s="29">
        <f>D18+SUM(D20:D21)</f>
        <v>753</v>
      </c>
      <c r="E22" s="29">
        <f t="shared" ref="E22:G22" si="28">E18+SUM(E20:E21)</f>
        <v>696</v>
      </c>
      <c r="F22" s="29">
        <f t="shared" si="28"/>
        <v>824</v>
      </c>
      <c r="G22" s="30">
        <f t="shared" si="28"/>
        <v>792</v>
      </c>
      <c r="I22" s="28"/>
      <c r="J22" s="60"/>
      <c r="L22" s="28" t="s">
        <v>60</v>
      </c>
      <c r="M22" s="29">
        <f t="shared" ref="M22" si="29">M18+SUM(M20:M21)</f>
        <v>792</v>
      </c>
      <c r="N22" s="29">
        <f t="shared" ref="N22" ca="1" si="30">N18+SUM(N20:N21)</f>
        <v>532.71391344626727</v>
      </c>
      <c r="O22" s="29">
        <f t="shared" ref="O22" ca="1" si="31">O18+SUM(O20:O21)</f>
        <v>500.6806593092337</v>
      </c>
      <c r="P22" s="29">
        <f t="shared" ref="P22" ca="1" si="32">P18+SUM(P20:P21)</f>
        <v>541.49280282042344</v>
      </c>
      <c r="Q22" s="29">
        <f t="shared" ref="Q22:R22" ca="1" si="33">Q18+SUM(Q20:Q21)</f>
        <v>577.17932364175238</v>
      </c>
      <c r="R22" s="30">
        <f t="shared" ca="1" si="33"/>
        <v>606.43428470511651</v>
      </c>
    </row>
    <row r="23" spans="2:18" x14ac:dyDescent="0.35">
      <c r="B23" s="28" t="s">
        <v>61</v>
      </c>
      <c r="C23" s="29">
        <v>5</v>
      </c>
      <c r="D23" s="29">
        <v>0</v>
      </c>
      <c r="E23" s="29">
        <v>0</v>
      </c>
      <c r="F23" s="29">
        <v>0</v>
      </c>
      <c r="G23" s="30">
        <v>0</v>
      </c>
      <c r="I23" s="28" t="s">
        <v>81</v>
      </c>
      <c r="J23" s="61">
        <v>0</v>
      </c>
      <c r="L23" s="28" t="s">
        <v>61</v>
      </c>
      <c r="M23" s="29">
        <v>0</v>
      </c>
      <c r="N23" s="29">
        <f>$J$23</f>
        <v>0</v>
      </c>
      <c r="O23" s="29">
        <f t="shared" ref="O23:R23" si="34">$J$23</f>
        <v>0</v>
      </c>
      <c r="P23" s="29">
        <f t="shared" si="34"/>
        <v>0</v>
      </c>
      <c r="Q23" s="29">
        <f t="shared" si="34"/>
        <v>0</v>
      </c>
      <c r="R23" s="30">
        <f t="shared" si="34"/>
        <v>0</v>
      </c>
    </row>
    <row r="24" spans="2:18" x14ac:dyDescent="0.35">
      <c r="B24" s="28" t="s">
        <v>62</v>
      </c>
      <c r="C24" s="29">
        <v>-36</v>
      </c>
      <c r="D24" s="29">
        <v>-44</v>
      </c>
      <c r="E24" s="29">
        <v>-51</v>
      </c>
      <c r="F24" s="29">
        <v>-52</v>
      </c>
      <c r="G24" s="30">
        <v>-52</v>
      </c>
      <c r="I24" s="28" t="s">
        <v>81</v>
      </c>
      <c r="J24" s="60">
        <f>AVERAGE(C24:G24)</f>
        <v>-47</v>
      </c>
      <c r="L24" s="28" t="s">
        <v>62</v>
      </c>
      <c r="M24" s="29">
        <v>-52</v>
      </c>
      <c r="N24" s="29">
        <f>$J$24</f>
        <v>-47</v>
      </c>
      <c r="O24" s="29">
        <f t="shared" ref="O24:R24" si="35">$J$24</f>
        <v>-47</v>
      </c>
      <c r="P24" s="29">
        <f t="shared" si="35"/>
        <v>-47</v>
      </c>
      <c r="Q24" s="29">
        <f t="shared" si="35"/>
        <v>-47</v>
      </c>
      <c r="R24" s="30">
        <f t="shared" si="35"/>
        <v>-47</v>
      </c>
    </row>
    <row r="25" spans="2:18" x14ac:dyDescent="0.35">
      <c r="B25" s="28" t="s">
        <v>63</v>
      </c>
      <c r="C25" s="29">
        <f>SUM(C22:C24)</f>
        <v>556</v>
      </c>
      <c r="D25" s="29">
        <f>SUM(D22:D24)</f>
        <v>709</v>
      </c>
      <c r="E25" s="29">
        <f t="shared" ref="E25:G25" si="36">SUM(E22:E24)</f>
        <v>645</v>
      </c>
      <c r="F25" s="29">
        <f t="shared" si="36"/>
        <v>772</v>
      </c>
      <c r="G25" s="30">
        <f t="shared" si="36"/>
        <v>740</v>
      </c>
      <c r="I25" s="28"/>
      <c r="J25" s="37"/>
      <c r="L25" s="28" t="s">
        <v>63</v>
      </c>
      <c r="M25" s="29">
        <f t="shared" ref="M25:N25" si="37">SUM(M22:M24)</f>
        <v>740</v>
      </c>
      <c r="N25" s="29">
        <f t="shared" ca="1" si="37"/>
        <v>485.71391344626727</v>
      </c>
      <c r="O25" s="29">
        <f t="shared" ref="O25" ca="1" si="38">SUM(O22:O24)</f>
        <v>453.6806593092337</v>
      </c>
      <c r="P25" s="29">
        <f t="shared" ref="P25" ca="1" si="39">SUM(P22:P24)</f>
        <v>494.49280282042344</v>
      </c>
      <c r="Q25" s="29">
        <f t="shared" ref="Q25:R25" ca="1" si="40">SUM(Q22:Q24)</f>
        <v>530.17932364175238</v>
      </c>
      <c r="R25" s="30">
        <f t="shared" ca="1" si="40"/>
        <v>559.43428470511651</v>
      </c>
    </row>
    <row r="26" spans="2:18" x14ac:dyDescent="0.35">
      <c r="B26" s="28" t="s">
        <v>64</v>
      </c>
      <c r="C26" s="29">
        <v>-2</v>
      </c>
      <c r="D26" s="29">
        <v>-3</v>
      </c>
      <c r="E26" s="29">
        <v>-3</v>
      </c>
      <c r="F26" s="29">
        <v>-3</v>
      </c>
      <c r="G26" s="30">
        <v>-3</v>
      </c>
      <c r="I26" s="28" t="s">
        <v>81</v>
      </c>
      <c r="J26" s="60">
        <f>AVERAGE(C26:G26)</f>
        <v>-2.8</v>
      </c>
      <c r="L26" s="28" t="s">
        <v>64</v>
      </c>
      <c r="M26" s="29">
        <v>-3</v>
      </c>
      <c r="N26" s="29">
        <f>$J$26</f>
        <v>-2.8</v>
      </c>
      <c r="O26" s="29">
        <f t="shared" ref="O26:R26" si="41">$J$26</f>
        <v>-2.8</v>
      </c>
      <c r="P26" s="29">
        <f t="shared" si="41"/>
        <v>-2.8</v>
      </c>
      <c r="Q26" s="29">
        <f t="shared" si="41"/>
        <v>-2.8</v>
      </c>
      <c r="R26" s="30">
        <f t="shared" si="41"/>
        <v>-2.8</v>
      </c>
    </row>
    <row r="27" spans="2:18" ht="17" thickBot="1" x14ac:dyDescent="0.4">
      <c r="B27" s="31" t="s">
        <v>70</v>
      </c>
      <c r="C27" s="32">
        <f>SUM(C25:C26)</f>
        <v>554</v>
      </c>
      <c r="D27" s="32">
        <f t="shared" ref="D27:G27" si="42">SUM(D25:D26)</f>
        <v>706</v>
      </c>
      <c r="E27" s="32">
        <f t="shared" si="42"/>
        <v>642</v>
      </c>
      <c r="F27" s="32">
        <f t="shared" si="42"/>
        <v>769</v>
      </c>
      <c r="G27" s="33">
        <f t="shared" si="42"/>
        <v>737</v>
      </c>
      <c r="I27" s="28"/>
      <c r="J27" s="37"/>
      <c r="L27" s="31" t="s">
        <v>70</v>
      </c>
      <c r="M27" s="32">
        <f>SUM(M25:M26)</f>
        <v>737</v>
      </c>
      <c r="N27" s="32">
        <f ca="1">SUM(N25:N26)</f>
        <v>482.91391344626726</v>
      </c>
      <c r="O27" s="32">
        <f t="shared" ref="O27:Q27" ca="1" si="43">SUM(O25:O26)</f>
        <v>450.88065930923369</v>
      </c>
      <c r="P27" s="32">
        <f t="shared" ca="1" si="43"/>
        <v>491.69280282042342</v>
      </c>
      <c r="Q27" s="32">
        <f t="shared" ca="1" si="43"/>
        <v>527.37932364175242</v>
      </c>
      <c r="R27" s="33">
        <f t="shared" ref="R27" ca="1" si="44">SUM(R25:R26)</f>
        <v>556.63428470511656</v>
      </c>
    </row>
    <row r="28" spans="2:18" ht="17" thickBot="1" x14ac:dyDescent="0.4">
      <c r="I28" s="28"/>
      <c r="J28" s="37"/>
      <c r="L28" s="36"/>
      <c r="M28" s="36"/>
      <c r="N28" s="36"/>
      <c r="O28" s="36"/>
      <c r="P28" s="36"/>
      <c r="Q28" s="36"/>
    </row>
    <row r="29" spans="2:18" ht="17" thickBot="1" x14ac:dyDescent="0.4">
      <c r="B29" s="105" t="s">
        <v>73</v>
      </c>
      <c r="C29" s="106"/>
      <c r="D29" s="106"/>
      <c r="E29" s="106"/>
      <c r="F29" s="106"/>
      <c r="G29" s="107"/>
      <c r="I29" s="28"/>
      <c r="J29" s="37"/>
      <c r="L29" s="105" t="s">
        <v>73</v>
      </c>
      <c r="M29" s="106"/>
      <c r="N29" s="106"/>
      <c r="O29" s="106"/>
      <c r="P29" s="106"/>
      <c r="Q29" s="106"/>
      <c r="R29" s="107"/>
    </row>
    <row r="30" spans="2:18" x14ac:dyDescent="0.35">
      <c r="B30" s="28"/>
      <c r="C30" s="36">
        <v>2014</v>
      </c>
      <c r="D30" s="36">
        <v>2015</v>
      </c>
      <c r="E30" s="36">
        <v>2016</v>
      </c>
      <c r="F30" s="36">
        <v>2017</v>
      </c>
      <c r="G30" s="37">
        <v>2018</v>
      </c>
      <c r="I30" s="28"/>
      <c r="J30" s="37"/>
      <c r="L30" s="28"/>
      <c r="M30" s="57">
        <v>2018</v>
      </c>
      <c r="N30" s="57">
        <v>2019</v>
      </c>
      <c r="O30" s="57">
        <v>2020</v>
      </c>
      <c r="P30" s="57">
        <v>2021</v>
      </c>
      <c r="Q30" s="57">
        <v>2022</v>
      </c>
      <c r="R30" s="147">
        <v>2023</v>
      </c>
    </row>
    <row r="31" spans="2:18" x14ac:dyDescent="0.35">
      <c r="B31" s="59" t="s">
        <v>5</v>
      </c>
      <c r="C31" s="36"/>
      <c r="D31" s="36"/>
      <c r="E31" s="36"/>
      <c r="F31" s="36"/>
      <c r="G31" s="37"/>
      <c r="I31" s="28"/>
      <c r="J31" s="37"/>
      <c r="L31" s="59" t="s">
        <v>5</v>
      </c>
      <c r="M31" s="36"/>
      <c r="N31" s="36"/>
      <c r="O31" s="36"/>
      <c r="P31" s="36"/>
      <c r="Q31" s="36"/>
      <c r="R31" s="30"/>
    </row>
    <row r="32" spans="2:18" x14ac:dyDescent="0.35">
      <c r="B32" s="59" t="s">
        <v>6</v>
      </c>
      <c r="C32" s="36"/>
      <c r="D32" s="36"/>
      <c r="E32" s="36"/>
      <c r="F32" s="36"/>
      <c r="G32" s="37"/>
      <c r="I32" s="28"/>
      <c r="J32" s="37"/>
      <c r="L32" s="59" t="s">
        <v>6</v>
      </c>
      <c r="M32" s="36"/>
      <c r="N32" s="36"/>
      <c r="O32" s="36"/>
      <c r="P32" s="36"/>
      <c r="Q32" s="36"/>
      <c r="R32" s="30"/>
    </row>
    <row r="33" spans="2:18" x14ac:dyDescent="0.35">
      <c r="B33" s="28" t="s">
        <v>7</v>
      </c>
      <c r="C33" s="29">
        <v>192</v>
      </c>
      <c r="D33" s="29">
        <v>133</v>
      </c>
      <c r="E33" s="29">
        <v>359</v>
      </c>
      <c r="F33" s="29">
        <v>137</v>
      </c>
      <c r="G33" s="30">
        <v>135</v>
      </c>
      <c r="I33" s="62" t="s">
        <v>82</v>
      </c>
      <c r="J33" s="63" t="s">
        <v>115</v>
      </c>
      <c r="L33" s="62" t="s">
        <v>7</v>
      </c>
      <c r="M33" s="64">
        <v>135</v>
      </c>
      <c r="N33" s="64">
        <f ca="1">IF(N74&lt;-200,-N74,200)</f>
        <v>200</v>
      </c>
      <c r="O33" s="64">
        <f t="shared" ref="O33:Q33" ca="1" si="45">IF(O74&lt;-200,-O74,200)</f>
        <v>200</v>
      </c>
      <c r="P33" s="64">
        <f t="shared" ca="1" si="45"/>
        <v>200</v>
      </c>
      <c r="Q33" s="64">
        <f t="shared" ca="1" si="45"/>
        <v>838.32318440370545</v>
      </c>
      <c r="R33" s="65">
        <f t="shared" ref="R33" ca="1" si="46">IF(R74&lt;-200,-R74,200)</f>
        <v>1584.1734790403207</v>
      </c>
    </row>
    <row r="34" spans="2:18" x14ac:dyDescent="0.35">
      <c r="B34" s="28" t="s">
        <v>8</v>
      </c>
      <c r="C34" s="29">
        <v>932</v>
      </c>
      <c r="D34" s="29">
        <v>901</v>
      </c>
      <c r="E34" s="29">
        <v>926</v>
      </c>
      <c r="F34" s="29">
        <v>924</v>
      </c>
      <c r="G34" s="30">
        <v>1012</v>
      </c>
      <c r="I34" s="28" t="s">
        <v>75</v>
      </c>
      <c r="J34" s="174">
        <v>0.1246</v>
      </c>
      <c r="L34" s="28" t="s">
        <v>8</v>
      </c>
      <c r="M34" s="29">
        <v>1012</v>
      </c>
      <c r="N34" s="29">
        <f>$J$34*N4</f>
        <v>958.53739590000009</v>
      </c>
      <c r="O34" s="29">
        <f t="shared" ref="O34:Q34" si="47">$J$34*O4</f>
        <v>979.14594991185004</v>
      </c>
      <c r="P34" s="29">
        <f t="shared" si="47"/>
        <v>1000.1975878349549</v>
      </c>
      <c r="Q34" s="29">
        <f t="shared" si="47"/>
        <v>1021.7018359734066</v>
      </c>
      <c r="R34" s="30">
        <f t="shared" ref="R34" si="48">$J$34*R4</f>
        <v>1043.6684254468348</v>
      </c>
    </row>
    <row r="35" spans="2:18" x14ac:dyDescent="0.35">
      <c r="B35" s="28" t="s">
        <v>9</v>
      </c>
      <c r="C35" s="29">
        <v>110</v>
      </c>
      <c r="D35" s="29">
        <v>84</v>
      </c>
      <c r="E35" s="29">
        <v>82</v>
      </c>
      <c r="F35" s="29">
        <v>95</v>
      </c>
      <c r="G35" s="30">
        <v>99</v>
      </c>
      <c r="I35" s="28" t="s">
        <v>75</v>
      </c>
      <c r="J35" s="174">
        <v>1.2500000000000001E-2</v>
      </c>
      <c r="L35" s="28" t="s">
        <v>9</v>
      </c>
      <c r="M35" s="29">
        <v>99</v>
      </c>
      <c r="N35" s="29">
        <f>$J$35*N4</f>
        <v>96.161456250000015</v>
      </c>
      <c r="O35" s="29">
        <f t="shared" ref="O35:Q35" si="49">$J$35*O4</f>
        <v>98.228927559375009</v>
      </c>
      <c r="P35" s="29">
        <f t="shared" si="49"/>
        <v>100.34084950190157</v>
      </c>
      <c r="Q35" s="29">
        <f t="shared" si="49"/>
        <v>102.49817776619248</v>
      </c>
      <c r="R35" s="30">
        <f t="shared" ref="R35" si="50">$J$35*R4</f>
        <v>104.70188858816562</v>
      </c>
    </row>
    <row r="36" spans="2:18" x14ac:dyDescent="0.35">
      <c r="B36" s="28" t="s">
        <v>10</v>
      </c>
      <c r="C36" s="29">
        <v>169</v>
      </c>
      <c r="D36" s="29">
        <v>0</v>
      </c>
      <c r="E36" s="29">
        <v>0</v>
      </c>
      <c r="F36" s="29">
        <v>0</v>
      </c>
      <c r="G36" s="30">
        <v>0</v>
      </c>
      <c r="I36" s="28" t="s">
        <v>81</v>
      </c>
      <c r="J36" s="37">
        <v>0</v>
      </c>
      <c r="L36" s="28" t="s">
        <v>10</v>
      </c>
      <c r="M36" s="29">
        <v>0</v>
      </c>
      <c r="N36" s="29">
        <f>$J$36</f>
        <v>0</v>
      </c>
      <c r="O36" s="29">
        <f t="shared" ref="O36:R36" si="51">$J$36</f>
        <v>0</v>
      </c>
      <c r="P36" s="29">
        <f t="shared" si="51"/>
        <v>0</v>
      </c>
      <c r="Q36" s="29">
        <f t="shared" si="51"/>
        <v>0</v>
      </c>
      <c r="R36" s="30">
        <f t="shared" si="51"/>
        <v>0</v>
      </c>
    </row>
    <row r="37" spans="2:18" x14ac:dyDescent="0.35">
      <c r="B37" s="28" t="s">
        <v>11</v>
      </c>
      <c r="C37" s="29">
        <v>200</v>
      </c>
      <c r="D37" s="29">
        <v>207</v>
      </c>
      <c r="E37" s="29">
        <v>155</v>
      </c>
      <c r="F37" s="29">
        <v>150</v>
      </c>
      <c r="G37" s="30">
        <v>144</v>
      </c>
      <c r="I37" s="28" t="s">
        <v>81</v>
      </c>
      <c r="J37" s="60">
        <f>G37</f>
        <v>144</v>
      </c>
      <c r="L37" s="28" t="s">
        <v>11</v>
      </c>
      <c r="M37" s="29">
        <v>144</v>
      </c>
      <c r="N37" s="29">
        <f>$J$37</f>
        <v>144</v>
      </c>
      <c r="O37" s="29">
        <f t="shared" ref="O37:R37" si="52">$J$37</f>
        <v>144</v>
      </c>
      <c r="P37" s="29">
        <f t="shared" si="52"/>
        <v>144</v>
      </c>
      <c r="Q37" s="29">
        <f t="shared" si="52"/>
        <v>144</v>
      </c>
      <c r="R37" s="30">
        <f t="shared" si="52"/>
        <v>144</v>
      </c>
    </row>
    <row r="38" spans="2:18" x14ac:dyDescent="0.35">
      <c r="B38" s="28" t="s">
        <v>12</v>
      </c>
      <c r="C38" s="29">
        <v>0</v>
      </c>
      <c r="D38" s="29">
        <v>176</v>
      </c>
      <c r="E38" s="29">
        <v>9</v>
      </c>
      <c r="F38" s="29">
        <v>0</v>
      </c>
      <c r="G38" s="30">
        <v>0</v>
      </c>
      <c r="I38" s="28" t="s">
        <v>81</v>
      </c>
      <c r="J38" s="37">
        <v>0</v>
      </c>
      <c r="L38" s="28" t="s">
        <v>12</v>
      </c>
      <c r="M38" s="29">
        <v>0</v>
      </c>
      <c r="N38" s="29">
        <f>$J$38</f>
        <v>0</v>
      </c>
      <c r="O38" s="29">
        <f t="shared" ref="O38:R38" si="53">$J$38</f>
        <v>0</v>
      </c>
      <c r="P38" s="29">
        <f t="shared" si="53"/>
        <v>0</v>
      </c>
      <c r="Q38" s="29">
        <f t="shared" si="53"/>
        <v>0</v>
      </c>
      <c r="R38" s="30">
        <f t="shared" si="53"/>
        <v>0</v>
      </c>
    </row>
    <row r="39" spans="2:18" x14ac:dyDescent="0.35">
      <c r="B39" s="28" t="s">
        <v>13</v>
      </c>
      <c r="C39" s="29">
        <f>SUM(C33:C38)</f>
        <v>1603</v>
      </c>
      <c r="D39" s="29">
        <f t="shared" ref="D39:G39" si="54">SUM(D33:D38)</f>
        <v>1501</v>
      </c>
      <c r="E39" s="29">
        <f t="shared" si="54"/>
        <v>1531</v>
      </c>
      <c r="F39" s="29">
        <f t="shared" si="54"/>
        <v>1306</v>
      </c>
      <c r="G39" s="30">
        <f t="shared" si="54"/>
        <v>1390</v>
      </c>
      <c r="I39" s="28"/>
      <c r="J39" s="37"/>
      <c r="L39" s="28" t="s">
        <v>13</v>
      </c>
      <c r="M39" s="29">
        <f t="shared" ref="M39:N39" si="55">SUM(M33:M38)</f>
        <v>1390</v>
      </c>
      <c r="N39" s="29">
        <f t="shared" ca="1" si="55"/>
        <v>1398.6988521500002</v>
      </c>
      <c r="O39" s="29">
        <f t="shared" ref="O39" ca="1" si="56">SUM(O33:O38)</f>
        <v>1421.3748774712251</v>
      </c>
      <c r="P39" s="29">
        <f t="shared" ref="P39" ca="1" si="57">SUM(P33:P38)</f>
        <v>1444.5384373368565</v>
      </c>
      <c r="Q39" s="29">
        <f t="shared" ref="Q39:R39" ca="1" si="58">SUM(Q33:Q38)</f>
        <v>2106.5231981433044</v>
      </c>
      <c r="R39" s="30">
        <f t="shared" ca="1" si="58"/>
        <v>2876.543793075321</v>
      </c>
    </row>
    <row r="40" spans="2:18" x14ac:dyDescent="0.35">
      <c r="B40" s="59" t="s">
        <v>14</v>
      </c>
      <c r="C40" s="29"/>
      <c r="D40" s="29"/>
      <c r="E40" s="29"/>
      <c r="F40" s="29"/>
      <c r="G40" s="30"/>
      <c r="I40" s="28"/>
      <c r="J40" s="37"/>
      <c r="L40" s="59" t="s">
        <v>14</v>
      </c>
      <c r="M40" s="29"/>
      <c r="N40" s="29"/>
      <c r="O40" s="29"/>
      <c r="P40" s="29"/>
      <c r="Q40" s="29"/>
      <c r="R40" s="30"/>
    </row>
    <row r="41" spans="2:18" x14ac:dyDescent="0.35">
      <c r="B41" s="59" t="s">
        <v>15</v>
      </c>
      <c r="C41" s="29"/>
      <c r="D41" s="29"/>
      <c r="E41" s="29"/>
      <c r="F41" s="29"/>
      <c r="G41" s="30"/>
      <c r="I41" s="28"/>
      <c r="J41" s="37"/>
      <c r="L41" s="59" t="s">
        <v>15</v>
      </c>
      <c r="M41" s="29"/>
      <c r="N41" s="29"/>
      <c r="O41" s="29"/>
      <c r="P41" s="29"/>
      <c r="Q41" s="29"/>
      <c r="R41" s="30"/>
    </row>
    <row r="42" spans="2:18" x14ac:dyDescent="0.35">
      <c r="B42" s="28" t="s">
        <v>16</v>
      </c>
      <c r="C42" s="29">
        <v>3126</v>
      </c>
      <c r="D42" s="29">
        <v>3232</v>
      </c>
      <c r="E42" s="29">
        <v>3429</v>
      </c>
      <c r="F42" s="29">
        <v>3671</v>
      </c>
      <c r="G42" s="30">
        <v>3970</v>
      </c>
      <c r="I42" s="28" t="s">
        <v>75</v>
      </c>
      <c r="J42" s="174">
        <v>0.7</v>
      </c>
      <c r="L42" s="28" t="s">
        <v>16</v>
      </c>
      <c r="M42" s="29">
        <v>3970</v>
      </c>
      <c r="N42" s="29">
        <f>$J$42*N4</f>
        <v>5385.0415499999999</v>
      </c>
      <c r="O42" s="29">
        <f t="shared" ref="O42:Q42" si="59">$J$42*O4</f>
        <v>5500.8199433250002</v>
      </c>
      <c r="P42" s="29">
        <f t="shared" si="59"/>
        <v>5619.0875721064876</v>
      </c>
      <c r="Q42" s="29">
        <f t="shared" si="59"/>
        <v>5739.8979549067781</v>
      </c>
      <c r="R42" s="30">
        <f t="shared" ref="R42" si="60">$J$42*R4</f>
        <v>5863.3057609372745</v>
      </c>
    </row>
    <row r="43" spans="2:18" x14ac:dyDescent="0.35">
      <c r="B43" s="28" t="s">
        <v>17</v>
      </c>
      <c r="C43" s="29">
        <v>-2193</v>
      </c>
      <c r="D43" s="29">
        <v>-2307</v>
      </c>
      <c r="E43" s="29">
        <v>-2400</v>
      </c>
      <c r="F43" s="29">
        <v>-2526</v>
      </c>
      <c r="G43" s="30">
        <v>-2682</v>
      </c>
      <c r="I43" s="28"/>
      <c r="J43" s="37"/>
      <c r="L43" s="28" t="s">
        <v>17</v>
      </c>
      <c r="M43" s="29">
        <v>-2682</v>
      </c>
      <c r="N43" s="29">
        <f>M43+N6</f>
        <v>-3196.5272852500002</v>
      </c>
      <c r="O43" s="29">
        <f t="shared" ref="O43:R43" si="61">N43+O6</f>
        <v>-3795.249667382875</v>
      </c>
      <c r="P43" s="29">
        <f t="shared" si="61"/>
        <v>-4406.8445807316066</v>
      </c>
      <c r="Q43" s="29">
        <f t="shared" si="61"/>
        <v>-5031.5887847173362</v>
      </c>
      <c r="R43" s="30">
        <f t="shared" si="61"/>
        <v>-5669.7649890887587</v>
      </c>
    </row>
    <row r="44" spans="2:18" x14ac:dyDescent="0.35">
      <c r="B44" s="28" t="s">
        <v>18</v>
      </c>
      <c r="C44" s="29">
        <f>SUM(C42:C43)</f>
        <v>933</v>
      </c>
      <c r="D44" s="29">
        <f t="shared" ref="D44:G44" si="62">SUM(D42:D43)</f>
        <v>925</v>
      </c>
      <c r="E44" s="29">
        <f t="shared" si="62"/>
        <v>1029</v>
      </c>
      <c r="F44" s="29">
        <f t="shared" si="62"/>
        <v>1145</v>
      </c>
      <c r="G44" s="30">
        <f t="shared" si="62"/>
        <v>1288</v>
      </c>
      <c r="I44" s="28"/>
      <c r="J44" s="37"/>
      <c r="L44" s="28" t="s">
        <v>18</v>
      </c>
      <c r="M44" s="29">
        <f t="shared" ref="M44:N44" si="63">SUM(M42:M43)</f>
        <v>1288</v>
      </c>
      <c r="N44" s="29">
        <f t="shared" si="63"/>
        <v>2188.5142647499997</v>
      </c>
      <c r="O44" s="29">
        <f t="shared" ref="O44" si="64">SUM(O42:O43)</f>
        <v>1705.5702759421251</v>
      </c>
      <c r="P44" s="29">
        <f t="shared" ref="P44" si="65">SUM(P42:P43)</f>
        <v>1212.2429913748811</v>
      </c>
      <c r="Q44" s="29">
        <f t="shared" ref="Q44:R44" si="66">SUM(Q42:Q43)</f>
        <v>708.30917018944183</v>
      </c>
      <c r="R44" s="30">
        <f t="shared" si="66"/>
        <v>193.54077184851576</v>
      </c>
    </row>
    <row r="45" spans="2:18" x14ac:dyDescent="0.35">
      <c r="B45" s="28" t="s">
        <v>19</v>
      </c>
      <c r="C45" s="29"/>
      <c r="D45" s="29">
        <v>473</v>
      </c>
      <c r="E45" s="29">
        <v>443</v>
      </c>
      <c r="F45" s="29">
        <v>462</v>
      </c>
      <c r="G45" s="30">
        <v>436</v>
      </c>
      <c r="I45" s="28" t="s">
        <v>81</v>
      </c>
      <c r="J45" s="60">
        <f>AVERAGE(D45:G45)</f>
        <v>453.5</v>
      </c>
      <c r="L45" s="28" t="s">
        <v>19</v>
      </c>
      <c r="M45" s="29">
        <v>436</v>
      </c>
      <c r="N45" s="29">
        <f>$J$45</f>
        <v>453.5</v>
      </c>
      <c r="O45" s="29">
        <f t="shared" ref="O45:R45" si="67">$J$45</f>
        <v>453.5</v>
      </c>
      <c r="P45" s="29">
        <f t="shared" si="67"/>
        <v>453.5</v>
      </c>
      <c r="Q45" s="29">
        <f t="shared" si="67"/>
        <v>453.5</v>
      </c>
      <c r="R45" s="30">
        <f t="shared" si="67"/>
        <v>453.5</v>
      </c>
    </row>
    <row r="46" spans="2:18" x14ac:dyDescent="0.35">
      <c r="B46" s="28" t="s">
        <v>20</v>
      </c>
      <c r="C46" s="29">
        <v>6032</v>
      </c>
      <c r="D46" s="29">
        <v>5905</v>
      </c>
      <c r="E46" s="29">
        <v>6000</v>
      </c>
      <c r="F46" s="29">
        <v>6335</v>
      </c>
      <c r="G46" s="30">
        <v>6563</v>
      </c>
      <c r="I46" s="28" t="s">
        <v>81</v>
      </c>
      <c r="J46" s="60">
        <f>$G$46</f>
        <v>6563</v>
      </c>
      <c r="L46" s="28" t="s">
        <v>20</v>
      </c>
      <c r="M46" s="29">
        <v>6563</v>
      </c>
      <c r="N46" s="29">
        <f>$J$46</f>
        <v>6563</v>
      </c>
      <c r="O46" s="29">
        <f t="shared" ref="O46:R46" si="68">$J$46</f>
        <v>6563</v>
      </c>
      <c r="P46" s="29">
        <f t="shared" si="68"/>
        <v>6563</v>
      </c>
      <c r="Q46" s="29">
        <f t="shared" si="68"/>
        <v>6563</v>
      </c>
      <c r="R46" s="30">
        <f t="shared" si="68"/>
        <v>6563</v>
      </c>
    </row>
    <row r="47" spans="2:18" x14ac:dyDescent="0.35">
      <c r="B47" s="28" t="s">
        <v>21</v>
      </c>
      <c r="C47" s="29">
        <v>1071</v>
      </c>
      <c r="D47" s="29">
        <v>984</v>
      </c>
      <c r="E47" s="29">
        <v>949</v>
      </c>
      <c r="F47" s="29">
        <v>1119</v>
      </c>
      <c r="G47" s="30">
        <v>1207</v>
      </c>
      <c r="I47" s="28" t="s">
        <v>81</v>
      </c>
      <c r="J47" s="60">
        <f>$G$47</f>
        <v>1207</v>
      </c>
      <c r="L47" s="28" t="s">
        <v>21</v>
      </c>
      <c r="M47" s="29">
        <v>1207</v>
      </c>
      <c r="N47" s="29">
        <f>$J$47</f>
        <v>1207</v>
      </c>
      <c r="O47" s="29">
        <f t="shared" ref="O47:R47" si="69">$J$47</f>
        <v>1207</v>
      </c>
      <c r="P47" s="29">
        <f t="shared" si="69"/>
        <v>1207</v>
      </c>
      <c r="Q47" s="29">
        <f t="shared" si="69"/>
        <v>1207</v>
      </c>
      <c r="R47" s="30">
        <f t="shared" si="69"/>
        <v>1207</v>
      </c>
    </row>
    <row r="48" spans="2:18" x14ac:dyDescent="0.35">
      <c r="B48" s="28" t="s">
        <v>22</v>
      </c>
      <c r="C48" s="29">
        <v>238</v>
      </c>
      <c r="D48" s="29">
        <v>174</v>
      </c>
      <c r="E48" s="29">
        <v>148</v>
      </c>
      <c r="F48" s="29">
        <v>136</v>
      </c>
      <c r="G48" s="30">
        <v>119</v>
      </c>
      <c r="I48" s="28" t="s">
        <v>81</v>
      </c>
      <c r="J48" s="60">
        <f>$G$48</f>
        <v>119</v>
      </c>
      <c r="L48" s="28" t="s">
        <v>22</v>
      </c>
      <c r="M48" s="29">
        <v>119</v>
      </c>
      <c r="N48" s="29">
        <f>$J$48</f>
        <v>119</v>
      </c>
      <c r="O48" s="29">
        <f t="shared" ref="O48:R48" si="70">$J$48</f>
        <v>119</v>
      </c>
      <c r="P48" s="29">
        <f t="shared" si="70"/>
        <v>119</v>
      </c>
      <c r="Q48" s="29">
        <f t="shared" si="70"/>
        <v>119</v>
      </c>
      <c r="R48" s="30">
        <f t="shared" si="70"/>
        <v>119</v>
      </c>
    </row>
    <row r="49" spans="2:18" x14ac:dyDescent="0.35">
      <c r="B49" s="28" t="s">
        <v>23</v>
      </c>
      <c r="C49" s="29">
        <f>SUM(C44:C48)</f>
        <v>8274</v>
      </c>
      <c r="D49" s="29">
        <f>SUM(D44:D48)</f>
        <v>8461</v>
      </c>
      <c r="E49" s="29">
        <f t="shared" ref="E49:G49" si="71">SUM(E44:E48)</f>
        <v>8569</v>
      </c>
      <c r="F49" s="29">
        <f t="shared" si="71"/>
        <v>9197</v>
      </c>
      <c r="G49" s="30">
        <f t="shared" si="71"/>
        <v>9613</v>
      </c>
      <c r="I49" s="28"/>
      <c r="J49" s="37"/>
      <c r="L49" s="28" t="s">
        <v>23</v>
      </c>
      <c r="M49" s="29">
        <f t="shared" ref="M49:N49" si="72">SUM(M44:M48)</f>
        <v>9613</v>
      </c>
      <c r="N49" s="29">
        <f t="shared" si="72"/>
        <v>10531.01426475</v>
      </c>
      <c r="O49" s="29">
        <f t="shared" ref="O49" si="73">SUM(O44:O48)</f>
        <v>10048.070275942126</v>
      </c>
      <c r="P49" s="29">
        <f t="shared" ref="P49" si="74">SUM(P44:P48)</f>
        <v>9554.742991374882</v>
      </c>
      <c r="Q49" s="29">
        <f t="shared" ref="Q49:R49" si="75">SUM(Q44:Q48)</f>
        <v>9050.8091701894409</v>
      </c>
      <c r="R49" s="30">
        <f t="shared" si="75"/>
        <v>8536.0407718485149</v>
      </c>
    </row>
    <row r="50" spans="2:18" x14ac:dyDescent="0.35">
      <c r="B50" s="28" t="s">
        <v>24</v>
      </c>
      <c r="C50" s="29">
        <f>C49+C39</f>
        <v>9877</v>
      </c>
      <c r="D50" s="29">
        <f>D49+D39</f>
        <v>9962</v>
      </c>
      <c r="E50" s="29">
        <f>E49+E39</f>
        <v>10100</v>
      </c>
      <c r="F50" s="29">
        <f>F49+F39</f>
        <v>10503</v>
      </c>
      <c r="G50" s="30">
        <f>G49+G39</f>
        <v>11003</v>
      </c>
      <c r="I50" s="28"/>
      <c r="J50" s="37"/>
      <c r="L50" s="28" t="s">
        <v>24</v>
      </c>
      <c r="M50" s="29">
        <f>M49+M39</f>
        <v>11003</v>
      </c>
      <c r="N50" s="29">
        <f ca="1">N49+N39</f>
        <v>11929.7131169</v>
      </c>
      <c r="O50" s="29">
        <f t="shared" ref="O50:Q50" ca="1" si="76">O49+O39</f>
        <v>11469.445153413351</v>
      </c>
      <c r="P50" s="29">
        <f t="shared" ca="1" si="76"/>
        <v>10999.281428711738</v>
      </c>
      <c r="Q50" s="29">
        <f t="shared" ca="1" si="76"/>
        <v>11157.332368332745</v>
      </c>
      <c r="R50" s="30">
        <f t="shared" ref="R50" ca="1" si="77">R49+R39</f>
        <v>11412.584564923836</v>
      </c>
    </row>
    <row r="51" spans="2:18" x14ac:dyDescent="0.35">
      <c r="B51" s="28"/>
      <c r="C51" s="29"/>
      <c r="D51" s="29"/>
      <c r="E51" s="29"/>
      <c r="F51" s="29"/>
      <c r="G51" s="30"/>
      <c r="I51" s="28"/>
      <c r="J51" s="37"/>
      <c r="L51" s="28"/>
      <c r="M51" s="29"/>
      <c r="N51" s="29"/>
      <c r="O51" s="29"/>
      <c r="P51" s="29"/>
      <c r="Q51" s="29"/>
      <c r="R51" s="30"/>
    </row>
    <row r="52" spans="2:18" x14ac:dyDescent="0.35">
      <c r="B52" s="59" t="s">
        <v>25</v>
      </c>
      <c r="C52" s="29"/>
      <c r="D52" s="29"/>
      <c r="E52" s="29"/>
      <c r="F52" s="29"/>
      <c r="G52" s="30"/>
      <c r="I52" s="28"/>
      <c r="J52" s="37"/>
      <c r="L52" s="59" t="s">
        <v>25</v>
      </c>
      <c r="M52" s="29"/>
      <c r="N52" s="29"/>
      <c r="O52" s="29"/>
      <c r="P52" s="29"/>
      <c r="Q52" s="29"/>
      <c r="R52" s="30"/>
    </row>
    <row r="53" spans="2:18" x14ac:dyDescent="0.35">
      <c r="B53" s="59" t="s">
        <v>26</v>
      </c>
      <c r="C53" s="29"/>
      <c r="D53" s="29"/>
      <c r="E53" s="29"/>
      <c r="F53" s="29"/>
      <c r="G53" s="30"/>
      <c r="I53" s="28"/>
      <c r="J53" s="37"/>
      <c r="L53" s="59" t="s">
        <v>26</v>
      </c>
      <c r="M53" s="29"/>
      <c r="N53" s="29"/>
      <c r="O53" s="29"/>
      <c r="P53" s="29"/>
      <c r="Q53" s="29"/>
      <c r="R53" s="30"/>
    </row>
    <row r="54" spans="2:18" x14ac:dyDescent="0.35">
      <c r="B54" s="59" t="s">
        <v>27</v>
      </c>
      <c r="C54" s="29"/>
      <c r="D54" s="29"/>
      <c r="E54" s="29"/>
      <c r="F54" s="29"/>
      <c r="G54" s="30"/>
      <c r="I54" s="28"/>
      <c r="J54" s="37"/>
      <c r="L54" s="59" t="s">
        <v>27</v>
      </c>
      <c r="M54" s="29"/>
      <c r="N54" s="29"/>
      <c r="O54" s="29"/>
      <c r="P54" s="29"/>
      <c r="Q54" s="29"/>
      <c r="R54" s="30"/>
    </row>
    <row r="55" spans="2:18" x14ac:dyDescent="0.35">
      <c r="B55" s="28" t="s">
        <v>28</v>
      </c>
      <c r="C55" s="29">
        <v>518</v>
      </c>
      <c r="D55" s="29">
        <v>159</v>
      </c>
      <c r="E55" s="29">
        <v>6</v>
      </c>
      <c r="F55" s="29">
        <v>36</v>
      </c>
      <c r="G55" s="30">
        <v>464</v>
      </c>
      <c r="I55" s="62" t="s">
        <v>82</v>
      </c>
      <c r="J55" s="63"/>
      <c r="L55" s="62" t="s">
        <v>28</v>
      </c>
      <c r="M55" s="64">
        <v>464</v>
      </c>
      <c r="N55" s="64">
        <f ca="1">IF(N74&gt;-200,N74+200,0)</f>
        <v>1333.0173677037328</v>
      </c>
      <c r="O55" s="64">
        <f t="shared" ref="O55:Q55" ca="1" si="78">IF(O74&gt;-200,O74+200,0)</f>
        <v>725.81758543922479</v>
      </c>
      <c r="P55" s="64">
        <f t="shared" ca="1" si="78"/>
        <v>67.072448519988029</v>
      </c>
      <c r="Q55" s="64">
        <f t="shared" ca="1" si="78"/>
        <v>0</v>
      </c>
      <c r="R55" s="65">
        <f t="shared" ref="R55" ca="1" si="79">IF(R74&gt;-200,R74+200,0)</f>
        <v>0</v>
      </c>
    </row>
    <row r="56" spans="2:18" x14ac:dyDescent="0.35">
      <c r="B56" s="28" t="s">
        <v>32</v>
      </c>
      <c r="C56" s="29">
        <v>1191</v>
      </c>
      <c r="D56" s="29">
        <v>1014</v>
      </c>
      <c r="E56" s="29">
        <v>975</v>
      </c>
      <c r="F56" s="29">
        <v>1021</v>
      </c>
      <c r="G56" s="30">
        <v>1021</v>
      </c>
      <c r="I56" s="28" t="s">
        <v>75</v>
      </c>
      <c r="J56" s="48">
        <v>0.13869999999999999</v>
      </c>
      <c r="L56" s="28" t="s">
        <v>32</v>
      </c>
      <c r="M56" s="29">
        <v>1021</v>
      </c>
      <c r="N56" s="29">
        <f>$J$56*N4</f>
        <v>1067.00751855</v>
      </c>
      <c r="O56" s="29">
        <f t="shared" ref="O56:Q56" si="80">$J$56*O4</f>
        <v>1089.948180198825</v>
      </c>
      <c r="P56" s="29">
        <f t="shared" si="80"/>
        <v>1113.3820660730998</v>
      </c>
      <c r="Q56" s="29">
        <f t="shared" si="80"/>
        <v>1137.3197804936717</v>
      </c>
      <c r="R56" s="30">
        <f t="shared" ref="R56" si="81">$J$56*R4</f>
        <v>1161.7721557742857</v>
      </c>
    </row>
    <row r="57" spans="2:18" x14ac:dyDescent="0.35">
      <c r="B57" s="28" t="s">
        <v>33</v>
      </c>
      <c r="C57" s="29">
        <f>SUM(C55:C56)</f>
        <v>1709</v>
      </c>
      <c r="D57" s="29">
        <f>SUM(D55:D56)</f>
        <v>1173</v>
      </c>
      <c r="E57" s="29">
        <f>SUM(E55:E56)</f>
        <v>981</v>
      </c>
      <c r="F57" s="29">
        <f>SUM(F55:F56)</f>
        <v>1057</v>
      </c>
      <c r="G57" s="30">
        <f>SUM(G55:G56)</f>
        <v>1485</v>
      </c>
      <c r="I57" s="28"/>
      <c r="J57" s="37"/>
      <c r="L57" s="28" t="s">
        <v>33</v>
      </c>
      <c r="M57" s="29">
        <f>SUM(M55:M56)</f>
        <v>1485</v>
      </c>
      <c r="N57" s="29">
        <f ca="1">SUM(N55:N56)</f>
        <v>2400.0248862537328</v>
      </c>
      <c r="O57" s="29">
        <f t="shared" ref="O57:Q57" ca="1" si="82">SUM(O55:O56)</f>
        <v>1815.7657656380497</v>
      </c>
      <c r="P57" s="29">
        <f t="shared" ca="1" si="82"/>
        <v>1180.4545145930879</v>
      </c>
      <c r="Q57" s="29">
        <f t="shared" ca="1" si="82"/>
        <v>1137.3197804936717</v>
      </c>
      <c r="R57" s="30">
        <f t="shared" ref="R57" ca="1" si="83">SUM(R55:R56)</f>
        <v>1161.7721557742857</v>
      </c>
    </row>
    <row r="58" spans="2:18" x14ac:dyDescent="0.35">
      <c r="B58" s="59" t="s">
        <v>34</v>
      </c>
      <c r="C58" s="29"/>
      <c r="D58" s="29"/>
      <c r="E58" s="29"/>
      <c r="F58" s="29"/>
      <c r="G58" s="30"/>
      <c r="I58" s="28"/>
      <c r="J58" s="37"/>
      <c r="L58" s="59" t="s">
        <v>34</v>
      </c>
      <c r="M58" s="29"/>
      <c r="N58" s="29"/>
      <c r="O58" s="29"/>
      <c r="P58" s="29"/>
      <c r="Q58" s="29"/>
      <c r="R58" s="30"/>
    </row>
    <row r="59" spans="2:18" x14ac:dyDescent="0.35">
      <c r="B59" s="28" t="s">
        <v>35</v>
      </c>
      <c r="C59" s="29">
        <v>3244</v>
      </c>
      <c r="D59" s="29">
        <v>3492</v>
      </c>
      <c r="E59" s="29">
        <v>3728</v>
      </c>
      <c r="F59" s="29">
        <v>3748</v>
      </c>
      <c r="G59" s="30">
        <v>3429</v>
      </c>
      <c r="I59" s="28" t="s">
        <v>81</v>
      </c>
      <c r="J59" s="60">
        <f>$G$59</f>
        <v>3429</v>
      </c>
      <c r="L59" s="28" t="s">
        <v>35</v>
      </c>
      <c r="M59" s="29">
        <v>3429</v>
      </c>
      <c r="N59" s="29">
        <f>$J$59*0.9</f>
        <v>3086.1</v>
      </c>
      <c r="O59" s="29">
        <f>$J$59*0.8</f>
        <v>2743.2000000000003</v>
      </c>
      <c r="P59" s="29">
        <f>$J$59*0.7</f>
        <v>2400.2999999999997</v>
      </c>
      <c r="Q59" s="29">
        <f>$J$59*0.6</f>
        <v>2057.4</v>
      </c>
      <c r="R59" s="30">
        <f>$J$59*0.5</f>
        <v>1714.5</v>
      </c>
    </row>
    <row r="60" spans="2:18" x14ac:dyDescent="0.35">
      <c r="B60" s="28" t="s">
        <v>36</v>
      </c>
      <c r="C60" s="29">
        <v>623</v>
      </c>
      <c r="D60" s="29">
        <v>613</v>
      </c>
      <c r="E60" s="29">
        <v>763</v>
      </c>
      <c r="F60" s="29">
        <v>777</v>
      </c>
      <c r="G60" s="30">
        <v>873</v>
      </c>
      <c r="I60" s="28" t="s">
        <v>75</v>
      </c>
      <c r="J60" s="48">
        <v>9.6799999999999997E-2</v>
      </c>
      <c r="L60" s="28" t="s">
        <v>36</v>
      </c>
      <c r="M60" s="29">
        <v>873</v>
      </c>
      <c r="N60" s="29">
        <f>$J$60*N4</f>
        <v>744.67431720000002</v>
      </c>
      <c r="O60" s="29">
        <f t="shared" ref="O60:Q60" si="84">$J$60*O4</f>
        <v>760.6848150198</v>
      </c>
      <c r="P60" s="29">
        <f t="shared" si="84"/>
        <v>777.03953854272572</v>
      </c>
      <c r="Q60" s="29">
        <f t="shared" si="84"/>
        <v>793.74588862139456</v>
      </c>
      <c r="R60" s="30">
        <f t="shared" ref="R60" si="85">$J$60*R4</f>
        <v>810.81142522675452</v>
      </c>
    </row>
    <row r="61" spans="2:18" x14ac:dyDescent="0.35">
      <c r="B61" s="28" t="s">
        <v>37</v>
      </c>
      <c r="C61" s="29">
        <f>SUM(C59:C60)</f>
        <v>3867</v>
      </c>
      <c r="D61" s="29">
        <f t="shared" ref="D61:G61" si="86">SUM(D59:D60)</f>
        <v>4105</v>
      </c>
      <c r="E61" s="29">
        <f t="shared" si="86"/>
        <v>4491</v>
      </c>
      <c r="F61" s="29">
        <f t="shared" si="86"/>
        <v>4525</v>
      </c>
      <c r="G61" s="30">
        <f t="shared" si="86"/>
        <v>4302</v>
      </c>
      <c r="I61" s="28"/>
      <c r="J61" s="37"/>
      <c r="L61" s="28" t="s">
        <v>37</v>
      </c>
      <c r="M61" s="29">
        <f t="shared" ref="M61:N61" si="87">SUM(M59:M60)</f>
        <v>4302</v>
      </c>
      <c r="N61" s="29">
        <f t="shared" si="87"/>
        <v>3830.7743172</v>
      </c>
      <c r="O61" s="29">
        <f t="shared" ref="O61" si="88">SUM(O59:O60)</f>
        <v>3503.8848150198</v>
      </c>
      <c r="P61" s="29">
        <f t="shared" ref="P61" si="89">SUM(P59:P60)</f>
        <v>3177.3395385427257</v>
      </c>
      <c r="Q61" s="29">
        <f t="shared" ref="Q61:R61" si="90">SUM(Q59:Q60)</f>
        <v>2851.1458886213945</v>
      </c>
      <c r="R61" s="30">
        <f t="shared" si="90"/>
        <v>2525.3114252267546</v>
      </c>
    </row>
    <row r="62" spans="2:18" x14ac:dyDescent="0.35">
      <c r="B62" s="28" t="s">
        <v>38</v>
      </c>
      <c r="C62" s="29">
        <f>C57+C61</f>
        <v>5576</v>
      </c>
      <c r="D62" s="29">
        <f>D57+D61</f>
        <v>5278</v>
      </c>
      <c r="E62" s="29">
        <f>E57+E61</f>
        <v>5472</v>
      </c>
      <c r="F62" s="29">
        <f>F57+F61</f>
        <v>5582</v>
      </c>
      <c r="G62" s="30">
        <f>G57+G61</f>
        <v>5787</v>
      </c>
      <c r="I62" s="28"/>
      <c r="J62" s="37"/>
      <c r="L62" s="28" t="s">
        <v>38</v>
      </c>
      <c r="M62" s="29">
        <f>M57+M61</f>
        <v>5787</v>
      </c>
      <c r="N62" s="29">
        <f ca="1">N57+N61</f>
        <v>6230.7992034537328</v>
      </c>
      <c r="O62" s="29">
        <f t="shared" ref="O62:Q62" ca="1" si="91">O57+O61</f>
        <v>5319.6505806578498</v>
      </c>
      <c r="P62" s="29">
        <f t="shared" ca="1" si="91"/>
        <v>4357.7940531358136</v>
      </c>
      <c r="Q62" s="29">
        <f t="shared" ca="1" si="91"/>
        <v>3988.4656691150662</v>
      </c>
      <c r="R62" s="30">
        <f t="shared" ref="R62" ca="1" si="92">R57+R61</f>
        <v>3687.0835810010403</v>
      </c>
    </row>
    <row r="63" spans="2:18" x14ac:dyDescent="0.35">
      <c r="B63" s="59" t="s">
        <v>39</v>
      </c>
      <c r="C63" s="29"/>
      <c r="D63" s="29"/>
      <c r="E63" s="29"/>
      <c r="F63" s="29"/>
      <c r="G63" s="30"/>
      <c r="I63" s="28"/>
      <c r="J63" s="37"/>
      <c r="L63" s="59" t="s">
        <v>39</v>
      </c>
      <c r="M63" s="29"/>
      <c r="N63" s="29"/>
      <c r="O63" s="29"/>
      <c r="P63" s="29"/>
      <c r="Q63" s="29"/>
      <c r="R63" s="30"/>
    </row>
    <row r="64" spans="2:18" x14ac:dyDescent="0.35">
      <c r="B64" s="28" t="s">
        <v>40</v>
      </c>
      <c r="C64" s="29">
        <v>2</v>
      </c>
      <c r="D64" s="29">
        <v>2</v>
      </c>
      <c r="E64" s="29">
        <v>2</v>
      </c>
      <c r="F64" s="29">
        <v>2</v>
      </c>
      <c r="G64" s="30">
        <v>2</v>
      </c>
      <c r="I64" s="28" t="s">
        <v>81</v>
      </c>
      <c r="J64" s="37">
        <v>2</v>
      </c>
      <c r="L64" s="28" t="s">
        <v>40</v>
      </c>
      <c r="M64" s="29">
        <v>2</v>
      </c>
      <c r="N64" s="29">
        <f>$J$64</f>
        <v>2</v>
      </c>
      <c r="O64" s="29">
        <f t="shared" ref="O64:R64" si="93">$J$64</f>
        <v>2</v>
      </c>
      <c r="P64" s="29">
        <f t="shared" si="93"/>
        <v>2</v>
      </c>
      <c r="Q64" s="29">
        <f t="shared" si="93"/>
        <v>2</v>
      </c>
      <c r="R64" s="30">
        <f t="shared" si="93"/>
        <v>2</v>
      </c>
    </row>
    <row r="65" spans="2:33" x14ac:dyDescent="0.35">
      <c r="B65" s="28" t="s">
        <v>41</v>
      </c>
      <c r="C65" s="29">
        <v>2418</v>
      </c>
      <c r="D65" s="29">
        <v>2481</v>
      </c>
      <c r="E65" s="29">
        <v>2545</v>
      </c>
      <c r="F65" s="29">
        <v>2612</v>
      </c>
      <c r="G65" s="30">
        <v>2667</v>
      </c>
      <c r="I65" s="28" t="s">
        <v>81</v>
      </c>
      <c r="J65" s="60">
        <f>$G$65</f>
        <v>2667</v>
      </c>
      <c r="L65" s="28" t="s">
        <v>41</v>
      </c>
      <c r="M65" s="29">
        <v>2667</v>
      </c>
      <c r="N65" s="29">
        <f>$J$65</f>
        <v>2667</v>
      </c>
      <c r="O65" s="29">
        <f t="shared" ref="O65:R65" si="94">$J$65</f>
        <v>2667</v>
      </c>
      <c r="P65" s="29">
        <f t="shared" si="94"/>
        <v>2667</v>
      </c>
      <c r="Q65" s="29">
        <f t="shared" si="94"/>
        <v>2667</v>
      </c>
      <c r="R65" s="30">
        <f t="shared" si="94"/>
        <v>2667</v>
      </c>
    </row>
    <row r="66" spans="2:33" x14ac:dyDescent="0.35">
      <c r="B66" s="28" t="s">
        <v>83</v>
      </c>
      <c r="C66" s="29">
        <v>5723</v>
      </c>
      <c r="D66" s="29">
        <v>6199</v>
      </c>
      <c r="E66" s="29">
        <v>6613</v>
      </c>
      <c r="F66" s="29">
        <v>7138</v>
      </c>
      <c r="G66" s="30">
        <v>7602</v>
      </c>
      <c r="I66" s="28"/>
      <c r="J66" s="37"/>
      <c r="L66" s="28" t="s">
        <v>42</v>
      </c>
      <c r="M66" s="29">
        <v>7602</v>
      </c>
      <c r="N66" s="29">
        <f ca="1">M66+N27</f>
        <v>8084.9139134462675</v>
      </c>
      <c r="O66" s="29">
        <f t="shared" ref="O66:R66" ca="1" si="95">N66+O27</f>
        <v>8535.7945727555016</v>
      </c>
      <c r="P66" s="29">
        <f t="shared" ca="1" si="95"/>
        <v>9027.4873755759254</v>
      </c>
      <c r="Q66" s="29">
        <f t="shared" ca="1" si="95"/>
        <v>9554.8666992176786</v>
      </c>
      <c r="R66" s="30">
        <f t="shared" ca="1" si="95"/>
        <v>10111.500983922795</v>
      </c>
    </row>
    <row r="67" spans="2:33" x14ac:dyDescent="0.35">
      <c r="B67" s="28" t="s">
        <v>43</v>
      </c>
      <c r="C67" s="29">
        <v>-3815</v>
      </c>
      <c r="D67" s="29">
        <v>-3960</v>
      </c>
      <c r="E67" s="29">
        <v>-4460</v>
      </c>
      <c r="F67" s="29">
        <v>-4783</v>
      </c>
      <c r="G67" s="30">
        <v>-4996</v>
      </c>
      <c r="I67" s="28" t="s">
        <v>81</v>
      </c>
      <c r="J67" s="60">
        <f>$G$67</f>
        <v>-4996</v>
      </c>
      <c r="L67" s="28" t="s">
        <v>43</v>
      </c>
      <c r="M67" s="29">
        <v>-4996</v>
      </c>
      <c r="N67" s="29">
        <f>$J$67</f>
        <v>-4996</v>
      </c>
      <c r="O67" s="29">
        <f t="shared" ref="O67:R67" si="96">$J$67</f>
        <v>-4996</v>
      </c>
      <c r="P67" s="29">
        <f t="shared" si="96"/>
        <v>-4996</v>
      </c>
      <c r="Q67" s="29">
        <f t="shared" si="96"/>
        <v>-4996</v>
      </c>
      <c r="R67" s="30">
        <f t="shared" si="96"/>
        <v>-4996</v>
      </c>
    </row>
    <row r="68" spans="2:33" x14ac:dyDescent="0.35">
      <c r="B68" s="28" t="s">
        <v>44</v>
      </c>
      <c r="C68" s="29">
        <v>-27</v>
      </c>
      <c r="D68" s="29">
        <v>-38</v>
      </c>
      <c r="E68" s="29">
        <v>-72</v>
      </c>
      <c r="F68" s="29">
        <v>-48</v>
      </c>
      <c r="G68" s="30">
        <v>-59</v>
      </c>
      <c r="I68" s="28" t="s">
        <v>81</v>
      </c>
      <c r="J68" s="60">
        <f>$G$68</f>
        <v>-59</v>
      </c>
      <c r="L68" s="28" t="s">
        <v>44</v>
      </c>
      <c r="M68" s="29">
        <v>-59</v>
      </c>
      <c r="N68" s="29">
        <f>$J$68</f>
        <v>-59</v>
      </c>
      <c r="O68" s="29">
        <f t="shared" ref="O68:R68" si="97">$J$68</f>
        <v>-59</v>
      </c>
      <c r="P68" s="29">
        <f t="shared" si="97"/>
        <v>-59</v>
      </c>
      <c r="Q68" s="29">
        <f t="shared" si="97"/>
        <v>-59</v>
      </c>
      <c r="R68" s="30">
        <f t="shared" si="97"/>
        <v>-59</v>
      </c>
    </row>
    <row r="69" spans="2:33" x14ac:dyDescent="0.35">
      <c r="B69" s="28" t="s">
        <v>45</v>
      </c>
      <c r="C69" s="29">
        <f>SUM(C64:C68)</f>
        <v>4301</v>
      </c>
      <c r="D69" s="29">
        <f t="shared" ref="D69:G69" si="98">SUM(D64:D68)</f>
        <v>4684</v>
      </c>
      <c r="E69" s="29">
        <f t="shared" si="98"/>
        <v>4628</v>
      </c>
      <c r="F69" s="29">
        <f t="shared" si="98"/>
        <v>4921</v>
      </c>
      <c r="G69" s="30">
        <f t="shared" si="98"/>
        <v>5216</v>
      </c>
      <c r="I69" s="28"/>
      <c r="J69" s="37"/>
      <c r="L69" s="28" t="s">
        <v>45</v>
      </c>
      <c r="M69" s="29">
        <f t="shared" ref="M69:N69" si="99">SUM(M64:M68)</f>
        <v>5216</v>
      </c>
      <c r="N69" s="29">
        <f t="shared" ca="1" si="99"/>
        <v>5698.9139134462675</v>
      </c>
      <c r="O69" s="29">
        <f t="shared" ref="O69" ca="1" si="100">SUM(O64:O68)</f>
        <v>6149.7945727555016</v>
      </c>
      <c r="P69" s="29">
        <f t="shared" ref="P69" ca="1" si="101">SUM(P64:P68)</f>
        <v>6641.4873755759254</v>
      </c>
      <c r="Q69" s="29">
        <f t="shared" ref="Q69:R69" ca="1" si="102">SUM(Q64:Q68)</f>
        <v>7168.8666992176786</v>
      </c>
      <c r="R69" s="30">
        <f t="shared" ca="1" si="102"/>
        <v>7725.5009839227951</v>
      </c>
    </row>
    <row r="70" spans="2:33" ht="17" thickBot="1" x14ac:dyDescent="0.4">
      <c r="B70" s="31" t="s">
        <v>46</v>
      </c>
      <c r="C70" s="32">
        <f>C69+C62</f>
        <v>9877</v>
      </c>
      <c r="D70" s="32">
        <f>D69+D62</f>
        <v>9962</v>
      </c>
      <c r="E70" s="32">
        <f>E69+E62</f>
        <v>10100</v>
      </c>
      <c r="F70" s="32">
        <f>F69+F62</f>
        <v>10503</v>
      </c>
      <c r="G70" s="33">
        <f>G69+G62</f>
        <v>11003</v>
      </c>
      <c r="I70" s="31"/>
      <c r="J70" s="44"/>
      <c r="L70" s="31" t="s">
        <v>46</v>
      </c>
      <c r="M70" s="32">
        <f>M69+M62</f>
        <v>11003</v>
      </c>
      <c r="N70" s="32">
        <f ca="1">N69+N62</f>
        <v>11929.7131169</v>
      </c>
      <c r="O70" s="32">
        <f t="shared" ref="O70:Q70" ca="1" si="103">O69+O62</f>
        <v>11469.445153413351</v>
      </c>
      <c r="P70" s="32">
        <f t="shared" ca="1" si="103"/>
        <v>10999.28142871174</v>
      </c>
      <c r="Q70" s="32">
        <f t="shared" ca="1" si="103"/>
        <v>11157.332368332745</v>
      </c>
      <c r="R70" s="33">
        <f t="shared" ref="R70" ca="1" si="104">R69+R62</f>
        <v>11412.584564923836</v>
      </c>
    </row>
    <row r="71" spans="2:33" ht="17" thickBot="1" x14ac:dyDescent="0.4"/>
    <row r="72" spans="2:33" x14ac:dyDescent="0.35">
      <c r="L72" s="54" t="s">
        <v>112</v>
      </c>
      <c r="M72" s="26"/>
      <c r="N72" s="66">
        <f>SUM(N34:N38)+SUM(N44:N48)</f>
        <v>11729.7131169</v>
      </c>
      <c r="O72" s="66">
        <f t="shared" ref="O72:Q72" si="105">SUM(O34:O38)+SUM(O44:O48)</f>
        <v>11269.445153413351</v>
      </c>
      <c r="P72" s="66">
        <f t="shared" si="105"/>
        <v>10799.281428711738</v>
      </c>
      <c r="Q72" s="66">
        <f t="shared" si="105"/>
        <v>10319.00918392904</v>
      </c>
      <c r="R72" s="143">
        <f t="shared" ref="R72" si="106">SUM(R34:R38)+SUM(R44:R48)</f>
        <v>9828.4110858835156</v>
      </c>
    </row>
    <row r="73" spans="2:33" x14ac:dyDescent="0.35">
      <c r="L73" s="100" t="s">
        <v>113</v>
      </c>
      <c r="M73" s="36"/>
      <c r="N73" s="67">
        <f ca="1">N56+SUM(N59:N60)+N69</f>
        <v>10596.695749196268</v>
      </c>
      <c r="O73" s="67">
        <f t="shared" ref="O73:Q73" ca="1" si="107">O56+SUM(O59:O60)+O69</f>
        <v>10743.627567974127</v>
      </c>
      <c r="P73" s="67">
        <f t="shared" ca="1" si="107"/>
        <v>10932.20898019175</v>
      </c>
      <c r="Q73" s="67">
        <f t="shared" ca="1" si="107"/>
        <v>11157.332368332745</v>
      </c>
      <c r="R73" s="30">
        <f t="shared" ref="R73" ca="1" si="108">R56+SUM(R59:R60)+R69</f>
        <v>11412.584564923836</v>
      </c>
    </row>
    <row r="74" spans="2:33" ht="17" thickBot="1" x14ac:dyDescent="0.4">
      <c r="L74" s="101" t="s">
        <v>114</v>
      </c>
      <c r="M74" s="43"/>
      <c r="N74" s="68">
        <f ca="1">N72-N73</f>
        <v>1133.0173677037328</v>
      </c>
      <c r="O74" s="68">
        <f t="shared" ref="O74:Q74" ca="1" si="109">O72-O73</f>
        <v>525.81758543922479</v>
      </c>
      <c r="P74" s="68">
        <f t="shared" ca="1" si="109"/>
        <v>-132.92755148001197</v>
      </c>
      <c r="Q74" s="68">
        <f t="shared" ca="1" si="109"/>
        <v>-838.32318440370545</v>
      </c>
      <c r="R74" s="33">
        <f t="shared" ref="R74" ca="1" si="110">R72-R73</f>
        <v>-1584.1734790403207</v>
      </c>
    </row>
    <row r="75" spans="2:33" ht="17" thickBot="1" x14ac:dyDescent="0.4"/>
    <row r="76" spans="2:33" ht="17" thickBot="1" x14ac:dyDescent="0.4">
      <c r="L76" s="99" t="s">
        <v>124</v>
      </c>
      <c r="M76" s="175">
        <v>2.2100000000000002E-2</v>
      </c>
      <c r="U76" s="158"/>
      <c r="V76" s="159"/>
      <c r="W76" s="164" t="s">
        <v>125</v>
      </c>
      <c r="X76" s="164"/>
      <c r="Y76" s="164"/>
      <c r="Z76" s="164"/>
      <c r="AA76" s="164"/>
      <c r="AB76" s="164"/>
      <c r="AC76" s="164"/>
      <c r="AD76" s="164"/>
      <c r="AE76" s="164"/>
      <c r="AF76" s="164"/>
      <c r="AG76" s="165"/>
    </row>
    <row r="77" spans="2:33" ht="17" thickBot="1" x14ac:dyDescent="0.4">
      <c r="L77" s="99" t="s">
        <v>125</v>
      </c>
      <c r="M77" s="175">
        <v>8.7499999999999994E-2</v>
      </c>
      <c r="U77" s="160"/>
      <c r="V77" s="170">
        <f ca="1">M95</f>
        <v>15.600161895485151</v>
      </c>
      <c r="W77" s="163">
        <v>8.2500000000000004E-2</v>
      </c>
      <c r="X77" s="163">
        <v>8.3500000000000005E-2</v>
      </c>
      <c r="Y77" s="163">
        <v>8.4500000000000006E-2</v>
      </c>
      <c r="Z77" s="163">
        <v>8.5500000000000007E-2</v>
      </c>
      <c r="AA77" s="163">
        <v>8.6499999999999994E-2</v>
      </c>
      <c r="AB77" s="162">
        <v>8.7499999999999994E-2</v>
      </c>
      <c r="AC77" s="163">
        <v>8.8499999999999995E-2</v>
      </c>
      <c r="AD77" s="163">
        <v>8.9499999999999996E-2</v>
      </c>
      <c r="AE77" s="163">
        <v>9.0499999999999997E-2</v>
      </c>
      <c r="AF77" s="163">
        <v>9.1499999999999998E-2</v>
      </c>
      <c r="AG77" s="166">
        <v>9.2499999999999999E-2</v>
      </c>
    </row>
    <row r="78" spans="2:33" ht="17" thickBot="1" x14ac:dyDescent="0.4">
      <c r="L78" s="69"/>
      <c r="M78" s="23">
        <v>2018</v>
      </c>
      <c r="N78" s="23">
        <v>2019</v>
      </c>
      <c r="O78" s="23">
        <v>2020</v>
      </c>
      <c r="P78" s="23">
        <v>2021</v>
      </c>
      <c r="Q78" s="23">
        <v>2022</v>
      </c>
      <c r="R78" s="24">
        <v>2023</v>
      </c>
      <c r="U78" s="167" t="s">
        <v>124</v>
      </c>
      <c r="V78" s="163">
        <v>1.7100000000000001E-2</v>
      </c>
      <c r="W78" s="154">
        <f t="dataTable" ref="W78:AG88" dt2D="1" dtr="1" r1="M77" r2="M76" ca="1"/>
        <v>16.242974101202972</v>
      </c>
      <c r="X78" s="154">
        <v>15.646642481938949</v>
      </c>
      <c r="Y78" s="154">
        <v>15.068107197227727</v>
      </c>
      <c r="Z78" s="154">
        <v>14.506586363960841</v>
      </c>
      <c r="AA78" s="154">
        <v>13.961343177434207</v>
      </c>
      <c r="AB78" s="150">
        <v>13.431682709630552</v>
      </c>
      <c r="AC78" s="154">
        <v>12.916948976554441</v>
      </c>
      <c r="AD78" s="154">
        <v>12.416522248607635</v>
      </c>
      <c r="AE78" s="154">
        <v>11.929816580825385</v>
      </c>
      <c r="AF78" s="154">
        <v>11.456277542289104</v>
      </c>
      <c r="AG78" s="172">
        <v>10.995380126222889</v>
      </c>
    </row>
    <row r="79" spans="2:33" x14ac:dyDescent="0.35">
      <c r="L79" s="28" t="s">
        <v>116</v>
      </c>
      <c r="M79" s="36"/>
      <c r="N79" s="29">
        <f ca="1">N25</f>
        <v>485.71391344626727</v>
      </c>
      <c r="O79" s="29">
        <f ca="1">O25</f>
        <v>453.6806593092337</v>
      </c>
      <c r="P79" s="29">
        <f ca="1">P25</f>
        <v>494.49280282042344</v>
      </c>
      <c r="Q79" s="29">
        <f ca="1">Q25</f>
        <v>530.17932364175238</v>
      </c>
      <c r="R79" s="30">
        <f ca="1">R25</f>
        <v>559.43428470511651</v>
      </c>
      <c r="U79" s="167"/>
      <c r="V79" s="163">
        <v>1.8100000000000002E-2</v>
      </c>
      <c r="W79" s="154">
        <v>16.725896654080643</v>
      </c>
      <c r="X79" s="154">
        <v>16.113292442275512</v>
      </c>
      <c r="Y79" s="154">
        <v>15.519242197622914</v>
      </c>
      <c r="Z79" s="154">
        <v>14.94291871502381</v>
      </c>
      <c r="AA79" s="154">
        <v>14.383543177233843</v>
      </c>
      <c r="AB79" s="150">
        <v>13.840381668578372</v>
      </c>
      <c r="AC79" s="154">
        <v>13.312741985794897</v>
      </c>
      <c r="AD79" s="154">
        <v>12.799970716873677</v>
      </c>
      <c r="AE79" s="154">
        <v>12.301450561984032</v>
      </c>
      <c r="AF79" s="154">
        <v>11.816597873400307</v>
      </c>
      <c r="AG79" s="155">
        <v>11.34486039382158</v>
      </c>
    </row>
    <row r="80" spans="2:33" x14ac:dyDescent="0.35">
      <c r="L80" s="28" t="s">
        <v>117</v>
      </c>
      <c r="M80" s="36"/>
      <c r="N80" s="29">
        <f>-N6</f>
        <v>514.52728524999998</v>
      </c>
      <c r="O80" s="29">
        <f>-O6</f>
        <v>598.72238213287494</v>
      </c>
      <c r="P80" s="29">
        <f>-P6</f>
        <v>611.59491334873189</v>
      </c>
      <c r="Q80" s="29">
        <f>-Q6</f>
        <v>624.74420398572954</v>
      </c>
      <c r="R80" s="30">
        <f>-R6</f>
        <v>638.17620437142284</v>
      </c>
      <c r="U80" s="167"/>
      <c r="V80" s="163">
        <v>1.9099999999999999E-2</v>
      </c>
      <c r="W80" s="154">
        <v>17.22405335689135</v>
      </c>
      <c r="X80" s="154">
        <v>16.594434637405133</v>
      </c>
      <c r="Y80" s="154">
        <v>15.984173375400221</v>
      </c>
      <c r="Z80" s="154">
        <v>15.392393606781454</v>
      </c>
      <c r="AA80" s="154">
        <v>14.818271366938502</v>
      </c>
      <c r="AB80" s="150">
        <v>14.261030889483719</v>
      </c>
      <c r="AC80" s="154">
        <v>13.719941133630167</v>
      </c>
      <c r="AD80" s="154">
        <v>13.194312607533645</v>
      </c>
      <c r="AE80" s="154">
        <v>12.683494458581276</v>
      </c>
      <c r="AF80" s="154">
        <v>12.186871804818431</v>
      </c>
      <c r="AG80" s="155">
        <v>11.703863284515599</v>
      </c>
    </row>
    <row r="81" spans="12:33" x14ac:dyDescent="0.35">
      <c r="L81" s="28" t="s">
        <v>118</v>
      </c>
      <c r="M81" s="36"/>
      <c r="N81" s="29">
        <f ca="1">N57-M57</f>
        <v>915.0248862537328</v>
      </c>
      <c r="O81" s="29">
        <f ca="1">O57-N57</f>
        <v>-584.25912061568306</v>
      </c>
      <c r="P81" s="29">
        <f ca="1">P57-O57</f>
        <v>-635.31125104496186</v>
      </c>
      <c r="Q81" s="29">
        <f ca="1">Q57-P57</f>
        <v>-43.134734099416164</v>
      </c>
      <c r="R81" s="30">
        <f ca="1">R57-Q57</f>
        <v>24.452375280613978</v>
      </c>
      <c r="U81" s="167"/>
      <c r="V81" s="163">
        <v>2.01E-2</v>
      </c>
      <c r="W81" s="154">
        <v>17.73817662068959</v>
      </c>
      <c r="X81" s="154">
        <v>17.090754819762825</v>
      </c>
      <c r="Y81" s="154">
        <v>16.463543409630237</v>
      </c>
      <c r="Z81" s="154">
        <v>15.855613908072971</v>
      </c>
      <c r="AA81" s="154">
        <v>15.26609377922464</v>
      </c>
      <c r="AB81" s="150">
        <v>14.694162283116228</v>
      </c>
      <c r="AC81" s="154">
        <v>14.139046689296883</v>
      </c>
      <c r="AD81" s="154">
        <v>13.600018817809175</v>
      </c>
      <c r="AE81" s="154">
        <v>13.07639187496823</v>
      </c>
      <c r="AF81" s="154">
        <v>12.567517555043793</v>
      </c>
      <c r="AG81" s="155">
        <v>12.072783382134872</v>
      </c>
    </row>
    <row r="82" spans="12:33" ht="17" thickBot="1" x14ac:dyDescent="0.4">
      <c r="L82" s="28" t="s">
        <v>119</v>
      </c>
      <c r="M82" s="36"/>
      <c r="N82" s="29">
        <f ca="1">-(N39-M39)</f>
        <v>-8.6988521500002207</v>
      </c>
      <c r="O82" s="29">
        <f ca="1">-(O39-N39)</f>
        <v>-22.67602532122487</v>
      </c>
      <c r="P82" s="29">
        <f ca="1">-(P39-O39)</f>
        <v>-23.163559865631441</v>
      </c>
      <c r="Q82" s="29">
        <f ca="1">-(Q39-P39)</f>
        <v>-661.98476080644787</v>
      </c>
      <c r="R82" s="30">
        <f ca="1">-(R39-Q39)</f>
        <v>-770.02059493201659</v>
      </c>
      <c r="U82" s="167"/>
      <c r="V82" s="163">
        <v>2.1100000000000001E-2</v>
      </c>
      <c r="W82" s="154">
        <v>18.269046570605035</v>
      </c>
      <c r="X82" s="154">
        <v>17.602982700273014</v>
      </c>
      <c r="Y82" s="154">
        <v>16.958035526958998</v>
      </c>
      <c r="Z82" s="154">
        <v>16.333219933007086</v>
      </c>
      <c r="AA82" s="154">
        <v>15.727611066504229</v>
      </c>
      <c r="AB82" s="150">
        <v>15.14033980306297</v>
      </c>
      <c r="AC82" s="154">
        <v>14.570588611600595</v>
      </c>
      <c r="AD82" s="154">
        <v>14.017587782771123</v>
      </c>
      <c r="AE82" s="154">
        <v>13.480611983470084</v>
      </c>
      <c r="AF82" s="154">
        <v>12.958977104991472</v>
      </c>
      <c r="AG82" s="155">
        <v>12.452037376045997</v>
      </c>
    </row>
    <row r="83" spans="12:33" ht="17" thickBot="1" x14ac:dyDescent="0.4">
      <c r="L83" s="28" t="s">
        <v>120</v>
      </c>
      <c r="M83" s="36"/>
      <c r="N83" s="29">
        <f>-(N42-M42)</f>
        <v>-1415.0415499999999</v>
      </c>
      <c r="O83" s="29">
        <f>-(O42-N42)</f>
        <v>-115.77839332500025</v>
      </c>
      <c r="P83" s="29">
        <f>-(P42-O42)</f>
        <v>-118.26762878148747</v>
      </c>
      <c r="Q83" s="29">
        <f>-(Q42-P42)</f>
        <v>-120.81038280029043</v>
      </c>
      <c r="R83" s="30">
        <f>-(R42-Q42)</f>
        <v>-123.40780603049643</v>
      </c>
      <c r="U83" s="167"/>
      <c r="V83" s="161">
        <v>2.2100000000000002E-2</v>
      </c>
      <c r="W83" s="151">
        <v>18.817494995683237</v>
      </c>
      <c r="X83" s="151">
        <v>18.13189552803108</v>
      </c>
      <c r="Y83" s="151">
        <v>17.468376750612396</v>
      </c>
      <c r="Z83" s="151">
        <v>16.825892394058993</v>
      </c>
      <c r="AA83" s="151">
        <v>16.203461188792502</v>
      </c>
      <c r="AB83" s="173">
        <v>15.600161895485151</v>
      </c>
      <c r="AC83" s="151">
        <v>15.015128784576104</v>
      </c>
      <c r="AD83" s="151">
        <v>14.447547518206715</v>
      </c>
      <c r="AE83" s="151">
        <v>13.896651393390115</v>
      </c>
      <c r="AF83" s="151">
        <v>13.361717909980863</v>
      </c>
      <c r="AG83" s="152">
        <v>12.842065631147781</v>
      </c>
    </row>
    <row r="84" spans="12:33" x14ac:dyDescent="0.35">
      <c r="L84" s="28" t="s">
        <v>122</v>
      </c>
      <c r="M84" s="36"/>
      <c r="N84" s="29">
        <f t="shared" ref="N84:Q85" ca="1" si="111">-(1-$J$20)*N15</f>
        <v>121.42332738624245</v>
      </c>
      <c r="O84" s="29">
        <f t="shared" ca="1" si="111"/>
        <v>115.22979651416281</v>
      </c>
      <c r="P84" s="29">
        <f t="shared" ca="1" si="111"/>
        <v>86.718726252175841</v>
      </c>
      <c r="Q84" s="29">
        <f t="shared" ca="1" si="111"/>
        <v>66.097830680255498</v>
      </c>
      <c r="R84" s="30">
        <f t="shared" ref="R84" ca="1" si="112">-(1-$J$20)*R15</f>
        <v>55.099877480999993</v>
      </c>
      <c r="U84" s="167"/>
      <c r="V84" s="163">
        <v>2.3099999999999999E-2</v>
      </c>
      <c r="W84" s="154">
        <v>19.384409697700097</v>
      </c>
      <c r="X84" s="154">
        <v>18.67832202558246</v>
      </c>
      <c r="Y84" s="154">
        <v>17.995341466892942</v>
      </c>
      <c r="Z84" s="154">
        <v>17.334355639118971</v>
      </c>
      <c r="AA84" s="154">
        <v>16.694322355947907</v>
      </c>
      <c r="AB84" s="150">
        <v>16.074264177112976</v>
      </c>
      <c r="AC84" s="154">
        <v>15.47326345825423</v>
      </c>
      <c r="AD84" s="154">
        <v>14.890457848083139</v>
      </c>
      <c r="AE84" s="154">
        <v>14.325036186393826</v>
      </c>
      <c r="AF84" s="154">
        <v>13.776234761899769</v>
      </c>
      <c r="AG84" s="155">
        <v>13.243333893601195</v>
      </c>
    </row>
    <row r="85" spans="12:33" x14ac:dyDescent="0.35">
      <c r="L85" s="28" t="s">
        <v>121</v>
      </c>
      <c r="M85" s="36"/>
      <c r="N85" s="29">
        <f t="shared" ca="1" si="111"/>
        <v>-1.3120727249999999</v>
      </c>
      <c r="O85" s="29">
        <f t="shared" ca="1" si="111"/>
        <v>-1.5666540000000002</v>
      </c>
      <c r="P85" s="29">
        <f t="shared" ca="1" si="111"/>
        <v>-1.5666540000000002</v>
      </c>
      <c r="Q85" s="29">
        <f t="shared" ca="1" si="111"/>
        <v>-4.066732925347007</v>
      </c>
      <c r="R85" s="30">
        <f t="shared" ref="R85" ca="1" si="113">-(1-$J$20)*R16</f>
        <v>-9.4880352194280935</v>
      </c>
      <c r="U85" s="167"/>
      <c r="V85" s="163">
        <v>2.41E-2</v>
      </c>
      <c r="W85" s="154">
        <v>19.970739286772343</v>
      </c>
      <c r="X85" s="154">
        <v>19.243146721704598</v>
      </c>
      <c r="Y85" s="154">
        <v>18.539755345964235</v>
      </c>
      <c r="Z85" s="154">
        <v>17.859381204864945</v>
      </c>
      <c r="AA85" s="154">
        <v>17.200916252819841</v>
      </c>
      <c r="AB85" s="150">
        <v>16.563322366678602</v>
      </c>
      <c r="AC85" s="154">
        <v>15.945625916829185</v>
      </c>
      <c r="AD85" s="154">
        <v>15.346912836365581</v>
      </c>
      <c r="AE85" s="154">
        <v>14.766324135813308</v>
      </c>
      <c r="AF85" s="154">
        <v>14.203051817139709</v>
      </c>
      <c r="AG85" s="155">
        <v>13.656335146184839</v>
      </c>
    </row>
    <row r="86" spans="12:33" ht="17" thickBot="1" x14ac:dyDescent="0.4">
      <c r="L86" s="31" t="s">
        <v>123</v>
      </c>
      <c r="M86" s="43"/>
      <c r="N86" s="32">
        <f ca="1">SUM(N79:N85)</f>
        <v>611.63693746124238</v>
      </c>
      <c r="O86" s="32">
        <f t="shared" ref="O86:Q86" ca="1" si="114">SUM(O79:O85)</f>
        <v>443.35264469436316</v>
      </c>
      <c r="P86" s="32">
        <f t="shared" ca="1" si="114"/>
        <v>414.49734872925035</v>
      </c>
      <c r="Q86" s="32">
        <f t="shared" ca="1" si="114"/>
        <v>391.0247476762359</v>
      </c>
      <c r="R86" s="33">
        <f t="shared" ref="R86" ca="1" si="115">SUM(R79:R85)</f>
        <v>374.24630565621226</v>
      </c>
      <c r="U86" s="167"/>
      <c r="V86" s="163">
        <v>2.5100000000000001E-2</v>
      </c>
      <c r="W86" s="154">
        <v>20.577498478251275</v>
      </c>
      <c r="X86" s="154">
        <v>19.827314729337768</v>
      </c>
      <c r="Y86" s="154">
        <v>19.102499658674287</v>
      </c>
      <c r="Z86" s="154">
        <v>18.401791723119057</v>
      </c>
      <c r="AA86" s="154">
        <v>17.72401157955731</v>
      </c>
      <c r="AB86" s="150">
        <v>17.068055498217486</v>
      </c>
      <c r="AC86" s="154">
        <v>16.432889399333959</v>
      </c>
      <c r="AD86" s="154">
        <v>15.817543445402123</v>
      </c>
      <c r="AE86" s="154">
        <v>15.221107129557558</v>
      </c>
      <c r="AF86" s="154">
        <v>14.64272480777845</v>
      </c>
      <c r="AG86" s="155">
        <v>14.081591628815461</v>
      </c>
    </row>
    <row r="87" spans="12:33" x14ac:dyDescent="0.35">
      <c r="L87" s="36"/>
      <c r="M87" s="36"/>
      <c r="N87" s="36"/>
      <c r="O87" s="36"/>
      <c r="P87" s="36"/>
      <c r="R87" s="36" t="s">
        <v>126</v>
      </c>
      <c r="U87" s="167"/>
      <c r="V87" s="163">
        <v>2.6100000000000002E-2</v>
      </c>
      <c r="W87" s="154">
        <v>21.205773953115994</v>
      </c>
      <c r="X87" s="154">
        <v>20.431837022951193</v>
      </c>
      <c r="Y87" s="154">
        <v>19.684516036888109</v>
      </c>
      <c r="Z87" s="154">
        <v>18.962465221785777</v>
      </c>
      <c r="AA87" s="154">
        <v>18.26442794360397</v>
      </c>
      <c r="AB87" s="150">
        <v>17.589229448373278</v>
      </c>
      <c r="AC87" s="154">
        <v>16.93577030114978</v>
      </c>
      <c r="AD87" s="154">
        <v>16.303020445890926</v>
      </c>
      <c r="AE87" s="154">
        <v>15.690013818759692</v>
      </c>
      <c r="AF87" s="154">
        <v>15.095843455623267</v>
      </c>
      <c r="AG87" s="155">
        <v>14.519657041645818</v>
      </c>
    </row>
    <row r="88" spans="12:33" ht="17" thickBot="1" x14ac:dyDescent="0.4">
      <c r="L88" s="36"/>
      <c r="M88" s="36"/>
      <c r="N88" s="67">
        <f ca="1">N86</f>
        <v>611.63693746124238</v>
      </c>
      <c r="O88" s="67">
        <f ca="1">O86</f>
        <v>443.35264469436316</v>
      </c>
      <c r="P88" s="67">
        <f ca="1">P86</f>
        <v>414.49734872925035</v>
      </c>
      <c r="Q88" s="144">
        <f ca="1">Q86</f>
        <v>391.0247476762359</v>
      </c>
      <c r="R88" s="145">
        <f ca="1">R86*(1+M76)/(M77-M76)</f>
        <v>5848.8860705078687</v>
      </c>
      <c r="U88" s="168"/>
      <c r="V88" s="169">
        <v>2.7099999999999999E-2</v>
      </c>
      <c r="W88" s="171">
        <v>21.856730853066079</v>
      </c>
      <c r="X88" s="156">
        <v>21.057796277331043</v>
      </c>
      <c r="Y88" s="156">
        <v>20.286811731416002</v>
      </c>
      <c r="Z88" s="156">
        <v>19.542339867667096</v>
      </c>
      <c r="AA88" s="156">
        <v>18.823040144823906</v>
      </c>
      <c r="AB88" s="153">
        <v>18.127660814097119</v>
      </c>
      <c r="AC88" s="156">
        <v>17.455031688366766</v>
      </c>
      <c r="AD88" s="156">
        <v>16.804057606651806</v>
      </c>
      <c r="AE88" s="156">
        <v>16.173712517084933</v>
      </c>
      <c r="AF88" s="156">
        <v>15.563034111165127</v>
      </c>
      <c r="AG88" s="157">
        <v>14.971118950281365</v>
      </c>
    </row>
    <row r="90" spans="12:33" x14ac:dyDescent="0.35">
      <c r="L90" s="99" t="s">
        <v>127</v>
      </c>
      <c r="M90" s="146">
        <f ca="1">NPV(M77,N88:R88)</f>
        <v>5384.4216939950102</v>
      </c>
      <c r="N90" s="10" t="s">
        <v>190</v>
      </c>
    </row>
    <row r="91" spans="12:33" x14ac:dyDescent="0.35">
      <c r="L91" s="99" t="s">
        <v>128</v>
      </c>
      <c r="M91" s="70">
        <f>M33</f>
        <v>135</v>
      </c>
      <c r="N91" s="10" t="s">
        <v>190</v>
      </c>
    </row>
    <row r="92" spans="12:33" x14ac:dyDescent="0.35">
      <c r="L92" s="99" t="s">
        <v>129</v>
      </c>
      <c r="M92" s="70">
        <f>-M59</f>
        <v>-3429</v>
      </c>
      <c r="N92" s="10" t="s">
        <v>190</v>
      </c>
    </row>
    <row r="93" spans="12:33" x14ac:dyDescent="0.35">
      <c r="L93" s="99" t="s">
        <v>130</v>
      </c>
      <c r="M93" s="130">
        <f ca="1">SUM(M90:M92)</f>
        <v>2090.4216939950102</v>
      </c>
      <c r="N93" s="10" t="s">
        <v>190</v>
      </c>
    </row>
    <row r="94" spans="12:33" x14ac:dyDescent="0.35">
      <c r="L94" s="99" t="s">
        <v>131</v>
      </c>
      <c r="M94" s="10">
        <v>134</v>
      </c>
      <c r="N94" s="10" t="s">
        <v>190</v>
      </c>
    </row>
    <row r="95" spans="12:33" x14ac:dyDescent="0.35">
      <c r="L95" s="99" t="s">
        <v>132</v>
      </c>
      <c r="M95" s="176">
        <f ca="1">M93/M94</f>
        <v>15.600161895485151</v>
      </c>
    </row>
    <row r="96" spans="12:33" x14ac:dyDescent="0.35">
      <c r="L96" s="10" t="s">
        <v>191</v>
      </c>
      <c r="M96" s="141">
        <v>97.08</v>
      </c>
    </row>
  </sheetData>
  <mergeCells count="7">
    <mergeCell ref="W76:AG76"/>
    <mergeCell ref="U78:U88"/>
    <mergeCell ref="B2:G2"/>
    <mergeCell ref="B29:G29"/>
    <mergeCell ref="I2:J2"/>
    <mergeCell ref="L2:R2"/>
    <mergeCell ref="L29:R29"/>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A9E18-638B-4900-8F75-DC80C13D362C}">
  <dimension ref="B1:P124"/>
  <sheetViews>
    <sheetView topLeftCell="A66" zoomScale="85" zoomScaleNormal="85" workbookViewId="0">
      <selection activeCell="C82" sqref="C82"/>
    </sheetView>
  </sheetViews>
  <sheetFormatPr defaultRowHeight="16.5" x14ac:dyDescent="0.35"/>
  <cols>
    <col min="1" max="1" width="8.7265625" style="10"/>
    <col min="2" max="2" width="36.1796875" style="20" bestFit="1" customWidth="1"/>
    <col min="3" max="3" width="11.54296875" style="10" bestFit="1" customWidth="1"/>
    <col min="4" max="4" width="8.7265625" style="10"/>
    <col min="5" max="5" width="10.08984375" style="10" bestFit="1" customWidth="1"/>
    <col min="6" max="8" width="8.7265625" style="10"/>
    <col min="9" max="9" width="18.08984375" style="10" bestFit="1" customWidth="1"/>
    <col min="10" max="16384" width="8.7265625" style="10"/>
  </cols>
  <sheetData>
    <row r="1" spans="2:16" ht="17" thickBot="1" x14ac:dyDescent="0.4"/>
    <row r="2" spans="2:16" ht="16.5" customHeight="1" thickBot="1" x14ac:dyDescent="0.4">
      <c r="B2" s="108" t="s">
        <v>85</v>
      </c>
      <c r="C2" s="109"/>
      <c r="D2" s="109"/>
      <c r="E2" s="109"/>
      <c r="F2" s="109"/>
      <c r="G2" s="109"/>
      <c r="H2" s="109"/>
      <c r="I2" s="109"/>
      <c r="J2" s="109"/>
      <c r="K2" s="109"/>
      <c r="L2" s="109"/>
      <c r="M2" s="109"/>
      <c r="N2" s="109"/>
      <c r="O2" s="109"/>
      <c r="P2" s="110"/>
    </row>
    <row r="3" spans="2:16" ht="17" thickBot="1" x14ac:dyDescent="0.4">
      <c r="B3" s="21" t="s">
        <v>84</v>
      </c>
      <c r="C3" s="11">
        <v>2005</v>
      </c>
      <c r="D3" s="11">
        <v>2006</v>
      </c>
      <c r="E3" s="11">
        <v>2007</v>
      </c>
      <c r="F3" s="11">
        <v>2008</v>
      </c>
      <c r="G3" s="11">
        <v>2009</v>
      </c>
      <c r="H3" s="11">
        <v>2010</v>
      </c>
      <c r="I3" s="11">
        <v>2011</v>
      </c>
      <c r="J3" s="11">
        <v>2012</v>
      </c>
      <c r="K3" s="11">
        <v>2013</v>
      </c>
      <c r="L3" s="11">
        <v>2014</v>
      </c>
      <c r="M3" s="11">
        <v>2015</v>
      </c>
      <c r="N3" s="11">
        <v>2016</v>
      </c>
      <c r="O3" s="11">
        <v>2017</v>
      </c>
      <c r="P3" s="13">
        <v>2018</v>
      </c>
    </row>
    <row r="4" spans="2:16" ht="17" thickBot="1" x14ac:dyDescent="0.4">
      <c r="B4" s="22" t="s">
        <v>76</v>
      </c>
      <c r="C4" s="14">
        <v>5457</v>
      </c>
      <c r="D4" s="14">
        <v>6269</v>
      </c>
      <c r="E4" s="14">
        <v>6705</v>
      </c>
      <c r="F4" s="14">
        <v>7249</v>
      </c>
      <c r="G4" s="14">
        <v>7455</v>
      </c>
      <c r="H4" s="14">
        <v>7260</v>
      </c>
      <c r="I4" s="14">
        <v>7392</v>
      </c>
      <c r="J4" s="14">
        <v>7383</v>
      </c>
      <c r="K4" s="14">
        <v>7146</v>
      </c>
      <c r="L4" s="14">
        <v>7435</v>
      </c>
      <c r="M4" s="14">
        <v>7493</v>
      </c>
      <c r="N4" s="14">
        <v>7214</v>
      </c>
      <c r="O4" s="14">
        <v>7402</v>
      </c>
      <c r="P4" s="15">
        <v>7531</v>
      </c>
    </row>
    <row r="5" spans="2:16" x14ac:dyDescent="0.35">
      <c r="B5" s="20" t="s">
        <v>74</v>
      </c>
      <c r="D5" s="16">
        <f>D4/C4-1</f>
        <v>0.14879970679860732</v>
      </c>
      <c r="E5" s="16">
        <f t="shared" ref="E5:P5" si="0">E4/D4-1</f>
        <v>6.9548572340086157E-2</v>
      </c>
      <c r="F5" s="16">
        <f t="shared" si="0"/>
        <v>8.1133482475764351E-2</v>
      </c>
      <c r="G5" s="16">
        <f t="shared" si="0"/>
        <v>2.8417712787970784E-2</v>
      </c>
      <c r="H5" s="16">
        <f t="shared" si="0"/>
        <v>-2.6156941649899346E-2</v>
      </c>
      <c r="I5" s="16">
        <f t="shared" si="0"/>
        <v>1.8181818181818077E-2</v>
      </c>
      <c r="J5" s="16">
        <f t="shared" si="0"/>
        <v>-1.2175324675324228E-3</v>
      </c>
      <c r="K5" s="16">
        <f t="shared" si="0"/>
        <v>-3.2100772043884618E-2</v>
      </c>
      <c r="L5" s="16">
        <f t="shared" si="0"/>
        <v>4.0442205429610967E-2</v>
      </c>
      <c r="M5" s="16">
        <f t="shared" si="0"/>
        <v>7.8009414929387511E-3</v>
      </c>
      <c r="N5" s="16">
        <f t="shared" si="0"/>
        <v>-3.7234752435606588E-2</v>
      </c>
      <c r="O5" s="16">
        <f t="shared" si="0"/>
        <v>2.606043803715008E-2</v>
      </c>
      <c r="P5" s="16">
        <f t="shared" si="0"/>
        <v>1.7427722237233212E-2</v>
      </c>
    </row>
    <row r="6" spans="2:16" ht="17" thickBot="1" x14ac:dyDescent="0.4">
      <c r="B6" s="20" t="s">
        <v>86</v>
      </c>
      <c r="D6" s="16">
        <f>AVERAGE(D5:P5)</f>
        <v>2.6238661629558211E-2</v>
      </c>
      <c r="E6" s="10" t="str">
        <f ca="1">_xlfn.FORMULATEXT(D6)</f>
        <v>=AVERAGE(D5:P5)</v>
      </c>
    </row>
    <row r="7" spans="2:16" ht="17" thickBot="1" x14ac:dyDescent="0.4">
      <c r="B7" s="18" t="s">
        <v>87</v>
      </c>
      <c r="C7" s="12"/>
      <c r="D7" s="19">
        <f>(P4/C4)^(1/13)-1</f>
        <v>2.5088680783805772E-2</v>
      </c>
      <c r="E7" s="10" t="str">
        <f ca="1">_xlfn.FORMULATEXT(D7)</f>
        <v>=(P4/C4)^(1/13)-1</v>
      </c>
    </row>
    <row r="8" spans="2:16" ht="17" thickBot="1" x14ac:dyDescent="0.4">
      <c r="B8" s="17" t="s">
        <v>88</v>
      </c>
      <c r="C8" s="12"/>
      <c r="D8" s="10">
        <f>SLOPE(C4:P4,C3:P3)</f>
        <v>99.479120879120885</v>
      </c>
    </row>
    <row r="9" spans="2:16" ht="17" thickBot="1" x14ac:dyDescent="0.4">
      <c r="B9" s="17" t="s">
        <v>74</v>
      </c>
      <c r="C9" s="12"/>
      <c r="D9" s="19">
        <f>D8/P4</f>
        <v>1.3209284408328361E-2</v>
      </c>
      <c r="E9" s="10" t="str">
        <f ca="1">_xlfn.FORMULATEXT(D9)</f>
        <v>=D8/P4</v>
      </c>
    </row>
    <row r="10" spans="2:16" ht="17" thickBot="1" x14ac:dyDescent="0.4">
      <c r="B10" s="34" t="s">
        <v>90</v>
      </c>
      <c r="C10" s="12"/>
      <c r="D10" s="16">
        <f>AVERAGE(D9,D7,D6)</f>
        <v>2.1512208940564114E-2</v>
      </c>
    </row>
    <row r="11" spans="2:16" ht="17" thickBot="1" x14ac:dyDescent="0.4">
      <c r="B11" s="17"/>
      <c r="C11" s="12"/>
    </row>
    <row r="12" spans="2:16" ht="17" thickBot="1" x14ac:dyDescent="0.4">
      <c r="B12" s="17"/>
      <c r="C12" s="12"/>
    </row>
    <row r="13" spans="2:16" ht="17" thickBot="1" x14ac:dyDescent="0.4">
      <c r="B13" s="17"/>
      <c r="C13" s="12"/>
    </row>
    <row r="14" spans="2:16" ht="17" thickBot="1" x14ac:dyDescent="0.4">
      <c r="B14" s="17"/>
      <c r="C14" s="12"/>
    </row>
    <row r="15" spans="2:16" x14ac:dyDescent="0.35">
      <c r="B15" s="17"/>
      <c r="C15" s="12"/>
    </row>
    <row r="25" spans="2:14" ht="17" thickBot="1" x14ac:dyDescent="0.4"/>
    <row r="26" spans="2:14" ht="17" thickBot="1" x14ac:dyDescent="0.4">
      <c r="B26" s="111" t="s">
        <v>89</v>
      </c>
      <c r="C26" s="112"/>
      <c r="D26" s="112"/>
      <c r="E26" s="112"/>
      <c r="F26" s="112"/>
      <c r="G26" s="113"/>
      <c r="I26" s="41"/>
      <c r="J26" s="45">
        <v>2014</v>
      </c>
      <c r="K26" s="45">
        <v>2015</v>
      </c>
      <c r="L26" s="45">
        <v>2016</v>
      </c>
      <c r="M26" s="45">
        <v>2017</v>
      </c>
      <c r="N26" s="42">
        <v>2018</v>
      </c>
    </row>
    <row r="27" spans="2:14" x14ac:dyDescent="0.35">
      <c r="B27" s="25"/>
      <c r="C27" s="26">
        <v>2014</v>
      </c>
      <c r="D27" s="26">
        <v>2015</v>
      </c>
      <c r="E27" s="26">
        <v>2016</v>
      </c>
      <c r="F27" s="26">
        <v>2017</v>
      </c>
      <c r="G27" s="27">
        <v>2018</v>
      </c>
      <c r="I27" s="28" t="s">
        <v>7</v>
      </c>
      <c r="J27" s="29">
        <v>192</v>
      </c>
      <c r="K27" s="29">
        <v>133</v>
      </c>
      <c r="L27" s="29">
        <v>359</v>
      </c>
      <c r="M27" s="29">
        <v>137</v>
      </c>
      <c r="N27" s="30">
        <v>135</v>
      </c>
    </row>
    <row r="28" spans="2:14" ht="17" thickBot="1" x14ac:dyDescent="0.4">
      <c r="B28" s="28" t="s">
        <v>76</v>
      </c>
      <c r="C28" s="29">
        <v>7435</v>
      </c>
      <c r="D28" s="29">
        <v>7493</v>
      </c>
      <c r="E28" s="29">
        <v>7515</v>
      </c>
      <c r="F28" s="29">
        <v>7709</v>
      </c>
      <c r="G28" s="30">
        <v>7531</v>
      </c>
      <c r="I28" s="31" t="s">
        <v>67</v>
      </c>
      <c r="J28" s="32">
        <v>3</v>
      </c>
      <c r="K28" s="32">
        <v>1</v>
      </c>
      <c r="L28" s="32">
        <v>1</v>
      </c>
      <c r="M28" s="32">
        <v>2</v>
      </c>
      <c r="N28" s="33">
        <v>2</v>
      </c>
    </row>
    <row r="29" spans="2:14" ht="17" thickBot="1" x14ac:dyDescent="0.4">
      <c r="B29" s="31" t="s">
        <v>89</v>
      </c>
      <c r="C29" s="32">
        <v>-4417</v>
      </c>
      <c r="D29" s="32">
        <v>-4434</v>
      </c>
      <c r="E29" s="32">
        <v>-4439</v>
      </c>
      <c r="F29" s="32">
        <v>-4523</v>
      </c>
      <c r="G29" s="33">
        <v>-4707</v>
      </c>
      <c r="I29" s="10" t="s">
        <v>79</v>
      </c>
      <c r="J29" s="19">
        <f>J28/J27</f>
        <v>1.5625E-2</v>
      </c>
      <c r="K29" s="19">
        <f t="shared" ref="K29:N29" si="1">K28/K27</f>
        <v>7.5187969924812026E-3</v>
      </c>
      <c r="L29" s="19">
        <f t="shared" si="1"/>
        <v>2.7855153203342618E-3</v>
      </c>
      <c r="M29" s="19">
        <f t="shared" si="1"/>
        <v>1.4598540145985401E-2</v>
      </c>
      <c r="N29" s="19">
        <f t="shared" si="1"/>
        <v>1.4814814814814815E-2</v>
      </c>
    </row>
    <row r="30" spans="2:14" x14ac:dyDescent="0.35">
      <c r="B30" s="20" t="s">
        <v>75</v>
      </c>
      <c r="C30" s="16">
        <f>-C29/C28</f>
        <v>0.59408204438466716</v>
      </c>
      <c r="D30" s="16">
        <f>-D29/D28</f>
        <v>0.59175230214867214</v>
      </c>
      <c r="E30" s="16">
        <f>-E29/E28</f>
        <v>0.59068529607451759</v>
      </c>
      <c r="F30" s="16">
        <f>-F29/F28</f>
        <v>0.58671682449085483</v>
      </c>
      <c r="G30" s="16">
        <f>-G29/G28</f>
        <v>0.62501659806134646</v>
      </c>
      <c r="I30" s="35" t="s">
        <v>90</v>
      </c>
      <c r="J30" s="19">
        <f>AVERAGE(J29:N29)</f>
        <v>1.1068533454723136E-2</v>
      </c>
      <c r="K30" s="19"/>
      <c r="L30" s="19"/>
      <c r="M30" s="19"/>
      <c r="N30" s="19"/>
    </row>
    <row r="31" spans="2:14" x14ac:dyDescent="0.35">
      <c r="B31" s="35" t="s">
        <v>90</v>
      </c>
      <c r="C31" s="16">
        <f>AVERAGE(C30:G30)</f>
        <v>0.59765061303201161</v>
      </c>
    </row>
    <row r="33" spans="2:14" ht="17" thickBot="1" x14ac:dyDescent="0.4"/>
    <row r="34" spans="2:14" x14ac:dyDescent="0.35">
      <c r="B34" s="41"/>
      <c r="C34" s="45">
        <v>2014</v>
      </c>
      <c r="D34" s="45">
        <v>2015</v>
      </c>
      <c r="E34" s="45">
        <v>2016</v>
      </c>
      <c r="F34" s="45">
        <v>2017</v>
      </c>
      <c r="G34" s="42">
        <v>2018</v>
      </c>
      <c r="I34" s="41"/>
      <c r="J34" s="45">
        <v>2014</v>
      </c>
      <c r="K34" s="45">
        <v>2015</v>
      </c>
      <c r="L34" s="45">
        <v>2016</v>
      </c>
      <c r="M34" s="45">
        <v>2017</v>
      </c>
      <c r="N34" s="42">
        <v>2018</v>
      </c>
    </row>
    <row r="35" spans="2:14" x14ac:dyDescent="0.35">
      <c r="B35" s="39" t="s">
        <v>91</v>
      </c>
      <c r="C35" s="36">
        <v>367</v>
      </c>
      <c r="D35" s="36">
        <v>370</v>
      </c>
      <c r="E35" s="36">
        <v>379</v>
      </c>
      <c r="F35" s="36">
        <v>430</v>
      </c>
      <c r="G35" s="37">
        <v>429</v>
      </c>
      <c r="I35" s="28" t="s">
        <v>57</v>
      </c>
      <c r="J35" s="36">
        <v>849</v>
      </c>
      <c r="K35" s="36">
        <v>1103</v>
      </c>
      <c r="L35" s="36">
        <v>1086</v>
      </c>
      <c r="M35" s="36">
        <v>1030</v>
      </c>
      <c r="N35" s="37">
        <v>930</v>
      </c>
    </row>
    <row r="36" spans="2:14" ht="17" thickBot="1" x14ac:dyDescent="0.4">
      <c r="B36" s="39" t="s">
        <v>93</v>
      </c>
      <c r="C36" s="36">
        <v>1386</v>
      </c>
      <c r="D36" s="36">
        <v>1407</v>
      </c>
      <c r="E36" s="36">
        <v>1462</v>
      </c>
      <c r="F36" s="36">
        <v>1594</v>
      </c>
      <c r="G36" s="37">
        <v>1691</v>
      </c>
      <c r="I36" s="31" t="s">
        <v>58</v>
      </c>
      <c r="J36" s="43">
        <v>-262</v>
      </c>
      <c r="K36" s="43">
        <v>-373</v>
      </c>
      <c r="L36" s="43">
        <v>-429</v>
      </c>
      <c r="M36" s="43">
        <v>-241</v>
      </c>
      <c r="N36" s="44">
        <v>-182</v>
      </c>
    </row>
    <row r="37" spans="2:14" ht="17" thickBot="1" x14ac:dyDescent="0.4">
      <c r="B37" s="40" t="s">
        <v>94</v>
      </c>
      <c r="C37" s="43">
        <v>675</v>
      </c>
      <c r="D37" s="43">
        <v>756</v>
      </c>
      <c r="E37" s="43">
        <v>834</v>
      </c>
      <c r="F37" s="43">
        <v>934</v>
      </c>
      <c r="G37" s="44">
        <v>1013</v>
      </c>
      <c r="I37" s="10" t="s">
        <v>80</v>
      </c>
      <c r="J37" s="16">
        <f>-J36/J35</f>
        <v>0.30859835100117783</v>
      </c>
      <c r="K37" s="16">
        <f t="shared" ref="K37:N37" si="2">-K36/K35</f>
        <v>0.33816863100634631</v>
      </c>
      <c r="L37" s="16">
        <f t="shared" si="2"/>
        <v>0.39502762430939226</v>
      </c>
      <c r="M37" s="16">
        <f t="shared" si="2"/>
        <v>0.23398058252427184</v>
      </c>
      <c r="N37" s="16">
        <f t="shared" si="2"/>
        <v>0.19569892473118281</v>
      </c>
    </row>
    <row r="38" spans="2:14" ht="17" thickBot="1" x14ac:dyDescent="0.4">
      <c r="I38" s="35" t="s">
        <v>90</v>
      </c>
      <c r="J38" s="16">
        <f>AVERAGE(J37:N37)</f>
        <v>0.29429482271447421</v>
      </c>
      <c r="K38" s="16"/>
      <c r="L38" s="16"/>
      <c r="M38" s="16"/>
      <c r="N38" s="16"/>
    </row>
    <row r="39" spans="2:14" ht="17" thickBot="1" x14ac:dyDescent="0.4">
      <c r="B39" s="41" t="s">
        <v>95</v>
      </c>
      <c r="C39" s="45">
        <v>2014</v>
      </c>
      <c r="D39" s="45">
        <v>2015</v>
      </c>
      <c r="E39" s="45">
        <v>2016</v>
      </c>
      <c r="F39" s="45">
        <v>2017</v>
      </c>
      <c r="G39" s="42">
        <v>2018</v>
      </c>
    </row>
    <row r="40" spans="2:14" ht="17" thickBot="1" x14ac:dyDescent="0.4">
      <c r="B40" s="39" t="s">
        <v>91</v>
      </c>
      <c r="C40" s="47">
        <f>C35/SUM($C$35:$C$37)</f>
        <v>0.15115321252059308</v>
      </c>
      <c r="D40" s="47">
        <f>D35/SUM($D$35:$D$37)</f>
        <v>0.14607185155941571</v>
      </c>
      <c r="E40" s="47">
        <f>E35/SUM($E$35:$E$37)</f>
        <v>0.14168224299065421</v>
      </c>
      <c r="F40" s="47">
        <f>F35/SUM($F$35:$F$37)</f>
        <v>0.14536849222447601</v>
      </c>
      <c r="G40" s="48">
        <f>G35/SUM($G$35:$G$37)</f>
        <v>0.13692946058091288</v>
      </c>
      <c r="I40" s="111"/>
      <c r="J40" s="112"/>
      <c r="K40" s="112"/>
      <c r="L40" s="112"/>
      <c r="M40" s="112"/>
      <c r="N40" s="113"/>
    </row>
    <row r="41" spans="2:14" x14ac:dyDescent="0.35">
      <c r="B41" s="39" t="s">
        <v>93</v>
      </c>
      <c r="C41" s="47">
        <f t="shared" ref="C41:C42" si="3">C36/SUM($C$35:$C$37)</f>
        <v>0.57084019769357497</v>
      </c>
      <c r="D41" s="47">
        <f t="shared" ref="D41:D42" si="4">D36/SUM($D$35:$D$37)</f>
        <v>0.55546782471377809</v>
      </c>
      <c r="E41" s="47">
        <f t="shared" ref="E41:E42" si="5">E36/SUM($E$35:$E$37)</f>
        <v>0.54654205607476636</v>
      </c>
      <c r="F41" s="47">
        <f t="shared" ref="F41:F42" si="6">F36/SUM($F$35:$F$37)</f>
        <v>0.53887762001352268</v>
      </c>
      <c r="G41" s="48">
        <f t="shared" ref="G41:G42" si="7">G36/SUM($G$35:$G$37)</f>
        <v>0.53973827002872643</v>
      </c>
      <c r="I41" s="25"/>
      <c r="J41" s="26">
        <v>2014</v>
      </c>
      <c r="K41" s="26">
        <v>2015</v>
      </c>
      <c r="L41" s="26">
        <v>2016</v>
      </c>
      <c r="M41" s="26">
        <v>2017</v>
      </c>
      <c r="N41" s="27">
        <v>2018</v>
      </c>
    </row>
    <row r="42" spans="2:14" ht="17" thickBot="1" x14ac:dyDescent="0.4">
      <c r="B42" s="40" t="s">
        <v>94</v>
      </c>
      <c r="C42" s="49">
        <f t="shared" si="3"/>
        <v>0.27800658978583198</v>
      </c>
      <c r="D42" s="49">
        <f t="shared" si="4"/>
        <v>0.29846032372680614</v>
      </c>
      <c r="E42" s="49">
        <f t="shared" si="5"/>
        <v>0.31177570093457946</v>
      </c>
      <c r="F42" s="49">
        <f t="shared" si="6"/>
        <v>0.31575388776200136</v>
      </c>
      <c r="G42" s="50">
        <f t="shared" si="7"/>
        <v>0.32333226939036069</v>
      </c>
      <c r="I42" s="28" t="s">
        <v>76</v>
      </c>
      <c r="J42" s="29">
        <v>7435</v>
      </c>
      <c r="K42" s="29">
        <v>7493</v>
      </c>
      <c r="L42" s="29">
        <v>7515</v>
      </c>
      <c r="M42" s="29">
        <v>7709</v>
      </c>
      <c r="N42" s="30">
        <v>7531</v>
      </c>
    </row>
    <row r="43" spans="2:14" ht="17" thickBot="1" x14ac:dyDescent="0.4">
      <c r="C43" s="16"/>
      <c r="D43" s="46"/>
      <c r="E43" s="46"/>
      <c r="F43" s="46"/>
      <c r="G43" s="46"/>
      <c r="I43" s="31" t="s">
        <v>59</v>
      </c>
      <c r="J43" s="32">
        <v>0</v>
      </c>
      <c r="K43" s="32">
        <v>23</v>
      </c>
      <c r="L43" s="32">
        <v>39</v>
      </c>
      <c r="M43" s="32">
        <v>35</v>
      </c>
      <c r="N43" s="33">
        <v>44</v>
      </c>
    </row>
    <row r="44" spans="2:14" x14ac:dyDescent="0.35">
      <c r="B44" s="41"/>
      <c r="C44" s="42" t="s">
        <v>92</v>
      </c>
      <c r="I44" s="10" t="s">
        <v>75</v>
      </c>
      <c r="J44" s="19"/>
      <c r="K44" s="19">
        <f>K43/K42</f>
        <v>3.0695315627919393E-3</v>
      </c>
      <c r="L44" s="19">
        <f t="shared" ref="L44:N44" si="8">L43/L42</f>
        <v>5.189620758483034E-3</v>
      </c>
      <c r="M44" s="19">
        <f t="shared" si="8"/>
        <v>4.5401478791023478E-3</v>
      </c>
      <c r="N44" s="19">
        <f t="shared" si="8"/>
        <v>5.842517593945027E-3</v>
      </c>
    </row>
    <row r="45" spans="2:14" x14ac:dyDescent="0.35">
      <c r="B45" s="39" t="s">
        <v>91</v>
      </c>
      <c r="C45" s="48">
        <f>1/31.5</f>
        <v>3.1746031746031744E-2</v>
      </c>
      <c r="I45" s="35" t="s">
        <v>90</v>
      </c>
      <c r="J45" s="19">
        <f>AVERAGE(K44:N44)</f>
        <v>4.6604544485805872E-3</v>
      </c>
      <c r="K45" s="19"/>
      <c r="L45" s="19"/>
      <c r="M45" s="19"/>
      <c r="N45" s="19"/>
    </row>
    <row r="46" spans="2:14" x14ac:dyDescent="0.35">
      <c r="B46" s="39" t="s">
        <v>93</v>
      </c>
      <c r="C46" s="52">
        <v>0.11764705882352941</v>
      </c>
      <c r="D46" s="38"/>
    </row>
    <row r="47" spans="2:14" ht="17" thickBot="1" x14ac:dyDescent="0.4">
      <c r="B47" s="40" t="s">
        <v>94</v>
      </c>
      <c r="C47" s="53">
        <v>0.13333333333333333</v>
      </c>
      <c r="D47" s="38"/>
    </row>
    <row r="48" spans="2:14" ht="17" thickBot="1" x14ac:dyDescent="0.4">
      <c r="I48" s="54"/>
      <c r="J48" s="45">
        <v>2014</v>
      </c>
      <c r="K48" s="45">
        <v>2015</v>
      </c>
      <c r="L48" s="45">
        <v>2016</v>
      </c>
      <c r="M48" s="45">
        <v>2017</v>
      </c>
      <c r="N48" s="42">
        <v>2018</v>
      </c>
    </row>
    <row r="49" spans="2:15" x14ac:dyDescent="0.35">
      <c r="B49" s="41" t="s">
        <v>96</v>
      </c>
      <c r="C49" s="45">
        <v>2014</v>
      </c>
      <c r="D49" s="45">
        <v>2015</v>
      </c>
      <c r="E49" s="45">
        <v>2016</v>
      </c>
      <c r="F49" s="45">
        <v>2017</v>
      </c>
      <c r="G49" s="42">
        <v>2018</v>
      </c>
      <c r="I49" s="28" t="s">
        <v>76</v>
      </c>
      <c r="J49" s="29">
        <v>7435</v>
      </c>
      <c r="K49" s="29">
        <v>7493</v>
      </c>
      <c r="L49" s="29">
        <v>7515</v>
      </c>
      <c r="M49" s="29">
        <v>7709</v>
      </c>
      <c r="N49" s="30">
        <v>7531</v>
      </c>
    </row>
    <row r="50" spans="2:15" ht="17" thickBot="1" x14ac:dyDescent="0.4">
      <c r="B50" s="40"/>
      <c r="C50" s="49">
        <f>SUMPRODUCT(C40:C42,$C$45:$C$47)</f>
        <v>0.1090237303048622</v>
      </c>
      <c r="D50" s="49">
        <f t="shared" ref="D50:G50" si="9">SUMPRODUCT(D40:D42,$C$45:$C$47)</f>
        <v>0.10978106731572744</v>
      </c>
      <c r="E50" s="49">
        <f t="shared" si="9"/>
        <v>0.11036700786233497</v>
      </c>
      <c r="F50" s="49">
        <f t="shared" si="9"/>
        <v>0.11011275819771227</v>
      </c>
      <c r="G50" s="50">
        <f t="shared" si="9"/>
        <v>0.11095655625799633</v>
      </c>
      <c r="I50" s="31" t="s">
        <v>8</v>
      </c>
      <c r="J50" s="32">
        <v>932</v>
      </c>
      <c r="K50" s="32">
        <v>901</v>
      </c>
      <c r="L50" s="32">
        <v>926</v>
      </c>
      <c r="M50" s="32">
        <v>924</v>
      </c>
      <c r="N50" s="33">
        <v>1012</v>
      </c>
    </row>
    <row r="51" spans="2:15" x14ac:dyDescent="0.35">
      <c r="B51" s="35" t="s">
        <v>90</v>
      </c>
      <c r="C51" s="16">
        <f>AVERAGE(C50:G50)</f>
        <v>0.11004822398772665</v>
      </c>
      <c r="I51" s="20" t="s">
        <v>75</v>
      </c>
      <c r="J51" s="16">
        <f>J50/J49</f>
        <v>0.12535305985205111</v>
      </c>
      <c r="K51" s="16">
        <f t="shared" ref="K51:N51" si="10">K50/K49</f>
        <v>0.12024556252502336</v>
      </c>
      <c r="L51" s="16">
        <f t="shared" si="10"/>
        <v>0.12322022621423818</v>
      </c>
      <c r="M51" s="16">
        <f t="shared" si="10"/>
        <v>0.11985990400830199</v>
      </c>
      <c r="N51" s="16">
        <f t="shared" si="10"/>
        <v>0.13437790466073563</v>
      </c>
    </row>
    <row r="52" spans="2:15" x14ac:dyDescent="0.35">
      <c r="I52" s="35" t="s">
        <v>90</v>
      </c>
      <c r="J52" s="16">
        <f>AVERAGE(J51:N51)</f>
        <v>0.12461133145207004</v>
      </c>
      <c r="K52" s="16"/>
      <c r="L52" s="16"/>
      <c r="M52" s="16"/>
      <c r="N52" s="16"/>
    </row>
    <row r="53" spans="2:15" ht="17" thickBot="1" x14ac:dyDescent="0.4"/>
    <row r="54" spans="2:15" x14ac:dyDescent="0.35">
      <c r="B54" s="54"/>
      <c r="C54" s="45">
        <v>2014</v>
      </c>
      <c r="D54" s="45">
        <v>2015</v>
      </c>
      <c r="E54" s="45">
        <v>2016</v>
      </c>
      <c r="F54" s="45">
        <v>2017</v>
      </c>
      <c r="G54" s="42">
        <v>2018</v>
      </c>
      <c r="I54" s="54"/>
      <c r="J54" s="45">
        <v>2014</v>
      </c>
      <c r="K54" s="45">
        <v>2015</v>
      </c>
      <c r="L54" s="45">
        <v>2016</v>
      </c>
      <c r="M54" s="45">
        <v>2017</v>
      </c>
      <c r="N54" s="42">
        <v>2018</v>
      </c>
    </row>
    <row r="55" spans="2:15" x14ac:dyDescent="0.35">
      <c r="B55" s="28" t="s">
        <v>76</v>
      </c>
      <c r="C55" s="29">
        <v>7435</v>
      </c>
      <c r="D55" s="29">
        <v>7493</v>
      </c>
      <c r="E55" s="29">
        <v>7515</v>
      </c>
      <c r="F55" s="29">
        <v>7709</v>
      </c>
      <c r="G55" s="30">
        <v>7531</v>
      </c>
      <c r="I55" s="28" t="s">
        <v>76</v>
      </c>
      <c r="J55" s="29">
        <v>7435</v>
      </c>
      <c r="K55" s="29">
        <v>7493</v>
      </c>
      <c r="L55" s="29">
        <v>7515</v>
      </c>
      <c r="M55" s="29">
        <v>7709</v>
      </c>
      <c r="N55" s="30">
        <v>7531</v>
      </c>
    </row>
    <row r="56" spans="2:15" ht="17" thickBot="1" x14ac:dyDescent="0.4">
      <c r="B56" s="31" t="s">
        <v>51</v>
      </c>
      <c r="C56" s="32">
        <v>-1728</v>
      </c>
      <c r="D56" s="32">
        <v>-1679</v>
      </c>
      <c r="E56" s="32">
        <v>-1681</v>
      </c>
      <c r="F56" s="32">
        <v>-1750</v>
      </c>
      <c r="G56" s="33">
        <v>-1424</v>
      </c>
      <c r="I56" s="31" t="s">
        <v>9</v>
      </c>
      <c r="J56" s="32">
        <v>110</v>
      </c>
      <c r="K56" s="32">
        <v>84</v>
      </c>
      <c r="L56" s="32">
        <v>82</v>
      </c>
      <c r="M56" s="32">
        <v>95</v>
      </c>
      <c r="N56" s="33">
        <v>99</v>
      </c>
    </row>
    <row r="57" spans="2:15" x14ac:dyDescent="0.35">
      <c r="B57" s="20" t="s">
        <v>75</v>
      </c>
      <c r="C57" s="16">
        <f>-C56/C55</f>
        <v>0.2324142568930733</v>
      </c>
      <c r="D57" s="16">
        <f t="shared" ref="D57:G57" si="11">-D56/D55</f>
        <v>0.22407580408381156</v>
      </c>
      <c r="E57" s="16">
        <f t="shared" si="11"/>
        <v>0.22368596141051231</v>
      </c>
      <c r="F57" s="16">
        <f t="shared" si="11"/>
        <v>0.2270073939551174</v>
      </c>
      <c r="G57" s="16">
        <f t="shared" si="11"/>
        <v>0.18908511485858451</v>
      </c>
      <c r="I57" s="20" t="s">
        <v>75</v>
      </c>
      <c r="J57" s="16">
        <f>J56/J55</f>
        <v>1.4794889038332213E-2</v>
      </c>
      <c r="K57" s="16">
        <f t="shared" ref="K57:N57" si="12">K56/K55</f>
        <v>1.1210463098892299E-2</v>
      </c>
      <c r="L57" s="16">
        <f t="shared" si="12"/>
        <v>1.0911510312707918E-2</v>
      </c>
      <c r="M57" s="16">
        <f t="shared" si="12"/>
        <v>1.2323258528992086E-2</v>
      </c>
      <c r="N57" s="16">
        <f t="shared" si="12"/>
        <v>1.3145664586376312E-2</v>
      </c>
      <c r="O57" s="16"/>
    </row>
    <row r="58" spans="2:15" x14ac:dyDescent="0.35">
      <c r="B58" s="35" t="s">
        <v>90</v>
      </c>
      <c r="C58" s="16">
        <f>AVERAGE(C57:G57)</f>
        <v>0.21925370624021984</v>
      </c>
      <c r="D58" s="16"/>
      <c r="E58" s="16"/>
      <c r="F58" s="16"/>
      <c r="G58" s="16"/>
      <c r="I58" s="35" t="s">
        <v>90</v>
      </c>
      <c r="J58" s="16">
        <f>AVERAGE(J57:N57)</f>
        <v>1.2477157113060166E-2</v>
      </c>
      <c r="K58" s="16"/>
      <c r="L58" s="16"/>
      <c r="M58" s="16"/>
      <c r="N58" s="16"/>
      <c r="O58" s="16"/>
    </row>
    <row r="59" spans="2:15" ht="17" thickBot="1" x14ac:dyDescent="0.4"/>
    <row r="60" spans="2:15" ht="17" thickBot="1" x14ac:dyDescent="0.4">
      <c r="B60" s="54"/>
      <c r="C60" s="45">
        <v>2014</v>
      </c>
      <c r="D60" s="45">
        <v>2015</v>
      </c>
      <c r="E60" s="45">
        <v>2016</v>
      </c>
      <c r="F60" s="45">
        <v>2017</v>
      </c>
      <c r="G60" s="42">
        <v>2018</v>
      </c>
    </row>
    <row r="61" spans="2:15" x14ac:dyDescent="0.35">
      <c r="B61" s="28" t="s">
        <v>76</v>
      </c>
      <c r="C61" s="29">
        <v>7435</v>
      </c>
      <c r="D61" s="29">
        <v>7493</v>
      </c>
      <c r="E61" s="29">
        <v>7515</v>
      </c>
      <c r="F61" s="29">
        <v>7709</v>
      </c>
      <c r="G61" s="30">
        <v>7531</v>
      </c>
      <c r="I61" s="54"/>
      <c r="J61" s="45">
        <v>2014</v>
      </c>
      <c r="K61" s="45">
        <v>2015</v>
      </c>
      <c r="L61" s="45">
        <v>2016</v>
      </c>
      <c r="M61" s="45">
        <v>2017</v>
      </c>
      <c r="N61" s="42">
        <v>2018</v>
      </c>
    </row>
    <row r="62" spans="2:15" ht="17" thickBot="1" x14ac:dyDescent="0.4">
      <c r="B62" s="31" t="s">
        <v>52</v>
      </c>
      <c r="C62" s="32">
        <v>-87</v>
      </c>
      <c r="D62" s="32">
        <v>-92</v>
      </c>
      <c r="E62" s="32">
        <v>-59</v>
      </c>
      <c r="F62" s="32">
        <v>-75</v>
      </c>
      <c r="G62" s="33">
        <v>-76</v>
      </c>
      <c r="I62" s="28" t="s">
        <v>76</v>
      </c>
      <c r="J62" s="29">
        <v>7435</v>
      </c>
      <c r="K62" s="29">
        <v>7493</v>
      </c>
      <c r="L62" s="29">
        <v>7515</v>
      </c>
      <c r="M62" s="29">
        <v>7709</v>
      </c>
      <c r="N62" s="30">
        <v>7531</v>
      </c>
    </row>
    <row r="63" spans="2:15" ht="17" thickBot="1" x14ac:dyDescent="0.4">
      <c r="B63" s="55" t="s">
        <v>75</v>
      </c>
      <c r="C63" s="47">
        <f>-C62/C61</f>
        <v>1.1701412239408205E-2</v>
      </c>
      <c r="D63" s="47">
        <f t="shared" ref="D63:G63" si="13">-D62/D61</f>
        <v>1.2278126251167757E-2</v>
      </c>
      <c r="E63" s="47">
        <f t="shared" si="13"/>
        <v>7.8509647371922814E-3</v>
      </c>
      <c r="F63" s="47">
        <f t="shared" si="13"/>
        <v>9.7288883123621741E-3</v>
      </c>
      <c r="G63" s="47">
        <f t="shared" si="13"/>
        <v>1.0091621298632321E-2</v>
      </c>
      <c r="I63" s="31" t="s">
        <v>32</v>
      </c>
      <c r="J63" s="32">
        <v>1191</v>
      </c>
      <c r="K63" s="32">
        <v>1014</v>
      </c>
      <c r="L63" s="32">
        <v>975</v>
      </c>
      <c r="M63" s="32">
        <v>1021</v>
      </c>
      <c r="N63" s="33">
        <v>1021</v>
      </c>
    </row>
    <row r="64" spans="2:15" x14ac:dyDescent="0.35">
      <c r="B64" s="35" t="s">
        <v>90</v>
      </c>
      <c r="C64" s="16">
        <f>AVERAGE(C63:G63)</f>
        <v>1.0330202567752548E-2</v>
      </c>
      <c r="D64" s="16"/>
      <c r="E64" s="16"/>
      <c r="F64" s="16"/>
      <c r="G64" s="16"/>
      <c r="I64" s="55" t="s">
        <v>75</v>
      </c>
      <c r="J64" s="19">
        <f>J63/J62</f>
        <v>0.1601882985877606</v>
      </c>
      <c r="K64" s="19">
        <f t="shared" ref="K64:N64" si="14">K63/K62</f>
        <v>0.13532630455091418</v>
      </c>
      <c r="L64" s="19">
        <f t="shared" si="14"/>
        <v>0.12974051896207583</v>
      </c>
      <c r="M64" s="19">
        <f t="shared" si="14"/>
        <v>0.13244259955895707</v>
      </c>
      <c r="N64" s="19">
        <f t="shared" si="14"/>
        <v>0.13557296507767894</v>
      </c>
    </row>
    <row r="65" spans="2:14" x14ac:dyDescent="0.35">
      <c r="I65" s="35" t="s">
        <v>90</v>
      </c>
      <c r="J65" s="19">
        <f>AVERAGE(J64:N64)</f>
        <v>0.13865413734747731</v>
      </c>
      <c r="K65" s="19"/>
      <c r="L65" s="19"/>
      <c r="M65" s="19"/>
      <c r="N65" s="19"/>
    </row>
    <row r="66" spans="2:14" ht="17" thickBot="1" x14ac:dyDescent="0.4"/>
    <row r="67" spans="2:14" x14ac:dyDescent="0.35">
      <c r="B67" s="54"/>
      <c r="C67" s="45">
        <v>2014</v>
      </c>
      <c r="D67" s="45">
        <v>2015</v>
      </c>
      <c r="E67" s="45">
        <v>2016</v>
      </c>
      <c r="F67" s="45">
        <v>2017</v>
      </c>
      <c r="G67" s="42">
        <v>2018</v>
      </c>
    </row>
    <row r="68" spans="2:14" x14ac:dyDescent="0.35">
      <c r="B68" s="28" t="s">
        <v>76</v>
      </c>
      <c r="C68" s="29">
        <v>7435</v>
      </c>
      <c r="D68" s="29">
        <v>7493</v>
      </c>
      <c r="E68" s="29">
        <v>7515</v>
      </c>
      <c r="F68" s="29">
        <v>7709</v>
      </c>
      <c r="G68" s="30">
        <v>7531</v>
      </c>
    </row>
    <row r="69" spans="2:14" ht="17" thickBot="1" x14ac:dyDescent="0.4">
      <c r="B69" s="31" t="s">
        <v>16</v>
      </c>
      <c r="C69" s="32">
        <v>3126</v>
      </c>
      <c r="D69" s="32">
        <v>3232</v>
      </c>
      <c r="E69" s="32">
        <v>3429</v>
      </c>
      <c r="F69" s="32">
        <v>3671</v>
      </c>
      <c r="G69" s="33">
        <v>3970</v>
      </c>
    </row>
    <row r="70" spans="2:14" x14ac:dyDescent="0.35">
      <c r="B70" s="55" t="s">
        <v>75</v>
      </c>
      <c r="C70" s="16">
        <f>C69/C68</f>
        <v>0.42044384667114998</v>
      </c>
      <c r="D70" s="16">
        <f t="shared" ref="D70:G70" si="15">D69/D68</f>
        <v>0.43133591351928469</v>
      </c>
      <c r="E70" s="16">
        <f t="shared" si="15"/>
        <v>0.45628742514970061</v>
      </c>
      <c r="F70" s="16">
        <f t="shared" si="15"/>
        <v>0.47619665326242056</v>
      </c>
      <c r="G70" s="16">
        <f t="shared" si="15"/>
        <v>0.52715442836276727</v>
      </c>
    </row>
    <row r="71" spans="2:14" x14ac:dyDescent="0.35">
      <c r="B71" s="35" t="s">
        <v>90</v>
      </c>
      <c r="C71" s="16">
        <f>AVERAGE(C70:G70)</f>
        <v>0.46228365339306465</v>
      </c>
    </row>
    <row r="72" spans="2:14" ht="17" thickBot="1" x14ac:dyDescent="0.4"/>
    <row r="73" spans="2:14" x14ac:dyDescent="0.35">
      <c r="B73" s="54"/>
      <c r="C73" s="45">
        <v>2014</v>
      </c>
      <c r="D73" s="45">
        <v>2015</v>
      </c>
      <c r="E73" s="45">
        <v>2016</v>
      </c>
      <c r="F73" s="45">
        <v>2017</v>
      </c>
      <c r="G73" s="42">
        <v>2018</v>
      </c>
    </row>
    <row r="74" spans="2:14" x14ac:dyDescent="0.35">
      <c r="B74" s="28" t="s">
        <v>76</v>
      </c>
      <c r="C74" s="29">
        <v>7435</v>
      </c>
      <c r="D74" s="29">
        <v>7493</v>
      </c>
      <c r="E74" s="29">
        <v>7515</v>
      </c>
      <c r="F74" s="29">
        <v>7709</v>
      </c>
      <c r="G74" s="30">
        <v>7531</v>
      </c>
    </row>
    <row r="75" spans="2:14" ht="17" thickBot="1" x14ac:dyDescent="0.4">
      <c r="B75" s="31" t="s">
        <v>36</v>
      </c>
      <c r="C75" s="32">
        <v>623</v>
      </c>
      <c r="D75" s="32">
        <v>613</v>
      </c>
      <c r="E75" s="32">
        <v>763</v>
      </c>
      <c r="F75" s="32">
        <v>777</v>
      </c>
      <c r="G75" s="33">
        <v>873</v>
      </c>
    </row>
    <row r="76" spans="2:14" x14ac:dyDescent="0.35">
      <c r="B76" s="55" t="s">
        <v>75</v>
      </c>
      <c r="C76" s="19">
        <f>C75/C74</f>
        <v>8.3792871553463349E-2</v>
      </c>
      <c r="D76" s="19">
        <f t="shared" ref="D76:G76" si="16">D75/D74</f>
        <v>8.1809689043106898E-2</v>
      </c>
      <c r="E76" s="19">
        <f t="shared" si="16"/>
        <v>0.10153027278775782</v>
      </c>
      <c r="F76" s="19">
        <f t="shared" si="16"/>
        <v>0.10079128291607212</v>
      </c>
      <c r="G76" s="19">
        <f t="shared" si="16"/>
        <v>0.1159208604435002</v>
      </c>
    </row>
    <row r="77" spans="2:14" x14ac:dyDescent="0.35">
      <c r="B77" s="35" t="s">
        <v>90</v>
      </c>
      <c r="C77" s="19">
        <f>AVERAGE(C76:G76)</f>
        <v>9.6768995348780085E-2</v>
      </c>
      <c r="D77" s="19"/>
      <c r="E77" s="19"/>
      <c r="F77" s="19"/>
      <c r="G77" s="19"/>
    </row>
    <row r="79" spans="2:14" ht="17" thickBot="1" x14ac:dyDescent="0.4"/>
    <row r="80" spans="2:14" x14ac:dyDescent="0.35">
      <c r="B80" s="114" t="s">
        <v>160</v>
      </c>
      <c r="C80" s="115"/>
      <c r="D80" s="116"/>
    </row>
    <row r="81" spans="2:5" x14ac:dyDescent="0.35">
      <c r="B81" s="28" t="s">
        <v>161</v>
      </c>
      <c r="C81" s="47">
        <f>AVERAGE(D85:D124)</f>
        <v>5.5355336121861278E-3</v>
      </c>
      <c r="D81" s="37"/>
      <c r="E81" s="10" t="str">
        <f ca="1">_xlfn.FORMULATEXT(C81)</f>
        <v>=AVERAGE(D85:D124)</v>
      </c>
    </row>
    <row r="82" spans="2:5" ht="17" thickBot="1" x14ac:dyDescent="0.4">
      <c r="B82" s="31" t="s">
        <v>162</v>
      </c>
      <c r="C82" s="89">
        <f>4*C81</f>
        <v>2.2142134448744511E-2</v>
      </c>
      <c r="D82" s="44"/>
      <c r="E82" s="10" t="str">
        <f ca="1">_xlfn.FORMULATEXT(C82)</f>
        <v>=4*C81</v>
      </c>
    </row>
    <row r="83" spans="2:5" ht="21.5" customHeight="1" x14ac:dyDescent="0.35">
      <c r="B83" s="90" t="s">
        <v>163</v>
      </c>
      <c r="C83" s="91" t="s">
        <v>164</v>
      </c>
      <c r="D83" s="92" t="s">
        <v>165</v>
      </c>
    </row>
    <row r="84" spans="2:5" x14ac:dyDescent="0.35">
      <c r="B84" s="93">
        <v>39814</v>
      </c>
      <c r="C84" s="94">
        <v>15155.94</v>
      </c>
      <c r="D84" s="37"/>
    </row>
    <row r="85" spans="2:5" x14ac:dyDescent="0.35">
      <c r="B85" s="93">
        <v>39904</v>
      </c>
      <c r="C85" s="94">
        <v>15134.117</v>
      </c>
      <c r="D85" s="95">
        <f>LN(C85/C84)</f>
        <v>-1.4409351409218672E-3</v>
      </c>
      <c r="E85" s="10" t="str">
        <f ca="1">_xlfn.FORMULATEXT(D85)</f>
        <v>=LN(C85/C84)</v>
      </c>
    </row>
    <row r="86" spans="2:5" x14ac:dyDescent="0.35">
      <c r="B86" s="93">
        <v>39995</v>
      </c>
      <c r="C86" s="94">
        <v>15189.222</v>
      </c>
      <c r="D86" s="95">
        <f t="shared" ref="D86:D124" si="17">LN(C86/C85)</f>
        <v>3.6344982100729212E-3</v>
      </c>
    </row>
    <row r="87" spans="2:5" x14ac:dyDescent="0.35">
      <c r="B87" s="93">
        <v>40087</v>
      </c>
      <c r="C87" s="94">
        <v>15356.058000000001</v>
      </c>
      <c r="D87" s="95">
        <f t="shared" si="17"/>
        <v>1.0923956767203062E-2</v>
      </c>
    </row>
    <row r="88" spans="2:5" x14ac:dyDescent="0.35">
      <c r="B88" s="93">
        <v>40179</v>
      </c>
      <c r="C88" s="94">
        <v>15415.145</v>
      </c>
      <c r="D88" s="95">
        <f t="shared" si="17"/>
        <v>3.8404135595041739E-3</v>
      </c>
    </row>
    <row r="89" spans="2:5" x14ac:dyDescent="0.35">
      <c r="B89" s="93">
        <v>40269</v>
      </c>
      <c r="C89" s="94">
        <v>15557.277</v>
      </c>
      <c r="D89" s="95">
        <f t="shared" si="17"/>
        <v>9.1780357197693598E-3</v>
      </c>
    </row>
    <row r="90" spans="2:5" x14ac:dyDescent="0.35">
      <c r="B90" s="93">
        <v>40360</v>
      </c>
      <c r="C90" s="94">
        <v>15671.967000000001</v>
      </c>
      <c r="D90" s="95">
        <f t="shared" si="17"/>
        <v>7.3450715379076671E-3</v>
      </c>
    </row>
    <row r="91" spans="2:5" x14ac:dyDescent="0.35">
      <c r="B91" s="93">
        <v>40452</v>
      </c>
      <c r="C91" s="94">
        <v>15750.625</v>
      </c>
      <c r="D91" s="95">
        <f t="shared" si="17"/>
        <v>5.0064720501268693E-3</v>
      </c>
    </row>
    <row r="92" spans="2:5" x14ac:dyDescent="0.35">
      <c r="B92" s="93">
        <v>40544</v>
      </c>
      <c r="C92" s="94">
        <v>15712.754000000001</v>
      </c>
      <c r="D92" s="95">
        <f t="shared" si="17"/>
        <v>-2.4073077649381658E-3</v>
      </c>
    </row>
    <row r="93" spans="2:5" x14ac:dyDescent="0.35">
      <c r="B93" s="93">
        <v>40634</v>
      </c>
      <c r="C93" s="94">
        <v>15825.096</v>
      </c>
      <c r="D93" s="95">
        <f t="shared" si="17"/>
        <v>7.1242951034952498E-3</v>
      </c>
    </row>
    <row r="94" spans="2:5" x14ac:dyDescent="0.35">
      <c r="B94" s="93">
        <v>40725</v>
      </c>
      <c r="C94" s="94">
        <v>15820.7</v>
      </c>
      <c r="D94" s="95">
        <f t="shared" si="17"/>
        <v>-2.7782521433655425E-4</v>
      </c>
    </row>
    <row r="95" spans="2:5" x14ac:dyDescent="0.35">
      <c r="B95" s="93">
        <v>40817</v>
      </c>
      <c r="C95" s="94">
        <v>16004.107</v>
      </c>
      <c r="D95" s="95">
        <f t="shared" si="17"/>
        <v>1.1526167652967368E-2</v>
      </c>
    </row>
    <row r="96" spans="2:5" x14ac:dyDescent="0.35">
      <c r="B96" s="93">
        <v>40909</v>
      </c>
      <c r="C96" s="94">
        <v>16129.418</v>
      </c>
      <c r="D96" s="95">
        <f t="shared" si="17"/>
        <v>7.7994328498811683E-3</v>
      </c>
    </row>
    <row r="97" spans="2:4" x14ac:dyDescent="0.35">
      <c r="B97" s="93">
        <v>41000</v>
      </c>
      <c r="C97" s="94">
        <v>16198.807000000001</v>
      </c>
      <c r="D97" s="95">
        <f t="shared" si="17"/>
        <v>4.29278790026392E-3</v>
      </c>
    </row>
    <row r="98" spans="2:4" x14ac:dyDescent="0.35">
      <c r="B98" s="93">
        <v>41091</v>
      </c>
      <c r="C98" s="94">
        <v>16220.666999999999</v>
      </c>
      <c r="D98" s="95">
        <f t="shared" si="17"/>
        <v>1.3485723619677836E-3</v>
      </c>
    </row>
    <row r="99" spans="2:4" x14ac:dyDescent="0.35">
      <c r="B99" s="93">
        <v>41183</v>
      </c>
      <c r="C99" s="94">
        <v>16239.138000000001</v>
      </c>
      <c r="D99" s="95">
        <f t="shared" si="17"/>
        <v>1.1380845937733859E-3</v>
      </c>
    </row>
    <row r="100" spans="2:4" x14ac:dyDescent="0.35">
      <c r="B100" s="93">
        <v>41275</v>
      </c>
      <c r="C100" s="94">
        <v>16382.964</v>
      </c>
      <c r="D100" s="95">
        <f t="shared" si="17"/>
        <v>8.8177599289008535E-3</v>
      </c>
    </row>
    <row r="101" spans="2:4" x14ac:dyDescent="0.35">
      <c r="B101" s="93">
        <v>41365</v>
      </c>
      <c r="C101" s="94">
        <v>16403.18</v>
      </c>
      <c r="D101" s="95">
        <f t="shared" si="17"/>
        <v>1.2332040365606431E-3</v>
      </c>
    </row>
    <row r="102" spans="2:4" x14ac:dyDescent="0.35">
      <c r="B102" s="93">
        <v>41456</v>
      </c>
      <c r="C102" s="94">
        <v>16531.685000000001</v>
      </c>
      <c r="D102" s="95">
        <f t="shared" si="17"/>
        <v>7.8036240394640088E-3</v>
      </c>
    </row>
    <row r="103" spans="2:4" x14ac:dyDescent="0.35">
      <c r="B103" s="93">
        <v>41548</v>
      </c>
      <c r="C103" s="94">
        <v>16663.649000000001</v>
      </c>
      <c r="D103" s="95">
        <f t="shared" si="17"/>
        <v>7.9507978547028752E-3</v>
      </c>
    </row>
    <row r="104" spans="2:4" x14ac:dyDescent="0.35">
      <c r="B104" s="93">
        <v>41640</v>
      </c>
      <c r="C104" s="94">
        <v>16621.696</v>
      </c>
      <c r="D104" s="95">
        <f t="shared" si="17"/>
        <v>-2.5208104176662658E-3</v>
      </c>
    </row>
    <row r="105" spans="2:4" x14ac:dyDescent="0.35">
      <c r="B105" s="93">
        <v>41730</v>
      </c>
      <c r="C105" s="94">
        <v>16830.111000000001</v>
      </c>
      <c r="D105" s="95">
        <f t="shared" si="17"/>
        <v>1.2460773597354653E-2</v>
      </c>
    </row>
    <row r="106" spans="2:4" x14ac:dyDescent="0.35">
      <c r="B106" s="93">
        <v>41821</v>
      </c>
      <c r="C106" s="94">
        <v>17033.572</v>
      </c>
      <c r="D106" s="95">
        <f t="shared" si="17"/>
        <v>1.2016616638684165E-2</v>
      </c>
    </row>
    <row r="107" spans="2:4" x14ac:dyDescent="0.35">
      <c r="B107" s="93">
        <v>41913</v>
      </c>
      <c r="C107" s="94">
        <v>17113.945</v>
      </c>
      <c r="D107" s="95">
        <f t="shared" si="17"/>
        <v>4.7074080624962822E-3</v>
      </c>
    </row>
    <row r="108" spans="2:4" x14ac:dyDescent="0.35">
      <c r="B108" s="93">
        <v>42005</v>
      </c>
      <c r="C108" s="94">
        <v>17254.743999999999</v>
      </c>
      <c r="D108" s="95">
        <f t="shared" si="17"/>
        <v>8.1934919130040168E-3</v>
      </c>
    </row>
    <row r="109" spans="2:4" x14ac:dyDescent="0.35">
      <c r="B109" s="93">
        <v>42095</v>
      </c>
      <c r="C109" s="94">
        <v>17397.028999999999</v>
      </c>
      <c r="D109" s="95">
        <f t="shared" si="17"/>
        <v>8.2123243545276399E-3</v>
      </c>
    </row>
    <row r="110" spans="2:4" x14ac:dyDescent="0.35">
      <c r="B110" s="93">
        <v>42186</v>
      </c>
      <c r="C110" s="94">
        <v>17438.802</v>
      </c>
      <c r="D110" s="95">
        <f t="shared" si="17"/>
        <v>2.3982789457379469E-3</v>
      </c>
    </row>
    <row r="111" spans="2:4" x14ac:dyDescent="0.35">
      <c r="B111" s="93">
        <v>42278</v>
      </c>
      <c r="C111" s="94">
        <v>17456.224999999999</v>
      </c>
      <c r="D111" s="95">
        <f t="shared" si="17"/>
        <v>9.985950976818367E-4</v>
      </c>
    </row>
    <row r="112" spans="2:4" x14ac:dyDescent="0.35">
      <c r="B112" s="93">
        <v>42370</v>
      </c>
      <c r="C112" s="94">
        <v>17523.374</v>
      </c>
      <c r="D112" s="95">
        <f t="shared" si="17"/>
        <v>3.8393283172747693E-3</v>
      </c>
    </row>
    <row r="113" spans="2:4" x14ac:dyDescent="0.35">
      <c r="B113" s="93">
        <v>42461</v>
      </c>
      <c r="C113" s="94">
        <v>17622.486000000001</v>
      </c>
      <c r="D113" s="95">
        <f t="shared" si="17"/>
        <v>5.6400533508595696E-3</v>
      </c>
    </row>
    <row r="114" spans="2:4" x14ac:dyDescent="0.35">
      <c r="B114" s="93">
        <v>42552</v>
      </c>
      <c r="C114" s="94">
        <v>17706.705000000002</v>
      </c>
      <c r="D114" s="95">
        <f t="shared" si="17"/>
        <v>4.7676811807133689E-3</v>
      </c>
    </row>
    <row r="115" spans="2:4" x14ac:dyDescent="0.35">
      <c r="B115" s="93">
        <v>42644</v>
      </c>
      <c r="C115" s="94">
        <v>17784.185000000001</v>
      </c>
      <c r="D115" s="95">
        <f t="shared" si="17"/>
        <v>4.3661978095116865E-3</v>
      </c>
    </row>
    <row r="116" spans="2:4" x14ac:dyDescent="0.35">
      <c r="B116" s="93">
        <v>42736</v>
      </c>
      <c r="C116" s="94">
        <v>17863.023000000001</v>
      </c>
      <c r="D116" s="95">
        <f t="shared" si="17"/>
        <v>4.4232428267175078E-3</v>
      </c>
    </row>
    <row r="117" spans="2:4" x14ac:dyDescent="0.35">
      <c r="B117" s="93">
        <v>42826</v>
      </c>
      <c r="C117" s="94">
        <v>17995.150000000001</v>
      </c>
      <c r="D117" s="95">
        <f t="shared" si="17"/>
        <v>7.3694551014511058E-3</v>
      </c>
    </row>
    <row r="118" spans="2:4" x14ac:dyDescent="0.35">
      <c r="B118" s="93">
        <v>42917</v>
      </c>
      <c r="C118" s="94">
        <v>18120.843000000001</v>
      </c>
      <c r="D118" s="95">
        <f t="shared" si="17"/>
        <v>6.9605455664275302E-3</v>
      </c>
    </row>
    <row r="119" spans="2:4" x14ac:dyDescent="0.35">
      <c r="B119" s="93">
        <v>43009</v>
      </c>
      <c r="C119" s="94">
        <v>18223.758000000002</v>
      </c>
      <c r="D119" s="95">
        <f t="shared" si="17"/>
        <v>5.6633047129115398E-3</v>
      </c>
    </row>
    <row r="120" spans="2:4" x14ac:dyDescent="0.35">
      <c r="B120" s="93">
        <v>43101</v>
      </c>
      <c r="C120" s="94">
        <v>18323.963</v>
      </c>
      <c r="D120" s="95">
        <f t="shared" si="17"/>
        <v>5.4835293882942301E-3</v>
      </c>
    </row>
    <row r="121" spans="2:4" x14ac:dyDescent="0.35">
      <c r="B121" s="93">
        <v>43191</v>
      </c>
      <c r="C121" s="94">
        <v>18511.576000000001</v>
      </c>
      <c r="D121" s="95">
        <f t="shared" si="17"/>
        <v>1.0186609314111379E-2</v>
      </c>
    </row>
    <row r="122" spans="2:4" x14ac:dyDescent="0.35">
      <c r="B122" s="93">
        <v>43282</v>
      </c>
      <c r="C122" s="94">
        <v>18664.973000000002</v>
      </c>
      <c r="D122" s="95">
        <f t="shared" si="17"/>
        <v>8.2523996809838098E-3</v>
      </c>
    </row>
    <row r="123" spans="2:4" x14ac:dyDescent="0.35">
      <c r="B123" s="93">
        <v>43374</v>
      </c>
      <c r="C123" s="94">
        <v>18765.256000000001</v>
      </c>
      <c r="D123" s="95">
        <f t="shared" si="17"/>
        <v>5.3584091055524467E-3</v>
      </c>
    </row>
    <row r="124" spans="2:4" ht="17" thickBot="1" x14ac:dyDescent="0.4">
      <c r="B124" s="96">
        <v>43466</v>
      </c>
      <c r="C124" s="97">
        <v>18912.326000000001</v>
      </c>
      <c r="D124" s="98">
        <f t="shared" si="17"/>
        <v>7.8068038944511999E-3</v>
      </c>
    </row>
  </sheetData>
  <mergeCells count="4">
    <mergeCell ref="B2:P2"/>
    <mergeCell ref="B26:G26"/>
    <mergeCell ref="I40:N40"/>
    <mergeCell ref="B80:D8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58CCF-D057-44AB-BABD-EF344F60E4AE}">
  <dimension ref="B1:H369"/>
  <sheetViews>
    <sheetView workbookViewId="0">
      <selection activeCell="E3" sqref="E3"/>
    </sheetView>
  </sheetViews>
  <sheetFormatPr defaultRowHeight="14.5" x14ac:dyDescent="0.35"/>
  <cols>
    <col min="2" max="4" width="13.7265625" customWidth="1"/>
    <col min="5" max="5" width="20.81640625" customWidth="1"/>
    <col min="6" max="6" width="26.90625" customWidth="1"/>
  </cols>
  <sheetData>
    <row r="1" spans="2:8" ht="15" thickBot="1" x14ac:dyDescent="0.4"/>
    <row r="2" spans="2:8" ht="16" thickBot="1" x14ac:dyDescent="0.4">
      <c r="B2" s="117" t="s">
        <v>150</v>
      </c>
      <c r="C2" s="118"/>
      <c r="D2" s="118"/>
      <c r="E2" s="118"/>
      <c r="F2" s="119"/>
    </row>
    <row r="3" spans="2:8" ht="15.5" x14ac:dyDescent="0.35">
      <c r="B3" s="120" t="s">
        <v>151</v>
      </c>
      <c r="C3" s="121"/>
      <c r="D3" s="121"/>
      <c r="E3" s="74">
        <f>AVERAGE(D10:D369)*12</f>
        <v>7.5435031822867371E-2</v>
      </c>
      <c r="F3" s="75" t="str">
        <f ca="1">_xlfn.FORMULATEXT(E3)</f>
        <v>=AVERAGE(D10:D369)*12</v>
      </c>
      <c r="H3" s="56"/>
    </row>
    <row r="4" spans="2:8" ht="15.5" x14ac:dyDescent="0.35">
      <c r="B4" s="122" t="s">
        <v>152</v>
      </c>
      <c r="C4" s="123"/>
      <c r="D4" s="123"/>
      <c r="E4" s="76">
        <f>AVERAGE(E9:E369)*12</f>
        <v>2.8707479224376761E-2</v>
      </c>
      <c r="F4" s="77" t="str">
        <f ca="1">_xlfn.FORMULATEXT(E4)</f>
        <v>=AVERAGE(E9:E369)*12</v>
      </c>
    </row>
    <row r="5" spans="2:8" ht="15.5" x14ac:dyDescent="0.35">
      <c r="B5" s="122" t="s">
        <v>153</v>
      </c>
      <c r="C5" s="123"/>
      <c r="D5" s="123"/>
      <c r="E5" s="76">
        <f>AVERAGE(F10:F369)</f>
        <v>3.9077341333870986E-3</v>
      </c>
      <c r="F5" s="77"/>
    </row>
    <row r="6" spans="2:8" ht="16" thickBot="1" x14ac:dyDescent="0.4">
      <c r="B6" s="124" t="s">
        <v>154</v>
      </c>
      <c r="C6" s="125"/>
      <c r="D6" s="125"/>
      <c r="E6" s="78">
        <f>12*E5</f>
        <v>4.689280960064518E-2</v>
      </c>
      <c r="F6" s="79" t="str">
        <f ca="1">_xlfn.FORMULATEXT(E6)</f>
        <v>=12*E5</v>
      </c>
    </row>
    <row r="7" spans="2:8" ht="15.5" x14ac:dyDescent="0.35">
      <c r="B7" s="80"/>
      <c r="C7" s="80"/>
      <c r="D7" s="80"/>
      <c r="E7" s="81"/>
      <c r="F7" s="82"/>
    </row>
    <row r="8" spans="2:8" ht="15.5" x14ac:dyDescent="0.35">
      <c r="B8" s="83" t="s">
        <v>155</v>
      </c>
      <c r="C8" s="83" t="s">
        <v>156</v>
      </c>
      <c r="D8" s="83" t="s">
        <v>157</v>
      </c>
      <c r="E8" s="83" t="s">
        <v>158</v>
      </c>
      <c r="F8" s="83" t="s">
        <v>159</v>
      </c>
    </row>
    <row r="9" spans="2:8" ht="15.5" x14ac:dyDescent="0.35">
      <c r="B9" s="84">
        <v>32568</v>
      </c>
      <c r="C9" s="85">
        <v>294.86999500000002</v>
      </c>
      <c r="D9" s="73"/>
      <c r="E9" s="86">
        <v>7.3499999999999998E-3</v>
      </c>
      <c r="F9" s="73"/>
    </row>
    <row r="10" spans="2:8" ht="15.5" x14ac:dyDescent="0.35">
      <c r="B10" s="84">
        <v>32599</v>
      </c>
      <c r="C10" s="85">
        <v>309.64001500000001</v>
      </c>
      <c r="D10" s="126">
        <f>LN(C10/C9)</f>
        <v>4.8875816489842377E-2</v>
      </c>
      <c r="E10" s="127">
        <v>7.208333333333334E-3</v>
      </c>
      <c r="F10" s="128">
        <f>D10-E10</f>
        <v>4.1667483156509047E-2</v>
      </c>
    </row>
    <row r="11" spans="2:8" ht="15.5" x14ac:dyDescent="0.35">
      <c r="B11" s="84">
        <v>32629</v>
      </c>
      <c r="C11" s="85">
        <v>320.51998900000001</v>
      </c>
      <c r="D11" s="87">
        <f t="shared" ref="D11:D74" si="0">LN(C11/C10)</f>
        <v>3.4534261810772994E-2</v>
      </c>
      <c r="E11" s="86">
        <v>7.025E-3</v>
      </c>
      <c r="F11" s="88">
        <f t="shared" ref="F11:F74" si="1">D11-E11</f>
        <v>2.7509261810772994E-2</v>
      </c>
    </row>
    <row r="12" spans="2:8" ht="15.5" x14ac:dyDescent="0.35">
      <c r="B12" s="84">
        <v>32660</v>
      </c>
      <c r="C12" s="85">
        <v>317.98001099999999</v>
      </c>
      <c r="D12" s="87">
        <f t="shared" si="0"/>
        <v>-7.9561202767049928E-3</v>
      </c>
      <c r="E12" s="86">
        <v>6.7916666666666672E-3</v>
      </c>
      <c r="F12" s="88">
        <f t="shared" si="1"/>
        <v>-1.4747786943371661E-2</v>
      </c>
    </row>
    <row r="13" spans="2:8" ht="15.5" x14ac:dyDescent="0.35">
      <c r="B13" s="84">
        <v>32690</v>
      </c>
      <c r="C13" s="85">
        <v>346.07998700000002</v>
      </c>
      <c r="D13" s="87">
        <f t="shared" si="0"/>
        <v>8.4681402327245789E-2</v>
      </c>
      <c r="E13" s="86">
        <v>6.566666666666666E-3</v>
      </c>
      <c r="F13" s="88">
        <f t="shared" si="1"/>
        <v>7.8114735660579124E-2</v>
      </c>
    </row>
    <row r="14" spans="2:8" ht="15.5" x14ac:dyDescent="0.35">
      <c r="B14" s="84">
        <v>32721</v>
      </c>
      <c r="C14" s="85">
        <v>351.45001200000002</v>
      </c>
      <c r="D14" s="87">
        <f t="shared" si="0"/>
        <v>1.5397563124994443E-2</v>
      </c>
      <c r="E14" s="86">
        <v>6.5833333333333334E-3</v>
      </c>
      <c r="F14" s="88">
        <f t="shared" si="1"/>
        <v>8.8142297916611097E-3</v>
      </c>
    </row>
    <row r="15" spans="2:8" ht="15.5" x14ac:dyDescent="0.35">
      <c r="B15" s="84">
        <v>32752</v>
      </c>
      <c r="C15" s="85">
        <v>349.14999399999999</v>
      </c>
      <c r="D15" s="87">
        <f t="shared" si="0"/>
        <v>-6.5658756587203349E-3</v>
      </c>
      <c r="E15" s="86">
        <v>6.4583333333333333E-3</v>
      </c>
      <c r="F15" s="88">
        <f t="shared" si="1"/>
        <v>-1.3024208992053667E-2</v>
      </c>
    </row>
    <row r="16" spans="2:8" ht="15.5" x14ac:dyDescent="0.35">
      <c r="B16" s="84">
        <v>32782</v>
      </c>
      <c r="C16" s="85">
        <v>340.35998499999999</v>
      </c>
      <c r="D16" s="87">
        <f t="shared" si="0"/>
        <v>-2.5497775197081053E-2</v>
      </c>
      <c r="E16" s="86">
        <v>6.3666666666666663E-3</v>
      </c>
      <c r="F16" s="88">
        <f t="shared" si="1"/>
        <v>-3.1864441863747719E-2</v>
      </c>
    </row>
    <row r="17" spans="2:6" ht="15.5" x14ac:dyDescent="0.35">
      <c r="B17" s="84">
        <v>32813</v>
      </c>
      <c r="C17" s="85">
        <v>345.98998999999998</v>
      </c>
      <c r="D17" s="87">
        <f t="shared" si="0"/>
        <v>1.6406007093015242E-2</v>
      </c>
      <c r="E17" s="86">
        <v>6.4083333333333345E-3</v>
      </c>
      <c r="F17" s="88">
        <f t="shared" si="1"/>
        <v>9.9976737596819062E-3</v>
      </c>
    </row>
    <row r="18" spans="2:6" ht="15.5" x14ac:dyDescent="0.35">
      <c r="B18" s="84">
        <v>32843</v>
      </c>
      <c r="C18" s="85">
        <v>353.39999399999999</v>
      </c>
      <c r="D18" s="87">
        <f t="shared" si="0"/>
        <v>2.1190698904280048E-2</v>
      </c>
      <c r="E18" s="86">
        <v>6.358333333333333E-3</v>
      </c>
      <c r="F18" s="88">
        <f t="shared" si="1"/>
        <v>1.4832365570946714E-2</v>
      </c>
    </row>
    <row r="19" spans="2:6" ht="15.5" x14ac:dyDescent="0.35">
      <c r="B19" s="84">
        <v>32874</v>
      </c>
      <c r="C19" s="85">
        <v>329.07998700000002</v>
      </c>
      <c r="D19" s="87">
        <f t="shared" si="0"/>
        <v>-7.1299700111010278E-2</v>
      </c>
      <c r="E19" s="86">
        <v>6.3666666666666663E-3</v>
      </c>
      <c r="F19" s="88">
        <f t="shared" si="1"/>
        <v>-7.7666366777676937E-2</v>
      </c>
    </row>
    <row r="20" spans="2:6" ht="15.5" x14ac:dyDescent="0.35">
      <c r="B20" s="84">
        <v>32905</v>
      </c>
      <c r="C20" s="85">
        <v>331.89001500000001</v>
      </c>
      <c r="D20" s="87">
        <f t="shared" si="0"/>
        <v>8.5027911139687554E-3</v>
      </c>
      <c r="E20" s="86">
        <v>6.45E-3</v>
      </c>
      <c r="F20" s="88">
        <f t="shared" si="1"/>
        <v>2.0527911139687554E-3</v>
      </c>
    </row>
    <row r="21" spans="2:6" ht="15.5" x14ac:dyDescent="0.35">
      <c r="B21" s="84">
        <v>32933</v>
      </c>
      <c r="C21" s="85">
        <v>339.94000199999999</v>
      </c>
      <c r="D21" s="87">
        <f t="shared" si="0"/>
        <v>2.3965503421971089E-2</v>
      </c>
      <c r="E21" s="86">
        <v>6.5833333333333334E-3</v>
      </c>
      <c r="F21" s="88">
        <f t="shared" si="1"/>
        <v>1.7382170088637756E-2</v>
      </c>
    </row>
    <row r="22" spans="2:6" ht="15.5" x14ac:dyDescent="0.35">
      <c r="B22" s="84">
        <v>32964</v>
      </c>
      <c r="C22" s="85">
        <v>330.79998799999998</v>
      </c>
      <c r="D22" s="87">
        <f t="shared" si="0"/>
        <v>-2.7255210458756337E-2</v>
      </c>
      <c r="E22" s="86">
        <v>6.474999999999999E-3</v>
      </c>
      <c r="F22" s="88">
        <f t="shared" si="1"/>
        <v>-3.3730210458756335E-2</v>
      </c>
    </row>
    <row r="23" spans="2:6" ht="15.5" x14ac:dyDescent="0.35">
      <c r="B23" s="84">
        <v>32994</v>
      </c>
      <c r="C23" s="85">
        <v>361.23001099999999</v>
      </c>
      <c r="D23" s="87">
        <f t="shared" si="0"/>
        <v>8.8000978149909537E-2</v>
      </c>
      <c r="E23" s="86">
        <v>6.45E-3</v>
      </c>
      <c r="F23" s="88">
        <f t="shared" si="1"/>
        <v>8.1550978149909539E-2</v>
      </c>
    </row>
    <row r="24" spans="2:6" ht="15.5" x14ac:dyDescent="0.35">
      <c r="B24" s="84">
        <v>33025</v>
      </c>
      <c r="C24" s="85">
        <v>358.01998900000001</v>
      </c>
      <c r="D24" s="87">
        <f t="shared" si="0"/>
        <v>-8.9260849862451523E-3</v>
      </c>
      <c r="E24" s="86">
        <v>6.4416666666666676E-3</v>
      </c>
      <c r="F24" s="88">
        <f t="shared" si="1"/>
        <v>-1.5367751652911821E-2</v>
      </c>
    </row>
    <row r="25" spans="2:6" ht="15.5" x14ac:dyDescent="0.35">
      <c r="B25" s="84">
        <v>33055</v>
      </c>
      <c r="C25" s="85">
        <v>356.14999399999999</v>
      </c>
      <c r="D25" s="87">
        <f t="shared" si="0"/>
        <v>-5.2368464599760831E-3</v>
      </c>
      <c r="E25" s="86">
        <v>6.3500000000000006E-3</v>
      </c>
      <c r="F25" s="88">
        <f t="shared" si="1"/>
        <v>-1.1586846459976083E-2</v>
      </c>
    </row>
    <row r="26" spans="2:6" ht="15.5" x14ac:dyDescent="0.35">
      <c r="B26" s="84">
        <v>33086</v>
      </c>
      <c r="C26" s="85">
        <v>322.55999800000001</v>
      </c>
      <c r="D26" s="87">
        <f t="shared" si="0"/>
        <v>-9.9062814334976157E-2</v>
      </c>
      <c r="E26" s="86">
        <v>6.2083333333333331E-3</v>
      </c>
      <c r="F26" s="88">
        <f t="shared" si="1"/>
        <v>-0.10527114766830949</v>
      </c>
    </row>
    <row r="27" spans="2:6" ht="15.5" x14ac:dyDescent="0.35">
      <c r="B27" s="84">
        <v>33117</v>
      </c>
      <c r="C27" s="85">
        <v>306.04998799999998</v>
      </c>
      <c r="D27" s="87">
        <f t="shared" si="0"/>
        <v>-5.2540711154753818E-2</v>
      </c>
      <c r="E27" s="86">
        <v>6.1333333333333335E-3</v>
      </c>
      <c r="F27" s="88">
        <f t="shared" si="1"/>
        <v>-5.8674044488087149E-2</v>
      </c>
    </row>
    <row r="28" spans="2:6" ht="15.5" x14ac:dyDescent="0.35">
      <c r="B28" s="84">
        <v>33147</v>
      </c>
      <c r="C28" s="85">
        <v>304</v>
      </c>
      <c r="D28" s="87">
        <f t="shared" si="0"/>
        <v>-6.7207466815767591E-3</v>
      </c>
      <c r="E28" s="86">
        <v>5.9750000000000003E-3</v>
      </c>
      <c r="F28" s="88">
        <f t="shared" si="1"/>
        <v>-1.2695746681576759E-2</v>
      </c>
    </row>
    <row r="29" spans="2:6" ht="15.5" x14ac:dyDescent="0.35">
      <c r="B29" s="84">
        <v>33178</v>
      </c>
      <c r="C29" s="85">
        <v>322.22000100000002</v>
      </c>
      <c r="D29" s="87">
        <f t="shared" si="0"/>
        <v>5.8206843760088507E-2</v>
      </c>
      <c r="E29" s="86">
        <v>5.8833333333333333E-3</v>
      </c>
      <c r="F29" s="88">
        <f t="shared" si="1"/>
        <v>5.2323510426755176E-2</v>
      </c>
    </row>
    <row r="30" spans="2:6" ht="15.5" x14ac:dyDescent="0.35">
      <c r="B30" s="84">
        <v>33208</v>
      </c>
      <c r="C30" s="85">
        <v>330.22000100000002</v>
      </c>
      <c r="D30" s="87">
        <f t="shared" si="0"/>
        <v>2.4524556865660293E-2</v>
      </c>
      <c r="E30" s="86">
        <v>5.6166666666666665E-3</v>
      </c>
      <c r="F30" s="88">
        <f t="shared" si="1"/>
        <v>1.8907890198993627E-2</v>
      </c>
    </row>
    <row r="31" spans="2:6" ht="15.5" x14ac:dyDescent="0.35">
      <c r="B31" s="84">
        <v>33239</v>
      </c>
      <c r="C31" s="85">
        <v>343.92999300000002</v>
      </c>
      <c r="D31" s="87">
        <f t="shared" si="0"/>
        <v>4.0679025909787919E-2</v>
      </c>
      <c r="E31" s="86">
        <v>5.1833333333333332E-3</v>
      </c>
      <c r="F31" s="88">
        <f t="shared" si="1"/>
        <v>3.5495692576454588E-2</v>
      </c>
    </row>
    <row r="32" spans="2:6" ht="15.5" x14ac:dyDescent="0.35">
      <c r="B32" s="84">
        <v>33270</v>
      </c>
      <c r="C32" s="85">
        <v>367.07000699999998</v>
      </c>
      <c r="D32" s="87">
        <f t="shared" si="0"/>
        <v>6.5114456689826503E-2</v>
      </c>
      <c r="E32" s="86">
        <v>4.9500000000000004E-3</v>
      </c>
      <c r="F32" s="88">
        <f t="shared" si="1"/>
        <v>6.01644566898265E-2</v>
      </c>
    </row>
    <row r="33" spans="2:6" ht="15.5" x14ac:dyDescent="0.35">
      <c r="B33" s="84">
        <v>33298</v>
      </c>
      <c r="C33" s="85">
        <v>375.22000100000002</v>
      </c>
      <c r="D33" s="87">
        <f t="shared" si="0"/>
        <v>2.195993864898307E-2</v>
      </c>
      <c r="E33" s="86">
        <v>4.9249999999999997E-3</v>
      </c>
      <c r="F33" s="88">
        <f t="shared" si="1"/>
        <v>1.7034938648983072E-2</v>
      </c>
    </row>
    <row r="34" spans="2:6" ht="15.5" x14ac:dyDescent="0.35">
      <c r="B34" s="84">
        <v>33329</v>
      </c>
      <c r="C34" s="85">
        <v>375.33999599999999</v>
      </c>
      <c r="D34" s="87">
        <f t="shared" si="0"/>
        <v>3.1974792555411821E-4</v>
      </c>
      <c r="E34" s="86">
        <v>4.7083333333333335E-3</v>
      </c>
      <c r="F34" s="88">
        <f t="shared" si="1"/>
        <v>-4.3885854077792153E-3</v>
      </c>
    </row>
    <row r="35" spans="2:6" ht="15.5" x14ac:dyDescent="0.35">
      <c r="B35" s="84">
        <v>33359</v>
      </c>
      <c r="C35" s="85">
        <v>389.82998700000002</v>
      </c>
      <c r="D35" s="87">
        <f t="shared" si="0"/>
        <v>3.7878442102898334E-2</v>
      </c>
      <c r="E35" s="86">
        <v>4.5500000000000002E-3</v>
      </c>
      <c r="F35" s="88">
        <f t="shared" si="1"/>
        <v>3.3328442102898335E-2</v>
      </c>
    </row>
    <row r="36" spans="2:6" ht="15.5" x14ac:dyDescent="0.35">
      <c r="B36" s="84">
        <v>33390</v>
      </c>
      <c r="C36" s="85">
        <v>371.16000400000001</v>
      </c>
      <c r="D36" s="87">
        <f t="shared" si="0"/>
        <v>-4.9077466047018507E-2</v>
      </c>
      <c r="E36" s="86">
        <v>4.6416666666666663E-3</v>
      </c>
      <c r="F36" s="88">
        <f t="shared" si="1"/>
        <v>-5.3719132713685176E-2</v>
      </c>
    </row>
    <row r="37" spans="2:6" ht="15.5" x14ac:dyDescent="0.35">
      <c r="B37" s="84">
        <v>33420</v>
      </c>
      <c r="C37" s="85">
        <v>387.80999800000001</v>
      </c>
      <c r="D37" s="87">
        <f t="shared" si="0"/>
        <v>4.3882276544799453E-2</v>
      </c>
      <c r="E37" s="86">
        <v>4.6500000000000005E-3</v>
      </c>
      <c r="F37" s="88">
        <f t="shared" si="1"/>
        <v>3.9232276544799452E-2</v>
      </c>
    </row>
    <row r="38" spans="2:6" ht="15.5" x14ac:dyDescent="0.35">
      <c r="B38" s="84">
        <v>33451</v>
      </c>
      <c r="C38" s="85">
        <v>395.42999300000002</v>
      </c>
      <c r="D38" s="87">
        <f t="shared" si="0"/>
        <v>1.9458238883434252E-2</v>
      </c>
      <c r="E38" s="86">
        <v>4.4416666666666667E-3</v>
      </c>
      <c r="F38" s="88">
        <f t="shared" si="1"/>
        <v>1.5016572216767585E-2</v>
      </c>
    </row>
    <row r="39" spans="2:6" ht="15.5" x14ac:dyDescent="0.35">
      <c r="B39" s="84">
        <v>33482</v>
      </c>
      <c r="C39" s="85">
        <v>387.85998499999999</v>
      </c>
      <c r="D39" s="87">
        <f t="shared" si="0"/>
        <v>-1.9329351595890019E-2</v>
      </c>
      <c r="E39" s="86">
        <v>4.3499999999999997E-3</v>
      </c>
      <c r="F39" s="88">
        <f t="shared" si="1"/>
        <v>-2.3679351595890019E-2</v>
      </c>
    </row>
    <row r="40" spans="2:6" ht="15.5" x14ac:dyDescent="0.35">
      <c r="B40" s="84">
        <v>33512</v>
      </c>
      <c r="C40" s="85">
        <v>392.45001200000002</v>
      </c>
      <c r="D40" s="87">
        <f t="shared" si="0"/>
        <v>1.176476005562012E-2</v>
      </c>
      <c r="E40" s="86">
        <v>4.1583333333333333E-3</v>
      </c>
      <c r="F40" s="88">
        <f t="shared" si="1"/>
        <v>7.6064267222867871E-3</v>
      </c>
    </row>
    <row r="41" spans="2:6" ht="15.5" x14ac:dyDescent="0.35">
      <c r="B41" s="84">
        <v>33543</v>
      </c>
      <c r="C41" s="85">
        <v>375.22000100000002</v>
      </c>
      <c r="D41" s="87">
        <f t="shared" si="0"/>
        <v>-4.4896647869397746E-2</v>
      </c>
      <c r="E41" s="86">
        <v>3.7999999999999996E-3</v>
      </c>
      <c r="F41" s="88">
        <f t="shared" si="1"/>
        <v>-4.8696647869397744E-2</v>
      </c>
    </row>
    <row r="42" spans="2:6" ht="15.5" x14ac:dyDescent="0.35">
      <c r="B42" s="84">
        <v>33573</v>
      </c>
      <c r="C42" s="85">
        <v>417.08999599999999</v>
      </c>
      <c r="D42" s="87">
        <f t="shared" si="0"/>
        <v>0.10578949297873724</v>
      </c>
      <c r="E42" s="86">
        <v>3.3916666666666665E-3</v>
      </c>
      <c r="F42" s="88">
        <f t="shared" si="1"/>
        <v>0.10239782631207058</v>
      </c>
    </row>
    <row r="43" spans="2:6" ht="15.5" x14ac:dyDescent="0.35">
      <c r="B43" s="84">
        <v>33604</v>
      </c>
      <c r="C43" s="85">
        <v>408.77999899999998</v>
      </c>
      <c r="D43" s="87">
        <f t="shared" si="0"/>
        <v>-2.0124904691977172E-2</v>
      </c>
      <c r="E43" s="86">
        <v>3.1666666666666666E-3</v>
      </c>
      <c r="F43" s="88">
        <f t="shared" si="1"/>
        <v>-2.3291571358643841E-2</v>
      </c>
    </row>
    <row r="44" spans="2:6" ht="15.5" x14ac:dyDescent="0.35">
      <c r="B44" s="84">
        <v>33635</v>
      </c>
      <c r="C44" s="85">
        <v>412.70001200000002</v>
      </c>
      <c r="D44" s="87">
        <f t="shared" si="0"/>
        <v>9.5438542680189985E-3</v>
      </c>
      <c r="E44" s="86">
        <v>3.1999999999999997E-3</v>
      </c>
      <c r="F44" s="88">
        <f t="shared" si="1"/>
        <v>6.3438542680189988E-3</v>
      </c>
    </row>
    <row r="45" spans="2:6" ht="15.5" x14ac:dyDescent="0.35">
      <c r="B45" s="84">
        <v>33664</v>
      </c>
      <c r="C45" s="85">
        <v>403.69000199999999</v>
      </c>
      <c r="D45" s="87">
        <f t="shared" si="0"/>
        <v>-2.2073704198415828E-2</v>
      </c>
      <c r="E45" s="86">
        <v>3.3666666666666667E-3</v>
      </c>
      <c r="F45" s="88">
        <f t="shared" si="1"/>
        <v>-2.5440370865082496E-2</v>
      </c>
    </row>
    <row r="46" spans="2:6" ht="15.5" x14ac:dyDescent="0.35">
      <c r="B46" s="84">
        <v>33695</v>
      </c>
      <c r="C46" s="85">
        <v>414.95001200000002</v>
      </c>
      <c r="D46" s="87">
        <f t="shared" si="0"/>
        <v>2.75107983266723E-2</v>
      </c>
      <c r="E46" s="86">
        <v>3.1249999999999997E-3</v>
      </c>
      <c r="F46" s="88">
        <f t="shared" si="1"/>
        <v>2.4385798326672301E-2</v>
      </c>
    </row>
    <row r="47" spans="2:6" ht="15.5" x14ac:dyDescent="0.35">
      <c r="B47" s="84">
        <v>33725</v>
      </c>
      <c r="C47" s="85">
        <v>415.35000600000001</v>
      </c>
      <c r="D47" s="87">
        <f t="shared" si="0"/>
        <v>9.6349276712514871E-4</v>
      </c>
      <c r="E47" s="86">
        <v>3.0249999999999999E-3</v>
      </c>
      <c r="F47" s="88">
        <f t="shared" si="1"/>
        <v>-2.0615072328748511E-3</v>
      </c>
    </row>
    <row r="48" spans="2:6" ht="15.5" x14ac:dyDescent="0.35">
      <c r="B48" s="84">
        <v>33756</v>
      </c>
      <c r="C48" s="85">
        <v>408.14001500000001</v>
      </c>
      <c r="D48" s="87">
        <f t="shared" si="0"/>
        <v>-1.7511263177694761E-2</v>
      </c>
      <c r="E48" s="86">
        <v>3.0500000000000002E-3</v>
      </c>
      <c r="F48" s="88">
        <f t="shared" si="1"/>
        <v>-2.0561263177694761E-2</v>
      </c>
    </row>
    <row r="49" spans="2:6" ht="15.5" x14ac:dyDescent="0.35">
      <c r="B49" s="84">
        <v>33786</v>
      </c>
      <c r="C49" s="85">
        <v>424.209991</v>
      </c>
      <c r="D49" s="87">
        <f t="shared" si="0"/>
        <v>3.8618304869733423E-2</v>
      </c>
      <c r="E49" s="86">
        <v>2.6749999999999999E-3</v>
      </c>
      <c r="F49" s="88">
        <f t="shared" si="1"/>
        <v>3.5943304869733426E-2</v>
      </c>
    </row>
    <row r="50" spans="2:6" ht="15.5" x14ac:dyDescent="0.35">
      <c r="B50" s="84">
        <v>33817</v>
      </c>
      <c r="C50" s="85">
        <v>414.02999899999998</v>
      </c>
      <c r="D50" s="87">
        <f t="shared" si="0"/>
        <v>-2.429016186999295E-2</v>
      </c>
      <c r="E50" s="86">
        <v>2.6083333333333336E-3</v>
      </c>
      <c r="F50" s="88">
        <f t="shared" si="1"/>
        <v>-2.6898495203326284E-2</v>
      </c>
    </row>
    <row r="51" spans="2:6" ht="15.5" x14ac:dyDescent="0.35">
      <c r="B51" s="84">
        <v>33848</v>
      </c>
      <c r="C51" s="85">
        <v>417.79998799999998</v>
      </c>
      <c r="D51" s="87">
        <f t="shared" si="0"/>
        <v>9.0643878478140743E-3</v>
      </c>
      <c r="E51" s="86">
        <v>2.4250000000000001E-3</v>
      </c>
      <c r="F51" s="88">
        <f t="shared" si="1"/>
        <v>6.6393878478140742E-3</v>
      </c>
    </row>
    <row r="52" spans="2:6" ht="15.5" x14ac:dyDescent="0.35">
      <c r="B52" s="84">
        <v>33878</v>
      </c>
      <c r="C52" s="85">
        <v>418.67999300000002</v>
      </c>
      <c r="D52" s="87">
        <f t="shared" si="0"/>
        <v>2.1040678668816895E-3</v>
      </c>
      <c r="E52" s="86">
        <v>2.3833333333333332E-3</v>
      </c>
      <c r="F52" s="88">
        <f t="shared" si="1"/>
        <v>-2.792654664516437E-4</v>
      </c>
    </row>
    <row r="53" spans="2:6" ht="15.5" x14ac:dyDescent="0.35">
      <c r="B53" s="84">
        <v>33909</v>
      </c>
      <c r="C53" s="85">
        <v>431.35000600000001</v>
      </c>
      <c r="D53" s="87">
        <f t="shared" si="0"/>
        <v>2.9812951164935438E-2</v>
      </c>
      <c r="E53" s="86">
        <v>2.6083333333333336E-3</v>
      </c>
      <c r="F53" s="88">
        <f t="shared" si="1"/>
        <v>2.7204617831602104E-2</v>
      </c>
    </row>
    <row r="54" spans="2:6" ht="15.5" x14ac:dyDescent="0.35">
      <c r="B54" s="84">
        <v>33939</v>
      </c>
      <c r="C54" s="85">
        <v>435.709991</v>
      </c>
      <c r="D54" s="87">
        <f t="shared" si="0"/>
        <v>1.0057024343849025E-2</v>
      </c>
      <c r="E54" s="86">
        <v>2.6833333333333331E-3</v>
      </c>
      <c r="F54" s="88">
        <f t="shared" si="1"/>
        <v>7.3736910105156924E-3</v>
      </c>
    </row>
    <row r="55" spans="2:6" ht="15.5" x14ac:dyDescent="0.35">
      <c r="B55" s="84">
        <v>33970</v>
      </c>
      <c r="C55" s="85">
        <v>438.77999899999998</v>
      </c>
      <c r="D55" s="87">
        <f t="shared" si="0"/>
        <v>7.021282455613554E-3</v>
      </c>
      <c r="E55" s="86">
        <v>2.5000000000000001E-3</v>
      </c>
      <c r="F55" s="88">
        <f t="shared" si="1"/>
        <v>4.5212824556135536E-3</v>
      </c>
    </row>
    <row r="56" spans="2:6" ht="15.5" x14ac:dyDescent="0.35">
      <c r="B56" s="84">
        <v>34001</v>
      </c>
      <c r="C56" s="85">
        <v>443.38000499999998</v>
      </c>
      <c r="D56" s="87">
        <f t="shared" si="0"/>
        <v>1.0429055210947079E-2</v>
      </c>
      <c r="E56" s="86">
        <v>2.4416666666666671E-3</v>
      </c>
      <c r="F56" s="88">
        <f t="shared" si="1"/>
        <v>7.9873885442804122E-3</v>
      </c>
    </row>
    <row r="57" spans="2:6" ht="15.5" x14ac:dyDescent="0.35">
      <c r="B57" s="84">
        <v>34029</v>
      </c>
      <c r="C57" s="85">
        <v>451.67001299999998</v>
      </c>
      <c r="D57" s="87">
        <f t="shared" si="0"/>
        <v>1.8524652031519342E-2</v>
      </c>
      <c r="E57" s="86">
        <v>2.4583333333333336E-3</v>
      </c>
      <c r="F57" s="88">
        <f t="shared" si="1"/>
        <v>1.6066318698186009E-2</v>
      </c>
    </row>
    <row r="58" spans="2:6" ht="15.5" x14ac:dyDescent="0.35">
      <c r="B58" s="84">
        <v>34060</v>
      </c>
      <c r="C58" s="85">
        <v>440.19000199999999</v>
      </c>
      <c r="D58" s="87">
        <f t="shared" si="0"/>
        <v>-2.5745397043356953E-2</v>
      </c>
      <c r="E58" s="86">
        <v>2.3916666666666665E-3</v>
      </c>
      <c r="F58" s="88">
        <f t="shared" si="1"/>
        <v>-2.813706371002362E-2</v>
      </c>
    </row>
    <row r="59" spans="2:6" ht="15.5" x14ac:dyDescent="0.35">
      <c r="B59" s="84">
        <v>34090</v>
      </c>
      <c r="C59" s="85">
        <v>450.19000199999999</v>
      </c>
      <c r="D59" s="87">
        <f t="shared" si="0"/>
        <v>2.2463263887458181E-2</v>
      </c>
      <c r="E59" s="86">
        <v>2.4666666666666669E-3</v>
      </c>
      <c r="F59" s="88">
        <f t="shared" si="1"/>
        <v>1.9996597220791515E-2</v>
      </c>
    </row>
    <row r="60" spans="2:6" ht="15.5" x14ac:dyDescent="0.35">
      <c r="B60" s="84">
        <v>34121</v>
      </c>
      <c r="C60" s="85">
        <v>450.52999899999998</v>
      </c>
      <c r="D60" s="87">
        <f t="shared" si="0"/>
        <v>7.5494496796049541E-4</v>
      </c>
      <c r="E60" s="86">
        <v>2.558333333333333E-3</v>
      </c>
      <c r="F60" s="88">
        <f t="shared" si="1"/>
        <v>-1.8033883653728376E-3</v>
      </c>
    </row>
    <row r="61" spans="2:6" ht="15.5" x14ac:dyDescent="0.35">
      <c r="B61" s="84">
        <v>34151</v>
      </c>
      <c r="C61" s="85">
        <v>448.13000499999998</v>
      </c>
      <c r="D61" s="87">
        <f t="shared" si="0"/>
        <v>-5.3412852361650375E-3</v>
      </c>
      <c r="E61" s="86">
        <v>2.5333333333333332E-3</v>
      </c>
      <c r="F61" s="88">
        <f t="shared" si="1"/>
        <v>-7.8746185694983702E-3</v>
      </c>
    </row>
    <row r="62" spans="2:6" ht="15.5" x14ac:dyDescent="0.35">
      <c r="B62" s="84">
        <v>34182</v>
      </c>
      <c r="C62" s="85">
        <v>463.55999800000001</v>
      </c>
      <c r="D62" s="87">
        <f t="shared" si="0"/>
        <v>3.3852442101522676E-2</v>
      </c>
      <c r="E62" s="86">
        <v>2.5166666666666666E-3</v>
      </c>
      <c r="F62" s="88">
        <f t="shared" si="1"/>
        <v>3.1335775434856009E-2</v>
      </c>
    </row>
    <row r="63" spans="2:6" ht="15.5" x14ac:dyDescent="0.35">
      <c r="B63" s="84">
        <v>34213</v>
      </c>
      <c r="C63" s="85">
        <v>458.92999300000002</v>
      </c>
      <c r="D63" s="87">
        <f t="shared" si="0"/>
        <v>-1.0038144420841033E-2</v>
      </c>
      <c r="E63" s="86">
        <v>2.4583333333333336E-3</v>
      </c>
      <c r="F63" s="88">
        <f t="shared" si="1"/>
        <v>-1.2496477754174366E-2</v>
      </c>
    </row>
    <row r="64" spans="2:6" ht="15.5" x14ac:dyDescent="0.35">
      <c r="B64" s="84">
        <v>34243</v>
      </c>
      <c r="C64" s="85">
        <v>467.82998700000002</v>
      </c>
      <c r="D64" s="87">
        <f t="shared" si="0"/>
        <v>1.9207276545127695E-2</v>
      </c>
      <c r="E64" s="86">
        <v>2.5166666666666666E-3</v>
      </c>
      <c r="F64" s="88">
        <f t="shared" si="1"/>
        <v>1.6690609878461028E-2</v>
      </c>
    </row>
    <row r="65" spans="2:6" ht="15.5" x14ac:dyDescent="0.35">
      <c r="B65" s="84">
        <v>34274</v>
      </c>
      <c r="C65" s="85">
        <v>461.790009</v>
      </c>
      <c r="D65" s="87">
        <f t="shared" si="0"/>
        <v>-1.2994692496569805E-2</v>
      </c>
      <c r="E65" s="86">
        <v>2.5833333333333333E-3</v>
      </c>
      <c r="F65" s="88">
        <f t="shared" si="1"/>
        <v>-1.5578025829903138E-2</v>
      </c>
    </row>
    <row r="66" spans="2:6" ht="15.5" x14ac:dyDescent="0.35">
      <c r="B66" s="84">
        <v>34304</v>
      </c>
      <c r="C66" s="85">
        <v>466.45001200000002</v>
      </c>
      <c r="D66" s="87">
        <f t="shared" si="0"/>
        <v>1.0040597353728847E-2</v>
      </c>
      <c r="E66" s="86">
        <v>2.5500000000000002E-3</v>
      </c>
      <c r="F66" s="88">
        <f t="shared" si="1"/>
        <v>7.4905973537288464E-3</v>
      </c>
    </row>
    <row r="67" spans="2:6" ht="15.5" x14ac:dyDescent="0.35">
      <c r="B67" s="84">
        <v>34335</v>
      </c>
      <c r="C67" s="85">
        <v>481.60998499999999</v>
      </c>
      <c r="D67" s="87">
        <f t="shared" si="0"/>
        <v>3.1983767619908336E-2</v>
      </c>
      <c r="E67" s="86">
        <v>2.4833333333333335E-3</v>
      </c>
      <c r="F67" s="88">
        <f t="shared" si="1"/>
        <v>2.9500434286575002E-2</v>
      </c>
    </row>
    <row r="68" spans="2:6" ht="15.5" x14ac:dyDescent="0.35">
      <c r="B68" s="84">
        <v>34366</v>
      </c>
      <c r="C68" s="85">
        <v>467.14001500000001</v>
      </c>
      <c r="D68" s="87">
        <f t="shared" si="0"/>
        <v>-3.0505596033489828E-2</v>
      </c>
      <c r="E68" s="86">
        <v>2.7083333333333334E-3</v>
      </c>
      <c r="F68" s="88">
        <f t="shared" si="1"/>
        <v>-3.3213929366823158E-2</v>
      </c>
    </row>
    <row r="69" spans="2:6" ht="15.5" x14ac:dyDescent="0.35">
      <c r="B69" s="84">
        <v>34394</v>
      </c>
      <c r="C69" s="85">
        <v>445.76998900000001</v>
      </c>
      <c r="D69" s="87">
        <f t="shared" si="0"/>
        <v>-4.6825931459655447E-2</v>
      </c>
      <c r="E69" s="86">
        <v>2.9166666666666668E-3</v>
      </c>
      <c r="F69" s="88">
        <f t="shared" si="1"/>
        <v>-4.9742598126322111E-2</v>
      </c>
    </row>
    <row r="70" spans="2:6" ht="15.5" x14ac:dyDescent="0.35">
      <c r="B70" s="84">
        <v>34425</v>
      </c>
      <c r="C70" s="85">
        <v>450.91000400000001</v>
      </c>
      <c r="D70" s="87">
        <f t="shared" si="0"/>
        <v>1.1464672658589562E-2</v>
      </c>
      <c r="E70" s="86">
        <v>3.0666666666666668E-3</v>
      </c>
      <c r="F70" s="88">
        <f t="shared" si="1"/>
        <v>8.3980059919228946E-3</v>
      </c>
    </row>
    <row r="71" spans="2:6" ht="15.5" x14ac:dyDescent="0.35">
      <c r="B71" s="84">
        <v>34455</v>
      </c>
      <c r="C71" s="85">
        <v>456.5</v>
      </c>
      <c r="D71" s="87">
        <f t="shared" si="0"/>
        <v>1.2320928116470864E-2</v>
      </c>
      <c r="E71" s="86">
        <v>3.4499999999999999E-3</v>
      </c>
      <c r="F71" s="88">
        <f t="shared" si="1"/>
        <v>8.8709281164708643E-3</v>
      </c>
    </row>
    <row r="72" spans="2:6" ht="15.5" x14ac:dyDescent="0.35">
      <c r="B72" s="84">
        <v>34486</v>
      </c>
      <c r="C72" s="85">
        <v>444.26998900000001</v>
      </c>
      <c r="D72" s="87">
        <f t="shared" si="0"/>
        <v>-2.715623907722001E-2</v>
      </c>
      <c r="E72" s="86">
        <v>3.4499999999999999E-3</v>
      </c>
      <c r="F72" s="88">
        <f t="shared" si="1"/>
        <v>-3.0606239077220009E-2</v>
      </c>
    </row>
    <row r="73" spans="2:6" ht="15.5" x14ac:dyDescent="0.35">
      <c r="B73" s="84">
        <v>34516</v>
      </c>
      <c r="C73" s="85">
        <v>458.26001000000002</v>
      </c>
      <c r="D73" s="87">
        <f t="shared" si="0"/>
        <v>3.1004269495066333E-2</v>
      </c>
      <c r="E73" s="86">
        <v>3.6083333333333332E-3</v>
      </c>
      <c r="F73" s="88">
        <f t="shared" si="1"/>
        <v>2.7395936161732998E-2</v>
      </c>
    </row>
    <row r="74" spans="2:6" ht="15.5" x14ac:dyDescent="0.35">
      <c r="B74" s="84">
        <v>34547</v>
      </c>
      <c r="C74" s="85">
        <v>475.48998999999998</v>
      </c>
      <c r="D74" s="87">
        <f t="shared" si="0"/>
        <v>3.6909099786278168E-2</v>
      </c>
      <c r="E74" s="86">
        <v>3.7333333333333337E-3</v>
      </c>
      <c r="F74" s="88">
        <f t="shared" si="1"/>
        <v>3.3175766452944837E-2</v>
      </c>
    </row>
    <row r="75" spans="2:6" ht="15.5" x14ac:dyDescent="0.35">
      <c r="B75" s="84">
        <v>34578</v>
      </c>
      <c r="C75" s="85">
        <v>462.709991</v>
      </c>
      <c r="D75" s="87">
        <f t="shared" ref="D75:D138" si="2">LN(C75/C74)</f>
        <v>-2.7245341734590985E-2</v>
      </c>
      <c r="E75" s="86">
        <v>3.8499999999999997E-3</v>
      </c>
      <c r="F75" s="88">
        <f t="shared" ref="F75:F138" si="3">D75-E75</f>
        <v>-3.1095341734590984E-2</v>
      </c>
    </row>
    <row r="76" spans="2:6" ht="15.5" x14ac:dyDescent="0.35">
      <c r="B76" s="84">
        <v>34608</v>
      </c>
      <c r="C76" s="85">
        <v>472.35000600000001</v>
      </c>
      <c r="D76" s="87">
        <f t="shared" si="2"/>
        <v>2.0619760413031863E-2</v>
      </c>
      <c r="E76" s="86">
        <v>4.1250000000000002E-3</v>
      </c>
      <c r="F76" s="88">
        <f t="shared" si="3"/>
        <v>1.6494760413031863E-2</v>
      </c>
    </row>
    <row r="77" spans="2:6" ht="15.5" x14ac:dyDescent="0.35">
      <c r="B77" s="84">
        <v>34639</v>
      </c>
      <c r="C77" s="85">
        <v>453.69000199999999</v>
      </c>
      <c r="D77" s="87">
        <f t="shared" si="2"/>
        <v>-4.0306099078533261E-2</v>
      </c>
      <c r="E77" s="86">
        <v>4.4083333333333335E-3</v>
      </c>
      <c r="F77" s="88">
        <f t="shared" si="3"/>
        <v>-4.4714432411866595E-2</v>
      </c>
    </row>
    <row r="78" spans="2:6" ht="15.5" x14ac:dyDescent="0.35">
      <c r="B78" s="84">
        <v>34669</v>
      </c>
      <c r="C78" s="85">
        <v>459.26998900000001</v>
      </c>
      <c r="D78" s="87">
        <f t="shared" si="2"/>
        <v>1.222409862199119E-2</v>
      </c>
      <c r="E78" s="86">
        <v>4.6666666666666662E-3</v>
      </c>
      <c r="F78" s="88">
        <f t="shared" si="3"/>
        <v>7.5574319553245242E-3</v>
      </c>
    </row>
    <row r="79" spans="2:6" ht="15.5" x14ac:dyDescent="0.35">
      <c r="B79" s="84">
        <v>34700</v>
      </c>
      <c r="C79" s="85">
        <v>470.42001299999998</v>
      </c>
      <c r="D79" s="87">
        <f t="shared" si="2"/>
        <v>2.3987691861230103E-2</v>
      </c>
      <c r="E79" s="86">
        <v>4.7583333333333332E-3</v>
      </c>
      <c r="F79" s="88">
        <f t="shared" si="3"/>
        <v>1.922935852789677E-2</v>
      </c>
    </row>
    <row r="80" spans="2:6" ht="15.5" x14ac:dyDescent="0.35">
      <c r="B80" s="84">
        <v>34731</v>
      </c>
      <c r="C80" s="85">
        <v>487.39001500000001</v>
      </c>
      <c r="D80" s="87">
        <f t="shared" si="2"/>
        <v>3.543871440539266E-2</v>
      </c>
      <c r="E80" s="86">
        <v>4.8083333333333329E-3</v>
      </c>
      <c r="F80" s="88">
        <f t="shared" si="3"/>
        <v>3.0630381072059329E-2</v>
      </c>
    </row>
    <row r="81" spans="2:6" ht="15.5" x14ac:dyDescent="0.35">
      <c r="B81" s="84">
        <v>34759</v>
      </c>
      <c r="C81" s="85">
        <v>500.709991</v>
      </c>
      <c r="D81" s="87">
        <f t="shared" si="2"/>
        <v>2.6962418473460092E-2</v>
      </c>
      <c r="E81" s="86">
        <v>4.7750000000000006E-3</v>
      </c>
      <c r="F81" s="88">
        <f t="shared" si="3"/>
        <v>2.2187418473460091E-2</v>
      </c>
    </row>
    <row r="82" spans="2:6" ht="15.5" x14ac:dyDescent="0.35">
      <c r="B82" s="84">
        <v>34790</v>
      </c>
      <c r="C82" s="85">
        <v>514.71002199999998</v>
      </c>
      <c r="D82" s="87">
        <f t="shared" si="2"/>
        <v>2.7576604804829194E-2</v>
      </c>
      <c r="E82" s="86">
        <v>4.7083333333333335E-3</v>
      </c>
      <c r="F82" s="88">
        <f t="shared" si="3"/>
        <v>2.2868271471495859E-2</v>
      </c>
    </row>
    <row r="83" spans="2:6" ht="15.5" x14ac:dyDescent="0.35">
      <c r="B83" s="84">
        <v>34820</v>
      </c>
      <c r="C83" s="85">
        <v>533.40002400000003</v>
      </c>
      <c r="D83" s="87">
        <f t="shared" si="2"/>
        <v>3.5667978736330243E-2</v>
      </c>
      <c r="E83" s="86">
        <v>4.725E-3</v>
      </c>
      <c r="F83" s="88">
        <f t="shared" si="3"/>
        <v>3.0942978736330243E-2</v>
      </c>
    </row>
    <row r="84" spans="2:6" ht="15.5" x14ac:dyDescent="0.35">
      <c r="B84" s="84">
        <v>34851</v>
      </c>
      <c r="C84" s="85">
        <v>544.75</v>
      </c>
      <c r="D84" s="87">
        <f t="shared" si="2"/>
        <v>2.1055317082440638E-2</v>
      </c>
      <c r="E84" s="86">
        <v>4.5583333333333335E-3</v>
      </c>
      <c r="F84" s="88">
        <f t="shared" si="3"/>
        <v>1.6496983749107304E-2</v>
      </c>
    </row>
    <row r="85" spans="2:6" ht="15.5" x14ac:dyDescent="0.35">
      <c r="B85" s="84">
        <v>34881</v>
      </c>
      <c r="C85" s="85">
        <v>562.05999799999995</v>
      </c>
      <c r="D85" s="87">
        <f t="shared" si="2"/>
        <v>3.1281628377848696E-2</v>
      </c>
      <c r="E85" s="86">
        <v>4.5166666666666662E-3</v>
      </c>
      <c r="F85" s="88">
        <f t="shared" si="3"/>
        <v>2.676496171118203E-2</v>
      </c>
    </row>
    <row r="86" spans="2:6" ht="15.5" x14ac:dyDescent="0.35">
      <c r="B86" s="84">
        <v>34912</v>
      </c>
      <c r="C86" s="85">
        <v>561.88000499999998</v>
      </c>
      <c r="D86" s="87">
        <f t="shared" si="2"/>
        <v>-3.2028934117168674E-4</v>
      </c>
      <c r="E86" s="86">
        <v>4.5000000000000005E-3</v>
      </c>
      <c r="F86" s="88">
        <f t="shared" si="3"/>
        <v>-4.8202893411716874E-3</v>
      </c>
    </row>
    <row r="87" spans="2:6" ht="15.5" x14ac:dyDescent="0.35">
      <c r="B87" s="84">
        <v>34943</v>
      </c>
      <c r="C87" s="85">
        <v>584.40997300000004</v>
      </c>
      <c r="D87" s="87">
        <f t="shared" si="2"/>
        <v>3.9314432235714063E-2</v>
      </c>
      <c r="E87" s="86">
        <v>4.4000000000000003E-3</v>
      </c>
      <c r="F87" s="88">
        <f t="shared" si="3"/>
        <v>3.4914432235714062E-2</v>
      </c>
    </row>
    <row r="88" spans="2:6" ht="15.5" x14ac:dyDescent="0.35">
      <c r="B88" s="84">
        <v>34973</v>
      </c>
      <c r="C88" s="85">
        <v>581.5</v>
      </c>
      <c r="D88" s="87">
        <f t="shared" si="2"/>
        <v>-4.9917731384012537E-3</v>
      </c>
      <c r="E88" s="86">
        <v>4.4000000000000003E-3</v>
      </c>
      <c r="F88" s="88">
        <f t="shared" si="3"/>
        <v>-9.3917731384012548E-3</v>
      </c>
    </row>
    <row r="89" spans="2:6" ht="15.5" x14ac:dyDescent="0.35">
      <c r="B89" s="84">
        <v>35004</v>
      </c>
      <c r="C89" s="85">
        <v>605.36999500000002</v>
      </c>
      <c r="D89" s="87">
        <f t="shared" si="2"/>
        <v>4.0228861127771812E-2</v>
      </c>
      <c r="E89" s="86">
        <v>4.4666666666666665E-3</v>
      </c>
      <c r="F89" s="88">
        <f t="shared" si="3"/>
        <v>3.5762194461105144E-2</v>
      </c>
    </row>
    <row r="90" spans="2:6" ht="15.5" x14ac:dyDescent="0.35">
      <c r="B90" s="84">
        <v>35034</v>
      </c>
      <c r="C90" s="85">
        <v>615.92999299999997</v>
      </c>
      <c r="D90" s="87">
        <f t="shared" si="2"/>
        <v>1.7293476261363985E-2</v>
      </c>
      <c r="E90" s="86">
        <v>4.2833333333333326E-3</v>
      </c>
      <c r="F90" s="88">
        <f t="shared" si="3"/>
        <v>1.3010142928030651E-2</v>
      </c>
    </row>
    <row r="91" spans="2:6" ht="15.5" x14ac:dyDescent="0.35">
      <c r="B91" s="84">
        <v>35065</v>
      </c>
      <c r="C91" s="85">
        <v>636.02002000000005</v>
      </c>
      <c r="D91" s="87">
        <f t="shared" si="2"/>
        <v>3.209673148426738E-2</v>
      </c>
      <c r="E91" s="86">
        <v>4.1666666666666666E-3</v>
      </c>
      <c r="F91" s="88">
        <f t="shared" si="3"/>
        <v>2.7930064817600714E-2</v>
      </c>
    </row>
    <row r="92" spans="2:6" ht="15.5" x14ac:dyDescent="0.35">
      <c r="B92" s="84">
        <v>35096</v>
      </c>
      <c r="C92" s="85">
        <v>640.42999299999997</v>
      </c>
      <c r="D92" s="87">
        <f t="shared" si="2"/>
        <v>6.9097739844785361E-3</v>
      </c>
      <c r="E92" s="86">
        <v>4.0249999999999999E-3</v>
      </c>
      <c r="F92" s="88">
        <f t="shared" si="3"/>
        <v>2.8847739844785362E-3</v>
      </c>
    </row>
    <row r="93" spans="2:6" ht="15.5" x14ac:dyDescent="0.35">
      <c r="B93" s="84">
        <v>35125</v>
      </c>
      <c r="C93" s="85">
        <v>645.5</v>
      </c>
      <c r="D93" s="87">
        <f t="shared" si="2"/>
        <v>7.885395470096479E-3</v>
      </c>
      <c r="E93" s="86">
        <v>4.1333333333333335E-3</v>
      </c>
      <c r="F93" s="88">
        <f t="shared" si="3"/>
        <v>3.7520621367631455E-3</v>
      </c>
    </row>
    <row r="94" spans="2:6" ht="15.5" x14ac:dyDescent="0.35">
      <c r="B94" s="84">
        <v>35156</v>
      </c>
      <c r="C94" s="85">
        <v>654.169983</v>
      </c>
      <c r="D94" s="87">
        <f t="shared" si="2"/>
        <v>1.334202024304668E-2</v>
      </c>
      <c r="E94" s="86">
        <v>4.1250000000000002E-3</v>
      </c>
      <c r="F94" s="88">
        <f t="shared" si="3"/>
        <v>9.2170202430466794E-3</v>
      </c>
    </row>
    <row r="95" spans="2:6" ht="15.5" x14ac:dyDescent="0.35">
      <c r="B95" s="84">
        <v>35186</v>
      </c>
      <c r="C95" s="85">
        <v>669.11999500000002</v>
      </c>
      <c r="D95" s="87">
        <f t="shared" si="2"/>
        <v>2.2596178238023713E-2</v>
      </c>
      <c r="E95" s="86">
        <v>4.1833333333333332E-3</v>
      </c>
      <c r="F95" s="88">
        <f t="shared" si="3"/>
        <v>1.8412844904690379E-2</v>
      </c>
    </row>
    <row r="96" spans="2:6" ht="15.5" x14ac:dyDescent="0.35">
      <c r="B96" s="84">
        <v>35217</v>
      </c>
      <c r="C96" s="85">
        <v>670.63000499999998</v>
      </c>
      <c r="D96" s="87">
        <f t="shared" si="2"/>
        <v>2.2541677766712296E-3</v>
      </c>
      <c r="E96" s="86">
        <v>4.241666666666667E-3</v>
      </c>
      <c r="F96" s="88">
        <f t="shared" si="3"/>
        <v>-1.9874988899954375E-3</v>
      </c>
    </row>
    <row r="97" spans="2:6" ht="15.5" x14ac:dyDescent="0.35">
      <c r="B97" s="84">
        <v>35247</v>
      </c>
      <c r="C97" s="85">
        <v>639.95001200000002</v>
      </c>
      <c r="D97" s="87">
        <f t="shared" si="2"/>
        <v>-4.6827509491173078E-2</v>
      </c>
      <c r="E97" s="86">
        <v>4.2916666666666667E-3</v>
      </c>
      <c r="F97" s="88">
        <f t="shared" si="3"/>
        <v>-5.1119176157839744E-2</v>
      </c>
    </row>
    <row r="98" spans="2:6" ht="15.5" x14ac:dyDescent="0.35">
      <c r="B98" s="84">
        <v>35278</v>
      </c>
      <c r="C98" s="85">
        <v>651.98999000000003</v>
      </c>
      <c r="D98" s="87">
        <f t="shared" si="2"/>
        <v>1.8639141994796438E-2</v>
      </c>
      <c r="E98" s="86">
        <v>4.208333333333333E-3</v>
      </c>
      <c r="F98" s="88">
        <f t="shared" si="3"/>
        <v>1.4430808661463105E-2</v>
      </c>
    </row>
    <row r="99" spans="2:6" ht="15.5" x14ac:dyDescent="0.35">
      <c r="B99" s="84">
        <v>35309</v>
      </c>
      <c r="C99" s="85">
        <v>687.330017</v>
      </c>
      <c r="D99" s="87">
        <f t="shared" si="2"/>
        <v>5.2785341921838452E-2</v>
      </c>
      <c r="E99" s="86">
        <v>4.241666666666667E-3</v>
      </c>
      <c r="F99" s="88">
        <f t="shared" si="3"/>
        <v>4.8543675255171788E-2</v>
      </c>
    </row>
    <row r="100" spans="2:6" ht="15.5" x14ac:dyDescent="0.35">
      <c r="B100" s="84">
        <v>35339</v>
      </c>
      <c r="C100" s="85">
        <v>705.27002000000005</v>
      </c>
      <c r="D100" s="87">
        <f t="shared" si="2"/>
        <v>2.576618560607349E-2</v>
      </c>
      <c r="E100" s="86">
        <v>4.1583333333333333E-3</v>
      </c>
      <c r="F100" s="88">
        <f t="shared" si="3"/>
        <v>2.1607852272740157E-2</v>
      </c>
    </row>
    <row r="101" spans="2:6" ht="15.5" x14ac:dyDescent="0.35">
      <c r="B101" s="84">
        <v>35370</v>
      </c>
      <c r="C101" s="85">
        <v>757.02002000000005</v>
      </c>
      <c r="D101" s="87">
        <f t="shared" si="2"/>
        <v>7.0808963011111836E-2</v>
      </c>
      <c r="E101" s="86">
        <v>4.1916666666666673E-3</v>
      </c>
      <c r="F101" s="88">
        <f t="shared" si="3"/>
        <v>6.6617296344445173E-2</v>
      </c>
    </row>
    <row r="102" spans="2:6" ht="15.5" x14ac:dyDescent="0.35">
      <c r="B102" s="84">
        <v>35400</v>
      </c>
      <c r="C102" s="85">
        <v>740.73999000000003</v>
      </c>
      <c r="D102" s="87">
        <f t="shared" si="2"/>
        <v>-2.1740026555800433E-2</v>
      </c>
      <c r="E102" s="86">
        <v>4.0916666666666671E-3</v>
      </c>
      <c r="F102" s="88">
        <f t="shared" si="3"/>
        <v>-2.58316932224671E-2</v>
      </c>
    </row>
    <row r="103" spans="2:6" ht="15.5" x14ac:dyDescent="0.35">
      <c r="B103" s="84">
        <v>35431</v>
      </c>
      <c r="C103" s="85">
        <v>786.15997300000004</v>
      </c>
      <c r="D103" s="87">
        <f t="shared" si="2"/>
        <v>5.9510626678731596E-2</v>
      </c>
      <c r="E103" s="86">
        <v>4.1916666666666673E-3</v>
      </c>
      <c r="F103" s="88">
        <f t="shared" si="3"/>
        <v>5.5318960012064926E-2</v>
      </c>
    </row>
    <row r="104" spans="2:6" ht="15.5" x14ac:dyDescent="0.35">
      <c r="B104" s="84">
        <v>35462</v>
      </c>
      <c r="C104" s="85">
        <v>790.82000700000003</v>
      </c>
      <c r="D104" s="87">
        <f t="shared" si="2"/>
        <v>5.9100909629228931E-3</v>
      </c>
      <c r="E104" s="86">
        <v>4.1749999999999999E-3</v>
      </c>
      <c r="F104" s="88">
        <f t="shared" si="3"/>
        <v>1.7350909629228932E-3</v>
      </c>
    </row>
    <row r="105" spans="2:6" ht="15.5" x14ac:dyDescent="0.35">
      <c r="B105" s="84">
        <v>35490</v>
      </c>
      <c r="C105" s="85">
        <v>757.11999500000002</v>
      </c>
      <c r="D105" s="87">
        <f t="shared" si="2"/>
        <v>-4.3548635926945516E-2</v>
      </c>
      <c r="E105" s="86">
        <v>4.2833333333333326E-3</v>
      </c>
      <c r="F105" s="88">
        <f t="shared" si="3"/>
        <v>-4.7831969260278849E-2</v>
      </c>
    </row>
    <row r="106" spans="2:6" ht="15.5" x14ac:dyDescent="0.35">
      <c r="B106" s="84">
        <v>35521</v>
      </c>
      <c r="C106" s="85">
        <v>801.34002699999996</v>
      </c>
      <c r="D106" s="87">
        <f t="shared" si="2"/>
        <v>5.6763605367504341E-2</v>
      </c>
      <c r="E106" s="86">
        <v>4.3E-3</v>
      </c>
      <c r="F106" s="88">
        <f t="shared" si="3"/>
        <v>5.2463605367504343E-2</v>
      </c>
    </row>
    <row r="107" spans="2:6" ht="15.5" x14ac:dyDescent="0.35">
      <c r="B107" s="84">
        <v>35551</v>
      </c>
      <c r="C107" s="85">
        <v>848.28002900000001</v>
      </c>
      <c r="D107" s="87">
        <f t="shared" si="2"/>
        <v>5.6925444044188832E-2</v>
      </c>
      <c r="E107" s="86">
        <v>4.208333333333333E-3</v>
      </c>
      <c r="F107" s="88">
        <f t="shared" si="3"/>
        <v>5.2717110710855497E-2</v>
      </c>
    </row>
    <row r="108" spans="2:6" ht="15.5" x14ac:dyDescent="0.35">
      <c r="B108" s="84">
        <v>35582</v>
      </c>
      <c r="C108" s="85">
        <v>885.14001499999995</v>
      </c>
      <c r="D108" s="87">
        <f t="shared" si="2"/>
        <v>4.2535037376059702E-2</v>
      </c>
      <c r="E108" s="86">
        <v>4.1083333333333328E-3</v>
      </c>
      <c r="F108" s="88">
        <f t="shared" si="3"/>
        <v>3.842670404272637E-2</v>
      </c>
    </row>
    <row r="109" spans="2:6" ht="15.5" x14ac:dyDescent="0.35">
      <c r="B109" s="84">
        <v>35612</v>
      </c>
      <c r="C109" s="85">
        <v>954.30999799999995</v>
      </c>
      <c r="D109" s="87">
        <f t="shared" si="2"/>
        <v>7.5242722623849359E-2</v>
      </c>
      <c r="E109" s="86">
        <v>4.208333333333333E-3</v>
      </c>
      <c r="F109" s="88">
        <f t="shared" si="3"/>
        <v>7.1034389290516031E-2</v>
      </c>
    </row>
    <row r="110" spans="2:6" ht="15.5" x14ac:dyDescent="0.35">
      <c r="B110" s="84">
        <v>35643</v>
      </c>
      <c r="C110" s="85">
        <v>899.46997099999999</v>
      </c>
      <c r="D110" s="87">
        <f t="shared" si="2"/>
        <v>-5.9182895426549337E-2</v>
      </c>
      <c r="E110" s="86">
        <v>4.2833333333333326E-3</v>
      </c>
      <c r="F110" s="88">
        <f t="shared" si="3"/>
        <v>-6.346622875988267E-2</v>
      </c>
    </row>
    <row r="111" spans="2:6" ht="15.5" x14ac:dyDescent="0.35">
      <c r="B111" s="84">
        <v>35674</v>
      </c>
      <c r="C111" s="85">
        <v>947.28002900000001</v>
      </c>
      <c r="D111" s="87">
        <f t="shared" si="2"/>
        <v>5.1789081905622182E-2</v>
      </c>
      <c r="E111" s="86">
        <v>4.1250000000000002E-3</v>
      </c>
      <c r="F111" s="88">
        <f t="shared" si="3"/>
        <v>4.7664081905622185E-2</v>
      </c>
    </row>
    <row r="112" spans="2:6" ht="15.5" x14ac:dyDescent="0.35">
      <c r="B112" s="84">
        <v>35704</v>
      </c>
      <c r="C112" s="85">
        <v>914.61999500000002</v>
      </c>
      <c r="D112" s="87">
        <f t="shared" si="2"/>
        <v>-3.5086077635503005E-2</v>
      </c>
      <c r="E112" s="86">
        <v>4.1416666666666659E-3</v>
      </c>
      <c r="F112" s="88">
        <f t="shared" si="3"/>
        <v>-3.9227744302169673E-2</v>
      </c>
    </row>
    <row r="113" spans="2:6" ht="15.5" x14ac:dyDescent="0.35">
      <c r="B113" s="84">
        <v>35735</v>
      </c>
      <c r="C113" s="85">
        <v>955.40002400000003</v>
      </c>
      <c r="D113" s="87">
        <f t="shared" si="2"/>
        <v>4.3621453075063196E-2</v>
      </c>
      <c r="E113" s="86">
        <v>4.2833333333333326E-3</v>
      </c>
      <c r="F113" s="88">
        <f t="shared" si="3"/>
        <v>3.9338119741729863E-2</v>
      </c>
    </row>
    <row r="114" spans="2:6" ht="15.5" x14ac:dyDescent="0.35">
      <c r="B114" s="84">
        <v>35765</v>
      </c>
      <c r="C114" s="85">
        <v>970.42999299999997</v>
      </c>
      <c r="D114" s="87">
        <f t="shared" si="2"/>
        <v>1.5609138949014363E-2</v>
      </c>
      <c r="E114" s="86">
        <v>4.3E-3</v>
      </c>
      <c r="F114" s="88">
        <f t="shared" si="3"/>
        <v>1.1309138949014363E-2</v>
      </c>
    </row>
    <row r="115" spans="2:6" ht="15.5" x14ac:dyDescent="0.35">
      <c r="B115" s="84">
        <v>35796</v>
      </c>
      <c r="C115" s="85">
        <v>980.28002900000001</v>
      </c>
      <c r="D115" s="87">
        <f t="shared" si="2"/>
        <v>1.0099009699918129E-2</v>
      </c>
      <c r="E115" s="86">
        <v>4.1999999999999997E-3</v>
      </c>
      <c r="F115" s="88">
        <f t="shared" si="3"/>
        <v>5.8990096999181297E-3</v>
      </c>
    </row>
    <row r="116" spans="2:6" ht="15.5" x14ac:dyDescent="0.35">
      <c r="B116" s="84">
        <v>35827</v>
      </c>
      <c r="C116" s="85">
        <v>1049.339966</v>
      </c>
      <c r="D116" s="87">
        <f t="shared" si="2"/>
        <v>6.8078366962673373E-2</v>
      </c>
      <c r="E116" s="86">
        <v>4.241666666666667E-3</v>
      </c>
      <c r="F116" s="88">
        <f t="shared" si="3"/>
        <v>6.3836700296006701E-2</v>
      </c>
    </row>
    <row r="117" spans="2:6" ht="15.5" x14ac:dyDescent="0.35">
      <c r="B117" s="84">
        <v>35855</v>
      </c>
      <c r="C117" s="85">
        <v>1101.75</v>
      </c>
      <c r="D117" s="87">
        <f t="shared" si="2"/>
        <v>4.8738462034261035E-2</v>
      </c>
      <c r="E117" s="86">
        <v>4.1916666666666673E-3</v>
      </c>
      <c r="F117" s="88">
        <f t="shared" si="3"/>
        <v>4.4546795367594365E-2</v>
      </c>
    </row>
    <row r="118" spans="2:6" ht="15.5" x14ac:dyDescent="0.35">
      <c r="B118" s="84">
        <v>35886</v>
      </c>
      <c r="C118" s="85">
        <v>1111.75</v>
      </c>
      <c r="D118" s="87">
        <f t="shared" si="2"/>
        <v>9.0355256687094428E-3</v>
      </c>
      <c r="E118" s="86">
        <v>4.1250000000000002E-3</v>
      </c>
      <c r="F118" s="88">
        <f t="shared" si="3"/>
        <v>4.9105256687094426E-3</v>
      </c>
    </row>
    <row r="119" spans="2:6" ht="15.5" x14ac:dyDescent="0.35">
      <c r="B119" s="84">
        <v>35916</v>
      </c>
      <c r="C119" s="85">
        <v>1090.8199460000001</v>
      </c>
      <c r="D119" s="87">
        <f t="shared" si="2"/>
        <v>-1.9005692924653487E-2</v>
      </c>
      <c r="E119" s="86">
        <v>4.1666666666666666E-3</v>
      </c>
      <c r="F119" s="88">
        <f t="shared" si="3"/>
        <v>-2.3172359591320153E-2</v>
      </c>
    </row>
    <row r="120" spans="2:6" ht="15.5" x14ac:dyDescent="0.35">
      <c r="B120" s="84">
        <v>35947</v>
      </c>
      <c r="C120" s="85">
        <v>1133.839966</v>
      </c>
      <c r="D120" s="87">
        <f t="shared" si="2"/>
        <v>3.8680414405902981E-2</v>
      </c>
      <c r="E120" s="86">
        <v>4.15E-3</v>
      </c>
      <c r="F120" s="88">
        <f t="shared" si="3"/>
        <v>3.453041440590298E-2</v>
      </c>
    </row>
    <row r="121" spans="2:6" ht="15.5" x14ac:dyDescent="0.35">
      <c r="B121" s="84">
        <v>35977</v>
      </c>
      <c r="C121" s="85">
        <v>1120.670044</v>
      </c>
      <c r="D121" s="87">
        <f t="shared" si="2"/>
        <v>-1.168331189381326E-2</v>
      </c>
      <c r="E121" s="86">
        <v>4.1333333333333335E-3</v>
      </c>
      <c r="F121" s="88">
        <f t="shared" si="3"/>
        <v>-1.5816645227146594E-2</v>
      </c>
    </row>
    <row r="122" spans="2:6" ht="15.5" x14ac:dyDescent="0.35">
      <c r="B122" s="84">
        <v>36008</v>
      </c>
      <c r="C122" s="85">
        <v>957.28002900000001</v>
      </c>
      <c r="D122" s="87">
        <f t="shared" si="2"/>
        <v>-0.15758607904235392</v>
      </c>
      <c r="E122" s="86">
        <v>4.0833333333333338E-3</v>
      </c>
      <c r="F122" s="88">
        <f t="shared" si="3"/>
        <v>-0.16166941237568724</v>
      </c>
    </row>
    <row r="123" spans="2:6" ht="15.5" x14ac:dyDescent="0.35">
      <c r="B123" s="84">
        <v>36039</v>
      </c>
      <c r="C123" s="85">
        <v>1017.01001</v>
      </c>
      <c r="D123" s="87">
        <f t="shared" si="2"/>
        <v>6.0526278738766016E-2</v>
      </c>
      <c r="E123" s="86">
        <v>3.8416666666666668E-3</v>
      </c>
      <c r="F123" s="88">
        <f t="shared" si="3"/>
        <v>5.668461207209935E-2</v>
      </c>
    </row>
    <row r="124" spans="2:6" ht="15.5" x14ac:dyDescent="0.35">
      <c r="B124" s="84">
        <v>36069</v>
      </c>
      <c r="C124" s="85">
        <v>1098.670044</v>
      </c>
      <c r="D124" s="87">
        <f t="shared" si="2"/>
        <v>7.7233437710999844E-2</v>
      </c>
      <c r="E124" s="86">
        <v>3.2999999999999995E-3</v>
      </c>
      <c r="F124" s="88">
        <f t="shared" si="3"/>
        <v>7.3933437710999847E-2</v>
      </c>
    </row>
    <row r="125" spans="2:6" ht="15.5" x14ac:dyDescent="0.35">
      <c r="B125" s="84">
        <v>36100</v>
      </c>
      <c r="C125" s="85">
        <v>1163.630005</v>
      </c>
      <c r="D125" s="87">
        <f t="shared" si="2"/>
        <v>5.74440362556288E-2</v>
      </c>
      <c r="E125" s="86">
        <v>3.6749999999999999E-3</v>
      </c>
      <c r="F125" s="88">
        <f t="shared" si="3"/>
        <v>5.3769036255628802E-2</v>
      </c>
    </row>
    <row r="126" spans="2:6" ht="15.5" x14ac:dyDescent="0.35">
      <c r="B126" s="84">
        <v>36130</v>
      </c>
      <c r="C126" s="85">
        <v>1229.2299800000001</v>
      </c>
      <c r="D126" s="87">
        <f t="shared" si="2"/>
        <v>5.484350716467426E-2</v>
      </c>
      <c r="E126" s="86">
        <v>3.6583333333333329E-3</v>
      </c>
      <c r="F126" s="88">
        <f t="shared" si="3"/>
        <v>5.1185173831340927E-2</v>
      </c>
    </row>
    <row r="127" spans="2:6" ht="15.5" x14ac:dyDescent="0.35">
      <c r="B127" s="84">
        <v>36161</v>
      </c>
      <c r="C127" s="85">
        <v>1279.6400149999999</v>
      </c>
      <c r="D127" s="87">
        <f t="shared" si="2"/>
        <v>4.0190859271553886E-2</v>
      </c>
      <c r="E127" s="86">
        <v>3.6166666666666669E-3</v>
      </c>
      <c r="F127" s="88">
        <f t="shared" si="3"/>
        <v>3.6574192604887222E-2</v>
      </c>
    </row>
    <row r="128" spans="2:6" ht="15.5" x14ac:dyDescent="0.35">
      <c r="B128" s="84">
        <v>36192</v>
      </c>
      <c r="C128" s="85">
        <v>1238.329956</v>
      </c>
      <c r="D128" s="87">
        <f t="shared" si="2"/>
        <v>-3.2815137919149133E-2</v>
      </c>
      <c r="E128" s="86">
        <v>3.7000000000000002E-3</v>
      </c>
      <c r="F128" s="88">
        <f t="shared" si="3"/>
        <v>-3.6515137919149135E-2</v>
      </c>
    </row>
    <row r="129" spans="2:6" ht="15.5" x14ac:dyDescent="0.35">
      <c r="B129" s="84">
        <v>36220</v>
      </c>
      <c r="C129" s="85">
        <v>1286.369995</v>
      </c>
      <c r="D129" s="87">
        <f t="shared" si="2"/>
        <v>3.8060632211974851E-2</v>
      </c>
      <c r="E129" s="86">
        <v>3.7000000000000002E-3</v>
      </c>
      <c r="F129" s="88">
        <f t="shared" si="3"/>
        <v>3.4360632211974849E-2</v>
      </c>
    </row>
    <row r="130" spans="2:6" ht="15.5" x14ac:dyDescent="0.35">
      <c r="B130" s="84">
        <v>36251</v>
      </c>
      <c r="C130" s="85">
        <v>1335.1800539999999</v>
      </c>
      <c r="D130" s="87">
        <f t="shared" si="2"/>
        <v>3.7241860279727264E-2</v>
      </c>
      <c r="E130" s="86">
        <v>3.5750000000000001E-3</v>
      </c>
      <c r="F130" s="88">
        <f t="shared" si="3"/>
        <v>3.3666860279727262E-2</v>
      </c>
    </row>
    <row r="131" spans="2:6" ht="15.5" x14ac:dyDescent="0.35">
      <c r="B131" s="84">
        <v>36281</v>
      </c>
      <c r="C131" s="85">
        <v>1301.839966</v>
      </c>
      <c r="D131" s="87">
        <f t="shared" si="2"/>
        <v>-2.5287532414586051E-2</v>
      </c>
      <c r="E131" s="86">
        <v>3.7499999999999999E-3</v>
      </c>
      <c r="F131" s="88">
        <f t="shared" si="3"/>
        <v>-2.9037532414586051E-2</v>
      </c>
    </row>
    <row r="132" spans="2:6" ht="15.5" x14ac:dyDescent="0.35">
      <c r="B132" s="84">
        <v>36312</v>
      </c>
      <c r="C132" s="85">
        <v>1372.709961</v>
      </c>
      <c r="D132" s="87">
        <f t="shared" si="2"/>
        <v>5.3008237497592654E-2</v>
      </c>
      <c r="E132" s="86">
        <v>3.8083333333333337E-3</v>
      </c>
      <c r="F132" s="88">
        <f t="shared" si="3"/>
        <v>4.9199904164259317E-2</v>
      </c>
    </row>
    <row r="133" spans="2:6" ht="15.5" x14ac:dyDescent="0.35">
      <c r="B133" s="84">
        <v>36342</v>
      </c>
      <c r="C133" s="85">
        <v>1328.719971</v>
      </c>
      <c r="D133" s="87">
        <f t="shared" si="2"/>
        <v>-3.2570808767843608E-2</v>
      </c>
      <c r="E133" s="86">
        <v>3.7916666666666667E-3</v>
      </c>
      <c r="F133" s="88">
        <f t="shared" si="3"/>
        <v>-3.6362475434510273E-2</v>
      </c>
    </row>
    <row r="134" spans="2:6" ht="15.5" x14ac:dyDescent="0.35">
      <c r="B134" s="84">
        <v>36373</v>
      </c>
      <c r="C134" s="85">
        <v>1320.410034</v>
      </c>
      <c r="D134" s="87">
        <f t="shared" si="2"/>
        <v>-6.2737308027028598E-3</v>
      </c>
      <c r="E134" s="86">
        <v>3.933333333333333E-3</v>
      </c>
      <c r="F134" s="88">
        <f t="shared" si="3"/>
        <v>-1.0207064136036193E-2</v>
      </c>
    </row>
    <row r="135" spans="2:6" ht="15.5" x14ac:dyDescent="0.35">
      <c r="B135" s="84">
        <v>36404</v>
      </c>
      <c r="C135" s="85">
        <v>1282.709961</v>
      </c>
      <c r="D135" s="87">
        <f t="shared" si="2"/>
        <v>-2.896732323629056E-2</v>
      </c>
      <c r="E135" s="86">
        <v>3.8999999999999994E-3</v>
      </c>
      <c r="F135" s="88">
        <f t="shared" si="3"/>
        <v>-3.286732323629056E-2</v>
      </c>
    </row>
    <row r="136" spans="2:6" ht="15.5" x14ac:dyDescent="0.35">
      <c r="B136" s="84">
        <v>36434</v>
      </c>
      <c r="C136" s="85">
        <v>1362.9300539999999</v>
      </c>
      <c r="D136" s="87">
        <f t="shared" si="2"/>
        <v>6.0661836771917145E-2</v>
      </c>
      <c r="E136" s="86">
        <v>4.0500000000000006E-3</v>
      </c>
      <c r="F136" s="88">
        <f t="shared" si="3"/>
        <v>5.6611836771917147E-2</v>
      </c>
    </row>
    <row r="137" spans="2:6" ht="15.5" x14ac:dyDescent="0.35">
      <c r="B137" s="84">
        <v>36465</v>
      </c>
      <c r="C137" s="85">
        <v>1388.910034</v>
      </c>
      <c r="D137" s="87">
        <f t="shared" si="2"/>
        <v>1.8882457620131396E-2</v>
      </c>
      <c r="E137" s="86">
        <v>4.2250000000000005E-3</v>
      </c>
      <c r="F137" s="88">
        <f t="shared" si="3"/>
        <v>1.4657457620131396E-2</v>
      </c>
    </row>
    <row r="138" spans="2:6" ht="15.5" x14ac:dyDescent="0.35">
      <c r="B138" s="84">
        <v>36495</v>
      </c>
      <c r="C138" s="85">
        <v>1469.25</v>
      </c>
      <c r="D138" s="87">
        <f t="shared" si="2"/>
        <v>5.6232775174478035E-2</v>
      </c>
      <c r="E138" s="86">
        <v>4.333333333333334E-3</v>
      </c>
      <c r="F138" s="88">
        <f t="shared" si="3"/>
        <v>5.18994418411447E-2</v>
      </c>
    </row>
    <row r="139" spans="2:6" ht="15.5" x14ac:dyDescent="0.35">
      <c r="B139" s="84">
        <v>36526</v>
      </c>
      <c r="C139" s="85">
        <v>1394.459961</v>
      </c>
      <c r="D139" s="87">
        <f t="shared" ref="D139:D202" si="4">LN(C139/C138)</f>
        <v>-5.2244850920599821E-2</v>
      </c>
      <c r="E139" s="86">
        <v>4.4333333333333334E-3</v>
      </c>
      <c r="F139" s="88">
        <f t="shared" ref="F139:F202" si="5">D139-E139</f>
        <v>-5.6678184253933152E-2</v>
      </c>
    </row>
    <row r="140" spans="2:6" ht="15.5" x14ac:dyDescent="0.35">
      <c r="B140" s="84">
        <v>36557</v>
      </c>
      <c r="C140" s="85">
        <v>1366.420044</v>
      </c>
      <c r="D140" s="87">
        <f t="shared" si="4"/>
        <v>-2.031300244169925E-2</v>
      </c>
      <c r="E140" s="86">
        <v>4.6249999999999998E-3</v>
      </c>
      <c r="F140" s="88">
        <f t="shared" si="5"/>
        <v>-2.4938002441699251E-2</v>
      </c>
    </row>
    <row r="141" spans="2:6" ht="15.5" x14ac:dyDescent="0.35">
      <c r="B141" s="84">
        <v>36586</v>
      </c>
      <c r="C141" s="85">
        <v>1498.579956</v>
      </c>
      <c r="D141" s="87">
        <f t="shared" si="4"/>
        <v>9.2323750560161413E-2</v>
      </c>
      <c r="E141" s="86">
        <v>4.7416666666666675E-3</v>
      </c>
      <c r="F141" s="88">
        <f t="shared" si="5"/>
        <v>8.7582083893494742E-2</v>
      </c>
    </row>
    <row r="142" spans="2:6" ht="15.5" x14ac:dyDescent="0.35">
      <c r="B142" s="84">
        <v>36617</v>
      </c>
      <c r="C142" s="85">
        <v>1452.4300539999999</v>
      </c>
      <c r="D142" s="87">
        <f t="shared" si="4"/>
        <v>-3.1279910717877474E-2</v>
      </c>
      <c r="E142" s="86">
        <v>4.7166666666666668E-3</v>
      </c>
      <c r="F142" s="88">
        <f t="shared" si="5"/>
        <v>-3.5996577384544141E-2</v>
      </c>
    </row>
    <row r="143" spans="2:6" ht="15.5" x14ac:dyDescent="0.35">
      <c r="B143" s="84">
        <v>36647</v>
      </c>
      <c r="C143" s="85">
        <v>1420.599976</v>
      </c>
      <c r="D143" s="87">
        <f t="shared" si="4"/>
        <v>-2.2158752303305253E-2</v>
      </c>
      <c r="E143" s="86">
        <v>4.8250000000000003E-3</v>
      </c>
      <c r="F143" s="88">
        <f t="shared" si="5"/>
        <v>-2.6983752303305252E-2</v>
      </c>
    </row>
    <row r="144" spans="2:6" ht="15.5" x14ac:dyDescent="0.35">
      <c r="B144" s="84">
        <v>36678</v>
      </c>
      <c r="C144" s="85">
        <v>1454.599976</v>
      </c>
      <c r="D144" s="87">
        <f t="shared" si="4"/>
        <v>2.3651631551619454E-2</v>
      </c>
      <c r="E144" s="86">
        <v>4.7416666666666675E-3</v>
      </c>
      <c r="F144" s="88">
        <f t="shared" si="5"/>
        <v>1.8909964884952786E-2</v>
      </c>
    </row>
    <row r="145" spans="2:6" ht="15.5" x14ac:dyDescent="0.35">
      <c r="B145" s="84">
        <v>36708</v>
      </c>
      <c r="C145" s="85">
        <v>1430.829956</v>
      </c>
      <c r="D145" s="87">
        <f t="shared" si="4"/>
        <v>-1.6476267516363337E-2</v>
      </c>
      <c r="E145" s="86">
        <v>4.966666666666667E-3</v>
      </c>
      <c r="F145" s="88">
        <f t="shared" si="5"/>
        <v>-2.1442934183030005E-2</v>
      </c>
    </row>
    <row r="146" spans="2:6" ht="15.5" x14ac:dyDescent="0.35">
      <c r="B146" s="84">
        <v>36739</v>
      </c>
      <c r="C146" s="85">
        <v>1517.6800539999999</v>
      </c>
      <c r="D146" s="87">
        <f t="shared" si="4"/>
        <v>5.8928223920216696E-2</v>
      </c>
      <c r="E146" s="86">
        <v>5.0749999999999997E-3</v>
      </c>
      <c r="F146" s="88">
        <f t="shared" si="5"/>
        <v>5.38532239202167E-2</v>
      </c>
    </row>
    <row r="147" spans="2:6" ht="15.5" x14ac:dyDescent="0.35">
      <c r="B147" s="84">
        <v>36770</v>
      </c>
      <c r="C147" s="85">
        <v>1436.51001</v>
      </c>
      <c r="D147" s="87">
        <f t="shared" si="4"/>
        <v>-5.4966320904054886E-2</v>
      </c>
      <c r="E147" s="86">
        <v>5.0000000000000001E-3</v>
      </c>
      <c r="F147" s="88">
        <f t="shared" si="5"/>
        <v>-5.9966320904054883E-2</v>
      </c>
    </row>
    <row r="148" spans="2:6" ht="15.5" x14ac:dyDescent="0.35">
      <c r="B148" s="84">
        <v>36800</v>
      </c>
      <c r="C148" s="85">
        <v>1429.400024</v>
      </c>
      <c r="D148" s="87">
        <f t="shared" si="4"/>
        <v>-4.9617751447174271E-3</v>
      </c>
      <c r="E148" s="86">
        <v>5.0916666666666671E-3</v>
      </c>
      <c r="F148" s="88">
        <f t="shared" si="5"/>
        <v>-1.0053441811384095E-2</v>
      </c>
    </row>
    <row r="149" spans="2:6" ht="15.5" x14ac:dyDescent="0.35">
      <c r="B149" s="84">
        <v>36831</v>
      </c>
      <c r="C149" s="85">
        <v>1314.9499510000001</v>
      </c>
      <c r="D149" s="87">
        <f t="shared" si="4"/>
        <v>-8.345618776462374E-2</v>
      </c>
      <c r="E149" s="86">
        <v>5.1416666666666668E-3</v>
      </c>
      <c r="F149" s="88">
        <f t="shared" si="5"/>
        <v>-8.859785443129041E-2</v>
      </c>
    </row>
    <row r="150" spans="2:6" ht="15.5" x14ac:dyDescent="0.35">
      <c r="B150" s="84">
        <v>36861</v>
      </c>
      <c r="C150" s="85">
        <v>1320.280029</v>
      </c>
      <c r="D150" s="87">
        <f t="shared" si="4"/>
        <v>4.0452524515355755E-3</v>
      </c>
      <c r="E150" s="86">
        <v>4.8083333333333329E-3</v>
      </c>
      <c r="F150" s="88">
        <f t="shared" si="5"/>
        <v>-7.6308088179775739E-4</v>
      </c>
    </row>
    <row r="151" spans="2:6" ht="15.5" x14ac:dyDescent="0.35">
      <c r="B151" s="84">
        <v>36892</v>
      </c>
      <c r="C151" s="85">
        <v>1366.01001</v>
      </c>
      <c r="D151" s="87">
        <f t="shared" si="4"/>
        <v>3.4050231805694865E-2</v>
      </c>
      <c r="E151" s="86">
        <v>4.2916666666666667E-3</v>
      </c>
      <c r="F151" s="88">
        <f t="shared" si="5"/>
        <v>2.9758565139028199E-2</v>
      </c>
    </row>
    <row r="152" spans="2:6" ht="15.5" x14ac:dyDescent="0.35">
      <c r="B152" s="84">
        <v>36923</v>
      </c>
      <c r="C152" s="85">
        <v>1239.9399410000001</v>
      </c>
      <c r="D152" s="87">
        <f t="shared" si="4"/>
        <v>-9.6831145320080483E-2</v>
      </c>
      <c r="E152" s="86">
        <v>4.0666666666666663E-3</v>
      </c>
      <c r="F152" s="88">
        <f t="shared" si="5"/>
        <v>-0.10089781198674715</v>
      </c>
    </row>
    <row r="153" spans="2:6" ht="15.5" x14ac:dyDescent="0.35">
      <c r="B153" s="84">
        <v>36951</v>
      </c>
      <c r="C153" s="85">
        <v>1160.329956</v>
      </c>
      <c r="D153" s="87">
        <f t="shared" si="4"/>
        <v>-6.6358534267430061E-2</v>
      </c>
      <c r="E153" s="86">
        <v>3.6833333333333332E-3</v>
      </c>
      <c r="F153" s="88">
        <f t="shared" si="5"/>
        <v>-7.0041867600763391E-2</v>
      </c>
    </row>
    <row r="154" spans="2:6" ht="15.5" x14ac:dyDescent="0.35">
      <c r="B154" s="84">
        <v>36982</v>
      </c>
      <c r="C154" s="85">
        <v>1249.459961</v>
      </c>
      <c r="D154" s="87">
        <f t="shared" si="4"/>
        <v>7.4007017262743169E-2</v>
      </c>
      <c r="E154" s="86">
        <v>3.225E-3</v>
      </c>
      <c r="F154" s="88">
        <f t="shared" si="5"/>
        <v>7.0782017262743163E-2</v>
      </c>
    </row>
    <row r="155" spans="2:6" ht="15.5" x14ac:dyDescent="0.35">
      <c r="B155" s="84">
        <v>37012</v>
      </c>
      <c r="C155" s="85">
        <v>1255.8199460000001</v>
      </c>
      <c r="D155" s="87">
        <f t="shared" si="4"/>
        <v>5.0772759122992899E-3</v>
      </c>
      <c r="E155" s="86">
        <v>3.0166666666666671E-3</v>
      </c>
      <c r="F155" s="88">
        <f t="shared" si="5"/>
        <v>2.0606092456326229E-3</v>
      </c>
    </row>
    <row r="156" spans="2:6" ht="15.5" x14ac:dyDescent="0.35">
      <c r="B156" s="84">
        <v>37043</v>
      </c>
      <c r="C156" s="85">
        <v>1224.380005</v>
      </c>
      <c r="D156" s="87">
        <f t="shared" si="4"/>
        <v>-2.535410516593075E-2</v>
      </c>
      <c r="E156" s="86">
        <v>2.9083333333333335E-3</v>
      </c>
      <c r="F156" s="88">
        <f t="shared" si="5"/>
        <v>-2.8262438499264082E-2</v>
      </c>
    </row>
    <row r="157" spans="2:6" ht="15.5" x14ac:dyDescent="0.35">
      <c r="B157" s="84">
        <v>37073</v>
      </c>
      <c r="C157" s="85">
        <v>1211.2299800000001</v>
      </c>
      <c r="D157" s="87">
        <f t="shared" si="4"/>
        <v>-1.0798241801740124E-2</v>
      </c>
      <c r="E157" s="86">
        <v>2.9250000000000001E-3</v>
      </c>
      <c r="F157" s="88">
        <f t="shared" si="5"/>
        <v>-1.3723241801740125E-2</v>
      </c>
    </row>
    <row r="158" spans="2:6" ht="15.5" x14ac:dyDescent="0.35">
      <c r="B158" s="84">
        <v>37104</v>
      </c>
      <c r="C158" s="85">
        <v>1133.579956</v>
      </c>
      <c r="D158" s="87">
        <f t="shared" si="4"/>
        <v>-6.6255628190408505E-2</v>
      </c>
      <c r="E158" s="86">
        <v>2.8E-3</v>
      </c>
      <c r="F158" s="88">
        <f t="shared" si="5"/>
        <v>-6.9055628190408502E-2</v>
      </c>
    </row>
    <row r="159" spans="2:6" ht="15.5" x14ac:dyDescent="0.35">
      <c r="B159" s="84">
        <v>37135</v>
      </c>
      <c r="C159" s="85">
        <v>1040.9399410000001</v>
      </c>
      <c r="D159" s="87">
        <f t="shared" si="4"/>
        <v>-8.5256633111449084E-2</v>
      </c>
      <c r="E159" s="86">
        <v>2.2000000000000001E-3</v>
      </c>
      <c r="F159" s="88">
        <f t="shared" si="5"/>
        <v>-8.7456633111449078E-2</v>
      </c>
    </row>
    <row r="160" spans="2:6" ht="15.5" x14ac:dyDescent="0.35">
      <c r="B160" s="84">
        <v>37165</v>
      </c>
      <c r="C160" s="85">
        <v>1059.780029</v>
      </c>
      <c r="D160" s="87">
        <f t="shared" si="4"/>
        <v>1.7937272372826191E-2</v>
      </c>
      <c r="E160" s="86">
        <v>1.8000000000000002E-3</v>
      </c>
      <c r="F160" s="88">
        <f t="shared" si="5"/>
        <v>1.6137272372826191E-2</v>
      </c>
    </row>
    <row r="161" spans="2:6" ht="15.5" x14ac:dyDescent="0.35">
      <c r="B161" s="84">
        <v>37196</v>
      </c>
      <c r="C161" s="85">
        <v>1139.4499510000001</v>
      </c>
      <c r="D161" s="87">
        <f t="shared" si="4"/>
        <v>7.2484280065999454E-2</v>
      </c>
      <c r="E161" s="86">
        <v>1.5583333333333334E-3</v>
      </c>
      <c r="F161" s="88">
        <f t="shared" si="5"/>
        <v>7.0925946732666126E-2</v>
      </c>
    </row>
    <row r="162" spans="2:6" ht="15.5" x14ac:dyDescent="0.35">
      <c r="B162" s="84">
        <v>37226</v>
      </c>
      <c r="C162" s="85">
        <v>1148.079956</v>
      </c>
      <c r="D162" s="87">
        <f t="shared" si="4"/>
        <v>7.5452967122441542E-3</v>
      </c>
      <c r="E162" s="86">
        <v>1.4083333333333333E-3</v>
      </c>
      <c r="F162" s="88">
        <f t="shared" si="5"/>
        <v>6.1369633789108207E-3</v>
      </c>
    </row>
    <row r="163" spans="2:6" ht="15.5" x14ac:dyDescent="0.35">
      <c r="B163" s="84">
        <v>37257</v>
      </c>
      <c r="C163" s="85">
        <v>1130.1999510000001</v>
      </c>
      <c r="D163" s="87">
        <f t="shared" si="4"/>
        <v>-1.5696378697236606E-2</v>
      </c>
      <c r="E163" s="86">
        <v>1.3750000000000001E-3</v>
      </c>
      <c r="F163" s="88">
        <f t="shared" si="5"/>
        <v>-1.7071378697236607E-2</v>
      </c>
    </row>
    <row r="164" spans="2:6" ht="15.5" x14ac:dyDescent="0.35">
      <c r="B164" s="84">
        <v>37288</v>
      </c>
      <c r="C164" s="85">
        <v>1106.7299800000001</v>
      </c>
      <c r="D164" s="87">
        <f t="shared" si="4"/>
        <v>-2.0984861391263428E-2</v>
      </c>
      <c r="E164" s="86">
        <v>1.4333333333333333E-3</v>
      </c>
      <c r="F164" s="88">
        <f t="shared" si="5"/>
        <v>-2.241819472459676E-2</v>
      </c>
    </row>
    <row r="165" spans="2:6" ht="15.5" x14ac:dyDescent="0.35">
      <c r="B165" s="84">
        <v>37316</v>
      </c>
      <c r="C165" s="85">
        <v>1147.3900149999999</v>
      </c>
      <c r="D165" s="87">
        <f t="shared" si="4"/>
        <v>3.6080107397161984E-2</v>
      </c>
      <c r="E165" s="86">
        <v>1.4916666666666665E-3</v>
      </c>
      <c r="F165" s="88">
        <f t="shared" si="5"/>
        <v>3.4588440730495315E-2</v>
      </c>
    </row>
    <row r="166" spans="2:6" ht="15.5" x14ac:dyDescent="0.35">
      <c r="B166" s="84">
        <v>37347</v>
      </c>
      <c r="C166" s="85">
        <v>1076.920044</v>
      </c>
      <c r="D166" s="87">
        <f t="shared" si="4"/>
        <v>-6.3384655000303256E-2</v>
      </c>
      <c r="E166" s="86">
        <v>1.4250000000000001E-3</v>
      </c>
      <c r="F166" s="88">
        <f t="shared" si="5"/>
        <v>-6.4809655000303251E-2</v>
      </c>
    </row>
    <row r="167" spans="2:6" ht="15.5" x14ac:dyDescent="0.35">
      <c r="B167" s="84">
        <v>37377</v>
      </c>
      <c r="C167" s="85">
        <v>1067.1400149999999</v>
      </c>
      <c r="D167" s="87">
        <f t="shared" si="4"/>
        <v>-9.1229690981223469E-3</v>
      </c>
      <c r="E167" s="86">
        <v>1.4416666666666666E-3</v>
      </c>
      <c r="F167" s="88">
        <f t="shared" si="5"/>
        <v>-1.0564635764789013E-2</v>
      </c>
    </row>
    <row r="168" spans="2:6" ht="15.5" x14ac:dyDescent="0.35">
      <c r="B168" s="84">
        <v>37408</v>
      </c>
      <c r="C168" s="85">
        <v>989.82000700000003</v>
      </c>
      <c r="D168" s="87">
        <f t="shared" si="4"/>
        <v>-7.5214350260175575E-2</v>
      </c>
      <c r="E168" s="86">
        <v>1.4166666666666668E-3</v>
      </c>
      <c r="F168" s="88">
        <f t="shared" si="5"/>
        <v>-7.6631016926842238E-2</v>
      </c>
    </row>
    <row r="169" spans="2:6" ht="15.5" x14ac:dyDescent="0.35">
      <c r="B169" s="84">
        <v>37438</v>
      </c>
      <c r="C169" s="85">
        <v>911.61999500000002</v>
      </c>
      <c r="D169" s="87">
        <f t="shared" si="4"/>
        <v>-8.2299884394633427E-2</v>
      </c>
      <c r="E169" s="86">
        <v>1.4E-3</v>
      </c>
      <c r="F169" s="88">
        <f t="shared" si="5"/>
        <v>-8.3699884394633425E-2</v>
      </c>
    </row>
    <row r="170" spans="2:6" ht="15.5" x14ac:dyDescent="0.35">
      <c r="B170" s="84">
        <v>37469</v>
      </c>
      <c r="C170" s="85">
        <v>916.07000700000003</v>
      </c>
      <c r="D170" s="87">
        <f t="shared" si="4"/>
        <v>4.869557516394645E-3</v>
      </c>
      <c r="E170" s="86">
        <v>1.3500000000000003E-3</v>
      </c>
      <c r="F170" s="88">
        <f t="shared" si="5"/>
        <v>3.5195575163946445E-3</v>
      </c>
    </row>
    <row r="171" spans="2:6" ht="15.5" x14ac:dyDescent="0.35">
      <c r="B171" s="84">
        <v>37500</v>
      </c>
      <c r="C171" s="85">
        <v>815.28002900000001</v>
      </c>
      <c r="D171" s="87">
        <f t="shared" si="4"/>
        <v>-0.11656114051860303</v>
      </c>
      <c r="E171" s="86">
        <v>1.3583333333333331E-3</v>
      </c>
      <c r="F171" s="88">
        <f t="shared" si="5"/>
        <v>-0.11791947385193637</v>
      </c>
    </row>
    <row r="172" spans="2:6" ht="15.5" x14ac:dyDescent="0.35">
      <c r="B172" s="84">
        <v>37530</v>
      </c>
      <c r="C172" s="85">
        <v>885.76000999999997</v>
      </c>
      <c r="D172" s="87">
        <f t="shared" si="4"/>
        <v>8.2914396747896094E-2</v>
      </c>
      <c r="E172" s="86">
        <v>1.3166666666666667E-3</v>
      </c>
      <c r="F172" s="88">
        <f t="shared" si="5"/>
        <v>8.1597730081229433E-2</v>
      </c>
    </row>
    <row r="173" spans="2:6" ht="15.5" x14ac:dyDescent="0.35">
      <c r="B173" s="84">
        <v>37561</v>
      </c>
      <c r="C173" s="85">
        <v>936.30999799999995</v>
      </c>
      <c r="D173" s="87">
        <f t="shared" si="4"/>
        <v>5.5500571250327826E-2</v>
      </c>
      <c r="E173" s="86">
        <v>1.0250000000000001E-3</v>
      </c>
      <c r="F173" s="88">
        <f t="shared" si="5"/>
        <v>5.4475571250327828E-2</v>
      </c>
    </row>
    <row r="174" spans="2:6" ht="15.5" x14ac:dyDescent="0.35">
      <c r="B174" s="84">
        <v>37591</v>
      </c>
      <c r="C174" s="85">
        <v>879.82000700000003</v>
      </c>
      <c r="D174" s="87">
        <f t="shared" si="4"/>
        <v>-6.222926703765793E-2</v>
      </c>
      <c r="E174" s="86">
        <v>9.9166666666666652E-4</v>
      </c>
      <c r="F174" s="88">
        <f t="shared" si="5"/>
        <v>-6.3220933704324592E-2</v>
      </c>
    </row>
    <row r="175" spans="2:6" ht="15.5" x14ac:dyDescent="0.35">
      <c r="B175" s="84">
        <v>37622</v>
      </c>
      <c r="C175" s="85">
        <v>855.70001200000002</v>
      </c>
      <c r="D175" s="87">
        <f t="shared" si="4"/>
        <v>-2.7797487603989514E-2</v>
      </c>
      <c r="E175" s="86">
        <v>9.7499999999999985E-4</v>
      </c>
      <c r="F175" s="88">
        <f t="shared" si="5"/>
        <v>-2.8772487603989514E-2</v>
      </c>
    </row>
    <row r="176" spans="2:6" ht="15.5" x14ac:dyDescent="0.35">
      <c r="B176" s="84">
        <v>37653</v>
      </c>
      <c r="C176" s="85">
        <v>841.15002400000003</v>
      </c>
      <c r="D176" s="87">
        <f t="shared" si="4"/>
        <v>-1.7149829750079986E-2</v>
      </c>
      <c r="E176" s="86">
        <v>9.7499999999999985E-4</v>
      </c>
      <c r="F176" s="88">
        <f t="shared" si="5"/>
        <v>-1.8124829750079986E-2</v>
      </c>
    </row>
    <row r="177" spans="2:6" ht="15.5" x14ac:dyDescent="0.35">
      <c r="B177" s="84">
        <v>37681</v>
      </c>
      <c r="C177" s="85">
        <v>848.17999299999997</v>
      </c>
      <c r="D177" s="87">
        <f t="shared" si="4"/>
        <v>8.3228374674983053E-3</v>
      </c>
      <c r="E177" s="86">
        <v>9.4166666666666661E-4</v>
      </c>
      <c r="F177" s="88">
        <f t="shared" si="5"/>
        <v>7.3811708008316382E-3</v>
      </c>
    </row>
    <row r="178" spans="2:6" ht="15.5" x14ac:dyDescent="0.35">
      <c r="B178" s="84">
        <v>37712</v>
      </c>
      <c r="C178" s="85">
        <v>916.919983</v>
      </c>
      <c r="D178" s="87">
        <f t="shared" si="4"/>
        <v>7.7927339742111107E-2</v>
      </c>
      <c r="E178" s="86">
        <v>9.4166666666666661E-4</v>
      </c>
      <c r="F178" s="88">
        <f t="shared" si="5"/>
        <v>7.6985673075444447E-2</v>
      </c>
    </row>
    <row r="179" spans="2:6" ht="15.5" x14ac:dyDescent="0.35">
      <c r="B179" s="84">
        <v>37742</v>
      </c>
      <c r="C179" s="85">
        <v>963.59002699999996</v>
      </c>
      <c r="D179" s="87">
        <f t="shared" si="4"/>
        <v>4.9645712049834187E-2</v>
      </c>
      <c r="E179" s="86">
        <v>8.916666666666668E-4</v>
      </c>
      <c r="F179" s="88">
        <f t="shared" si="5"/>
        <v>4.8754045383167521E-2</v>
      </c>
    </row>
    <row r="180" spans="2:6" ht="15.5" x14ac:dyDescent="0.35">
      <c r="B180" s="84">
        <v>37773</v>
      </c>
      <c r="C180" s="85">
        <v>974.5</v>
      </c>
      <c r="D180" s="87">
        <f t="shared" si="4"/>
        <v>1.125859799063666E-2</v>
      </c>
      <c r="E180" s="86">
        <v>7.6666666666666669E-4</v>
      </c>
      <c r="F180" s="88">
        <f t="shared" si="5"/>
        <v>1.0491931323969993E-2</v>
      </c>
    </row>
    <row r="181" spans="2:6" ht="15.5" x14ac:dyDescent="0.35">
      <c r="B181" s="84">
        <v>37803</v>
      </c>
      <c r="C181" s="85">
        <v>990.30999799999995</v>
      </c>
      <c r="D181" s="87">
        <f t="shared" si="4"/>
        <v>1.6093504459204055E-2</v>
      </c>
      <c r="E181" s="86">
        <v>7.5000000000000012E-4</v>
      </c>
      <c r="F181" s="88">
        <f t="shared" si="5"/>
        <v>1.5343504459204054E-2</v>
      </c>
    </row>
    <row r="182" spans="2:6" ht="15.5" x14ac:dyDescent="0.35">
      <c r="B182" s="84">
        <v>37834</v>
      </c>
      <c r="C182" s="85">
        <v>1008.01001</v>
      </c>
      <c r="D182" s="87">
        <f t="shared" si="4"/>
        <v>1.7715355730742299E-2</v>
      </c>
      <c r="E182" s="86">
        <v>7.9166666666666665E-4</v>
      </c>
      <c r="F182" s="88">
        <f t="shared" si="5"/>
        <v>1.6923689064075632E-2</v>
      </c>
    </row>
    <row r="183" spans="2:6" ht="15.5" x14ac:dyDescent="0.35">
      <c r="B183" s="84">
        <v>37865</v>
      </c>
      <c r="C183" s="85">
        <v>995.96997099999999</v>
      </c>
      <c r="D183" s="87">
        <f t="shared" si="4"/>
        <v>-1.2016271605865483E-2</v>
      </c>
      <c r="E183" s="86">
        <v>7.8333333333333326E-4</v>
      </c>
      <c r="F183" s="88">
        <f t="shared" si="5"/>
        <v>-1.2799604939198817E-2</v>
      </c>
    </row>
    <row r="184" spans="2:6" ht="15.5" x14ac:dyDescent="0.35">
      <c r="B184" s="84">
        <v>37895</v>
      </c>
      <c r="C184" s="85">
        <v>1050.709961</v>
      </c>
      <c r="D184" s="87">
        <f t="shared" si="4"/>
        <v>5.3504260464530697E-2</v>
      </c>
      <c r="E184" s="86">
        <v>7.6666666666666669E-4</v>
      </c>
      <c r="F184" s="88">
        <f t="shared" si="5"/>
        <v>5.2737593797864031E-2</v>
      </c>
    </row>
    <row r="185" spans="2:6" ht="15.5" x14ac:dyDescent="0.35">
      <c r="B185" s="84">
        <v>37926</v>
      </c>
      <c r="C185" s="85">
        <v>1058.1999510000001</v>
      </c>
      <c r="D185" s="87">
        <f t="shared" si="4"/>
        <v>7.1032161687569423E-3</v>
      </c>
      <c r="E185" s="86">
        <v>7.7500000000000008E-4</v>
      </c>
      <c r="F185" s="88">
        <f t="shared" si="5"/>
        <v>6.3282161687569418E-3</v>
      </c>
    </row>
    <row r="186" spans="2:6" ht="15.5" x14ac:dyDescent="0.35">
      <c r="B186" s="84">
        <v>37956</v>
      </c>
      <c r="C186" s="85">
        <v>1111.920044</v>
      </c>
      <c r="D186" s="87">
        <f t="shared" si="4"/>
        <v>4.9518985182709981E-2</v>
      </c>
      <c r="E186" s="86">
        <v>7.5000000000000012E-4</v>
      </c>
      <c r="F186" s="88">
        <f t="shared" si="5"/>
        <v>4.876898518270998E-2</v>
      </c>
    </row>
    <row r="187" spans="2:6" ht="15.5" x14ac:dyDescent="0.35">
      <c r="B187" s="84">
        <v>37987</v>
      </c>
      <c r="C187" s="85">
        <v>1131.130005</v>
      </c>
      <c r="D187" s="87">
        <f t="shared" si="4"/>
        <v>1.71288471121341E-2</v>
      </c>
      <c r="E187" s="86">
        <v>7.3333333333333334E-4</v>
      </c>
      <c r="F187" s="88">
        <f t="shared" si="5"/>
        <v>1.6395513778800767E-2</v>
      </c>
    </row>
    <row r="188" spans="2:6" ht="15.5" x14ac:dyDescent="0.35">
      <c r="B188" s="84">
        <v>38018</v>
      </c>
      <c r="C188" s="85">
        <v>1144.9399410000001</v>
      </c>
      <c r="D188" s="87">
        <f t="shared" si="4"/>
        <v>1.2135044877681666E-2</v>
      </c>
      <c r="E188" s="86">
        <v>7.7500000000000008E-4</v>
      </c>
      <c r="F188" s="88">
        <f t="shared" si="5"/>
        <v>1.1360044877681667E-2</v>
      </c>
    </row>
    <row r="189" spans="2:6" ht="15.5" x14ac:dyDescent="0.35">
      <c r="B189" s="84">
        <v>38047</v>
      </c>
      <c r="C189" s="85">
        <v>1126.209961</v>
      </c>
      <c r="D189" s="87">
        <f t="shared" si="4"/>
        <v>-1.6494203768324594E-2</v>
      </c>
      <c r="E189" s="86">
        <v>7.8333333333333326E-4</v>
      </c>
      <c r="F189" s="88">
        <f t="shared" si="5"/>
        <v>-1.7277537101657928E-2</v>
      </c>
    </row>
    <row r="190" spans="2:6" ht="15.5" x14ac:dyDescent="0.35">
      <c r="B190" s="84">
        <v>38078</v>
      </c>
      <c r="C190" s="85">
        <v>1107.3000489999999</v>
      </c>
      <c r="D190" s="87">
        <f t="shared" si="4"/>
        <v>-1.6933314613340047E-2</v>
      </c>
      <c r="E190" s="86">
        <v>7.8333333333333326E-4</v>
      </c>
      <c r="F190" s="88">
        <f t="shared" si="5"/>
        <v>-1.7716647946673381E-2</v>
      </c>
    </row>
    <row r="191" spans="2:6" ht="15.5" x14ac:dyDescent="0.35">
      <c r="B191" s="84">
        <v>38108</v>
      </c>
      <c r="C191" s="85">
        <v>1120.6800539999999</v>
      </c>
      <c r="D191" s="87">
        <f t="shared" si="4"/>
        <v>1.2011028138810899E-2</v>
      </c>
      <c r="E191" s="86">
        <v>8.5000000000000006E-4</v>
      </c>
      <c r="F191" s="88">
        <f t="shared" si="5"/>
        <v>1.1161028138810898E-2</v>
      </c>
    </row>
    <row r="192" spans="2:6" ht="15.5" x14ac:dyDescent="0.35">
      <c r="B192" s="84">
        <v>38139</v>
      </c>
      <c r="C192" s="85">
        <v>1140.839966</v>
      </c>
      <c r="D192" s="87">
        <f t="shared" si="4"/>
        <v>1.7829111261681307E-2</v>
      </c>
      <c r="E192" s="86">
        <v>1.0583333333333332E-3</v>
      </c>
      <c r="F192" s="88">
        <f t="shared" si="5"/>
        <v>1.6770777928347972E-2</v>
      </c>
    </row>
    <row r="193" spans="2:6" ht="15.5" x14ac:dyDescent="0.35">
      <c r="B193" s="84">
        <v>38169</v>
      </c>
      <c r="C193" s="85">
        <v>1101.719971</v>
      </c>
      <c r="D193" s="87">
        <f t="shared" si="4"/>
        <v>-3.4892234735206334E-2</v>
      </c>
      <c r="E193" s="86">
        <v>1.1083333333333333E-3</v>
      </c>
      <c r="F193" s="88">
        <f t="shared" si="5"/>
        <v>-3.6000568068539671E-2</v>
      </c>
    </row>
    <row r="194" spans="2:6" ht="15.5" x14ac:dyDescent="0.35">
      <c r="B194" s="84">
        <v>38200</v>
      </c>
      <c r="C194" s="85">
        <v>1104.23999</v>
      </c>
      <c r="D194" s="87">
        <f t="shared" si="4"/>
        <v>2.2847378381895284E-3</v>
      </c>
      <c r="E194" s="86">
        <v>1.2333333333333335E-3</v>
      </c>
      <c r="F194" s="88">
        <f t="shared" si="5"/>
        <v>1.051404504856195E-3</v>
      </c>
    </row>
    <row r="195" spans="2:6" ht="15.5" x14ac:dyDescent="0.35">
      <c r="B195" s="84">
        <v>38231</v>
      </c>
      <c r="C195" s="85">
        <v>1114.579956</v>
      </c>
      <c r="D195" s="87">
        <f t="shared" si="4"/>
        <v>9.3203063814545888E-3</v>
      </c>
      <c r="E195" s="86">
        <v>1.3750000000000001E-3</v>
      </c>
      <c r="F195" s="88">
        <f t="shared" si="5"/>
        <v>7.9453063814545893E-3</v>
      </c>
    </row>
    <row r="196" spans="2:6" ht="15.5" x14ac:dyDescent="0.35">
      <c r="B196" s="84">
        <v>38261</v>
      </c>
      <c r="C196" s="85">
        <v>1130.1999510000001</v>
      </c>
      <c r="D196" s="87">
        <f t="shared" si="4"/>
        <v>1.3916951999808542E-2</v>
      </c>
      <c r="E196" s="86">
        <v>1.4666666666666667E-3</v>
      </c>
      <c r="F196" s="88">
        <f t="shared" si="5"/>
        <v>1.2450285333141875E-2</v>
      </c>
    </row>
    <row r="197" spans="2:6" ht="15.5" x14ac:dyDescent="0.35">
      <c r="B197" s="84">
        <v>38292</v>
      </c>
      <c r="C197" s="85">
        <v>1173.8199460000001</v>
      </c>
      <c r="D197" s="87">
        <f t="shared" si="4"/>
        <v>3.7868776812645132E-2</v>
      </c>
      <c r="E197" s="86">
        <v>1.725E-3</v>
      </c>
      <c r="F197" s="88">
        <f t="shared" si="5"/>
        <v>3.6143776812645134E-2</v>
      </c>
    </row>
    <row r="198" spans="2:6" ht="15.5" x14ac:dyDescent="0.35">
      <c r="B198" s="84">
        <v>38322</v>
      </c>
      <c r="C198" s="85">
        <v>1211.920044</v>
      </c>
      <c r="D198" s="87">
        <f t="shared" si="4"/>
        <v>3.1942573502865355E-2</v>
      </c>
      <c r="E198" s="86">
        <v>1.825E-3</v>
      </c>
      <c r="F198" s="88">
        <f t="shared" si="5"/>
        <v>3.0117573502865355E-2</v>
      </c>
    </row>
    <row r="199" spans="2:6" ht="15.5" x14ac:dyDescent="0.35">
      <c r="B199" s="84">
        <v>38353</v>
      </c>
      <c r="C199" s="85">
        <v>1181.2700199999999</v>
      </c>
      <c r="D199" s="87">
        <f t="shared" si="4"/>
        <v>-2.561576734361189E-2</v>
      </c>
      <c r="E199" s="86">
        <v>1.9416666666666668E-3</v>
      </c>
      <c r="F199" s="88">
        <f t="shared" si="5"/>
        <v>-2.7557434010278558E-2</v>
      </c>
    </row>
    <row r="200" spans="2:6" ht="15.5" x14ac:dyDescent="0.35">
      <c r="B200" s="84">
        <v>38384</v>
      </c>
      <c r="C200" s="85">
        <v>1203.599976</v>
      </c>
      <c r="D200" s="87">
        <f t="shared" si="4"/>
        <v>1.8726898003228021E-2</v>
      </c>
      <c r="E200" s="86">
        <v>2.1166666666666664E-3</v>
      </c>
      <c r="F200" s="88">
        <f t="shared" si="5"/>
        <v>1.6610231336561355E-2</v>
      </c>
    </row>
    <row r="201" spans="2:6" ht="15.5" x14ac:dyDescent="0.35">
      <c r="B201" s="84">
        <v>38412</v>
      </c>
      <c r="C201" s="85">
        <v>1180.589966</v>
      </c>
      <c r="D201" s="87">
        <f t="shared" si="4"/>
        <v>-1.9302761113509079E-2</v>
      </c>
      <c r="E201" s="86">
        <v>2.2833333333333334E-3</v>
      </c>
      <c r="F201" s="88">
        <f t="shared" si="5"/>
        <v>-2.158609444684241E-2</v>
      </c>
    </row>
    <row r="202" spans="2:6" ht="15.5" x14ac:dyDescent="0.35">
      <c r="B202" s="84">
        <v>38443</v>
      </c>
      <c r="C202" s="85">
        <v>1156.849976</v>
      </c>
      <c r="D202" s="87">
        <f t="shared" si="4"/>
        <v>-2.0313511294501645E-2</v>
      </c>
      <c r="E202" s="86">
        <v>2.3166666666666665E-3</v>
      </c>
      <c r="F202" s="88">
        <f t="shared" si="5"/>
        <v>-2.2630177961168313E-2</v>
      </c>
    </row>
    <row r="203" spans="2:6" ht="15.5" x14ac:dyDescent="0.35">
      <c r="B203" s="84">
        <v>38473</v>
      </c>
      <c r="C203" s="85">
        <v>1191.5</v>
      </c>
      <c r="D203" s="87">
        <f t="shared" ref="D203:D266" si="6">LN(C203/C202)</f>
        <v>2.9512244131097209E-2</v>
      </c>
      <c r="E203" s="86">
        <v>2.3666666666666667E-3</v>
      </c>
      <c r="F203" s="88">
        <f t="shared" ref="F203:F266" si="7">D203-E203</f>
        <v>2.7145577464430543E-2</v>
      </c>
    </row>
    <row r="204" spans="2:6" ht="15.5" x14ac:dyDescent="0.35">
      <c r="B204" s="84">
        <v>38504</v>
      </c>
      <c r="C204" s="85">
        <v>1191.329956</v>
      </c>
      <c r="D204" s="87">
        <f t="shared" si="6"/>
        <v>-1.4272441040996393E-4</v>
      </c>
      <c r="E204" s="86">
        <v>2.4750000000000002E-3</v>
      </c>
      <c r="F204" s="88">
        <f t="shared" si="7"/>
        <v>-2.6177244104099639E-3</v>
      </c>
    </row>
    <row r="205" spans="2:6" ht="15.5" x14ac:dyDescent="0.35">
      <c r="B205" s="84">
        <v>38534</v>
      </c>
      <c r="C205" s="85">
        <v>1234.1800539999999</v>
      </c>
      <c r="D205" s="87">
        <f t="shared" si="6"/>
        <v>3.5336532551987196E-2</v>
      </c>
      <c r="E205" s="86">
        <v>2.6833333333333331E-3</v>
      </c>
      <c r="F205" s="88">
        <f t="shared" si="7"/>
        <v>3.265319921865386E-2</v>
      </c>
    </row>
    <row r="206" spans="2:6" ht="15.5" x14ac:dyDescent="0.35">
      <c r="B206" s="84">
        <v>38565</v>
      </c>
      <c r="C206" s="85">
        <v>1220.329956</v>
      </c>
      <c r="D206" s="87">
        <f t="shared" si="6"/>
        <v>-1.1285547781927063E-2</v>
      </c>
      <c r="E206" s="86">
        <v>2.8666666666666667E-3</v>
      </c>
      <c r="F206" s="88">
        <f t="shared" si="7"/>
        <v>-1.415221444859373E-2</v>
      </c>
    </row>
    <row r="207" spans="2:6" ht="15.5" x14ac:dyDescent="0.35">
      <c r="B207" s="84">
        <v>38596</v>
      </c>
      <c r="C207" s="85">
        <v>1228.8100589999999</v>
      </c>
      <c r="D207" s="87">
        <f t="shared" si="6"/>
        <v>6.9249914966113208E-3</v>
      </c>
      <c r="E207" s="86">
        <v>2.8500000000000001E-3</v>
      </c>
      <c r="F207" s="88">
        <f t="shared" si="7"/>
        <v>4.0749914966113207E-3</v>
      </c>
    </row>
    <row r="208" spans="2:6" ht="15.5" x14ac:dyDescent="0.35">
      <c r="B208" s="84">
        <v>38626</v>
      </c>
      <c r="C208" s="85">
        <v>1207.01001</v>
      </c>
      <c r="D208" s="87">
        <f t="shared" si="6"/>
        <v>-1.790003404276953E-2</v>
      </c>
      <c r="E208" s="86">
        <v>3.0916666666666666E-3</v>
      </c>
      <c r="F208" s="88">
        <f t="shared" si="7"/>
        <v>-2.0991700709436196E-2</v>
      </c>
    </row>
    <row r="209" spans="2:6" ht="15.5" x14ac:dyDescent="0.35">
      <c r="B209" s="84">
        <v>38657</v>
      </c>
      <c r="C209" s="85">
        <v>1249.4799800000001</v>
      </c>
      <c r="D209" s="87">
        <f t="shared" si="6"/>
        <v>3.4581213385394466E-2</v>
      </c>
      <c r="E209" s="86">
        <v>3.2333333333333333E-3</v>
      </c>
      <c r="F209" s="88">
        <f t="shared" si="7"/>
        <v>3.1347880052061135E-2</v>
      </c>
    </row>
    <row r="210" spans="2:6" ht="15.5" x14ac:dyDescent="0.35">
      <c r="B210" s="84">
        <v>38687</v>
      </c>
      <c r="C210" s="85">
        <v>1248.290039</v>
      </c>
      <c r="D210" s="87">
        <f t="shared" si="6"/>
        <v>-9.5280276484283608E-4</v>
      </c>
      <c r="E210" s="86">
        <v>3.241666666666667E-3</v>
      </c>
      <c r="F210" s="88">
        <f t="shared" si="7"/>
        <v>-4.1944694315095028E-3</v>
      </c>
    </row>
    <row r="211" spans="2:6" ht="15.5" x14ac:dyDescent="0.35">
      <c r="B211" s="84">
        <v>38718</v>
      </c>
      <c r="C211" s="85">
        <v>1280.079956</v>
      </c>
      <c r="D211" s="87">
        <f t="shared" si="6"/>
        <v>2.5147895614926353E-2</v>
      </c>
      <c r="E211" s="86">
        <v>3.5333333333333332E-3</v>
      </c>
      <c r="F211" s="88">
        <f t="shared" si="7"/>
        <v>2.161456228159302E-2</v>
      </c>
    </row>
    <row r="212" spans="2:6" ht="15.5" x14ac:dyDescent="0.35">
      <c r="B212" s="84">
        <v>38749</v>
      </c>
      <c r="C212" s="85">
        <v>1280.660034</v>
      </c>
      <c r="D212" s="87">
        <f t="shared" si="6"/>
        <v>4.5305498581463483E-4</v>
      </c>
      <c r="E212" s="86">
        <v>3.6916666666666664E-3</v>
      </c>
      <c r="F212" s="88">
        <f t="shared" si="7"/>
        <v>-3.2386116808520316E-3</v>
      </c>
    </row>
    <row r="213" spans="2:6" ht="15.5" x14ac:dyDescent="0.35">
      <c r="B213" s="84">
        <v>38777</v>
      </c>
      <c r="C213" s="85">
        <v>1294.869995</v>
      </c>
      <c r="D213" s="87">
        <f t="shared" si="6"/>
        <v>1.1034703559257248E-2</v>
      </c>
      <c r="E213" s="86">
        <v>3.7583333333333336E-3</v>
      </c>
      <c r="F213" s="88">
        <f t="shared" si="7"/>
        <v>7.276370225923914E-3</v>
      </c>
    </row>
    <row r="214" spans="2:6" ht="15.5" x14ac:dyDescent="0.35">
      <c r="B214" s="84">
        <v>38808</v>
      </c>
      <c r="C214" s="85">
        <v>1310.6099850000001</v>
      </c>
      <c r="D214" s="87">
        <f t="shared" si="6"/>
        <v>1.208236609148346E-2</v>
      </c>
      <c r="E214" s="86">
        <v>3.8333333333333331E-3</v>
      </c>
      <c r="F214" s="88">
        <f t="shared" si="7"/>
        <v>8.2490327581501276E-3</v>
      </c>
    </row>
    <row r="215" spans="2:6" ht="15.5" x14ac:dyDescent="0.35">
      <c r="B215" s="84">
        <v>38838</v>
      </c>
      <c r="C215" s="85">
        <v>1270.089966</v>
      </c>
      <c r="D215" s="87">
        <f t="shared" si="6"/>
        <v>-3.140492891059625E-2</v>
      </c>
      <c r="E215" s="86">
        <v>3.933333333333333E-3</v>
      </c>
      <c r="F215" s="88">
        <f t="shared" si="7"/>
        <v>-3.533826224392958E-2</v>
      </c>
    </row>
    <row r="216" spans="2:6" ht="15.5" x14ac:dyDescent="0.35">
      <c r="B216" s="84">
        <v>38869</v>
      </c>
      <c r="C216" s="85">
        <v>1270.1999510000001</v>
      </c>
      <c r="D216" s="87">
        <f t="shared" si="6"/>
        <v>8.6592478545621289E-5</v>
      </c>
      <c r="E216" s="86">
        <v>3.9916666666666668E-3</v>
      </c>
      <c r="F216" s="88">
        <f t="shared" si="7"/>
        <v>-3.9050741881210453E-3</v>
      </c>
    </row>
    <row r="217" spans="2:6" ht="15.5" x14ac:dyDescent="0.35">
      <c r="B217" s="84">
        <v>38899</v>
      </c>
      <c r="C217" s="85">
        <v>1276.660034</v>
      </c>
      <c r="D217" s="87">
        <f t="shared" si="6"/>
        <v>5.0729894005535608E-3</v>
      </c>
      <c r="E217" s="86">
        <v>4.1250000000000002E-3</v>
      </c>
      <c r="F217" s="88">
        <f t="shared" si="7"/>
        <v>9.4798940055356058E-4</v>
      </c>
    </row>
    <row r="218" spans="2:6" ht="15.5" x14ac:dyDescent="0.35">
      <c r="B218" s="84">
        <v>38930</v>
      </c>
      <c r="C218" s="85">
        <v>1303.8199460000001</v>
      </c>
      <c r="D218" s="87">
        <f t="shared" si="6"/>
        <v>2.1051056539239044E-2</v>
      </c>
      <c r="E218" s="86">
        <v>4.1333333333333335E-3</v>
      </c>
      <c r="F218" s="88">
        <f t="shared" si="7"/>
        <v>1.6917723205905712E-2</v>
      </c>
    </row>
    <row r="219" spans="2:6" ht="15.5" x14ac:dyDescent="0.35">
      <c r="B219" s="84">
        <v>38961</v>
      </c>
      <c r="C219" s="85">
        <v>1335.849976</v>
      </c>
      <c r="D219" s="87">
        <f t="shared" si="6"/>
        <v>2.4269399645975777E-2</v>
      </c>
      <c r="E219" s="86">
        <v>4.0083333333333334E-3</v>
      </c>
      <c r="F219" s="88">
        <f t="shared" si="7"/>
        <v>2.0261066312642444E-2</v>
      </c>
    </row>
    <row r="220" spans="2:6" ht="15.5" x14ac:dyDescent="0.35">
      <c r="B220" s="84">
        <v>38991</v>
      </c>
      <c r="C220" s="85">
        <v>1377.9399410000001</v>
      </c>
      <c r="D220" s="87">
        <f t="shared" si="6"/>
        <v>3.1021812065774996E-2</v>
      </c>
      <c r="E220" s="86">
        <v>4.1000000000000003E-3</v>
      </c>
      <c r="F220" s="88">
        <f t="shared" si="7"/>
        <v>2.6921812065774996E-2</v>
      </c>
    </row>
    <row r="221" spans="2:6" ht="15.5" x14ac:dyDescent="0.35">
      <c r="B221" s="84">
        <v>39022</v>
      </c>
      <c r="C221" s="85">
        <v>1400.630005</v>
      </c>
      <c r="D221" s="87">
        <f t="shared" si="6"/>
        <v>1.6332551509721831E-2</v>
      </c>
      <c r="E221" s="86">
        <v>4.1166666666666669E-3</v>
      </c>
      <c r="F221" s="88">
        <f t="shared" si="7"/>
        <v>1.2215884843055164E-2</v>
      </c>
    </row>
    <row r="222" spans="2:6" ht="15.5" x14ac:dyDescent="0.35">
      <c r="B222" s="84">
        <v>39052</v>
      </c>
      <c r="C222" s="85">
        <v>1418.3000489999999</v>
      </c>
      <c r="D222" s="87">
        <f t="shared" si="6"/>
        <v>1.2536866895427328E-2</v>
      </c>
      <c r="E222" s="86">
        <v>4.0416666666666665E-3</v>
      </c>
      <c r="F222" s="88">
        <f t="shared" si="7"/>
        <v>8.4952002287606611E-3</v>
      </c>
    </row>
    <row r="223" spans="2:6" ht="15.5" x14ac:dyDescent="0.35">
      <c r="B223" s="84">
        <v>39083</v>
      </c>
      <c r="C223" s="85">
        <v>1438.23999</v>
      </c>
      <c r="D223" s="87">
        <f t="shared" si="6"/>
        <v>1.396113102318236E-2</v>
      </c>
      <c r="E223" s="86">
        <v>4.15E-3</v>
      </c>
      <c r="F223" s="88">
        <f t="shared" si="7"/>
        <v>9.8111310231823595E-3</v>
      </c>
    </row>
    <row r="224" spans="2:6" ht="15.5" x14ac:dyDescent="0.35">
      <c r="B224" s="84">
        <v>39114</v>
      </c>
      <c r="C224" s="85">
        <v>1406.8199460000001</v>
      </c>
      <c r="D224" s="87">
        <f t="shared" si="6"/>
        <v>-2.2088337095889421E-2</v>
      </c>
      <c r="E224" s="86">
        <v>4.1916666666666673E-3</v>
      </c>
      <c r="F224" s="88">
        <f t="shared" si="7"/>
        <v>-2.6280003762556087E-2</v>
      </c>
    </row>
    <row r="225" spans="2:6" ht="15.5" x14ac:dyDescent="0.35">
      <c r="B225" s="84">
        <v>39142</v>
      </c>
      <c r="C225" s="85">
        <v>1420.8599850000001</v>
      </c>
      <c r="D225" s="87">
        <f t="shared" si="6"/>
        <v>9.9305117427416559E-3</v>
      </c>
      <c r="E225" s="86">
        <v>4.1166666666666669E-3</v>
      </c>
      <c r="F225" s="88">
        <f t="shared" si="7"/>
        <v>5.813845076074989E-3</v>
      </c>
    </row>
    <row r="226" spans="2:6" ht="15.5" x14ac:dyDescent="0.35">
      <c r="B226" s="84">
        <v>39173</v>
      </c>
      <c r="C226" s="85">
        <v>1482.369995</v>
      </c>
      <c r="D226" s="87">
        <f t="shared" si="6"/>
        <v>4.2379843421614979E-2</v>
      </c>
      <c r="E226" s="86">
        <v>4.0583333333333331E-3</v>
      </c>
      <c r="F226" s="88">
        <f t="shared" si="7"/>
        <v>3.8321510088281649E-2</v>
      </c>
    </row>
    <row r="227" spans="2:6" ht="15.5" x14ac:dyDescent="0.35">
      <c r="B227" s="84">
        <v>39203</v>
      </c>
      <c r="C227" s="85">
        <v>1530.619995</v>
      </c>
      <c r="D227" s="87">
        <f t="shared" si="6"/>
        <v>3.2030723854388307E-2</v>
      </c>
      <c r="E227" s="86">
        <v>3.9416666666666671E-3</v>
      </c>
      <c r="F227" s="88">
        <f t="shared" si="7"/>
        <v>2.8089057187721641E-2</v>
      </c>
    </row>
    <row r="228" spans="2:6" ht="15.5" x14ac:dyDescent="0.35">
      <c r="B228" s="84">
        <v>39234</v>
      </c>
      <c r="C228" s="85">
        <v>1503.349976</v>
      </c>
      <c r="D228" s="87">
        <f t="shared" si="6"/>
        <v>-1.7976943517687454E-2</v>
      </c>
      <c r="E228" s="86">
        <v>3.8416666666666668E-3</v>
      </c>
      <c r="F228" s="88">
        <f t="shared" si="7"/>
        <v>-2.1818610184354121E-2</v>
      </c>
    </row>
    <row r="229" spans="2:6" ht="15.5" x14ac:dyDescent="0.35">
      <c r="B229" s="84">
        <v>39264</v>
      </c>
      <c r="C229" s="85">
        <v>1455.2700199999999</v>
      </c>
      <c r="D229" s="87">
        <f t="shared" si="6"/>
        <v>-3.2504471133686229E-2</v>
      </c>
      <c r="E229" s="86">
        <v>4.0166666666666666E-3</v>
      </c>
      <c r="F229" s="88">
        <f t="shared" si="7"/>
        <v>-3.6521137800352897E-2</v>
      </c>
    </row>
    <row r="230" spans="2:6" ht="15.5" x14ac:dyDescent="0.35">
      <c r="B230" s="84">
        <v>39295</v>
      </c>
      <c r="C230" s="85">
        <v>1473.98999</v>
      </c>
      <c r="D230" s="87">
        <f t="shared" si="6"/>
        <v>1.2781538537818309E-2</v>
      </c>
      <c r="E230" s="86">
        <v>3.5000000000000001E-3</v>
      </c>
      <c r="F230" s="88">
        <f t="shared" si="7"/>
        <v>9.2815385378183096E-3</v>
      </c>
    </row>
    <row r="231" spans="2:6" ht="15.5" x14ac:dyDescent="0.35">
      <c r="B231" s="84">
        <v>39326</v>
      </c>
      <c r="C231" s="85">
        <v>1526.75</v>
      </c>
      <c r="D231" s="87">
        <f t="shared" si="6"/>
        <v>3.5168290421797546E-2</v>
      </c>
      <c r="E231" s="86">
        <v>3.241666666666667E-3</v>
      </c>
      <c r="F231" s="88">
        <f t="shared" si="7"/>
        <v>3.1926623755130876E-2</v>
      </c>
    </row>
    <row r="232" spans="2:6" ht="15.5" x14ac:dyDescent="0.35">
      <c r="B232" s="84">
        <v>39356</v>
      </c>
      <c r="C232" s="85">
        <v>1549.380005</v>
      </c>
      <c r="D232" s="87">
        <f t="shared" si="6"/>
        <v>1.4713561015805812E-2</v>
      </c>
      <c r="E232" s="86">
        <v>3.2499999999999999E-3</v>
      </c>
      <c r="F232" s="88">
        <f t="shared" si="7"/>
        <v>1.1463561015805812E-2</v>
      </c>
    </row>
    <row r="233" spans="2:6" ht="15.5" x14ac:dyDescent="0.35">
      <c r="B233" s="84">
        <v>39387</v>
      </c>
      <c r="C233" s="85">
        <v>1481.1400149999999</v>
      </c>
      <c r="D233" s="87">
        <f t="shared" si="6"/>
        <v>-4.5042782469179185E-2</v>
      </c>
      <c r="E233" s="86">
        <v>2.725E-3</v>
      </c>
      <c r="F233" s="88">
        <f t="shared" si="7"/>
        <v>-4.7767782469179183E-2</v>
      </c>
    </row>
    <row r="234" spans="2:6" ht="15.5" x14ac:dyDescent="0.35">
      <c r="B234" s="84">
        <v>39417</v>
      </c>
      <c r="C234" s="85">
        <v>1468.3599850000001</v>
      </c>
      <c r="D234" s="87">
        <f t="shared" si="6"/>
        <v>-8.6659501476144991E-3</v>
      </c>
      <c r="E234" s="86">
        <v>2.5000000000000001E-3</v>
      </c>
      <c r="F234" s="88">
        <f t="shared" si="7"/>
        <v>-1.11659501476145E-2</v>
      </c>
    </row>
    <row r="235" spans="2:6" ht="15.5" x14ac:dyDescent="0.35">
      <c r="B235" s="84">
        <v>39448</v>
      </c>
      <c r="C235" s="85">
        <v>1378.5500489999999</v>
      </c>
      <c r="D235" s="87">
        <f t="shared" si="6"/>
        <v>-6.3113863842205242E-2</v>
      </c>
      <c r="E235" s="86">
        <v>2.2916666666666667E-3</v>
      </c>
      <c r="F235" s="88">
        <f t="shared" si="7"/>
        <v>-6.5405530508871906E-2</v>
      </c>
    </row>
    <row r="236" spans="2:6" ht="15.5" x14ac:dyDescent="0.35">
      <c r="B236" s="84">
        <v>39479</v>
      </c>
      <c r="C236" s="85">
        <v>1330.630005</v>
      </c>
      <c r="D236" s="87">
        <f t="shared" si="6"/>
        <v>-3.5379739629056911E-2</v>
      </c>
      <c r="E236" s="86">
        <v>1.7666666666666666E-3</v>
      </c>
      <c r="F236" s="88">
        <f t="shared" si="7"/>
        <v>-3.7146406295723577E-2</v>
      </c>
    </row>
    <row r="237" spans="2:6" ht="15.5" x14ac:dyDescent="0.35">
      <c r="B237" s="84">
        <v>39508</v>
      </c>
      <c r="C237" s="85">
        <v>1322.6999510000001</v>
      </c>
      <c r="D237" s="87">
        <f t="shared" si="6"/>
        <v>-5.9774530444303862E-3</v>
      </c>
      <c r="E237" s="86">
        <v>1.0499999999999999E-3</v>
      </c>
      <c r="F237" s="88">
        <f t="shared" si="7"/>
        <v>-7.0274530444303859E-3</v>
      </c>
    </row>
    <row r="238" spans="2:6" ht="15.5" x14ac:dyDescent="0.35">
      <c r="B238" s="84">
        <v>39539</v>
      </c>
      <c r="C238" s="85">
        <v>1385.589966</v>
      </c>
      <c r="D238" s="87">
        <f t="shared" si="6"/>
        <v>4.645095216721086E-2</v>
      </c>
      <c r="E238" s="86">
        <v>1.075E-3</v>
      </c>
      <c r="F238" s="88">
        <f t="shared" si="7"/>
        <v>4.537595216721086E-2</v>
      </c>
    </row>
    <row r="239" spans="2:6" ht="15.5" x14ac:dyDescent="0.35">
      <c r="B239" s="84">
        <v>39569</v>
      </c>
      <c r="C239" s="85">
        <v>1400.380005</v>
      </c>
      <c r="D239" s="87">
        <f t="shared" si="6"/>
        <v>1.0617614761393173E-2</v>
      </c>
      <c r="E239" s="86">
        <v>1.4416666666666666E-3</v>
      </c>
      <c r="F239" s="88">
        <f t="shared" si="7"/>
        <v>9.1759480947265076E-3</v>
      </c>
    </row>
    <row r="240" spans="2:6" ht="15.5" x14ac:dyDescent="0.35">
      <c r="B240" s="84">
        <v>39600</v>
      </c>
      <c r="C240" s="85">
        <v>1280</v>
      </c>
      <c r="D240" s="87">
        <f t="shared" si="6"/>
        <v>-8.9883554001504828E-2</v>
      </c>
      <c r="E240" s="86">
        <v>1.5500000000000002E-3</v>
      </c>
      <c r="F240" s="88">
        <f t="shared" si="7"/>
        <v>-9.1433554001504824E-2</v>
      </c>
    </row>
    <row r="241" spans="2:6" ht="15.5" x14ac:dyDescent="0.35">
      <c r="B241" s="84">
        <v>39630</v>
      </c>
      <c r="C241" s="85">
        <v>1267.380005</v>
      </c>
      <c r="D241" s="87">
        <f t="shared" si="6"/>
        <v>-9.9082965413096608E-3</v>
      </c>
      <c r="E241" s="86">
        <v>1.3583333333333331E-3</v>
      </c>
      <c r="F241" s="88">
        <f t="shared" si="7"/>
        <v>-1.1266629874642994E-2</v>
      </c>
    </row>
    <row r="242" spans="2:6" ht="15.5" x14ac:dyDescent="0.35">
      <c r="B242" s="84">
        <v>39661</v>
      </c>
      <c r="C242" s="85">
        <v>1282.829956</v>
      </c>
      <c r="D242" s="87">
        <f t="shared" si="6"/>
        <v>1.2116759216399294E-2</v>
      </c>
      <c r="E242" s="86">
        <v>1.4333333333333333E-3</v>
      </c>
      <c r="F242" s="88">
        <f t="shared" si="7"/>
        <v>1.068342588306596E-2</v>
      </c>
    </row>
    <row r="243" spans="2:6" ht="15.5" x14ac:dyDescent="0.35">
      <c r="B243" s="84">
        <v>39692</v>
      </c>
      <c r="C243" s="85">
        <v>1166.3599850000001</v>
      </c>
      <c r="D243" s="87">
        <f t="shared" si="6"/>
        <v>-9.5180765335731526E-2</v>
      </c>
      <c r="E243" s="86">
        <v>9.4166666666666661E-4</v>
      </c>
      <c r="F243" s="88">
        <f t="shared" si="7"/>
        <v>-9.6122432002398187E-2</v>
      </c>
    </row>
    <row r="244" spans="2:6" ht="15.5" x14ac:dyDescent="0.35">
      <c r="B244" s="84">
        <v>39722</v>
      </c>
      <c r="C244" s="85">
        <v>968.75</v>
      </c>
      <c r="D244" s="87">
        <f t="shared" si="6"/>
        <v>-0.18563647358546415</v>
      </c>
      <c r="E244" s="86">
        <v>5.5833333333333332E-4</v>
      </c>
      <c r="F244" s="88">
        <f t="shared" si="7"/>
        <v>-0.18619480691879747</v>
      </c>
    </row>
    <row r="245" spans="2:6" ht="15.5" x14ac:dyDescent="0.35">
      <c r="B245" s="84">
        <v>39753</v>
      </c>
      <c r="C245" s="85">
        <v>896.23999000000003</v>
      </c>
      <c r="D245" s="87">
        <f t="shared" si="6"/>
        <v>-7.7798357574814583E-2</v>
      </c>
      <c r="E245" s="86">
        <v>1.5833333333333332E-4</v>
      </c>
      <c r="F245" s="88">
        <f t="shared" si="7"/>
        <v>-7.7956690908147913E-2</v>
      </c>
    </row>
    <row r="246" spans="2:6" ht="15.5" x14ac:dyDescent="0.35">
      <c r="B246" s="84">
        <v>39783</v>
      </c>
      <c r="C246" s="85">
        <v>903.25</v>
      </c>
      <c r="D246" s="87">
        <f t="shared" si="6"/>
        <v>7.7911469350072987E-3</v>
      </c>
      <c r="E246" s="86">
        <v>2.4999999999999998E-5</v>
      </c>
      <c r="F246" s="88">
        <f t="shared" si="7"/>
        <v>7.7661469350072988E-3</v>
      </c>
    </row>
    <row r="247" spans="2:6" ht="15.5" x14ac:dyDescent="0.35">
      <c r="B247" s="84">
        <v>39814</v>
      </c>
      <c r="C247" s="85">
        <v>825.88000499999998</v>
      </c>
      <c r="D247" s="87">
        <f t="shared" si="6"/>
        <v>-8.9549879456922679E-2</v>
      </c>
      <c r="E247" s="86">
        <v>1.0833333333333333E-4</v>
      </c>
      <c r="F247" s="88">
        <f t="shared" si="7"/>
        <v>-8.9658212790256014E-2</v>
      </c>
    </row>
    <row r="248" spans="2:6" ht="15.5" x14ac:dyDescent="0.35">
      <c r="B248" s="84">
        <v>39845</v>
      </c>
      <c r="C248" s="85">
        <v>735.09002699999996</v>
      </c>
      <c r="D248" s="87">
        <f t="shared" si="6"/>
        <v>-0.11645651314446717</v>
      </c>
      <c r="E248" s="86">
        <v>2.5000000000000001E-4</v>
      </c>
      <c r="F248" s="88">
        <f t="shared" si="7"/>
        <v>-0.11670651314446717</v>
      </c>
    </row>
    <row r="249" spans="2:6" ht="15.5" x14ac:dyDescent="0.35">
      <c r="B249" s="84">
        <v>39873</v>
      </c>
      <c r="C249" s="85">
        <v>797.86999500000002</v>
      </c>
      <c r="D249" s="87">
        <f t="shared" si="6"/>
        <v>8.1952693217763314E-2</v>
      </c>
      <c r="E249" s="86">
        <v>1.75E-4</v>
      </c>
      <c r="F249" s="88">
        <f t="shared" si="7"/>
        <v>8.177769321776332E-2</v>
      </c>
    </row>
    <row r="250" spans="2:6" ht="15.5" x14ac:dyDescent="0.35">
      <c r="B250" s="84">
        <v>39904</v>
      </c>
      <c r="C250" s="85">
        <v>872.80999799999995</v>
      </c>
      <c r="D250" s="87">
        <f t="shared" si="6"/>
        <v>8.9772218896205111E-2</v>
      </c>
      <c r="E250" s="86">
        <v>1.3333333333333334E-4</v>
      </c>
      <c r="F250" s="88">
        <f t="shared" si="7"/>
        <v>8.9638885562871778E-2</v>
      </c>
    </row>
    <row r="251" spans="2:6" ht="15.5" x14ac:dyDescent="0.35">
      <c r="B251" s="84">
        <v>39934</v>
      </c>
      <c r="C251" s="85">
        <v>919.14001499999995</v>
      </c>
      <c r="D251" s="87">
        <f t="shared" si="6"/>
        <v>5.1720577031934709E-2</v>
      </c>
      <c r="E251" s="86">
        <v>1.4999999999999999E-4</v>
      </c>
      <c r="F251" s="88">
        <f t="shared" si="7"/>
        <v>5.1570577031934711E-2</v>
      </c>
    </row>
    <row r="252" spans="2:6" ht="15.5" x14ac:dyDescent="0.35">
      <c r="B252" s="84">
        <v>39965</v>
      </c>
      <c r="C252" s="85">
        <v>919.32000700000003</v>
      </c>
      <c r="D252" s="87">
        <f t="shared" si="6"/>
        <v>1.9580735879086813E-4</v>
      </c>
      <c r="E252" s="86">
        <v>1.4999999999999999E-4</v>
      </c>
      <c r="F252" s="88">
        <f t="shared" si="7"/>
        <v>4.580735879086814E-5</v>
      </c>
    </row>
    <row r="253" spans="2:6" ht="15.5" x14ac:dyDescent="0.35">
      <c r="B253" s="84">
        <v>39995</v>
      </c>
      <c r="C253" s="85">
        <v>987.47997999999995</v>
      </c>
      <c r="D253" s="87">
        <f t="shared" si="6"/>
        <v>7.1521949220993447E-2</v>
      </c>
      <c r="E253" s="86">
        <v>1.4999999999999999E-4</v>
      </c>
      <c r="F253" s="88">
        <f t="shared" si="7"/>
        <v>7.137194922099345E-2</v>
      </c>
    </row>
    <row r="254" spans="2:6" ht="15.5" x14ac:dyDescent="0.35">
      <c r="B254" s="84">
        <v>40026</v>
      </c>
      <c r="C254" s="85">
        <v>1020.619995</v>
      </c>
      <c r="D254" s="87">
        <f t="shared" si="6"/>
        <v>3.3009336702728598E-2</v>
      </c>
      <c r="E254" s="86">
        <v>1.4166666666666668E-4</v>
      </c>
      <c r="F254" s="88">
        <f t="shared" si="7"/>
        <v>3.2867670036061933E-2</v>
      </c>
    </row>
    <row r="255" spans="2:6" ht="15.5" x14ac:dyDescent="0.35">
      <c r="B255" s="84">
        <v>40057</v>
      </c>
      <c r="C255" s="85">
        <v>1057.079956</v>
      </c>
      <c r="D255" s="87">
        <f t="shared" si="6"/>
        <v>3.5100067430831765E-2</v>
      </c>
      <c r="E255" s="86">
        <v>9.9999999999999991E-5</v>
      </c>
      <c r="F255" s="88">
        <f t="shared" si="7"/>
        <v>3.5000067430831762E-2</v>
      </c>
    </row>
    <row r="256" spans="2:6" ht="15.5" x14ac:dyDescent="0.35">
      <c r="B256" s="84">
        <v>40087</v>
      </c>
      <c r="C256" s="85">
        <v>1036.1899410000001</v>
      </c>
      <c r="D256" s="87">
        <f t="shared" si="6"/>
        <v>-1.9959880537446347E-2</v>
      </c>
      <c r="E256" s="86">
        <v>5.833333333333334E-5</v>
      </c>
      <c r="F256" s="88">
        <f t="shared" si="7"/>
        <v>-2.0018213870779681E-2</v>
      </c>
    </row>
    <row r="257" spans="2:6" ht="15.5" x14ac:dyDescent="0.35">
      <c r="B257" s="84">
        <v>40118</v>
      </c>
      <c r="C257" s="85">
        <v>1095.630005</v>
      </c>
      <c r="D257" s="87">
        <f t="shared" si="6"/>
        <v>5.5779077085757335E-2</v>
      </c>
      <c r="E257" s="86">
        <v>4.1666666666666665E-5</v>
      </c>
      <c r="F257" s="88">
        <f t="shared" si="7"/>
        <v>5.5737410419090666E-2</v>
      </c>
    </row>
    <row r="258" spans="2:6" ht="15.5" x14ac:dyDescent="0.35">
      <c r="B258" s="84">
        <v>40148</v>
      </c>
      <c r="C258" s="85">
        <v>1115.099976</v>
      </c>
      <c r="D258" s="87">
        <f t="shared" si="6"/>
        <v>1.7614520614664245E-2</v>
      </c>
      <c r="E258" s="86">
        <v>4.1666666666666665E-5</v>
      </c>
      <c r="F258" s="88">
        <f t="shared" si="7"/>
        <v>1.7572853947997579E-2</v>
      </c>
    </row>
    <row r="259" spans="2:6" ht="15.5" x14ac:dyDescent="0.35">
      <c r="B259" s="84">
        <v>40179</v>
      </c>
      <c r="C259" s="85">
        <v>1073.869995</v>
      </c>
      <c r="D259" s="87">
        <f t="shared" si="6"/>
        <v>-3.7675124192644176E-2</v>
      </c>
      <c r="E259" s="86">
        <v>4.9999999999999996E-5</v>
      </c>
      <c r="F259" s="88">
        <f t="shared" si="7"/>
        <v>-3.7725124192644177E-2</v>
      </c>
    </row>
    <row r="260" spans="2:6" ht="15.5" x14ac:dyDescent="0.35">
      <c r="B260" s="84">
        <v>40210</v>
      </c>
      <c r="C260" s="85">
        <v>1104.48999</v>
      </c>
      <c r="D260" s="87">
        <f t="shared" si="6"/>
        <v>2.8114739638764777E-2</v>
      </c>
      <c r="E260" s="86">
        <v>9.1666666666666668E-5</v>
      </c>
      <c r="F260" s="88">
        <f t="shared" si="7"/>
        <v>2.802307297209811E-2</v>
      </c>
    </row>
    <row r="261" spans="2:6" ht="15.5" x14ac:dyDescent="0.35">
      <c r="B261" s="84">
        <v>40238</v>
      </c>
      <c r="C261" s="85">
        <v>1169.4300539999999</v>
      </c>
      <c r="D261" s="87">
        <f t="shared" si="6"/>
        <v>5.713281587577692E-2</v>
      </c>
      <c r="E261" s="86">
        <v>1.25E-4</v>
      </c>
      <c r="F261" s="88">
        <f t="shared" si="7"/>
        <v>5.700781587577692E-2</v>
      </c>
    </row>
    <row r="262" spans="2:6" ht="15.5" x14ac:dyDescent="0.35">
      <c r="B262" s="84">
        <v>40269</v>
      </c>
      <c r="C262" s="85">
        <v>1186.6899410000001</v>
      </c>
      <c r="D262" s="87">
        <f t="shared" si="6"/>
        <v>1.4651372417397389E-2</v>
      </c>
      <c r="E262" s="86">
        <v>1.3333333333333334E-4</v>
      </c>
      <c r="F262" s="88">
        <f t="shared" si="7"/>
        <v>1.4518039084064056E-2</v>
      </c>
    </row>
    <row r="263" spans="2:6" ht="15.5" x14ac:dyDescent="0.35">
      <c r="B263" s="84">
        <v>40299</v>
      </c>
      <c r="C263" s="85">
        <v>1089.410034</v>
      </c>
      <c r="D263" s="87">
        <f t="shared" si="6"/>
        <v>-8.5531572706092185E-2</v>
      </c>
      <c r="E263" s="86">
        <v>1.3333333333333334E-4</v>
      </c>
      <c r="F263" s="88">
        <f t="shared" si="7"/>
        <v>-8.5664906039425517E-2</v>
      </c>
    </row>
    <row r="264" spans="2:6" ht="15.5" x14ac:dyDescent="0.35">
      <c r="B264" s="84">
        <v>40330</v>
      </c>
      <c r="C264" s="85">
        <v>1030.709961</v>
      </c>
      <c r="D264" s="87">
        <f t="shared" si="6"/>
        <v>-5.5388449179925643E-2</v>
      </c>
      <c r="E264" s="86">
        <v>9.9999999999999991E-5</v>
      </c>
      <c r="F264" s="88">
        <f t="shared" si="7"/>
        <v>-5.5488449179925646E-2</v>
      </c>
    </row>
    <row r="265" spans="2:6" ht="15.5" x14ac:dyDescent="0.35">
      <c r="B265" s="84">
        <v>40360</v>
      </c>
      <c r="C265" s="85">
        <v>1101.599976</v>
      </c>
      <c r="D265" s="87">
        <f t="shared" si="6"/>
        <v>6.6515799326092917E-2</v>
      </c>
      <c r="E265" s="86">
        <v>1.3333333333333334E-4</v>
      </c>
      <c r="F265" s="88">
        <f t="shared" si="7"/>
        <v>6.6382465992759584E-2</v>
      </c>
    </row>
    <row r="266" spans="2:6" ht="15.5" x14ac:dyDescent="0.35">
      <c r="B266" s="84">
        <v>40391</v>
      </c>
      <c r="C266" s="85">
        <v>1049.329956</v>
      </c>
      <c r="D266" s="87">
        <f t="shared" si="6"/>
        <v>-4.8611823315409079E-2</v>
      </c>
      <c r="E266" s="86">
        <v>1.3333333333333334E-4</v>
      </c>
      <c r="F266" s="88">
        <f t="shared" si="7"/>
        <v>-4.8745156648742412E-2</v>
      </c>
    </row>
    <row r="267" spans="2:6" ht="15.5" x14ac:dyDescent="0.35">
      <c r="B267" s="84">
        <v>40422</v>
      </c>
      <c r="C267" s="85">
        <v>1141.1999510000001</v>
      </c>
      <c r="D267" s="87">
        <f t="shared" ref="D267:D330" si="8">LN(C267/C266)</f>
        <v>8.3928474089541724E-2</v>
      </c>
      <c r="E267" s="86">
        <v>1.25E-4</v>
      </c>
      <c r="F267" s="88">
        <f t="shared" ref="F267:F330" si="9">D267-E267</f>
        <v>8.3803474089541724E-2</v>
      </c>
    </row>
    <row r="268" spans="2:6" ht="15.5" x14ac:dyDescent="0.35">
      <c r="B268" s="84">
        <v>40452</v>
      </c>
      <c r="C268" s="85">
        <v>1183.26001</v>
      </c>
      <c r="D268" s="87">
        <f t="shared" si="8"/>
        <v>3.6193052099175581E-2</v>
      </c>
      <c r="E268" s="86">
        <v>1.0833333333333333E-4</v>
      </c>
      <c r="F268" s="88">
        <f t="shared" si="9"/>
        <v>3.6084718765842246E-2</v>
      </c>
    </row>
    <row r="269" spans="2:6" ht="15.5" x14ac:dyDescent="0.35">
      <c r="B269" s="84">
        <v>40483</v>
      </c>
      <c r="C269" s="85">
        <v>1180.5500489999999</v>
      </c>
      <c r="D269" s="87">
        <f t="shared" si="8"/>
        <v>-2.2928764322112105E-3</v>
      </c>
      <c r="E269" s="86">
        <v>1.1666666666666668E-4</v>
      </c>
      <c r="F269" s="88">
        <f t="shared" si="9"/>
        <v>-2.4095430988778773E-3</v>
      </c>
    </row>
    <row r="270" spans="2:6" ht="15.5" x14ac:dyDescent="0.35">
      <c r="B270" s="84">
        <v>40513</v>
      </c>
      <c r="C270" s="85">
        <v>1257.6400149999999</v>
      </c>
      <c r="D270" s="87">
        <f t="shared" si="8"/>
        <v>6.3256487642950596E-2</v>
      </c>
      <c r="E270" s="86">
        <v>1.1666666666666668E-4</v>
      </c>
      <c r="F270" s="88">
        <f t="shared" si="9"/>
        <v>6.3139820976283928E-2</v>
      </c>
    </row>
    <row r="271" spans="2:6" ht="15.5" x14ac:dyDescent="0.35">
      <c r="B271" s="84">
        <v>40544</v>
      </c>
      <c r="C271" s="85">
        <v>1286.119995</v>
      </c>
      <c r="D271" s="87">
        <f t="shared" si="8"/>
        <v>2.2392969441753622E-2</v>
      </c>
      <c r="E271" s="86">
        <v>1.25E-4</v>
      </c>
      <c r="F271" s="88">
        <f t="shared" si="9"/>
        <v>2.2267969441753622E-2</v>
      </c>
    </row>
    <row r="272" spans="2:6" ht="15.5" x14ac:dyDescent="0.35">
      <c r="B272" s="84">
        <v>40575</v>
      </c>
      <c r="C272" s="85">
        <v>1327.219971</v>
      </c>
      <c r="D272" s="87">
        <f t="shared" si="8"/>
        <v>3.1456577077623601E-2</v>
      </c>
      <c r="E272" s="86">
        <v>1.0833333333333333E-4</v>
      </c>
      <c r="F272" s="88">
        <f t="shared" si="9"/>
        <v>3.1348243744290266E-2</v>
      </c>
    </row>
    <row r="273" spans="2:6" ht="15.5" x14ac:dyDescent="0.35">
      <c r="B273" s="84">
        <v>40603</v>
      </c>
      <c r="C273" s="85">
        <v>1325.829956</v>
      </c>
      <c r="D273" s="87">
        <f t="shared" si="8"/>
        <v>-1.0478620195134246E-3</v>
      </c>
      <c r="E273" s="86">
        <v>8.3333333333333331E-5</v>
      </c>
      <c r="F273" s="88">
        <f t="shared" si="9"/>
        <v>-1.1311953528467579E-3</v>
      </c>
    </row>
    <row r="274" spans="2:6" ht="15.5" x14ac:dyDescent="0.35">
      <c r="B274" s="84">
        <v>40634</v>
      </c>
      <c r="C274" s="85">
        <v>1363.6099850000001</v>
      </c>
      <c r="D274" s="87">
        <f t="shared" si="8"/>
        <v>2.8096938553675548E-2</v>
      </c>
      <c r="E274" s="86">
        <v>4.9999999999999996E-5</v>
      </c>
      <c r="F274" s="88">
        <f t="shared" si="9"/>
        <v>2.8046938553675547E-2</v>
      </c>
    </row>
    <row r="275" spans="2:6" ht="15.5" x14ac:dyDescent="0.35">
      <c r="B275" s="84">
        <v>40664</v>
      </c>
      <c r="C275" s="85">
        <v>1345.1999510000001</v>
      </c>
      <c r="D275" s="87">
        <f t="shared" si="8"/>
        <v>-1.3592919325235627E-2</v>
      </c>
      <c r="E275" s="86">
        <v>3.3333333333333335E-5</v>
      </c>
      <c r="F275" s="88">
        <f t="shared" si="9"/>
        <v>-1.362625265856896E-2</v>
      </c>
    </row>
    <row r="276" spans="2:6" ht="15.5" x14ac:dyDescent="0.35">
      <c r="B276" s="84">
        <v>40695</v>
      </c>
      <c r="C276" s="85">
        <v>1320.6400149999999</v>
      </c>
      <c r="D276" s="87">
        <f t="shared" si="8"/>
        <v>-1.8426185517957314E-2</v>
      </c>
      <c r="E276" s="86">
        <v>3.3333333333333335E-5</v>
      </c>
      <c r="F276" s="88">
        <f t="shared" si="9"/>
        <v>-1.8459518851290647E-2</v>
      </c>
    </row>
    <row r="277" spans="2:6" ht="15.5" x14ac:dyDescent="0.35">
      <c r="B277" s="84">
        <v>40725</v>
      </c>
      <c r="C277" s="85">
        <v>1292.280029</v>
      </c>
      <c r="D277" s="87">
        <f t="shared" si="8"/>
        <v>-2.1708356352599566E-2</v>
      </c>
      <c r="E277" s="86">
        <v>3.3333333333333335E-5</v>
      </c>
      <c r="F277" s="88">
        <f t="shared" si="9"/>
        <v>-2.1741689685932899E-2</v>
      </c>
    </row>
    <row r="278" spans="2:6" ht="15.5" x14ac:dyDescent="0.35">
      <c r="B278" s="84">
        <v>40756</v>
      </c>
      <c r="C278" s="85">
        <v>1218.8900149999999</v>
      </c>
      <c r="D278" s="87">
        <f t="shared" si="8"/>
        <v>-5.8467501753798806E-2</v>
      </c>
      <c r="E278" s="86">
        <v>1.6666666666666667E-5</v>
      </c>
      <c r="F278" s="88">
        <f t="shared" si="9"/>
        <v>-5.8484168420465471E-2</v>
      </c>
    </row>
    <row r="279" spans="2:6" ht="15.5" x14ac:dyDescent="0.35">
      <c r="B279" s="84">
        <v>40787</v>
      </c>
      <c r="C279" s="85">
        <v>1131.420044</v>
      </c>
      <c r="D279" s="87">
        <f t="shared" si="8"/>
        <v>-7.4467100959878879E-2</v>
      </c>
      <c r="E279" s="86">
        <v>8.3333333333333337E-6</v>
      </c>
      <c r="F279" s="88">
        <f t="shared" si="9"/>
        <v>-7.4475434293212212E-2</v>
      </c>
    </row>
    <row r="280" spans="2:6" ht="15.5" x14ac:dyDescent="0.35">
      <c r="B280" s="84">
        <v>40817</v>
      </c>
      <c r="C280" s="85">
        <v>1253.3000489999999</v>
      </c>
      <c r="D280" s="87">
        <f t="shared" si="8"/>
        <v>0.10230659185819124</v>
      </c>
      <c r="E280" s="86">
        <v>1.6666666666666667E-5</v>
      </c>
      <c r="F280" s="88">
        <f t="shared" si="9"/>
        <v>0.10228992519152458</v>
      </c>
    </row>
    <row r="281" spans="2:6" ht="15.5" x14ac:dyDescent="0.35">
      <c r="B281" s="84">
        <v>40848</v>
      </c>
      <c r="C281" s="85">
        <v>1246.959961</v>
      </c>
      <c r="D281" s="87">
        <f t="shared" si="8"/>
        <v>-5.0715538095285817E-3</v>
      </c>
      <c r="E281" s="86">
        <v>8.3333333333333337E-6</v>
      </c>
      <c r="F281" s="88">
        <f t="shared" si="9"/>
        <v>-5.079887142861915E-3</v>
      </c>
    </row>
    <row r="282" spans="2:6" ht="15.5" x14ac:dyDescent="0.35">
      <c r="B282" s="84">
        <v>40878</v>
      </c>
      <c r="C282" s="85">
        <v>1257.599976</v>
      </c>
      <c r="D282" s="87">
        <f t="shared" si="8"/>
        <v>8.4965656862407268E-3</v>
      </c>
      <c r="E282" s="86">
        <v>8.3333333333333337E-6</v>
      </c>
      <c r="F282" s="88">
        <f t="shared" si="9"/>
        <v>8.4882323529073926E-3</v>
      </c>
    </row>
    <row r="283" spans="2:6" ht="15.5" x14ac:dyDescent="0.35">
      <c r="B283" s="84">
        <v>40909</v>
      </c>
      <c r="C283" s="85">
        <v>1312.410034</v>
      </c>
      <c r="D283" s="87">
        <f t="shared" si="8"/>
        <v>4.266004400164506E-2</v>
      </c>
      <c r="E283" s="86">
        <v>2.4999999999999998E-5</v>
      </c>
      <c r="F283" s="88">
        <f t="shared" si="9"/>
        <v>4.2635044001645063E-2</v>
      </c>
    </row>
    <row r="284" spans="2:6" ht="15.5" x14ac:dyDescent="0.35">
      <c r="B284" s="84">
        <v>40940</v>
      </c>
      <c r="C284" s="85">
        <v>1365.6800539999999</v>
      </c>
      <c r="D284" s="87">
        <f t="shared" si="8"/>
        <v>3.9787345020620563E-2</v>
      </c>
      <c r="E284" s="86">
        <v>7.4999999999999993E-5</v>
      </c>
      <c r="F284" s="88">
        <f t="shared" si="9"/>
        <v>3.9712345020620564E-2</v>
      </c>
    </row>
    <row r="285" spans="2:6" ht="15.5" x14ac:dyDescent="0.35">
      <c r="B285" s="84">
        <v>40969</v>
      </c>
      <c r="C285" s="85">
        <v>1408.469971</v>
      </c>
      <c r="D285" s="87">
        <f t="shared" si="8"/>
        <v>3.0851475632112556E-2</v>
      </c>
      <c r="E285" s="86">
        <v>6.666666666666667E-5</v>
      </c>
      <c r="F285" s="88">
        <f t="shared" si="9"/>
        <v>3.078480896544589E-2</v>
      </c>
    </row>
    <row r="286" spans="2:6" ht="15.5" x14ac:dyDescent="0.35">
      <c r="B286" s="84">
        <v>41000</v>
      </c>
      <c r="C286" s="85">
        <v>1397.910034</v>
      </c>
      <c r="D286" s="87">
        <f t="shared" si="8"/>
        <v>-7.5256998843071772E-3</v>
      </c>
      <c r="E286" s="86">
        <v>6.666666666666667E-5</v>
      </c>
      <c r="F286" s="88">
        <f t="shared" si="9"/>
        <v>-7.5923665509738435E-3</v>
      </c>
    </row>
    <row r="287" spans="2:6" ht="15.5" x14ac:dyDescent="0.35">
      <c r="B287" s="84">
        <v>41030</v>
      </c>
      <c r="C287" s="85">
        <v>1310.329956</v>
      </c>
      <c r="D287" s="87">
        <f t="shared" si="8"/>
        <v>-6.4699308071820338E-2</v>
      </c>
      <c r="E287" s="86">
        <v>7.4999999999999993E-5</v>
      </c>
      <c r="F287" s="88">
        <f t="shared" si="9"/>
        <v>-6.4774308071820344E-2</v>
      </c>
    </row>
    <row r="288" spans="2:6" ht="15.5" x14ac:dyDescent="0.35">
      <c r="B288" s="84">
        <v>41061</v>
      </c>
      <c r="C288" s="85">
        <v>1362.160034</v>
      </c>
      <c r="D288" s="87">
        <f t="shared" si="8"/>
        <v>3.8792719783522139E-2</v>
      </c>
      <c r="E288" s="86">
        <v>7.4999999999999993E-5</v>
      </c>
      <c r="F288" s="88">
        <f t="shared" si="9"/>
        <v>3.8717719783522141E-2</v>
      </c>
    </row>
    <row r="289" spans="2:6" ht="15.5" x14ac:dyDescent="0.35">
      <c r="B289" s="84">
        <v>41091</v>
      </c>
      <c r="C289" s="85">
        <v>1379.3199460000001</v>
      </c>
      <c r="D289" s="87">
        <f t="shared" si="8"/>
        <v>1.2518884862627446E-2</v>
      </c>
      <c r="E289" s="86">
        <v>8.3333333333333331E-5</v>
      </c>
      <c r="F289" s="88">
        <f t="shared" si="9"/>
        <v>1.2435551529294113E-2</v>
      </c>
    </row>
    <row r="290" spans="2:6" ht="15.5" x14ac:dyDescent="0.35">
      <c r="B290" s="84">
        <v>41122</v>
      </c>
      <c r="C290" s="85">
        <v>1406.579956</v>
      </c>
      <c r="D290" s="87">
        <f t="shared" si="8"/>
        <v>1.9570609872560242E-2</v>
      </c>
      <c r="E290" s="86">
        <v>8.3333333333333331E-5</v>
      </c>
      <c r="F290" s="88">
        <f t="shared" si="9"/>
        <v>1.9487276539226907E-2</v>
      </c>
    </row>
    <row r="291" spans="2:6" ht="15.5" x14ac:dyDescent="0.35">
      <c r="B291" s="84">
        <v>41153</v>
      </c>
      <c r="C291" s="85">
        <v>1440.670044</v>
      </c>
      <c r="D291" s="87">
        <f t="shared" si="8"/>
        <v>2.3947118873094017E-2</v>
      </c>
      <c r="E291" s="86">
        <v>9.1666666666666668E-5</v>
      </c>
      <c r="F291" s="88">
        <f t="shared" si="9"/>
        <v>2.385545220642735E-2</v>
      </c>
    </row>
    <row r="292" spans="2:6" ht="15.5" x14ac:dyDescent="0.35">
      <c r="B292" s="84">
        <v>41183</v>
      </c>
      <c r="C292" s="85">
        <v>1412.160034</v>
      </c>
      <c r="D292" s="87">
        <f t="shared" si="8"/>
        <v>-1.9987842523252936E-2</v>
      </c>
      <c r="E292" s="86">
        <v>8.3333333333333331E-5</v>
      </c>
      <c r="F292" s="88">
        <f t="shared" si="9"/>
        <v>-2.0071175856586271E-2</v>
      </c>
    </row>
    <row r="293" spans="2:6" ht="15.5" x14ac:dyDescent="0.35">
      <c r="B293" s="84">
        <v>41214</v>
      </c>
      <c r="C293" s="85">
        <v>1416.1800539999999</v>
      </c>
      <c r="D293" s="87">
        <f t="shared" si="8"/>
        <v>2.8426727918140823E-3</v>
      </c>
      <c r="E293" s="86">
        <v>7.4999999999999993E-5</v>
      </c>
      <c r="F293" s="88">
        <f t="shared" si="9"/>
        <v>2.7676727918140823E-3</v>
      </c>
    </row>
    <row r="294" spans="2:6" ht="15.5" x14ac:dyDescent="0.35">
      <c r="B294" s="84">
        <v>41244</v>
      </c>
      <c r="C294" s="85">
        <v>1426.1899410000001</v>
      </c>
      <c r="D294" s="87">
        <f t="shared" si="8"/>
        <v>7.0433676117494142E-3</v>
      </c>
      <c r="E294" s="86">
        <v>5.833333333333334E-5</v>
      </c>
      <c r="F294" s="88">
        <f t="shared" si="9"/>
        <v>6.9850342784160812E-3</v>
      </c>
    </row>
    <row r="295" spans="2:6" ht="15.5" x14ac:dyDescent="0.35">
      <c r="B295" s="84">
        <v>41275</v>
      </c>
      <c r="C295" s="85">
        <v>1498.1099850000001</v>
      </c>
      <c r="D295" s="87">
        <f t="shared" si="8"/>
        <v>4.9197792048925292E-2</v>
      </c>
      <c r="E295" s="86">
        <v>5.833333333333334E-5</v>
      </c>
      <c r="F295" s="88">
        <f t="shared" si="9"/>
        <v>4.9139458715591958E-2</v>
      </c>
    </row>
    <row r="296" spans="2:6" ht="15.5" x14ac:dyDescent="0.35">
      <c r="B296" s="84">
        <v>41306</v>
      </c>
      <c r="C296" s="85">
        <v>1514.6800539999999</v>
      </c>
      <c r="D296" s="87">
        <f t="shared" si="8"/>
        <v>1.0999927551865671E-2</v>
      </c>
      <c r="E296" s="86">
        <v>8.3333333333333331E-5</v>
      </c>
      <c r="F296" s="88">
        <f t="shared" si="9"/>
        <v>1.0916594218532338E-2</v>
      </c>
    </row>
    <row r="297" spans="2:6" ht="15.5" x14ac:dyDescent="0.35">
      <c r="B297" s="84">
        <v>41334</v>
      </c>
      <c r="C297" s="85">
        <v>1569.1899410000001</v>
      </c>
      <c r="D297" s="87">
        <f t="shared" si="8"/>
        <v>3.5355293879972854E-2</v>
      </c>
      <c r="E297" s="86">
        <v>7.4999999999999993E-5</v>
      </c>
      <c r="F297" s="88">
        <f t="shared" si="9"/>
        <v>3.5280293879972856E-2</v>
      </c>
    </row>
    <row r="298" spans="2:6" ht="15.5" x14ac:dyDescent="0.35">
      <c r="B298" s="84">
        <v>41365</v>
      </c>
      <c r="C298" s="85">
        <v>1597.5699460000001</v>
      </c>
      <c r="D298" s="87">
        <f t="shared" si="8"/>
        <v>1.792416591460497E-2</v>
      </c>
      <c r="E298" s="86">
        <v>4.9999999999999996E-5</v>
      </c>
      <c r="F298" s="88">
        <f t="shared" si="9"/>
        <v>1.7874165914604969E-2</v>
      </c>
    </row>
    <row r="299" spans="2:6" ht="15.5" x14ac:dyDescent="0.35">
      <c r="B299" s="84">
        <v>41395</v>
      </c>
      <c r="C299" s="85">
        <v>1630.73999</v>
      </c>
      <c r="D299" s="87">
        <f t="shared" si="8"/>
        <v>2.0550202420727141E-2</v>
      </c>
      <c r="E299" s="86">
        <v>3.3333333333333335E-5</v>
      </c>
      <c r="F299" s="88">
        <f t="shared" si="9"/>
        <v>2.0516869087393808E-2</v>
      </c>
    </row>
    <row r="300" spans="2:6" ht="15.5" x14ac:dyDescent="0.35">
      <c r="B300" s="84">
        <v>41426</v>
      </c>
      <c r="C300" s="85">
        <v>1606.280029</v>
      </c>
      <c r="D300" s="87">
        <f t="shared" si="8"/>
        <v>-1.5112928811378473E-2</v>
      </c>
      <c r="E300" s="86">
        <v>4.1666666666666665E-5</v>
      </c>
      <c r="F300" s="88">
        <f t="shared" si="9"/>
        <v>-1.515459547804514E-2</v>
      </c>
    </row>
    <row r="301" spans="2:6" ht="15.5" x14ac:dyDescent="0.35">
      <c r="B301" s="84">
        <v>41456</v>
      </c>
      <c r="C301" s="85">
        <v>1685.7299800000001</v>
      </c>
      <c r="D301" s="87">
        <f t="shared" si="8"/>
        <v>4.82777279585399E-2</v>
      </c>
      <c r="E301" s="86">
        <v>3.3333333333333335E-5</v>
      </c>
      <c r="F301" s="88">
        <f t="shared" si="9"/>
        <v>4.8244394625206563E-2</v>
      </c>
    </row>
    <row r="302" spans="2:6" ht="15.5" x14ac:dyDescent="0.35">
      <c r="B302" s="84">
        <v>41487</v>
      </c>
      <c r="C302" s="85">
        <v>1632.969971</v>
      </c>
      <c r="D302" s="87">
        <f t="shared" si="8"/>
        <v>-3.1798267578075287E-2</v>
      </c>
      <c r="E302" s="86">
        <v>3.3333333333333335E-5</v>
      </c>
      <c r="F302" s="88">
        <f t="shared" si="9"/>
        <v>-3.1831600911408624E-2</v>
      </c>
    </row>
    <row r="303" spans="2:6" ht="15.5" x14ac:dyDescent="0.35">
      <c r="B303" s="84">
        <v>41518</v>
      </c>
      <c r="C303" s="85">
        <v>1681.5500489999999</v>
      </c>
      <c r="D303" s="87">
        <f t="shared" si="8"/>
        <v>2.931559128683648E-2</v>
      </c>
      <c r="E303" s="86">
        <v>1.6666666666666667E-5</v>
      </c>
      <c r="F303" s="88">
        <f t="shared" si="9"/>
        <v>2.9298924620169812E-2</v>
      </c>
    </row>
    <row r="304" spans="2:6" ht="15.5" x14ac:dyDescent="0.35">
      <c r="B304" s="84">
        <v>41548</v>
      </c>
      <c r="C304" s="85">
        <v>1756.540039</v>
      </c>
      <c r="D304" s="87">
        <f t="shared" si="8"/>
        <v>4.3629970975040296E-2</v>
      </c>
      <c r="E304" s="86">
        <v>4.1666666666666665E-5</v>
      </c>
      <c r="F304" s="88">
        <f t="shared" si="9"/>
        <v>4.3588304308373627E-2</v>
      </c>
    </row>
    <row r="305" spans="2:6" ht="15.5" x14ac:dyDescent="0.35">
      <c r="B305" s="84">
        <v>41579</v>
      </c>
      <c r="C305" s="85">
        <v>1805.8100589999999</v>
      </c>
      <c r="D305" s="87">
        <f t="shared" si="8"/>
        <v>2.7663290033784871E-2</v>
      </c>
      <c r="E305" s="86">
        <v>5.833333333333334E-5</v>
      </c>
      <c r="F305" s="88">
        <f t="shared" si="9"/>
        <v>2.7604956700451537E-2</v>
      </c>
    </row>
    <row r="306" spans="2:6" ht="15.5" x14ac:dyDescent="0.35">
      <c r="B306" s="84">
        <v>41609</v>
      </c>
      <c r="C306" s="85">
        <v>1848.3599850000001</v>
      </c>
      <c r="D306" s="87">
        <f t="shared" si="8"/>
        <v>2.3289474066882893E-2</v>
      </c>
      <c r="E306" s="86">
        <v>5.833333333333334E-5</v>
      </c>
      <c r="F306" s="88">
        <f t="shared" si="9"/>
        <v>2.3231140733549559E-2</v>
      </c>
    </row>
    <row r="307" spans="2:6" ht="15.5" x14ac:dyDescent="0.35">
      <c r="B307" s="84">
        <v>41640</v>
      </c>
      <c r="C307" s="85">
        <v>1782.589966</v>
      </c>
      <c r="D307" s="87">
        <f t="shared" si="8"/>
        <v>-3.623140748501559E-2</v>
      </c>
      <c r="E307" s="86">
        <v>3.3333333333333335E-5</v>
      </c>
      <c r="F307" s="88">
        <f t="shared" si="9"/>
        <v>-3.6264740818348927E-2</v>
      </c>
    </row>
    <row r="308" spans="2:6" ht="15.5" x14ac:dyDescent="0.35">
      <c r="B308" s="84">
        <v>41671</v>
      </c>
      <c r="C308" s="85">
        <v>1859.4499510000001</v>
      </c>
      <c r="D308" s="87">
        <f t="shared" si="8"/>
        <v>4.2213374879040998E-2</v>
      </c>
      <c r="E308" s="86">
        <v>4.1666666666666665E-5</v>
      </c>
      <c r="F308" s="88">
        <f t="shared" si="9"/>
        <v>4.2171708212374329E-2</v>
      </c>
    </row>
    <row r="309" spans="2:6" ht="15.5" x14ac:dyDescent="0.35">
      <c r="B309" s="84">
        <v>41699</v>
      </c>
      <c r="C309" s="85">
        <v>1872.339966</v>
      </c>
      <c r="D309" s="87">
        <f t="shared" si="8"/>
        <v>6.9082486153468677E-3</v>
      </c>
      <c r="E309" s="86">
        <v>4.1666666666666665E-5</v>
      </c>
      <c r="F309" s="88">
        <f t="shared" si="9"/>
        <v>6.8665819486802013E-3</v>
      </c>
    </row>
    <row r="310" spans="2:6" ht="15.5" x14ac:dyDescent="0.35">
      <c r="B310" s="84">
        <v>41730</v>
      </c>
      <c r="C310" s="85">
        <v>1883.9499510000001</v>
      </c>
      <c r="D310" s="87">
        <f t="shared" si="8"/>
        <v>6.18164317838415E-3</v>
      </c>
      <c r="E310" s="86">
        <v>2.4999999999999998E-5</v>
      </c>
      <c r="F310" s="88">
        <f t="shared" si="9"/>
        <v>6.1566431783841502E-3</v>
      </c>
    </row>
    <row r="311" spans="2:6" ht="15.5" x14ac:dyDescent="0.35">
      <c r="B311" s="84">
        <v>41760</v>
      </c>
      <c r="C311" s="85">
        <v>1923.5699460000001</v>
      </c>
      <c r="D311" s="87">
        <f t="shared" si="8"/>
        <v>2.0812195954315483E-2</v>
      </c>
      <c r="E311" s="86">
        <v>2.4999999999999998E-5</v>
      </c>
      <c r="F311" s="88">
        <f t="shared" si="9"/>
        <v>2.0787195954315482E-2</v>
      </c>
    </row>
    <row r="312" spans="2:6" ht="15.5" x14ac:dyDescent="0.35">
      <c r="B312" s="84">
        <v>41791</v>
      </c>
      <c r="C312" s="85">
        <v>1960.2299800000001</v>
      </c>
      <c r="D312" s="87">
        <f t="shared" si="8"/>
        <v>1.8878996624704429E-2</v>
      </c>
      <c r="E312" s="86">
        <v>3.3333333333333335E-5</v>
      </c>
      <c r="F312" s="88">
        <f t="shared" si="9"/>
        <v>1.8845663291371096E-2</v>
      </c>
    </row>
    <row r="313" spans="2:6" ht="15.5" x14ac:dyDescent="0.35">
      <c r="B313" s="84">
        <v>41821</v>
      </c>
      <c r="C313" s="85">
        <v>1930.670044</v>
      </c>
      <c r="D313" s="87">
        <f t="shared" si="8"/>
        <v>-1.5194687370535838E-2</v>
      </c>
      <c r="E313" s="86">
        <v>2.4999999999999998E-5</v>
      </c>
      <c r="F313" s="88">
        <f t="shared" si="9"/>
        <v>-1.5219687370535839E-2</v>
      </c>
    </row>
    <row r="314" spans="2:6" ht="15.5" x14ac:dyDescent="0.35">
      <c r="B314" s="84">
        <v>41852</v>
      </c>
      <c r="C314" s="85">
        <v>2003.369995</v>
      </c>
      <c r="D314" s="87">
        <f t="shared" si="8"/>
        <v>3.6963644321168353E-2</v>
      </c>
      <c r="E314" s="86">
        <v>2.4999999999999998E-5</v>
      </c>
      <c r="F314" s="88">
        <f t="shared" si="9"/>
        <v>3.6938644321168355E-2</v>
      </c>
    </row>
    <row r="315" spans="2:6" ht="15.5" x14ac:dyDescent="0.35">
      <c r="B315" s="84">
        <v>41883</v>
      </c>
      <c r="C315" s="85">
        <v>1972.290039</v>
      </c>
      <c r="D315" s="87">
        <f t="shared" si="8"/>
        <v>-1.5635436078483781E-2</v>
      </c>
      <c r="E315" s="86">
        <v>1.6666666666666667E-5</v>
      </c>
      <c r="F315" s="88">
        <f t="shared" si="9"/>
        <v>-1.5652102745150449E-2</v>
      </c>
    </row>
    <row r="316" spans="2:6" ht="15.5" x14ac:dyDescent="0.35">
      <c r="B316" s="84">
        <v>41913</v>
      </c>
      <c r="C316" s="85">
        <v>2018.0500489999999</v>
      </c>
      <c r="D316" s="87">
        <f t="shared" si="8"/>
        <v>2.2936398946422354E-2</v>
      </c>
      <c r="E316" s="86">
        <v>1.6666666666666667E-5</v>
      </c>
      <c r="F316" s="88">
        <f t="shared" si="9"/>
        <v>2.2919732279755686E-2</v>
      </c>
    </row>
    <row r="317" spans="2:6" ht="15.5" x14ac:dyDescent="0.35">
      <c r="B317" s="84">
        <v>41944</v>
      </c>
      <c r="C317" s="85">
        <v>2067.5600589999999</v>
      </c>
      <c r="D317" s="87">
        <f t="shared" si="8"/>
        <v>2.4237473674625542E-2</v>
      </c>
      <c r="E317" s="86">
        <v>1.6666666666666667E-5</v>
      </c>
      <c r="F317" s="88">
        <f t="shared" si="9"/>
        <v>2.4220807007958874E-2</v>
      </c>
    </row>
    <row r="318" spans="2:6" ht="15.5" x14ac:dyDescent="0.35">
      <c r="B318" s="84">
        <v>41974</v>
      </c>
      <c r="C318" s="85">
        <v>2058.8999020000001</v>
      </c>
      <c r="D318" s="87">
        <f t="shared" si="8"/>
        <v>-4.1973845845717124E-3</v>
      </c>
      <c r="E318" s="86">
        <v>2.4999999999999998E-5</v>
      </c>
      <c r="F318" s="88">
        <f t="shared" si="9"/>
        <v>-4.2223845845717123E-3</v>
      </c>
    </row>
    <row r="319" spans="2:6" ht="15.5" x14ac:dyDescent="0.35">
      <c r="B319" s="84">
        <v>42005</v>
      </c>
      <c r="C319" s="85">
        <v>1994.98999</v>
      </c>
      <c r="D319" s="87">
        <f t="shared" si="8"/>
        <v>-3.1532779216949261E-2</v>
      </c>
      <c r="E319" s="86">
        <v>2.4999999999999998E-5</v>
      </c>
      <c r="F319" s="88">
        <f t="shared" si="9"/>
        <v>-3.1557779216949258E-2</v>
      </c>
    </row>
    <row r="320" spans="2:6" ht="15.5" x14ac:dyDescent="0.35">
      <c r="B320" s="84">
        <v>42036</v>
      </c>
      <c r="C320" s="85">
        <v>2104.5</v>
      </c>
      <c r="D320" s="87">
        <f t="shared" si="8"/>
        <v>5.343887644310899E-2</v>
      </c>
      <c r="E320" s="86">
        <v>1.6666666666666667E-5</v>
      </c>
      <c r="F320" s="88">
        <f t="shared" si="9"/>
        <v>5.3422209776442325E-2</v>
      </c>
    </row>
    <row r="321" spans="2:6" ht="15.5" x14ac:dyDescent="0.35">
      <c r="B321" s="84">
        <v>42064</v>
      </c>
      <c r="C321" s="85">
        <v>2067.889893</v>
      </c>
      <c r="D321" s="87">
        <f t="shared" si="8"/>
        <v>-1.7549197229950769E-2</v>
      </c>
      <c r="E321" s="86">
        <v>2.4999999999999998E-5</v>
      </c>
      <c r="F321" s="88">
        <f t="shared" si="9"/>
        <v>-1.757419722995077E-2</v>
      </c>
    </row>
    <row r="322" spans="2:6" ht="15.5" x14ac:dyDescent="0.35">
      <c r="B322" s="84">
        <v>42095</v>
      </c>
      <c r="C322" s="85">
        <v>2085.51001</v>
      </c>
      <c r="D322" s="87">
        <f t="shared" si="8"/>
        <v>8.4847224530057719E-3</v>
      </c>
      <c r="E322" s="86">
        <v>1.6666666666666667E-5</v>
      </c>
      <c r="F322" s="88">
        <f t="shared" si="9"/>
        <v>8.4680557863391053E-3</v>
      </c>
    </row>
    <row r="323" spans="2:6" ht="15.5" x14ac:dyDescent="0.35">
      <c r="B323" s="84">
        <v>42125</v>
      </c>
      <c r="C323" s="85">
        <v>2107.389893</v>
      </c>
      <c r="D323" s="87">
        <f t="shared" si="8"/>
        <v>1.0436729763142673E-2</v>
      </c>
      <c r="E323" s="86">
        <v>1.6666666666666667E-5</v>
      </c>
      <c r="F323" s="88">
        <f t="shared" si="9"/>
        <v>1.0420063096476006E-2</v>
      </c>
    </row>
    <row r="324" spans="2:6" ht="15.5" x14ac:dyDescent="0.35">
      <c r="B324" s="84">
        <v>42156</v>
      </c>
      <c r="C324" s="85">
        <v>2063.110107</v>
      </c>
      <c r="D324" s="87">
        <f t="shared" si="8"/>
        <v>-2.1235559276432083E-2</v>
      </c>
      <c r="E324" s="86">
        <v>1.6666666666666667E-5</v>
      </c>
      <c r="F324" s="88">
        <f t="shared" si="9"/>
        <v>-2.1252225943098751E-2</v>
      </c>
    </row>
    <row r="325" spans="2:6" ht="15.5" x14ac:dyDescent="0.35">
      <c r="B325" s="84">
        <v>42186</v>
      </c>
      <c r="C325" s="85">
        <v>2103.8400879999999</v>
      </c>
      <c r="D325" s="87">
        <f t="shared" si="8"/>
        <v>1.954968324649287E-2</v>
      </c>
      <c r="E325" s="86">
        <v>2.4999999999999998E-5</v>
      </c>
      <c r="F325" s="88">
        <f t="shared" si="9"/>
        <v>1.9524683246492869E-2</v>
      </c>
    </row>
    <row r="326" spans="2:6" ht="15.5" x14ac:dyDescent="0.35">
      <c r="B326" s="84">
        <v>42217</v>
      </c>
      <c r="C326" s="85">
        <v>1972.1800539999999</v>
      </c>
      <c r="D326" s="87">
        <f t="shared" si="8"/>
        <v>-6.4624730898542204E-2</v>
      </c>
      <c r="E326" s="86">
        <v>5.833333333333334E-5</v>
      </c>
      <c r="F326" s="88">
        <f t="shared" si="9"/>
        <v>-6.4683064231875531E-2</v>
      </c>
    </row>
    <row r="327" spans="2:6" ht="15.5" x14ac:dyDescent="0.35">
      <c r="B327" s="84">
        <v>42248</v>
      </c>
      <c r="C327" s="85">
        <v>1920.030029</v>
      </c>
      <c r="D327" s="87">
        <f t="shared" si="8"/>
        <v>-2.6798731264652844E-2</v>
      </c>
      <c r="E327" s="86">
        <v>1.6666666666666667E-5</v>
      </c>
      <c r="F327" s="88">
        <f t="shared" si="9"/>
        <v>-2.6815397931319512E-2</v>
      </c>
    </row>
    <row r="328" spans="2:6" ht="15.5" x14ac:dyDescent="0.35">
      <c r="B328" s="84">
        <v>42278</v>
      </c>
      <c r="C328" s="85">
        <v>2079.360107</v>
      </c>
      <c r="D328" s="87">
        <f t="shared" si="8"/>
        <v>7.9719379495131665E-2</v>
      </c>
      <c r="E328" s="86">
        <v>1.6666666666666667E-5</v>
      </c>
      <c r="F328" s="88">
        <f t="shared" si="9"/>
        <v>7.9702712828465E-2</v>
      </c>
    </row>
    <row r="329" spans="2:6" ht="15.5" x14ac:dyDescent="0.35">
      <c r="B329" s="84">
        <v>42309</v>
      </c>
      <c r="C329" s="85">
        <v>2080.4099120000001</v>
      </c>
      <c r="D329" s="87">
        <f t="shared" si="8"/>
        <v>5.0474185711855491E-4</v>
      </c>
      <c r="E329" s="86">
        <v>9.9999999999999991E-5</v>
      </c>
      <c r="F329" s="88">
        <f t="shared" si="9"/>
        <v>4.0474185711855492E-4</v>
      </c>
    </row>
    <row r="330" spans="2:6" ht="15.5" x14ac:dyDescent="0.35">
      <c r="B330" s="84">
        <v>42339</v>
      </c>
      <c r="C330" s="85">
        <v>2043.9399410000001</v>
      </c>
      <c r="D330" s="87">
        <f t="shared" si="8"/>
        <v>-1.7685658536441762E-2</v>
      </c>
      <c r="E330" s="86">
        <v>1.9166666666666667E-4</v>
      </c>
      <c r="F330" s="88">
        <f t="shared" si="9"/>
        <v>-1.7877325203108429E-2</v>
      </c>
    </row>
    <row r="331" spans="2:6" ht="15.5" x14ac:dyDescent="0.35">
      <c r="B331" s="84">
        <v>42370</v>
      </c>
      <c r="C331" s="85">
        <v>1940.23999</v>
      </c>
      <c r="D331" s="87">
        <f t="shared" ref="D331:D369" si="10">LN(C331/C330)</f>
        <v>-5.2067617227535473E-2</v>
      </c>
      <c r="E331" s="86">
        <v>2.1666666666666666E-4</v>
      </c>
      <c r="F331" s="88">
        <f t="shared" ref="F331:F369" si="11">D331-E331</f>
        <v>-5.2284283894202137E-2</v>
      </c>
    </row>
    <row r="332" spans="2:6" ht="15.5" x14ac:dyDescent="0.35">
      <c r="B332" s="84">
        <v>42401</v>
      </c>
      <c r="C332" s="85">
        <v>1932.2299800000001</v>
      </c>
      <c r="D332" s="87">
        <f t="shared" si="10"/>
        <v>-4.1369056367907874E-3</v>
      </c>
      <c r="E332" s="86">
        <v>2.5833333333333334E-4</v>
      </c>
      <c r="F332" s="88">
        <f t="shared" si="11"/>
        <v>-4.3952389701241209E-3</v>
      </c>
    </row>
    <row r="333" spans="2:6" ht="15.5" x14ac:dyDescent="0.35">
      <c r="B333" s="84">
        <v>42430</v>
      </c>
      <c r="C333" s="85">
        <v>2059.73999</v>
      </c>
      <c r="D333" s="87">
        <f t="shared" si="10"/>
        <v>6.3904990415635493E-2</v>
      </c>
      <c r="E333" s="86">
        <v>2.4166666666666664E-4</v>
      </c>
      <c r="F333" s="88">
        <f t="shared" si="11"/>
        <v>6.3663323748968825E-2</v>
      </c>
    </row>
    <row r="334" spans="2:6" ht="15.5" x14ac:dyDescent="0.35">
      <c r="B334" s="84">
        <v>42461</v>
      </c>
      <c r="C334" s="85">
        <v>2065.3000489999999</v>
      </c>
      <c r="D334" s="87">
        <f t="shared" si="10"/>
        <v>2.6957616481642385E-3</v>
      </c>
      <c r="E334" s="86">
        <v>1.9166666666666667E-4</v>
      </c>
      <c r="F334" s="88">
        <f t="shared" si="11"/>
        <v>2.5040949814975717E-3</v>
      </c>
    </row>
    <row r="335" spans="2:6" ht="15.5" x14ac:dyDescent="0.35">
      <c r="B335" s="84">
        <v>42491</v>
      </c>
      <c r="C335" s="85">
        <v>2096.9499510000001</v>
      </c>
      <c r="D335" s="87">
        <f t="shared" si="10"/>
        <v>1.5208366645339389E-2</v>
      </c>
      <c r="E335" s="86">
        <v>2.2500000000000002E-4</v>
      </c>
      <c r="F335" s="88">
        <f t="shared" si="11"/>
        <v>1.4983366645339389E-2</v>
      </c>
    </row>
    <row r="336" spans="2:6" ht="15.5" x14ac:dyDescent="0.35">
      <c r="B336" s="84">
        <v>42522</v>
      </c>
      <c r="C336" s="85">
        <v>2098.860107</v>
      </c>
      <c r="D336" s="87">
        <f t="shared" si="10"/>
        <v>9.1050648411568206E-4</v>
      </c>
      <c r="E336" s="86">
        <v>2.2500000000000002E-4</v>
      </c>
      <c r="F336" s="88">
        <f t="shared" si="11"/>
        <v>6.8550648411568201E-4</v>
      </c>
    </row>
    <row r="337" spans="2:6" ht="15.5" x14ac:dyDescent="0.35">
      <c r="B337" s="84">
        <v>42552</v>
      </c>
      <c r="C337" s="85">
        <v>2173.6000979999999</v>
      </c>
      <c r="D337" s="87">
        <f t="shared" si="10"/>
        <v>3.4990433050203752E-2</v>
      </c>
      <c r="E337" s="86">
        <v>2.5000000000000001E-4</v>
      </c>
      <c r="F337" s="88">
        <f t="shared" si="11"/>
        <v>3.4740433050203752E-2</v>
      </c>
    </row>
    <row r="338" spans="2:6" ht="15.5" x14ac:dyDescent="0.35">
      <c r="B338" s="84">
        <v>42583</v>
      </c>
      <c r="C338" s="85">
        <v>2170.9499510000001</v>
      </c>
      <c r="D338" s="87">
        <f t="shared" si="10"/>
        <v>-1.2199870176702919E-3</v>
      </c>
      <c r="E338" s="86">
        <v>2.5000000000000001E-4</v>
      </c>
      <c r="F338" s="88">
        <f t="shared" si="11"/>
        <v>-1.469987017670292E-3</v>
      </c>
    </row>
    <row r="339" spans="2:6" ht="15.5" x14ac:dyDescent="0.35">
      <c r="B339" s="84">
        <v>42614</v>
      </c>
      <c r="C339" s="85">
        <v>2168.2700199999999</v>
      </c>
      <c r="D339" s="87">
        <f t="shared" si="10"/>
        <v>-1.2352134063971093E-3</v>
      </c>
      <c r="E339" s="86">
        <v>2.4166666666666664E-4</v>
      </c>
      <c r="F339" s="88">
        <f t="shared" si="11"/>
        <v>-1.476880073063776E-3</v>
      </c>
    </row>
    <row r="340" spans="2:6" ht="15.5" x14ac:dyDescent="0.35">
      <c r="B340" s="84">
        <v>42644</v>
      </c>
      <c r="C340" s="85">
        <v>2126.1499020000001</v>
      </c>
      <c r="D340" s="87">
        <f t="shared" si="10"/>
        <v>-1.9616837421336072E-2</v>
      </c>
      <c r="E340" s="86">
        <v>2.7500000000000002E-4</v>
      </c>
      <c r="F340" s="88">
        <f t="shared" si="11"/>
        <v>-1.9891837421336073E-2</v>
      </c>
    </row>
    <row r="341" spans="2:6" ht="15.5" x14ac:dyDescent="0.35">
      <c r="B341" s="84">
        <v>42675</v>
      </c>
      <c r="C341" s="85">
        <v>2198.8100589999999</v>
      </c>
      <c r="D341" s="87">
        <f t="shared" si="10"/>
        <v>3.3603545390870432E-2</v>
      </c>
      <c r="E341" s="86">
        <v>3.7500000000000006E-4</v>
      </c>
      <c r="F341" s="88">
        <f t="shared" si="11"/>
        <v>3.3228545390870431E-2</v>
      </c>
    </row>
    <row r="342" spans="2:6" ht="15.5" x14ac:dyDescent="0.35">
      <c r="B342" s="84">
        <v>42705</v>
      </c>
      <c r="C342" s="85">
        <v>2238.830078</v>
      </c>
      <c r="D342" s="87">
        <f t="shared" si="10"/>
        <v>1.8037111058687334E-2</v>
      </c>
      <c r="E342" s="86">
        <v>4.2500000000000003E-4</v>
      </c>
      <c r="F342" s="88">
        <f t="shared" si="11"/>
        <v>1.7612111058687333E-2</v>
      </c>
    </row>
    <row r="343" spans="2:6" ht="15.5" x14ac:dyDescent="0.35">
      <c r="B343" s="84">
        <v>42736</v>
      </c>
      <c r="C343" s="85">
        <v>2278.8701169999999</v>
      </c>
      <c r="D343" s="87">
        <f t="shared" si="10"/>
        <v>1.7726314594617782E-2</v>
      </c>
      <c r="E343" s="86">
        <v>4.2500000000000003E-4</v>
      </c>
      <c r="F343" s="88">
        <f t="shared" si="11"/>
        <v>1.7301314594617784E-2</v>
      </c>
    </row>
    <row r="344" spans="2:6" ht="15.5" x14ac:dyDescent="0.35">
      <c r="B344" s="84">
        <v>42767</v>
      </c>
      <c r="C344" s="85">
        <v>2363.639893</v>
      </c>
      <c r="D344" s="87">
        <f t="shared" si="10"/>
        <v>3.6523000999039816E-2</v>
      </c>
      <c r="E344" s="86">
        <v>4.3333333333333331E-4</v>
      </c>
      <c r="F344" s="88">
        <f t="shared" si="11"/>
        <v>3.6089667665706482E-2</v>
      </c>
    </row>
    <row r="345" spans="2:6" ht="15.5" x14ac:dyDescent="0.35">
      <c r="B345" s="84">
        <v>42795</v>
      </c>
      <c r="C345" s="85">
        <v>2362.719971</v>
      </c>
      <c r="D345" s="87">
        <f t="shared" si="10"/>
        <v>-3.8927294496698804E-4</v>
      </c>
      <c r="E345" s="86">
        <v>6.1666666666666673E-4</v>
      </c>
      <c r="F345" s="88">
        <f t="shared" si="11"/>
        <v>-1.0059396116336547E-3</v>
      </c>
    </row>
    <row r="346" spans="2:6" ht="15.5" x14ac:dyDescent="0.35">
      <c r="B346" s="84">
        <v>42826</v>
      </c>
      <c r="C346" s="85">
        <v>2384.1999510000001</v>
      </c>
      <c r="D346" s="87">
        <f t="shared" si="10"/>
        <v>9.0501322804594966E-3</v>
      </c>
      <c r="E346" s="86">
        <v>6.6666666666666664E-4</v>
      </c>
      <c r="F346" s="88">
        <f t="shared" si="11"/>
        <v>8.3834656137928305E-3</v>
      </c>
    </row>
    <row r="347" spans="2:6" ht="15.5" x14ac:dyDescent="0.35">
      <c r="B347" s="84">
        <v>42856</v>
      </c>
      <c r="C347" s="85">
        <v>2411.8000489999999</v>
      </c>
      <c r="D347" s="87">
        <f t="shared" si="10"/>
        <v>1.1509759254333795E-2</v>
      </c>
      <c r="E347" s="86">
        <v>7.4166666666666662E-4</v>
      </c>
      <c r="F347" s="88">
        <f t="shared" si="11"/>
        <v>1.0768092587667128E-2</v>
      </c>
    </row>
    <row r="348" spans="2:6" ht="15.5" x14ac:dyDescent="0.35">
      <c r="B348" s="84">
        <v>42887</v>
      </c>
      <c r="C348" s="85">
        <v>2423.4099120000001</v>
      </c>
      <c r="D348" s="87">
        <f t="shared" si="10"/>
        <v>4.8022259241070758E-3</v>
      </c>
      <c r="E348" s="86">
        <v>8.166666666666666E-4</v>
      </c>
      <c r="F348" s="88">
        <f t="shared" si="11"/>
        <v>3.9855592574404089E-3</v>
      </c>
    </row>
    <row r="349" spans="2:6" ht="15.5" x14ac:dyDescent="0.35">
      <c r="B349" s="84">
        <v>42917</v>
      </c>
      <c r="C349" s="85">
        <v>2470.3000489999999</v>
      </c>
      <c r="D349" s="87">
        <f t="shared" si="10"/>
        <v>1.916401766181007E-2</v>
      </c>
      <c r="E349" s="86">
        <v>8.916666666666668E-4</v>
      </c>
      <c r="F349" s="88">
        <f t="shared" si="11"/>
        <v>1.8272350995143405E-2</v>
      </c>
    </row>
    <row r="350" spans="2:6" ht="15.5" x14ac:dyDescent="0.35">
      <c r="B350" s="84">
        <v>42948</v>
      </c>
      <c r="C350" s="85">
        <v>2471.6499020000001</v>
      </c>
      <c r="D350" s="87">
        <f t="shared" si="10"/>
        <v>5.4628357104102084E-4</v>
      </c>
      <c r="E350" s="86">
        <v>8.4166666666666667E-4</v>
      </c>
      <c r="F350" s="88">
        <f t="shared" si="11"/>
        <v>-2.9538309562564583E-4</v>
      </c>
    </row>
    <row r="351" spans="2:6" ht="15.5" x14ac:dyDescent="0.35">
      <c r="B351" s="84">
        <v>42979</v>
      </c>
      <c r="C351" s="85">
        <v>2519.360107</v>
      </c>
      <c r="D351" s="87">
        <f t="shared" si="10"/>
        <v>1.911903932397916E-2</v>
      </c>
      <c r="E351" s="86">
        <v>8.5833333333333334E-4</v>
      </c>
      <c r="F351" s="88">
        <f t="shared" si="11"/>
        <v>1.8260705990645828E-2</v>
      </c>
    </row>
    <row r="352" spans="2:6" ht="15.5" x14ac:dyDescent="0.35">
      <c r="B352" s="84">
        <v>43009</v>
      </c>
      <c r="C352" s="85">
        <v>2575.26001</v>
      </c>
      <c r="D352" s="87">
        <f t="shared" si="10"/>
        <v>2.1945560290305279E-2</v>
      </c>
      <c r="E352" s="86">
        <v>8.916666666666668E-4</v>
      </c>
      <c r="F352" s="88">
        <f t="shared" si="11"/>
        <v>2.1053893623638614E-2</v>
      </c>
    </row>
    <row r="353" spans="2:6" ht="15.5" x14ac:dyDescent="0.35">
      <c r="B353" s="84">
        <v>43040</v>
      </c>
      <c r="C353" s="85">
        <v>2584.8400879999999</v>
      </c>
      <c r="D353" s="87">
        <f t="shared" si="10"/>
        <v>3.7131407628128972E-3</v>
      </c>
      <c r="E353" s="86">
        <v>1.0250000000000001E-3</v>
      </c>
      <c r="F353" s="88">
        <f t="shared" si="11"/>
        <v>2.6881407628128974E-3</v>
      </c>
    </row>
    <row r="354" spans="2:6" ht="15.5" x14ac:dyDescent="0.35">
      <c r="B354" s="84">
        <v>43070</v>
      </c>
      <c r="C354" s="85">
        <v>2673.610107</v>
      </c>
      <c r="D354" s="87">
        <f t="shared" si="10"/>
        <v>3.3766014609890378E-2</v>
      </c>
      <c r="E354" s="86">
        <v>1.1000000000000001E-3</v>
      </c>
      <c r="F354" s="88">
        <f t="shared" si="11"/>
        <v>3.2666014609890381E-2</v>
      </c>
    </row>
    <row r="355" spans="2:6" ht="15.5" x14ac:dyDescent="0.35">
      <c r="B355" s="84">
        <v>43101</v>
      </c>
      <c r="C355" s="85">
        <v>2823.8100589999999</v>
      </c>
      <c r="D355" s="87">
        <f t="shared" si="10"/>
        <v>5.4657398659986728E-2</v>
      </c>
      <c r="E355" s="86">
        <v>1.175E-3</v>
      </c>
      <c r="F355" s="88">
        <f t="shared" si="11"/>
        <v>5.3482398659986725E-2</v>
      </c>
    </row>
    <row r="356" spans="2:6" ht="15.5" x14ac:dyDescent="0.35">
      <c r="B356" s="84">
        <v>43132</v>
      </c>
      <c r="C356" s="85">
        <v>2713.830078</v>
      </c>
      <c r="D356" s="87">
        <f t="shared" si="10"/>
        <v>-3.9726107788010244E-2</v>
      </c>
      <c r="E356" s="86">
        <v>1.3083333333333334E-3</v>
      </c>
      <c r="F356" s="88">
        <f t="shared" si="11"/>
        <v>-4.1034441121343579E-2</v>
      </c>
    </row>
    <row r="357" spans="2:6" ht="15.5" x14ac:dyDescent="0.35">
      <c r="B357" s="84">
        <v>43160</v>
      </c>
      <c r="C357" s="85">
        <v>2640.8701169999999</v>
      </c>
      <c r="D357" s="87">
        <f t="shared" si="10"/>
        <v>-2.725249739187887E-2</v>
      </c>
      <c r="E357" s="86">
        <v>1.4166666666666668E-3</v>
      </c>
      <c r="F357" s="88">
        <f t="shared" si="11"/>
        <v>-2.8669164058545537E-2</v>
      </c>
    </row>
    <row r="358" spans="2:6" ht="15.5" x14ac:dyDescent="0.35">
      <c r="B358" s="84">
        <v>43191</v>
      </c>
      <c r="C358" s="85">
        <v>2648.0500489999999</v>
      </c>
      <c r="D358" s="87">
        <f t="shared" si="10"/>
        <v>2.7150859477301889E-3</v>
      </c>
      <c r="E358" s="86">
        <v>1.4666666666666667E-3</v>
      </c>
      <c r="F358" s="88">
        <f t="shared" si="11"/>
        <v>1.2484192810635222E-3</v>
      </c>
    </row>
    <row r="359" spans="2:6" ht="15.5" x14ac:dyDescent="0.35">
      <c r="B359" s="84">
        <v>43221</v>
      </c>
      <c r="C359" s="85">
        <v>2705.2700199999999</v>
      </c>
      <c r="D359" s="87">
        <f t="shared" si="10"/>
        <v>2.1378191291432879E-2</v>
      </c>
      <c r="E359" s="86">
        <v>1.5500000000000002E-3</v>
      </c>
      <c r="F359" s="88">
        <f t="shared" si="11"/>
        <v>1.982819129143288E-2</v>
      </c>
    </row>
    <row r="360" spans="2:6" ht="15.5" x14ac:dyDescent="0.35">
      <c r="B360" s="84">
        <v>43252</v>
      </c>
      <c r="C360" s="85">
        <v>2718.3701169999999</v>
      </c>
      <c r="D360" s="87">
        <f t="shared" si="10"/>
        <v>4.830749144322073E-3</v>
      </c>
      <c r="E360" s="86">
        <v>1.5833333333333333E-3</v>
      </c>
      <c r="F360" s="88">
        <f t="shared" si="11"/>
        <v>3.2474158109887397E-3</v>
      </c>
    </row>
    <row r="361" spans="2:6" ht="15.5" x14ac:dyDescent="0.35">
      <c r="B361" s="84">
        <v>43282</v>
      </c>
      <c r="C361" s="85">
        <v>2816.290039</v>
      </c>
      <c r="D361" s="87">
        <f t="shared" si="10"/>
        <v>3.5387950784307211E-2</v>
      </c>
      <c r="E361" s="86">
        <v>1.6333333333333332E-3</v>
      </c>
      <c r="F361" s="88">
        <f t="shared" si="11"/>
        <v>3.3754617450973877E-2</v>
      </c>
    </row>
    <row r="362" spans="2:6" ht="15.5" x14ac:dyDescent="0.35">
      <c r="B362" s="84">
        <v>43313</v>
      </c>
      <c r="C362" s="85">
        <v>2901.5200199999999</v>
      </c>
      <c r="D362" s="87">
        <f t="shared" si="10"/>
        <v>2.9814314708128044E-2</v>
      </c>
      <c r="E362" s="86">
        <v>1.6916666666666666E-3</v>
      </c>
      <c r="F362" s="88">
        <f t="shared" si="11"/>
        <v>2.8122648041461376E-2</v>
      </c>
    </row>
    <row r="363" spans="2:6" ht="15.5" x14ac:dyDescent="0.35">
      <c r="B363" s="84">
        <v>43344</v>
      </c>
      <c r="C363" s="85">
        <v>2913.9799800000001</v>
      </c>
      <c r="D363" s="87">
        <f t="shared" si="10"/>
        <v>4.2850929639178534E-3</v>
      </c>
      <c r="E363" s="86">
        <v>1.7749999999999999E-3</v>
      </c>
      <c r="F363" s="88">
        <f t="shared" si="11"/>
        <v>2.5100929639178537E-3</v>
      </c>
    </row>
    <row r="364" spans="2:6" ht="15.5" x14ac:dyDescent="0.35">
      <c r="B364" s="84">
        <v>43374</v>
      </c>
      <c r="C364" s="85">
        <v>2711.73999</v>
      </c>
      <c r="D364" s="87">
        <f t="shared" si="10"/>
        <v>-7.1929345879864132E-2</v>
      </c>
      <c r="E364" s="86">
        <v>1.8749999999999999E-3</v>
      </c>
      <c r="F364" s="88">
        <f t="shared" si="11"/>
        <v>-7.3804345879864133E-2</v>
      </c>
    </row>
    <row r="365" spans="2:6" ht="15.5" x14ac:dyDescent="0.35">
      <c r="B365" s="84">
        <v>43405</v>
      </c>
      <c r="C365" s="85">
        <v>2760.169922</v>
      </c>
      <c r="D365" s="87">
        <f t="shared" si="10"/>
        <v>1.7701752187834409E-2</v>
      </c>
      <c r="E365" s="86">
        <v>1.9416666666666668E-3</v>
      </c>
      <c r="F365" s="88">
        <f t="shared" si="11"/>
        <v>1.5760085521167741E-2</v>
      </c>
    </row>
    <row r="366" spans="2:6" ht="15.5" x14ac:dyDescent="0.35">
      <c r="B366" s="84">
        <v>43435</v>
      </c>
      <c r="C366" s="85">
        <v>2506.8500979999999</v>
      </c>
      <c r="D366" s="87">
        <f t="shared" si="10"/>
        <v>-9.6265219766061866E-2</v>
      </c>
      <c r="E366" s="86">
        <v>1.9750000000000002E-3</v>
      </c>
      <c r="F366" s="88">
        <f t="shared" si="11"/>
        <v>-9.824021976606187E-2</v>
      </c>
    </row>
    <row r="367" spans="2:6" ht="15.5" x14ac:dyDescent="0.35">
      <c r="B367" s="84">
        <v>43466</v>
      </c>
      <c r="C367" s="85">
        <v>2704.1000979999999</v>
      </c>
      <c r="D367" s="87">
        <f t="shared" si="10"/>
        <v>7.5742151976753658E-2</v>
      </c>
      <c r="E367" s="86">
        <v>1.9750000000000002E-3</v>
      </c>
      <c r="F367" s="88">
        <f t="shared" si="11"/>
        <v>7.3767151976753653E-2</v>
      </c>
    </row>
    <row r="368" spans="2:6" ht="15.5" x14ac:dyDescent="0.35">
      <c r="B368" s="84">
        <v>43497</v>
      </c>
      <c r="C368" s="85">
        <v>2784.48999</v>
      </c>
      <c r="D368" s="87">
        <f t="shared" si="10"/>
        <v>2.9295553154109054E-2</v>
      </c>
      <c r="E368" s="86">
        <v>1.9916666666666668E-3</v>
      </c>
      <c r="F368" s="88">
        <f t="shared" si="11"/>
        <v>2.7303886487442388E-2</v>
      </c>
    </row>
    <row r="369" spans="2:6" ht="15.5" x14ac:dyDescent="0.35">
      <c r="B369" s="84">
        <v>43525</v>
      </c>
      <c r="C369" s="85">
        <v>2834.3999020000001</v>
      </c>
      <c r="D369" s="87">
        <f t="shared" si="10"/>
        <v>1.7765510853122508E-2</v>
      </c>
      <c r="E369" s="86">
        <v>2E-3</v>
      </c>
      <c r="F369" s="88">
        <f t="shared" si="11"/>
        <v>1.5765510853122507E-2</v>
      </c>
    </row>
  </sheetData>
  <mergeCells count="5">
    <mergeCell ref="B2:F2"/>
    <mergeCell ref="B3:D3"/>
    <mergeCell ref="B4:D4"/>
    <mergeCell ref="B5:D5"/>
    <mergeCell ref="B6:D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A1378-0421-4B8E-9FAB-482B6BE71A2C}">
  <dimension ref="B1:M46"/>
  <sheetViews>
    <sheetView workbookViewId="0">
      <selection activeCell="I16" sqref="I16"/>
    </sheetView>
  </sheetViews>
  <sheetFormatPr defaultRowHeight="16.5" x14ac:dyDescent="0.35"/>
  <cols>
    <col min="1" max="1" width="8.7265625" style="10"/>
    <col min="2" max="2" width="32.7265625" style="10" bestFit="1" customWidth="1"/>
    <col min="3" max="3" width="13.08984375" style="10" bestFit="1" customWidth="1"/>
    <col min="4" max="16384" width="8.7265625" style="10"/>
  </cols>
  <sheetData>
    <row r="1" spans="2:13" ht="17" thickBot="1" x14ac:dyDescent="0.4"/>
    <row r="2" spans="2:13" x14ac:dyDescent="0.35">
      <c r="B2" s="114" t="s">
        <v>78</v>
      </c>
      <c r="C2" s="115"/>
      <c r="D2" s="115"/>
      <c r="E2" s="115"/>
      <c r="F2" s="116"/>
    </row>
    <row r="3" spans="2:13" x14ac:dyDescent="0.35">
      <c r="B3" s="28"/>
      <c r="C3" s="177" t="s">
        <v>107</v>
      </c>
      <c r="D3" s="177"/>
      <c r="E3" s="57">
        <v>2018</v>
      </c>
      <c r="F3" s="58">
        <v>2017</v>
      </c>
    </row>
    <row r="4" spans="2:13" x14ac:dyDescent="0.35">
      <c r="B4" s="28" t="s">
        <v>108</v>
      </c>
      <c r="C4" s="47">
        <v>3.39E-2</v>
      </c>
      <c r="D4" s="47">
        <v>2.2700000000000001E-2</v>
      </c>
      <c r="E4" s="29">
        <v>160</v>
      </c>
      <c r="F4" s="30">
        <v>30</v>
      </c>
      <c r="M4" s="16"/>
    </row>
    <row r="5" spans="2:13" x14ac:dyDescent="0.35">
      <c r="B5" s="28" t="s">
        <v>97</v>
      </c>
      <c r="C5" s="47">
        <v>2.7E-2</v>
      </c>
      <c r="D5" s="47">
        <v>2.7E-2</v>
      </c>
      <c r="E5" s="29">
        <v>300</v>
      </c>
      <c r="F5" s="30">
        <v>300</v>
      </c>
      <c r="M5" s="16"/>
    </row>
    <row r="6" spans="2:13" x14ac:dyDescent="0.35">
      <c r="B6" s="28" t="s">
        <v>98</v>
      </c>
      <c r="C6" s="47">
        <v>4.7500000000000001E-2</v>
      </c>
      <c r="D6" s="47">
        <v>4.7500000000000001E-2</v>
      </c>
      <c r="E6" s="29">
        <v>507</v>
      </c>
      <c r="F6" s="30">
        <v>514</v>
      </c>
      <c r="M6" s="16"/>
    </row>
    <row r="7" spans="2:13" x14ac:dyDescent="0.35">
      <c r="B7" s="28" t="s">
        <v>99</v>
      </c>
      <c r="C7" s="47">
        <v>2.5000000000000001E-2</v>
      </c>
      <c r="D7" s="47">
        <v>2.5000000000000001E-2</v>
      </c>
      <c r="E7" s="29">
        <v>300</v>
      </c>
      <c r="F7" s="30">
        <v>300</v>
      </c>
      <c r="M7" s="16"/>
    </row>
    <row r="8" spans="2:13" x14ac:dyDescent="0.35">
      <c r="B8" s="28" t="s">
        <v>100</v>
      </c>
      <c r="C8" s="47">
        <v>4.7E-2</v>
      </c>
      <c r="D8" s="47">
        <v>4.7E-2</v>
      </c>
      <c r="E8" s="29">
        <v>557</v>
      </c>
      <c r="F8" s="30">
        <v>559</v>
      </c>
      <c r="M8" s="16"/>
    </row>
    <row r="9" spans="2:13" x14ac:dyDescent="0.35">
      <c r="B9" s="28" t="s">
        <v>101</v>
      </c>
      <c r="C9" s="47">
        <v>4.2500000000000003E-2</v>
      </c>
      <c r="D9" s="47">
        <v>4.2500000000000003E-2</v>
      </c>
      <c r="E9" s="29">
        <v>299</v>
      </c>
      <c r="F9" s="30">
        <v>303</v>
      </c>
      <c r="M9" s="16"/>
    </row>
    <row r="10" spans="2:13" x14ac:dyDescent="0.35">
      <c r="B10" s="28" t="s">
        <v>102</v>
      </c>
      <c r="C10" s="47">
        <v>3.5000000000000003E-2</v>
      </c>
      <c r="D10" s="47">
        <v>3.5000000000000003E-2</v>
      </c>
      <c r="E10" s="29">
        <v>562</v>
      </c>
      <c r="F10" s="30">
        <v>566</v>
      </c>
      <c r="M10" s="16"/>
    </row>
    <row r="11" spans="2:13" x14ac:dyDescent="0.35">
      <c r="B11" s="28" t="s">
        <v>103</v>
      </c>
      <c r="C11" s="47">
        <v>3.4500000000000003E-2</v>
      </c>
      <c r="D11" s="47">
        <v>3.4500000000000003E-2</v>
      </c>
      <c r="E11" s="29">
        <v>469</v>
      </c>
      <c r="F11" s="30">
        <v>470</v>
      </c>
      <c r="M11" s="16"/>
    </row>
    <row r="12" spans="2:13" x14ac:dyDescent="0.35">
      <c r="B12" s="28" t="s">
        <v>104</v>
      </c>
      <c r="C12" s="47">
        <v>6.9500000000000006E-2</v>
      </c>
      <c r="D12" s="47">
        <v>6.9500000000000006E-2</v>
      </c>
      <c r="E12" s="29">
        <v>175</v>
      </c>
      <c r="F12" s="30">
        <v>174</v>
      </c>
      <c r="M12" s="16"/>
    </row>
    <row r="13" spans="2:13" x14ac:dyDescent="0.35">
      <c r="B13" s="28" t="s">
        <v>105</v>
      </c>
      <c r="C13" s="47">
        <v>5.7500000000000002E-2</v>
      </c>
      <c r="D13" s="47">
        <v>5.7500000000000002E-2</v>
      </c>
      <c r="E13" s="29">
        <v>244</v>
      </c>
      <c r="F13" s="30">
        <v>244</v>
      </c>
      <c r="M13" s="16"/>
    </row>
    <row r="14" spans="2:13" ht="17" thickBot="1" x14ac:dyDescent="0.4">
      <c r="B14" s="31" t="s">
        <v>106</v>
      </c>
      <c r="C14" s="49">
        <v>4.7E-2</v>
      </c>
      <c r="D14" s="49">
        <v>4.7E-2</v>
      </c>
      <c r="E14" s="32">
        <v>300</v>
      </c>
      <c r="F14" s="33">
        <v>300</v>
      </c>
    </row>
    <row r="15" spans="2:13" ht="17" thickBot="1" x14ac:dyDescent="0.4">
      <c r="H15" s="16"/>
    </row>
    <row r="16" spans="2:13" x14ac:dyDescent="0.35">
      <c r="B16" s="114" t="s">
        <v>111</v>
      </c>
      <c r="C16" s="115"/>
      <c r="D16" s="116"/>
      <c r="E16" s="149"/>
      <c r="F16" s="149"/>
      <c r="G16" s="178"/>
    </row>
    <row r="17" spans="2:12" x14ac:dyDescent="0.35">
      <c r="B17" s="28"/>
      <c r="C17" s="36" t="s">
        <v>110</v>
      </c>
      <c r="D17" s="179" t="s">
        <v>107</v>
      </c>
    </row>
    <row r="18" spans="2:12" x14ac:dyDescent="0.35">
      <c r="B18" s="28" t="s">
        <v>108</v>
      </c>
      <c r="C18" s="180">
        <f>E4/SUM($E$4:$E$14)</f>
        <v>4.1311644719855406E-2</v>
      </c>
      <c r="D18" s="48">
        <v>3.39E-2</v>
      </c>
    </row>
    <row r="19" spans="2:12" x14ac:dyDescent="0.35">
      <c r="B19" s="28" t="s">
        <v>97</v>
      </c>
      <c r="C19" s="180">
        <f t="shared" ref="C19:C28" si="0">E5/SUM($E$4:$E$14)</f>
        <v>7.745933384972889E-2</v>
      </c>
      <c r="D19" s="48">
        <v>2.7E-2</v>
      </c>
    </row>
    <row r="20" spans="2:12" x14ac:dyDescent="0.35">
      <c r="B20" s="28" t="s">
        <v>98</v>
      </c>
      <c r="C20" s="180">
        <f t="shared" si="0"/>
        <v>0.13090627420604184</v>
      </c>
      <c r="D20" s="48">
        <v>4.7500000000000001E-2</v>
      </c>
    </row>
    <row r="21" spans="2:12" x14ac:dyDescent="0.35">
      <c r="B21" s="28" t="s">
        <v>99</v>
      </c>
      <c r="C21" s="180">
        <f t="shared" si="0"/>
        <v>7.745933384972889E-2</v>
      </c>
      <c r="D21" s="48">
        <v>2.5000000000000001E-2</v>
      </c>
    </row>
    <row r="22" spans="2:12" x14ac:dyDescent="0.35">
      <c r="B22" s="28" t="s">
        <v>100</v>
      </c>
      <c r="C22" s="180">
        <f t="shared" si="0"/>
        <v>0.14381616318099663</v>
      </c>
      <c r="D22" s="48">
        <v>4.7E-2</v>
      </c>
    </row>
    <row r="23" spans="2:12" x14ac:dyDescent="0.35">
      <c r="B23" s="28" t="s">
        <v>101</v>
      </c>
      <c r="C23" s="180">
        <f t="shared" si="0"/>
        <v>7.7201136070229798E-2</v>
      </c>
      <c r="D23" s="48">
        <v>4.2500000000000003E-2</v>
      </c>
    </row>
    <row r="24" spans="2:12" x14ac:dyDescent="0.35">
      <c r="B24" s="28" t="s">
        <v>102</v>
      </c>
      <c r="C24" s="180">
        <f t="shared" si="0"/>
        <v>0.14510715207849212</v>
      </c>
      <c r="D24" s="48">
        <v>3.5000000000000003E-2</v>
      </c>
    </row>
    <row r="25" spans="2:12" x14ac:dyDescent="0.35">
      <c r="B25" s="28" t="s">
        <v>103</v>
      </c>
      <c r="C25" s="180">
        <f t="shared" si="0"/>
        <v>0.12109475858507616</v>
      </c>
      <c r="D25" s="48">
        <v>3.4500000000000003E-2</v>
      </c>
    </row>
    <row r="26" spans="2:12" x14ac:dyDescent="0.35">
      <c r="B26" s="28" t="s">
        <v>104</v>
      </c>
      <c r="C26" s="180">
        <f t="shared" si="0"/>
        <v>4.5184611412341855E-2</v>
      </c>
      <c r="D26" s="48">
        <v>6.9500000000000006E-2</v>
      </c>
    </row>
    <row r="27" spans="2:12" x14ac:dyDescent="0.35">
      <c r="B27" s="28" t="s">
        <v>105</v>
      </c>
      <c r="C27" s="180">
        <f t="shared" si="0"/>
        <v>6.3000258197779505E-2</v>
      </c>
      <c r="D27" s="48">
        <v>5.7500000000000002E-2</v>
      </c>
    </row>
    <row r="28" spans="2:12" ht="17" thickBot="1" x14ac:dyDescent="0.4">
      <c r="B28" s="31" t="s">
        <v>106</v>
      </c>
      <c r="C28" s="89">
        <f t="shared" si="0"/>
        <v>7.745933384972889E-2</v>
      </c>
      <c r="D28" s="50">
        <v>4.7E-2</v>
      </c>
    </row>
    <row r="29" spans="2:12" ht="17" thickBot="1" x14ac:dyDescent="0.4">
      <c r="B29" s="181" t="s">
        <v>78</v>
      </c>
      <c r="C29" s="148">
        <f>SUMPRODUCT(C18:C28,D18:D28)</f>
        <v>4.1346759617867289E-2</v>
      </c>
      <c r="E29" s="178"/>
      <c r="F29" s="178"/>
    </row>
    <row r="30" spans="2:12" ht="17" thickBot="1" x14ac:dyDescent="0.4"/>
    <row r="31" spans="2:12" x14ac:dyDescent="0.35">
      <c r="B31" s="114" t="s">
        <v>109</v>
      </c>
      <c r="C31" s="115"/>
      <c r="D31" s="116"/>
      <c r="J31" s="178"/>
      <c r="L31" s="178"/>
    </row>
    <row r="32" spans="2:12" x14ac:dyDescent="0.35">
      <c r="B32" s="28"/>
      <c r="C32" s="36" t="s">
        <v>110</v>
      </c>
      <c r="D32" s="179" t="s">
        <v>107</v>
      </c>
    </row>
    <row r="33" spans="2:4" x14ac:dyDescent="0.35">
      <c r="B33" s="28" t="s">
        <v>108</v>
      </c>
      <c r="C33" s="180">
        <f>F4/SUM($F$4:$F$14)</f>
        <v>7.9787234042553185E-3</v>
      </c>
      <c r="D33" s="48">
        <v>2.2700000000000001E-2</v>
      </c>
    </row>
    <row r="34" spans="2:4" x14ac:dyDescent="0.35">
      <c r="B34" s="28" t="s">
        <v>97</v>
      </c>
      <c r="C34" s="180">
        <f t="shared" ref="C34:C43" si="1">F5/SUM($F$4:$F$14)</f>
        <v>7.9787234042553196E-2</v>
      </c>
      <c r="D34" s="48">
        <v>2.7E-2</v>
      </c>
    </row>
    <row r="35" spans="2:4" x14ac:dyDescent="0.35">
      <c r="B35" s="28" t="s">
        <v>98</v>
      </c>
      <c r="C35" s="180">
        <f t="shared" si="1"/>
        <v>0.13670212765957446</v>
      </c>
      <c r="D35" s="48">
        <v>4.7500000000000001E-2</v>
      </c>
    </row>
    <row r="36" spans="2:4" x14ac:dyDescent="0.35">
      <c r="B36" s="28" t="s">
        <v>99</v>
      </c>
      <c r="C36" s="180">
        <f t="shared" si="1"/>
        <v>7.9787234042553196E-2</v>
      </c>
      <c r="D36" s="48">
        <v>2.5000000000000001E-2</v>
      </c>
    </row>
    <row r="37" spans="2:4" x14ac:dyDescent="0.35">
      <c r="B37" s="28" t="s">
        <v>100</v>
      </c>
      <c r="C37" s="180">
        <f t="shared" si="1"/>
        <v>0.14867021276595746</v>
      </c>
      <c r="D37" s="48">
        <v>4.7E-2</v>
      </c>
    </row>
    <row r="38" spans="2:4" x14ac:dyDescent="0.35">
      <c r="B38" s="28" t="s">
        <v>101</v>
      </c>
      <c r="C38" s="180">
        <f t="shared" si="1"/>
        <v>8.0585106382978722E-2</v>
      </c>
      <c r="D38" s="48">
        <v>4.2500000000000003E-2</v>
      </c>
    </row>
    <row r="39" spans="2:4" x14ac:dyDescent="0.35">
      <c r="B39" s="28" t="s">
        <v>102</v>
      </c>
      <c r="C39" s="180">
        <f t="shared" si="1"/>
        <v>0.15053191489361703</v>
      </c>
      <c r="D39" s="48">
        <v>3.5000000000000003E-2</v>
      </c>
    </row>
    <row r="40" spans="2:4" x14ac:dyDescent="0.35">
      <c r="B40" s="28" t="s">
        <v>103</v>
      </c>
      <c r="C40" s="180">
        <f t="shared" si="1"/>
        <v>0.125</v>
      </c>
      <c r="D40" s="48">
        <v>3.4500000000000003E-2</v>
      </c>
    </row>
    <row r="41" spans="2:4" x14ac:dyDescent="0.35">
      <c r="B41" s="28" t="s">
        <v>104</v>
      </c>
      <c r="C41" s="180">
        <f t="shared" si="1"/>
        <v>4.6276595744680848E-2</v>
      </c>
      <c r="D41" s="48">
        <v>6.9500000000000006E-2</v>
      </c>
    </row>
    <row r="42" spans="2:4" x14ac:dyDescent="0.35">
      <c r="B42" s="28" t="s">
        <v>105</v>
      </c>
      <c r="C42" s="180">
        <f t="shared" si="1"/>
        <v>6.4893617021276592E-2</v>
      </c>
      <c r="D42" s="48">
        <v>5.7500000000000002E-2</v>
      </c>
    </row>
    <row r="43" spans="2:4" ht="17" thickBot="1" x14ac:dyDescent="0.4">
      <c r="B43" s="31" t="s">
        <v>106</v>
      </c>
      <c r="C43" s="89">
        <f t="shared" si="1"/>
        <v>7.9787234042553196E-2</v>
      </c>
      <c r="D43" s="50">
        <v>4.7E-2</v>
      </c>
    </row>
    <row r="44" spans="2:4" ht="17" thickBot="1" x14ac:dyDescent="0.4">
      <c r="B44" s="181" t="s">
        <v>78</v>
      </c>
      <c r="C44" s="148">
        <f>SUMPRODUCT(C33:C43,D33:D43)</f>
        <v>4.1514494680851069E-2</v>
      </c>
    </row>
    <row r="46" spans="2:4" x14ac:dyDescent="0.35">
      <c r="B46" s="99" t="s">
        <v>90</v>
      </c>
      <c r="C46" s="16">
        <f>AVERAGE(C44,C29)</f>
        <v>4.1430627149359175E-2</v>
      </c>
    </row>
  </sheetData>
  <mergeCells count="4">
    <mergeCell ref="C3:D3"/>
    <mergeCell ref="B2:F2"/>
    <mergeCell ref="B16:D16"/>
    <mergeCell ref="B31:D3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4B407-C13A-4190-8C33-DAEEF396ABAA}">
  <dimension ref="B1:I28"/>
  <sheetViews>
    <sheetView topLeftCell="A11" workbookViewId="0">
      <selection activeCell="C20" sqref="C20"/>
    </sheetView>
  </sheetViews>
  <sheetFormatPr defaultRowHeight="16.5" x14ac:dyDescent="0.35"/>
  <cols>
    <col min="1" max="1" width="8.7265625" style="10"/>
    <col min="2" max="2" width="19.26953125" style="10" bestFit="1" customWidth="1"/>
    <col min="3" max="3" width="9.453125" style="10" customWidth="1"/>
    <col min="4" max="4" width="8.7265625" style="10"/>
    <col min="5" max="5" width="18.54296875" style="10" bestFit="1" customWidth="1"/>
    <col min="6" max="6" width="8.7265625" style="10"/>
    <col min="7" max="7" width="9.453125" style="10" bestFit="1" customWidth="1"/>
    <col min="8" max="16384" width="8.7265625" style="10"/>
  </cols>
  <sheetData>
    <row r="1" spans="2:9" s="10" customFormat="1" ht="17" thickBot="1" x14ac:dyDescent="0.4"/>
    <row r="2" spans="2:9" s="10" customFormat="1" ht="17" thickBot="1" x14ac:dyDescent="0.4">
      <c r="B2" s="134" t="s">
        <v>166</v>
      </c>
      <c r="C2" s="135"/>
    </row>
    <row r="3" spans="2:9" s="10" customFormat="1" x14ac:dyDescent="0.35">
      <c r="B3" s="136" t="s">
        <v>168</v>
      </c>
      <c r="C3" s="136"/>
      <c r="E3" s="136" t="s">
        <v>166</v>
      </c>
      <c r="F3" s="136"/>
    </row>
    <row r="4" spans="2:9" s="10" customFormat="1" x14ac:dyDescent="0.35">
      <c r="B4" s="10" t="s">
        <v>163</v>
      </c>
      <c r="C4" s="10" t="s">
        <v>169</v>
      </c>
      <c r="E4" s="10" t="s">
        <v>167</v>
      </c>
      <c r="F4" s="10">
        <v>0.53</v>
      </c>
    </row>
    <row r="5" spans="2:9" s="10" customFormat="1" x14ac:dyDescent="0.35">
      <c r="B5" s="132">
        <v>43560</v>
      </c>
      <c r="C5" s="10">
        <v>0.53</v>
      </c>
      <c r="E5" s="10" t="s">
        <v>168</v>
      </c>
      <c r="F5" s="16">
        <v>0.17780000000000001</v>
      </c>
      <c r="I5" s="137"/>
    </row>
    <row r="6" spans="2:9" s="10" customFormat="1" x14ac:dyDescent="0.35">
      <c r="B6" s="132">
        <v>43479</v>
      </c>
      <c r="C6" s="10">
        <v>0.53</v>
      </c>
      <c r="E6" s="10" t="s">
        <v>132</v>
      </c>
      <c r="F6" s="10">
        <v>97.08</v>
      </c>
    </row>
    <row r="7" spans="2:9" s="10" customFormat="1" x14ac:dyDescent="0.35">
      <c r="B7" s="132">
        <v>43476</v>
      </c>
      <c r="C7" s="10">
        <v>0.53</v>
      </c>
      <c r="E7" s="138" t="s">
        <v>170</v>
      </c>
      <c r="F7" s="19">
        <f>F4*(1+F5)/F6+F5</f>
        <v>0.18423009888751546</v>
      </c>
    </row>
    <row r="8" spans="2:9" s="10" customFormat="1" x14ac:dyDescent="0.35">
      <c r="B8" s="132">
        <v>43377</v>
      </c>
      <c r="C8" s="10">
        <v>0.5</v>
      </c>
    </row>
    <row r="9" spans="2:9" s="10" customFormat="1" x14ac:dyDescent="0.35">
      <c r="B9" s="132">
        <v>43287</v>
      </c>
      <c r="C9" s="10">
        <v>0.5</v>
      </c>
    </row>
    <row r="10" spans="2:9" s="10" customFormat="1" x14ac:dyDescent="0.35">
      <c r="B10" s="132">
        <v>43193</v>
      </c>
      <c r="C10" s="10">
        <v>0.5</v>
      </c>
    </row>
    <row r="11" spans="2:9" s="10" customFormat="1" x14ac:dyDescent="0.35">
      <c r="B11" s="132">
        <v>43108</v>
      </c>
      <c r="C11" s="10">
        <v>0.45</v>
      </c>
    </row>
    <row r="13" spans="2:9" s="10" customFormat="1" x14ac:dyDescent="0.35">
      <c r="B13" s="10" t="s">
        <v>87</v>
      </c>
      <c r="C13" s="19">
        <f>(C5/C11)^1-1</f>
        <v>0.17777777777777781</v>
      </c>
    </row>
    <row r="14" spans="2:9" s="10" customFormat="1" ht="17" thickBot="1" x14ac:dyDescent="0.4"/>
    <row r="15" spans="2:9" s="10" customFormat="1" ht="17" thickBot="1" x14ac:dyDescent="0.4">
      <c r="B15" s="134" t="s">
        <v>171</v>
      </c>
      <c r="C15" s="135"/>
    </row>
    <row r="16" spans="2:9" s="10" customFormat="1" x14ac:dyDescent="0.35">
      <c r="B16" s="10" t="s">
        <v>185</v>
      </c>
      <c r="C16" s="16">
        <v>2.4E-2</v>
      </c>
      <c r="E16" s="10" t="s">
        <v>175</v>
      </c>
      <c r="F16" s="10">
        <v>0.98</v>
      </c>
    </row>
    <row r="17" spans="2:6" s="10" customFormat="1" x14ac:dyDescent="0.35">
      <c r="B17" s="10" t="s">
        <v>173</v>
      </c>
      <c r="C17" s="10">
        <f>AVERAGE(F16:F18)</f>
        <v>0.82</v>
      </c>
      <c r="E17" s="10" t="s">
        <v>176</v>
      </c>
      <c r="F17" s="10">
        <v>0.7</v>
      </c>
    </row>
    <row r="18" spans="2:6" s="10" customFormat="1" x14ac:dyDescent="0.35">
      <c r="B18" s="10" t="s">
        <v>174</v>
      </c>
      <c r="C18" s="16">
        <v>4.6899999999999997E-2</v>
      </c>
      <c r="E18" s="10" t="s">
        <v>177</v>
      </c>
      <c r="F18" s="10">
        <v>0.78</v>
      </c>
    </row>
    <row r="19" spans="2:6" s="10" customFormat="1" x14ac:dyDescent="0.35">
      <c r="B19" s="10" t="s">
        <v>172</v>
      </c>
      <c r="C19" s="16">
        <v>2.87E-2</v>
      </c>
    </row>
    <row r="20" spans="2:6" s="10" customFormat="1" x14ac:dyDescent="0.35">
      <c r="B20" s="10" t="s">
        <v>80</v>
      </c>
      <c r="C20" s="16">
        <v>0.29430000000000001</v>
      </c>
    </row>
    <row r="21" spans="2:6" s="10" customFormat="1" ht="17" thickBot="1" x14ac:dyDescent="0.4">
      <c r="B21" s="10" t="s">
        <v>186</v>
      </c>
      <c r="C21" s="16">
        <v>7.5399999999999995E-2</v>
      </c>
    </row>
    <row r="22" spans="2:6" s="10" customFormat="1" ht="17" thickBot="1" x14ac:dyDescent="0.4">
      <c r="B22" s="139" t="s">
        <v>182</v>
      </c>
      <c r="C22" s="140"/>
    </row>
    <row r="23" spans="2:6" s="10" customFormat="1" x14ac:dyDescent="0.35">
      <c r="B23" s="10" t="s">
        <v>183</v>
      </c>
      <c r="C23" s="19">
        <f>C16+C17*C18</f>
        <v>6.2457999999999993E-2</v>
      </c>
    </row>
    <row r="24" spans="2:6" s="10" customFormat="1" ht="17" thickBot="1" x14ac:dyDescent="0.4"/>
    <row r="25" spans="2:6" s="10" customFormat="1" ht="17" thickBot="1" x14ac:dyDescent="0.4">
      <c r="B25" s="139" t="s">
        <v>184</v>
      </c>
      <c r="C25" s="140"/>
    </row>
    <row r="26" spans="2:6" s="10" customFormat="1" x14ac:dyDescent="0.35">
      <c r="B26" s="10" t="s">
        <v>183</v>
      </c>
      <c r="C26" s="16">
        <f>C16*(1-C20)+C17*(C21-C19*(1-C20))</f>
        <v>6.2156856199999992E-2</v>
      </c>
    </row>
    <row r="28" spans="2:6" s="10" customFormat="1" x14ac:dyDescent="0.35">
      <c r="B28" s="131" t="s">
        <v>187</v>
      </c>
      <c r="C28" s="16">
        <f>AVERAGE(C26,C23,F7)</f>
        <v>0.10294831836250513</v>
      </c>
    </row>
  </sheetData>
  <mergeCells count="6">
    <mergeCell ref="E3:F3"/>
    <mergeCell ref="B3:C3"/>
    <mergeCell ref="B2:C2"/>
    <mergeCell ref="B15:C15"/>
    <mergeCell ref="B22:C22"/>
    <mergeCell ref="B25:C2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D9259-7BA8-4C39-A495-1B8DB69B2B65}">
  <dimension ref="B2:J72"/>
  <sheetViews>
    <sheetView zoomScale="85" zoomScaleNormal="85" workbookViewId="0">
      <selection activeCell="F8" sqref="F8"/>
    </sheetView>
  </sheetViews>
  <sheetFormatPr defaultRowHeight="16.5" x14ac:dyDescent="0.35"/>
  <cols>
    <col min="1" max="1" width="8.7265625" style="10"/>
    <col min="2" max="2" width="11.7265625" style="10" bestFit="1" customWidth="1"/>
    <col min="3" max="3" width="11" style="10" bestFit="1" customWidth="1"/>
    <col min="4" max="4" width="12.08984375" style="10" bestFit="1" customWidth="1"/>
    <col min="5" max="5" width="8.7265625" style="10"/>
    <col min="6" max="6" width="11.453125" style="10" bestFit="1" customWidth="1"/>
    <col min="7" max="7" width="13.36328125" style="10" bestFit="1" customWidth="1"/>
    <col min="8" max="9" width="8.7265625" style="10"/>
    <col min="10" max="10" width="8.81640625" style="10" bestFit="1" customWidth="1"/>
    <col min="11" max="16384" width="8.7265625" style="10"/>
  </cols>
  <sheetData>
    <row r="2" spans="2:10" x14ac:dyDescent="0.35">
      <c r="B2" s="131" t="s">
        <v>163</v>
      </c>
      <c r="C2" s="131" t="s">
        <v>178</v>
      </c>
      <c r="D2" s="131" t="s">
        <v>179</v>
      </c>
      <c r="F2" s="131" t="s">
        <v>180</v>
      </c>
      <c r="G2" s="131" t="s">
        <v>181</v>
      </c>
    </row>
    <row r="3" spans="2:10" x14ac:dyDescent="0.35">
      <c r="B3" s="132">
        <v>43115</v>
      </c>
      <c r="C3" s="130">
        <v>99.741234000000006</v>
      </c>
      <c r="D3" s="130">
        <v>2810.3000489999999</v>
      </c>
    </row>
    <row r="4" spans="2:10" x14ac:dyDescent="0.35">
      <c r="B4" s="132">
        <v>43122</v>
      </c>
      <c r="C4" s="130">
        <v>103.186577</v>
      </c>
      <c r="D4" s="130">
        <v>2872.8701169999999</v>
      </c>
      <c r="F4" s="19">
        <f>LN(C4/C3)</f>
        <v>3.3959604549373572E-2</v>
      </c>
      <c r="G4" s="19">
        <f>LN(D4/D3)</f>
        <v>2.2020314181695956E-2</v>
      </c>
      <c r="I4" s="131" t="s">
        <v>173</v>
      </c>
      <c r="J4" s="133">
        <f>SLOPE(F4:F72,G4:G72)</f>
        <v>0.78353855407093109</v>
      </c>
    </row>
    <row r="5" spans="2:10" x14ac:dyDescent="0.35">
      <c r="B5" s="132">
        <v>43129</v>
      </c>
      <c r="C5" s="130">
        <v>99.789619000000002</v>
      </c>
      <c r="D5" s="130">
        <v>2762.1298830000001</v>
      </c>
      <c r="F5" s="19">
        <f t="shared" ref="F5:F68" si="0">LN(C5/C4)</f>
        <v>-3.3474616887356208E-2</v>
      </c>
      <c r="G5" s="19">
        <f t="shared" ref="G5:G68" si="1">LN(D5/D4)</f>
        <v>-3.9309491967079377E-2</v>
      </c>
    </row>
    <row r="6" spans="2:10" x14ac:dyDescent="0.35">
      <c r="B6" s="132">
        <v>43136</v>
      </c>
      <c r="C6" s="130">
        <v>95.173218000000006</v>
      </c>
      <c r="D6" s="130">
        <v>2619.5500489999999</v>
      </c>
      <c r="F6" s="19">
        <f t="shared" si="0"/>
        <v>-4.736558118207438E-2</v>
      </c>
      <c r="G6" s="19">
        <f t="shared" si="1"/>
        <v>-5.2999512861744189E-2</v>
      </c>
    </row>
    <row r="7" spans="2:10" x14ac:dyDescent="0.35">
      <c r="B7" s="132">
        <v>43143</v>
      </c>
      <c r="C7" s="130">
        <v>101.163895</v>
      </c>
      <c r="D7" s="130">
        <v>2732.219971</v>
      </c>
      <c r="F7" s="19">
        <f t="shared" si="0"/>
        <v>6.1043345732520619E-2</v>
      </c>
      <c r="G7" s="19">
        <f t="shared" si="1"/>
        <v>4.211188893710243E-2</v>
      </c>
    </row>
    <row r="8" spans="2:10" x14ac:dyDescent="0.35">
      <c r="B8" s="132">
        <v>43150</v>
      </c>
      <c r="C8" s="130">
        <v>99.296036000000001</v>
      </c>
      <c r="D8" s="130">
        <v>2747.3000489999999</v>
      </c>
      <c r="F8" s="19">
        <f t="shared" si="0"/>
        <v>-1.8636273603268541E-2</v>
      </c>
      <c r="G8" s="19">
        <f t="shared" si="1"/>
        <v>5.5041740944551006E-3</v>
      </c>
    </row>
    <row r="9" spans="2:10" x14ac:dyDescent="0.35">
      <c r="B9" s="132">
        <v>43157</v>
      </c>
      <c r="C9" s="130">
        <v>98.173400999999998</v>
      </c>
      <c r="D9" s="130">
        <v>2691.25</v>
      </c>
      <c r="F9" s="19">
        <f t="shared" si="0"/>
        <v>-1.1370337729007569E-2</v>
      </c>
      <c r="G9" s="19">
        <f t="shared" si="1"/>
        <v>-2.0612859336735363E-2</v>
      </c>
    </row>
    <row r="10" spans="2:10" x14ac:dyDescent="0.35">
      <c r="B10" s="132">
        <v>43164</v>
      </c>
      <c r="C10" s="130">
        <v>103.54467</v>
      </c>
      <c r="D10" s="130">
        <v>2786.570068</v>
      </c>
      <c r="F10" s="19">
        <f t="shared" si="0"/>
        <v>5.3267800709068634E-2</v>
      </c>
      <c r="G10" s="19">
        <f t="shared" si="1"/>
        <v>3.4805703537932539E-2</v>
      </c>
    </row>
    <row r="11" spans="2:10" x14ac:dyDescent="0.35">
      <c r="B11" s="132">
        <v>43171</v>
      </c>
      <c r="C11" s="130">
        <v>100.989677</v>
      </c>
      <c r="D11" s="130">
        <v>2752.01001</v>
      </c>
      <c r="F11" s="19">
        <f t="shared" si="0"/>
        <v>-2.4984810101451864E-2</v>
      </c>
      <c r="G11" s="19">
        <f t="shared" si="1"/>
        <v>-1.247991581523499E-2</v>
      </c>
    </row>
    <row r="12" spans="2:10" x14ac:dyDescent="0.35">
      <c r="B12" s="132">
        <v>43178</v>
      </c>
      <c r="C12" s="130">
        <v>96.566849000000005</v>
      </c>
      <c r="D12" s="130">
        <v>2588.26001</v>
      </c>
      <c r="F12" s="19">
        <f t="shared" si="0"/>
        <v>-4.4782799431303762E-2</v>
      </c>
      <c r="G12" s="19">
        <f t="shared" si="1"/>
        <v>-6.1345718284500798E-2</v>
      </c>
    </row>
    <row r="13" spans="2:10" x14ac:dyDescent="0.35">
      <c r="B13" s="132">
        <v>43185</v>
      </c>
      <c r="C13" s="130">
        <v>97.070098999999999</v>
      </c>
      <c r="D13" s="130">
        <v>2640.8701169999999</v>
      </c>
      <c r="F13" s="19">
        <f t="shared" si="0"/>
        <v>5.1978833405955608E-3</v>
      </c>
      <c r="G13" s="19">
        <f t="shared" si="1"/>
        <v>2.0122613493541851E-2</v>
      </c>
    </row>
    <row r="14" spans="2:10" x14ac:dyDescent="0.35">
      <c r="B14" s="132">
        <v>43192</v>
      </c>
      <c r="C14" s="130">
        <v>94.215096000000003</v>
      </c>
      <c r="D14" s="130">
        <v>2604.469971</v>
      </c>
      <c r="F14" s="19">
        <f t="shared" si="0"/>
        <v>-2.9852964086211388E-2</v>
      </c>
      <c r="G14" s="19">
        <f t="shared" si="1"/>
        <v>-1.3879264151735741E-2</v>
      </c>
    </row>
    <row r="15" spans="2:10" x14ac:dyDescent="0.35">
      <c r="B15" s="132">
        <v>43199</v>
      </c>
      <c r="C15" s="130">
        <v>97.043578999999994</v>
      </c>
      <c r="D15" s="130">
        <v>2656.3000489999999</v>
      </c>
      <c r="F15" s="19">
        <f t="shared" si="0"/>
        <v>2.9579722133987917E-2</v>
      </c>
      <c r="G15" s="19">
        <f t="shared" si="1"/>
        <v>1.9705007013114052E-2</v>
      </c>
    </row>
    <row r="16" spans="2:10" x14ac:dyDescent="0.35">
      <c r="B16" s="132">
        <v>43206</v>
      </c>
      <c r="C16" s="130">
        <v>95.487144000000001</v>
      </c>
      <c r="D16" s="130">
        <v>2670.139893</v>
      </c>
      <c r="F16" s="19">
        <f t="shared" si="0"/>
        <v>-1.6168525030102278E-2</v>
      </c>
      <c r="G16" s="19">
        <f t="shared" si="1"/>
        <v>5.1966699320902835E-3</v>
      </c>
    </row>
    <row r="17" spans="2:7" x14ac:dyDescent="0.35">
      <c r="B17" s="132">
        <v>43213</v>
      </c>
      <c r="C17" s="130">
        <v>99.942420999999996</v>
      </c>
      <c r="D17" s="130">
        <v>2669.9099120000001</v>
      </c>
      <c r="F17" s="19">
        <f t="shared" si="0"/>
        <v>4.5602609533522527E-2</v>
      </c>
      <c r="G17" s="19">
        <f t="shared" si="1"/>
        <v>-8.6134402689206591E-5</v>
      </c>
    </row>
    <row r="18" spans="2:7" x14ac:dyDescent="0.35">
      <c r="B18" s="132">
        <v>43220</v>
      </c>
      <c r="C18" s="130">
        <v>98.736182999999997</v>
      </c>
      <c r="D18" s="130">
        <v>2663.419922</v>
      </c>
      <c r="F18" s="19">
        <f t="shared" si="0"/>
        <v>-1.214275515305565E-2</v>
      </c>
      <c r="G18" s="19">
        <f t="shared" si="1"/>
        <v>-2.4337490481273244E-3</v>
      </c>
    </row>
    <row r="19" spans="2:7" x14ac:dyDescent="0.35">
      <c r="B19" s="132">
        <v>43227</v>
      </c>
      <c r="C19" s="130">
        <v>99.708961000000002</v>
      </c>
      <c r="D19" s="130">
        <v>2727.719971</v>
      </c>
      <c r="F19" s="19">
        <f t="shared" si="0"/>
        <v>9.8040775634619E-3</v>
      </c>
      <c r="G19" s="19">
        <f t="shared" si="1"/>
        <v>2.3855102814838776E-2</v>
      </c>
    </row>
    <row r="20" spans="2:7" x14ac:dyDescent="0.35">
      <c r="B20" s="132">
        <v>43234</v>
      </c>
      <c r="C20" s="130">
        <v>99.368492000000003</v>
      </c>
      <c r="D20" s="130">
        <v>2712.969971</v>
      </c>
      <c r="F20" s="19">
        <f t="shared" si="0"/>
        <v>-3.4204710459751963E-3</v>
      </c>
      <c r="G20" s="19">
        <f t="shared" si="1"/>
        <v>-5.4221197289184486E-3</v>
      </c>
    </row>
    <row r="21" spans="2:7" x14ac:dyDescent="0.35">
      <c r="B21" s="132">
        <v>43241</v>
      </c>
      <c r="C21" s="130">
        <v>102.928825</v>
      </c>
      <c r="D21" s="130">
        <v>2721.330078</v>
      </c>
      <c r="F21" s="19">
        <f t="shared" si="0"/>
        <v>3.520264842639468E-2</v>
      </c>
      <c r="G21" s="19">
        <f t="shared" si="1"/>
        <v>3.0767949946868562E-3</v>
      </c>
    </row>
    <row r="22" spans="2:7" x14ac:dyDescent="0.35">
      <c r="B22" s="132">
        <v>43248</v>
      </c>
      <c r="C22" s="130">
        <v>105.01056699999999</v>
      </c>
      <c r="D22" s="130">
        <v>2734.6201169999999</v>
      </c>
      <c r="F22" s="19">
        <f t="shared" si="0"/>
        <v>2.0023253240891672E-2</v>
      </c>
      <c r="G22" s="19">
        <f t="shared" si="1"/>
        <v>4.8717692833051924E-3</v>
      </c>
    </row>
    <row r="23" spans="2:7" x14ac:dyDescent="0.35">
      <c r="B23" s="132">
        <v>43255</v>
      </c>
      <c r="C23" s="130">
        <v>106.73236799999999</v>
      </c>
      <c r="D23" s="130">
        <v>2779.030029</v>
      </c>
      <c r="F23" s="19">
        <f t="shared" si="0"/>
        <v>1.6263484317233182E-2</v>
      </c>
      <c r="G23" s="19">
        <f t="shared" si="1"/>
        <v>1.6109427052745217E-2</v>
      </c>
    </row>
    <row r="24" spans="2:7" x14ac:dyDescent="0.35">
      <c r="B24" s="132">
        <v>43262</v>
      </c>
      <c r="C24" s="130">
        <v>108.279068</v>
      </c>
      <c r="D24" s="130">
        <v>2779.6599120000001</v>
      </c>
      <c r="F24" s="19">
        <f t="shared" si="0"/>
        <v>1.4387389888365819E-2</v>
      </c>
      <c r="G24" s="19">
        <f t="shared" si="1"/>
        <v>2.2663001872078365E-4</v>
      </c>
    </row>
    <row r="25" spans="2:7" x14ac:dyDescent="0.35">
      <c r="B25" s="132">
        <v>43269</v>
      </c>
      <c r="C25" s="130">
        <v>108.989197</v>
      </c>
      <c r="D25" s="130">
        <v>2754.8798830000001</v>
      </c>
      <c r="F25" s="19">
        <f t="shared" si="0"/>
        <v>6.5369098309839106E-3</v>
      </c>
      <c r="G25" s="19">
        <f t="shared" si="1"/>
        <v>-8.9547443888423946E-3</v>
      </c>
    </row>
    <row r="26" spans="2:7" x14ac:dyDescent="0.35">
      <c r="B26" s="132">
        <v>43276</v>
      </c>
      <c r="C26" s="130">
        <v>106.946381</v>
      </c>
      <c r="D26" s="130">
        <v>2718.3701169999999</v>
      </c>
      <c r="F26" s="19">
        <f t="shared" si="0"/>
        <v>-1.8921170511951774E-2</v>
      </c>
      <c r="G26" s="19">
        <f t="shared" si="1"/>
        <v>-1.3341363005702964E-2</v>
      </c>
    </row>
    <row r="27" spans="2:7" x14ac:dyDescent="0.35">
      <c r="B27" s="132">
        <v>43283</v>
      </c>
      <c r="C27" s="130">
        <v>107.48139999999999</v>
      </c>
      <c r="D27" s="130">
        <v>2759.820068</v>
      </c>
      <c r="F27" s="19">
        <f t="shared" si="0"/>
        <v>4.9902126279339929E-3</v>
      </c>
      <c r="G27" s="19">
        <f t="shared" si="1"/>
        <v>1.5133005838636155E-2</v>
      </c>
    </row>
    <row r="28" spans="2:7" x14ac:dyDescent="0.35">
      <c r="B28" s="132">
        <v>43290</v>
      </c>
      <c r="C28" s="130">
        <v>112.326797</v>
      </c>
      <c r="D28" s="130">
        <v>2801.3100589999999</v>
      </c>
      <c r="F28" s="19">
        <f t="shared" si="0"/>
        <v>4.4094643706052893E-2</v>
      </c>
      <c r="G28" s="19">
        <f t="shared" si="1"/>
        <v>1.4921701124265808E-2</v>
      </c>
    </row>
    <row r="29" spans="2:7" x14ac:dyDescent="0.35">
      <c r="B29" s="132">
        <v>43297</v>
      </c>
      <c r="C29" s="130">
        <v>111.847992</v>
      </c>
      <c r="D29" s="130">
        <v>2801.830078</v>
      </c>
      <c r="F29" s="19">
        <f t="shared" si="0"/>
        <v>-4.271717887826927E-3</v>
      </c>
      <c r="G29" s="19">
        <f t="shared" si="1"/>
        <v>1.8561698932334234E-4</v>
      </c>
    </row>
    <row r="30" spans="2:7" x14ac:dyDescent="0.35">
      <c r="B30" s="132">
        <v>43304</v>
      </c>
      <c r="C30" s="130">
        <v>104.284615</v>
      </c>
      <c r="D30" s="130">
        <v>2818.820068</v>
      </c>
      <c r="F30" s="19">
        <f t="shared" si="0"/>
        <v>-7.0016891224203626E-2</v>
      </c>
      <c r="G30" s="19">
        <f t="shared" si="1"/>
        <v>6.0455788230671156E-3</v>
      </c>
    </row>
    <row r="31" spans="2:7" x14ac:dyDescent="0.35">
      <c r="B31" s="132">
        <v>43311</v>
      </c>
      <c r="C31" s="130">
        <v>106.35623200000001</v>
      </c>
      <c r="D31" s="130">
        <v>2840.3500979999999</v>
      </c>
      <c r="F31" s="19">
        <f t="shared" si="0"/>
        <v>1.9670294959397934E-2</v>
      </c>
      <c r="G31" s="19">
        <f t="shared" si="1"/>
        <v>7.6089367322167041E-3</v>
      </c>
    </row>
    <row r="32" spans="2:7" x14ac:dyDescent="0.35">
      <c r="B32" s="132">
        <v>43318</v>
      </c>
      <c r="C32" s="130">
        <v>106.053307</v>
      </c>
      <c r="D32" s="130">
        <v>2833.280029</v>
      </c>
      <c r="F32" s="19">
        <f t="shared" si="0"/>
        <v>-2.8522749665193278E-3</v>
      </c>
      <c r="G32" s="19">
        <f t="shared" si="1"/>
        <v>-2.4922571620971828E-3</v>
      </c>
    </row>
    <row r="33" spans="2:7" x14ac:dyDescent="0.35">
      <c r="B33" s="132">
        <v>43325</v>
      </c>
      <c r="C33" s="130">
        <v>108.896912</v>
      </c>
      <c r="D33" s="130">
        <v>2850.1298830000001</v>
      </c>
      <c r="F33" s="19">
        <f t="shared" si="0"/>
        <v>2.6459809318139224E-2</v>
      </c>
      <c r="G33" s="19">
        <f t="shared" si="1"/>
        <v>5.9295048675272839E-3</v>
      </c>
    </row>
    <row r="34" spans="2:7" x14ac:dyDescent="0.35">
      <c r="B34" s="132">
        <v>43332</v>
      </c>
      <c r="C34" s="130">
        <v>107.988129</v>
      </c>
      <c r="D34" s="130">
        <v>2874.6899410000001</v>
      </c>
      <c r="F34" s="19">
        <f t="shared" si="0"/>
        <v>-8.3803688304195448E-3</v>
      </c>
      <c r="G34" s="19">
        <f t="shared" si="1"/>
        <v>8.580255600155972E-3</v>
      </c>
    </row>
    <row r="35" spans="2:7" x14ac:dyDescent="0.35">
      <c r="B35" s="132">
        <v>43339</v>
      </c>
      <c r="C35" s="130">
        <v>107.47022200000001</v>
      </c>
      <c r="D35" s="130">
        <v>2901.5200199999999</v>
      </c>
      <c r="F35" s="19">
        <f t="shared" si="0"/>
        <v>-4.8074998725936091E-3</v>
      </c>
      <c r="G35" s="19">
        <f t="shared" si="1"/>
        <v>9.2899226793400173E-3</v>
      </c>
    </row>
    <row r="36" spans="2:7" x14ac:dyDescent="0.35">
      <c r="B36" s="132">
        <v>43346</v>
      </c>
      <c r="C36" s="130">
        <v>106.854591</v>
      </c>
      <c r="D36" s="130">
        <v>2871.679932</v>
      </c>
      <c r="F36" s="19">
        <f t="shared" si="0"/>
        <v>-5.7448569257147484E-3</v>
      </c>
      <c r="G36" s="19">
        <f t="shared" si="1"/>
        <v>-1.0337543818186678E-2</v>
      </c>
    </row>
    <row r="37" spans="2:7" x14ac:dyDescent="0.35">
      <c r="B37" s="132">
        <v>43353</v>
      </c>
      <c r="C37" s="130">
        <v>105.721069</v>
      </c>
      <c r="D37" s="130">
        <v>2904.9799800000001</v>
      </c>
      <c r="F37" s="19">
        <f t="shared" si="0"/>
        <v>-1.0664746317410436E-2</v>
      </c>
      <c r="G37" s="19">
        <f t="shared" si="1"/>
        <v>1.1529298027954622E-2</v>
      </c>
    </row>
    <row r="38" spans="2:7" x14ac:dyDescent="0.35">
      <c r="B38" s="132">
        <v>43360</v>
      </c>
      <c r="C38" s="130">
        <v>105.15430499999999</v>
      </c>
      <c r="D38" s="130">
        <v>2929.669922</v>
      </c>
      <c r="F38" s="19">
        <f t="shared" si="0"/>
        <v>-5.3753584778013395E-3</v>
      </c>
      <c r="G38" s="19">
        <f t="shared" si="1"/>
        <v>8.4632633615978944E-3</v>
      </c>
    </row>
    <row r="39" spans="2:7" x14ac:dyDescent="0.35">
      <c r="B39" s="132">
        <v>43367</v>
      </c>
      <c r="C39" s="130">
        <v>105.447456</v>
      </c>
      <c r="D39" s="130">
        <v>2913.9799800000001</v>
      </c>
      <c r="F39" s="19">
        <f t="shared" si="0"/>
        <v>2.7839386332040267E-3</v>
      </c>
      <c r="G39" s="19">
        <f t="shared" si="1"/>
        <v>-5.3699246074479902E-3</v>
      </c>
    </row>
    <row r="40" spans="2:7" x14ac:dyDescent="0.35">
      <c r="B40" s="132">
        <v>43374</v>
      </c>
      <c r="C40" s="130">
        <v>100.971977</v>
      </c>
      <c r="D40" s="130">
        <v>2885.570068</v>
      </c>
      <c r="F40" s="19">
        <f t="shared" si="0"/>
        <v>-4.3369758558125894E-2</v>
      </c>
      <c r="G40" s="19">
        <f t="shared" si="1"/>
        <v>-9.7973598006739562E-3</v>
      </c>
    </row>
    <row r="41" spans="2:7" x14ac:dyDescent="0.35">
      <c r="B41" s="132">
        <v>43381</v>
      </c>
      <c r="C41" s="130">
        <v>98.425483999999997</v>
      </c>
      <c r="D41" s="130">
        <v>2767.1298830000001</v>
      </c>
      <c r="F41" s="19">
        <f t="shared" si="0"/>
        <v>-2.5543268630286171E-2</v>
      </c>
      <c r="G41" s="19">
        <f t="shared" si="1"/>
        <v>-4.1911837956969282E-2</v>
      </c>
    </row>
    <row r="42" spans="2:7" x14ac:dyDescent="0.35">
      <c r="B42" s="132">
        <v>43388</v>
      </c>
      <c r="C42" s="130">
        <v>100.634529</v>
      </c>
      <c r="D42" s="130">
        <v>2767.780029</v>
      </c>
      <c r="F42" s="19">
        <f t="shared" si="0"/>
        <v>2.2195675124242524E-2</v>
      </c>
      <c r="G42" s="19">
        <f t="shared" si="1"/>
        <v>2.3492559529497125E-4</v>
      </c>
    </row>
    <row r="43" spans="2:7" x14ac:dyDescent="0.35">
      <c r="B43" s="132">
        <v>43395</v>
      </c>
      <c r="C43" s="130">
        <v>89.805274999999995</v>
      </c>
      <c r="D43" s="130">
        <v>2658.6899410000001</v>
      </c>
      <c r="F43" s="19">
        <f t="shared" si="0"/>
        <v>-0.11385171416075016</v>
      </c>
      <c r="G43" s="19">
        <f t="shared" si="1"/>
        <v>-4.0212067215141631E-2</v>
      </c>
    </row>
    <row r="44" spans="2:7" x14ac:dyDescent="0.35">
      <c r="B44" s="132">
        <v>43402</v>
      </c>
      <c r="C44" s="130">
        <v>91.680519000000004</v>
      </c>
      <c r="D44" s="130">
        <v>2723.0600589999999</v>
      </c>
      <c r="F44" s="19">
        <f t="shared" si="0"/>
        <v>2.0666198714132687E-2</v>
      </c>
      <c r="G44" s="19">
        <f t="shared" si="1"/>
        <v>2.392277154589377E-2</v>
      </c>
    </row>
    <row r="45" spans="2:7" x14ac:dyDescent="0.35">
      <c r="B45" s="132">
        <v>43409</v>
      </c>
      <c r="C45" s="130">
        <v>95.558623999999995</v>
      </c>
      <c r="D45" s="130">
        <v>2781.01001</v>
      </c>
      <c r="F45" s="19">
        <f t="shared" si="0"/>
        <v>4.1430009078503256E-2</v>
      </c>
      <c r="G45" s="19">
        <f t="shared" si="1"/>
        <v>2.1057905033601013E-2</v>
      </c>
    </row>
    <row r="46" spans="2:7" x14ac:dyDescent="0.35">
      <c r="B46" s="132">
        <v>43416</v>
      </c>
      <c r="C46" s="130">
        <v>94.105559999999997</v>
      </c>
      <c r="D46" s="130">
        <v>2736.2700199999999</v>
      </c>
      <c r="F46" s="19">
        <f t="shared" si="0"/>
        <v>-1.532279209921354E-2</v>
      </c>
      <c r="G46" s="19">
        <f t="shared" si="1"/>
        <v>-1.6218488258933111E-2</v>
      </c>
    </row>
    <row r="47" spans="2:7" x14ac:dyDescent="0.35">
      <c r="B47" s="132">
        <v>43423</v>
      </c>
      <c r="C47" s="130">
        <v>92.348145000000002</v>
      </c>
      <c r="D47" s="130">
        <v>2632.5600589999999</v>
      </c>
      <c r="F47" s="19">
        <f t="shared" si="0"/>
        <v>-1.8851511107912756E-2</v>
      </c>
      <c r="G47" s="19">
        <f t="shared" si="1"/>
        <v>-3.8638907210388186E-2</v>
      </c>
    </row>
    <row r="48" spans="2:7" x14ac:dyDescent="0.35">
      <c r="B48" s="132">
        <v>43430</v>
      </c>
      <c r="C48" s="130">
        <v>86.958061000000001</v>
      </c>
      <c r="D48" s="130">
        <v>2760.169922</v>
      </c>
      <c r="F48" s="19">
        <f t="shared" si="0"/>
        <v>-6.0139674860284369E-2</v>
      </c>
      <c r="G48" s="19">
        <f t="shared" si="1"/>
        <v>4.7335464575286881E-2</v>
      </c>
    </row>
    <row r="49" spans="2:7" x14ac:dyDescent="0.35">
      <c r="B49" s="132">
        <v>43437</v>
      </c>
      <c r="C49" s="130">
        <v>85.966437999999997</v>
      </c>
      <c r="D49" s="130">
        <v>2633.080078</v>
      </c>
      <c r="F49" s="19">
        <f t="shared" si="0"/>
        <v>-1.1468980686326648E-2</v>
      </c>
      <c r="G49" s="19">
        <f t="shared" si="1"/>
        <v>-4.7137950507420104E-2</v>
      </c>
    </row>
    <row r="50" spans="2:7" x14ac:dyDescent="0.35">
      <c r="B50" s="132">
        <v>43444</v>
      </c>
      <c r="C50" s="130">
        <v>83.924294000000003</v>
      </c>
      <c r="D50" s="130">
        <v>2599.9499510000001</v>
      </c>
      <c r="F50" s="19">
        <f t="shared" si="0"/>
        <v>-2.4041833712083675E-2</v>
      </c>
      <c r="G50" s="19">
        <f t="shared" si="1"/>
        <v>-1.2662098041787133E-2</v>
      </c>
    </row>
    <row r="51" spans="2:7" x14ac:dyDescent="0.35">
      <c r="B51" s="132">
        <v>43451</v>
      </c>
      <c r="C51" s="130">
        <v>80.213081000000003</v>
      </c>
      <c r="D51" s="130">
        <v>2416.6201169999999</v>
      </c>
      <c r="F51" s="19">
        <f t="shared" si="0"/>
        <v>-4.522852424736077E-2</v>
      </c>
      <c r="G51" s="19">
        <f t="shared" si="1"/>
        <v>-7.3122277144849715E-2</v>
      </c>
    </row>
    <row r="52" spans="2:7" x14ac:dyDescent="0.35">
      <c r="B52" s="132">
        <v>43458</v>
      </c>
      <c r="C52" s="130">
        <v>80.517448000000002</v>
      </c>
      <c r="D52" s="130">
        <v>2485.73999</v>
      </c>
      <c r="F52" s="19">
        <f t="shared" si="0"/>
        <v>3.7872999697627094E-3</v>
      </c>
      <c r="G52" s="19">
        <f t="shared" si="1"/>
        <v>2.820047983437618E-2</v>
      </c>
    </row>
    <row r="53" spans="2:7" x14ac:dyDescent="0.35">
      <c r="B53" s="132">
        <v>43465</v>
      </c>
      <c r="C53" s="130">
        <v>81.204704000000007</v>
      </c>
      <c r="D53" s="130">
        <v>2531.9399410000001</v>
      </c>
      <c r="F53" s="19">
        <f t="shared" si="0"/>
        <v>8.4992702439228018E-3</v>
      </c>
      <c r="G53" s="19">
        <f t="shared" si="1"/>
        <v>1.8415386100102221E-2</v>
      </c>
    </row>
    <row r="54" spans="2:7" x14ac:dyDescent="0.35">
      <c r="B54" s="132">
        <v>43472</v>
      </c>
      <c r="C54" s="130">
        <v>83.482483000000002</v>
      </c>
      <c r="D54" s="130">
        <v>2596.26001</v>
      </c>
      <c r="F54" s="19">
        <f t="shared" si="0"/>
        <v>2.7663648893662858E-2</v>
      </c>
      <c r="G54" s="19">
        <f t="shared" si="1"/>
        <v>2.5086167745253206E-2</v>
      </c>
    </row>
    <row r="55" spans="2:7" x14ac:dyDescent="0.35">
      <c r="B55" s="132">
        <v>43479</v>
      </c>
      <c r="C55" s="130">
        <v>85.993804999999995</v>
      </c>
      <c r="D55" s="130">
        <v>2670.709961</v>
      </c>
      <c r="F55" s="19">
        <f t="shared" si="0"/>
        <v>2.9638433357309511E-2</v>
      </c>
      <c r="G55" s="19">
        <f t="shared" si="1"/>
        <v>2.8272388300819334E-2</v>
      </c>
    </row>
    <row r="56" spans="2:7" x14ac:dyDescent="0.35">
      <c r="B56" s="132">
        <v>43486</v>
      </c>
      <c r="C56" s="130">
        <v>84.912666000000002</v>
      </c>
      <c r="D56" s="130">
        <v>2664.76001</v>
      </c>
      <c r="F56" s="19">
        <f t="shared" si="0"/>
        <v>-1.2651989306011763E-2</v>
      </c>
      <c r="G56" s="19">
        <f t="shared" si="1"/>
        <v>-2.2303390324746237E-3</v>
      </c>
    </row>
    <row r="57" spans="2:7" x14ac:dyDescent="0.35">
      <c r="B57" s="132">
        <v>43493</v>
      </c>
      <c r="C57" s="130">
        <v>87.169449</v>
      </c>
      <c r="D57" s="130">
        <v>2706.530029</v>
      </c>
      <c r="F57" s="19">
        <f t="shared" si="0"/>
        <v>2.6230644552379709E-2</v>
      </c>
      <c r="G57" s="19">
        <f t="shared" si="1"/>
        <v>1.5553381304669319E-2</v>
      </c>
    </row>
    <row r="58" spans="2:7" x14ac:dyDescent="0.35">
      <c r="B58" s="132">
        <v>43500</v>
      </c>
      <c r="C58" s="130">
        <v>88.571235999999999</v>
      </c>
      <c r="D58" s="130">
        <v>2707.8798830000001</v>
      </c>
      <c r="F58" s="19">
        <f t="shared" si="0"/>
        <v>1.5953240766393994E-2</v>
      </c>
      <c r="G58" s="19">
        <f t="shared" si="1"/>
        <v>4.98615380034194E-4</v>
      </c>
    </row>
    <row r="59" spans="2:7" x14ac:dyDescent="0.35">
      <c r="B59" s="132">
        <v>43507</v>
      </c>
      <c r="C59" s="130">
        <v>87.298691000000005</v>
      </c>
      <c r="D59" s="130">
        <v>2775.6000979999999</v>
      </c>
      <c r="F59" s="19">
        <f t="shared" si="0"/>
        <v>-1.4471686327393792E-2</v>
      </c>
      <c r="G59" s="19">
        <f t="shared" si="1"/>
        <v>2.4700977636231729E-2</v>
      </c>
    </row>
    <row r="60" spans="2:7" x14ac:dyDescent="0.35">
      <c r="B60" s="132">
        <v>43514</v>
      </c>
      <c r="C60" s="130">
        <v>87.288749999999993</v>
      </c>
      <c r="D60" s="130">
        <v>2792.669922</v>
      </c>
      <c r="F60" s="19">
        <f t="shared" si="0"/>
        <v>-1.1387989827691108E-4</v>
      </c>
      <c r="G60" s="19">
        <f t="shared" si="1"/>
        <v>6.1311241771149416E-3</v>
      </c>
    </row>
    <row r="61" spans="2:7" x14ac:dyDescent="0.35">
      <c r="B61" s="132">
        <v>43521</v>
      </c>
      <c r="C61" s="130">
        <v>85.906845000000004</v>
      </c>
      <c r="D61" s="130">
        <v>2803.6899410000001</v>
      </c>
      <c r="F61" s="19">
        <f t="shared" si="0"/>
        <v>-1.5958077065742322E-2</v>
      </c>
      <c r="G61" s="19">
        <f t="shared" si="1"/>
        <v>3.9382861407176529E-3</v>
      </c>
    </row>
    <row r="62" spans="2:7" x14ac:dyDescent="0.35">
      <c r="B62" s="132">
        <v>43528</v>
      </c>
      <c r="C62" s="130">
        <v>83.878722999999994</v>
      </c>
      <c r="D62" s="130">
        <v>2743.070068</v>
      </c>
      <c r="F62" s="19">
        <f t="shared" si="0"/>
        <v>-2.3891529708377164E-2</v>
      </c>
      <c r="G62" s="19">
        <f t="shared" si="1"/>
        <v>-2.1858629744985571E-2</v>
      </c>
    </row>
    <row r="63" spans="2:7" x14ac:dyDescent="0.35">
      <c r="B63" s="132">
        <v>43535</v>
      </c>
      <c r="C63" s="130">
        <v>87.934959000000006</v>
      </c>
      <c r="D63" s="130">
        <v>2822.4799800000001</v>
      </c>
      <c r="F63" s="19">
        <f t="shared" si="0"/>
        <v>4.7225457146614393E-2</v>
      </c>
      <c r="G63" s="19">
        <f t="shared" si="1"/>
        <v>2.8538168090083235E-2</v>
      </c>
    </row>
    <row r="64" spans="2:7" x14ac:dyDescent="0.35">
      <c r="B64" s="132">
        <v>43542</v>
      </c>
      <c r="C64" s="130">
        <v>88.720359999999999</v>
      </c>
      <c r="D64" s="130">
        <v>2800.709961</v>
      </c>
      <c r="F64" s="19">
        <f t="shared" si="0"/>
        <v>8.8919618087912669E-3</v>
      </c>
      <c r="G64" s="19">
        <f t="shared" si="1"/>
        <v>-7.7429814729792438E-3</v>
      </c>
    </row>
    <row r="65" spans="2:7" x14ac:dyDescent="0.35">
      <c r="B65" s="132">
        <v>43549</v>
      </c>
      <c r="C65" s="130">
        <v>89.3964</v>
      </c>
      <c r="D65" s="130">
        <v>2834.3999020000001</v>
      </c>
      <c r="F65" s="19">
        <f t="shared" si="0"/>
        <v>7.5910121687691951E-3</v>
      </c>
      <c r="G65" s="19">
        <f t="shared" si="1"/>
        <v>1.1957297453017672E-2</v>
      </c>
    </row>
    <row r="66" spans="2:7" x14ac:dyDescent="0.35">
      <c r="B66" s="132">
        <v>43556</v>
      </c>
      <c r="C66" s="130">
        <v>90.241455000000002</v>
      </c>
      <c r="D66" s="130">
        <v>2892.73999</v>
      </c>
      <c r="F66" s="19">
        <f t="shared" si="0"/>
        <v>9.4084983776799441E-3</v>
      </c>
      <c r="G66" s="19">
        <f t="shared" si="1"/>
        <v>2.0373906399341182E-2</v>
      </c>
    </row>
    <row r="67" spans="2:7" x14ac:dyDescent="0.35">
      <c r="B67" s="132">
        <v>43563</v>
      </c>
      <c r="C67" s="130">
        <v>89.879997000000003</v>
      </c>
      <c r="D67" s="130">
        <v>2907.4099120000001</v>
      </c>
      <c r="F67" s="19">
        <f t="shared" si="0"/>
        <v>-4.0134973506857725E-3</v>
      </c>
      <c r="G67" s="19">
        <f t="shared" si="1"/>
        <v>5.0584738426447959E-3</v>
      </c>
    </row>
    <row r="68" spans="2:7" x14ac:dyDescent="0.35">
      <c r="B68" s="132">
        <v>43570</v>
      </c>
      <c r="C68" s="130">
        <v>85.75</v>
      </c>
      <c r="D68" s="130">
        <v>2905.030029</v>
      </c>
      <c r="F68" s="19">
        <f t="shared" si="0"/>
        <v>-4.7039327893241514E-2</v>
      </c>
      <c r="G68" s="19">
        <f t="shared" si="1"/>
        <v>-8.1889298028035189E-4</v>
      </c>
    </row>
    <row r="69" spans="2:7" x14ac:dyDescent="0.35">
      <c r="B69" s="132">
        <v>43577</v>
      </c>
      <c r="C69" s="130">
        <v>95.339995999999999</v>
      </c>
      <c r="D69" s="130">
        <v>2939.8798830000001</v>
      </c>
      <c r="F69" s="19">
        <f t="shared" ref="F69:F72" si="2">LN(C69/C68)</f>
        <v>0.10601332177552143</v>
      </c>
      <c r="G69" s="19">
        <f t="shared" ref="G69:G72" si="3">LN(D69/D68)</f>
        <v>1.1924997137895669E-2</v>
      </c>
    </row>
    <row r="70" spans="2:7" x14ac:dyDescent="0.35">
      <c r="B70" s="132">
        <v>43584</v>
      </c>
      <c r="C70" s="130">
        <v>98.790001000000004</v>
      </c>
      <c r="D70" s="130">
        <v>2945.639893</v>
      </c>
      <c r="F70" s="19">
        <f t="shared" si="2"/>
        <v>3.5546987357293981E-2</v>
      </c>
      <c r="G70" s="19">
        <f t="shared" si="3"/>
        <v>1.9573502624107681E-3</v>
      </c>
    </row>
    <row r="71" spans="2:7" x14ac:dyDescent="0.35">
      <c r="B71" s="132">
        <v>43591</v>
      </c>
      <c r="C71" s="130">
        <v>99.169998000000007</v>
      </c>
      <c r="D71" s="130">
        <v>2881.3999020000001</v>
      </c>
      <c r="F71" s="19">
        <f t="shared" si="2"/>
        <v>3.8391338517795291E-3</v>
      </c>
      <c r="G71" s="19">
        <f t="shared" si="3"/>
        <v>-2.2049821521927481E-2</v>
      </c>
    </row>
    <row r="72" spans="2:7" x14ac:dyDescent="0.35">
      <c r="B72" s="132">
        <v>43598</v>
      </c>
      <c r="C72" s="130">
        <v>97.230002999999996</v>
      </c>
      <c r="D72" s="130">
        <v>2859.530029</v>
      </c>
      <c r="F72" s="19">
        <f t="shared" si="2"/>
        <v>-1.9756192354404525E-2</v>
      </c>
      <c r="G72" s="19">
        <f t="shared" si="3"/>
        <v>-7.6189673296230441E-3</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FAF5-0EBA-4EFE-AE4C-FD0C8E7A591E}">
  <dimension ref="B2:H8"/>
  <sheetViews>
    <sheetView tabSelected="1" workbookViewId="0">
      <selection activeCell="J13" sqref="J13"/>
    </sheetView>
  </sheetViews>
  <sheetFormatPr defaultRowHeight="16.5" x14ac:dyDescent="0.35"/>
  <cols>
    <col min="1" max="1" width="8.7265625" style="10"/>
    <col min="2" max="2" width="15.7265625" style="10" bestFit="1" customWidth="1"/>
    <col min="3" max="3" width="8.81640625" style="10" bestFit="1" customWidth="1"/>
    <col min="4" max="5" width="8.7265625" style="10"/>
    <col min="6" max="6" width="17.08984375" style="10" bestFit="1" customWidth="1"/>
    <col min="7" max="7" width="12.1796875" style="10" bestFit="1" customWidth="1"/>
    <col min="8" max="16384" width="8.7265625" style="10"/>
  </cols>
  <sheetData>
    <row r="2" spans="2:8" x14ac:dyDescent="0.35">
      <c r="B2" s="129" t="s">
        <v>125</v>
      </c>
      <c r="C2" s="129"/>
    </row>
    <row r="3" spans="2:8" x14ac:dyDescent="0.35">
      <c r="B3" s="10" t="s">
        <v>188</v>
      </c>
      <c r="C3" s="10">
        <v>3429</v>
      </c>
      <c r="D3" s="10" t="s">
        <v>190</v>
      </c>
      <c r="F3" s="10" t="s">
        <v>132</v>
      </c>
      <c r="G3" s="10">
        <v>97.08</v>
      </c>
    </row>
    <row r="4" spans="2:8" x14ac:dyDescent="0.35">
      <c r="B4" s="10" t="s">
        <v>189</v>
      </c>
      <c r="C4" s="10">
        <v>13008.72</v>
      </c>
      <c r="D4" s="10" t="s">
        <v>190</v>
      </c>
      <c r="F4" s="10" t="s">
        <v>131</v>
      </c>
      <c r="G4" s="10">
        <v>134</v>
      </c>
      <c r="H4" s="10" t="s">
        <v>190</v>
      </c>
    </row>
    <row r="5" spans="2:8" x14ac:dyDescent="0.35">
      <c r="B5" s="10" t="s">
        <v>78</v>
      </c>
      <c r="C5" s="16">
        <v>4.1399999999999999E-2</v>
      </c>
      <c r="F5" s="10" t="s">
        <v>189</v>
      </c>
      <c r="G5" s="130">
        <f>G3*G4</f>
        <v>13008.72</v>
      </c>
      <c r="H5" s="10" t="s">
        <v>190</v>
      </c>
    </row>
    <row r="6" spans="2:8" x14ac:dyDescent="0.35">
      <c r="B6" s="10" t="s">
        <v>170</v>
      </c>
      <c r="C6" s="16">
        <v>0.10290000000000001</v>
      </c>
    </row>
    <row r="7" spans="2:8" x14ac:dyDescent="0.35">
      <c r="B7" s="10" t="s">
        <v>80</v>
      </c>
      <c r="C7" s="19">
        <v>0.29430000000000001</v>
      </c>
    </row>
    <row r="8" spans="2:8" x14ac:dyDescent="0.35">
      <c r="B8" s="138" t="s">
        <v>125</v>
      </c>
      <c r="C8" s="19">
        <f>C3/SUM(C3:C4)*C5*(1-C7)+C4/SUM(C3:C4)*C6</f>
        <v>8.7529102784327739E-2</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Balance Sheet</vt:lpstr>
      <vt:lpstr>Income Statement</vt:lpstr>
      <vt:lpstr>Proforma</vt:lpstr>
      <vt:lpstr>Assumptions</vt:lpstr>
      <vt:lpstr> Market Risk Premium</vt:lpstr>
      <vt:lpstr>Cost of debt</vt:lpstr>
      <vt:lpstr>Cost of equity</vt:lpstr>
      <vt:lpstr>Beta</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2019-05-20T21:41:37Z</dcterms:modified>
</cp:coreProperties>
</file>