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5ABA290A-D339-43CB-97C8-C1C79DC5E7E1}" xr6:coauthVersionLast="43" xr6:coauthVersionMax="43" xr10:uidLastSave="{00000000-0000-0000-0000-000000000000}"/>
  <bookViews>
    <workbookView xWindow="-110" yWindow="-110" windowWidth="19420" windowHeight="10420" activeTab="5" xr2:uid="{00000000-000D-0000-FFFF-FFFF00000000}"/>
  </bookViews>
  <sheets>
    <sheet name="VarCov" sheetId="1" r:id="rId1"/>
    <sheet name="COMPUTING RETURNS AND BETAS" sheetId="3" r:id="rId2"/>
    <sheet name="Data" sheetId="2" r:id="rId3"/>
    <sheet name="Prop 1 and  2" sheetId="4" r:id="rId4"/>
    <sheet name="Prop 3" sheetId="6" r:id="rId5"/>
    <sheet name="Sheet1" sheetId="7" r:id="rId6"/>
  </sheets>
  <definedNames>
    <definedName name="mean">VarCov!$F$3:$F$6</definedName>
    <definedName name="Port1">VarCov!$H$3:$H$6</definedName>
    <definedName name="Port2">VarCov!$I$3:$I$6</definedName>
    <definedName name="VarCor">VarCov!$A$3:$D$6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1" i="6" l="1"/>
  <c r="B27" i="6"/>
  <c r="B28" i="6"/>
  <c r="B29" i="6"/>
  <c r="C10" i="6" a="1"/>
  <c r="C13" i="6" s="1"/>
  <c r="H19" i="6"/>
  <c r="H24" i="6" s="1"/>
  <c r="I19" i="6"/>
  <c r="I24" i="6" s="1"/>
  <c r="G19" i="6"/>
  <c r="G24" i="6" s="1"/>
  <c r="F19" i="6"/>
  <c r="F24" i="6" s="1"/>
  <c r="E19" i="6"/>
  <c r="E24" i="6" s="1"/>
  <c r="D19" i="6"/>
  <c r="D24" i="6" s="1"/>
  <c r="C24" i="6"/>
  <c r="B24" i="6"/>
  <c r="B10" i="6" a="1"/>
  <c r="B13" i="6" s="1"/>
  <c r="B22" i="4"/>
  <c r="B23" i="4" s="1"/>
  <c r="B26" i="4" s="1"/>
  <c r="B21" i="4"/>
  <c r="C26" i="4" s="1"/>
  <c r="B18" i="4" a="1"/>
  <c r="B18" i="4" s="1"/>
  <c r="C17" i="4"/>
  <c r="B17" i="4"/>
  <c r="C16" i="4" a="1"/>
  <c r="C16" i="4" s="1"/>
  <c r="B16" i="4" a="1"/>
  <c r="B16" i="4" s="1"/>
  <c r="C15" i="4"/>
  <c r="B15" i="4"/>
  <c r="C10" i="4" a="1"/>
  <c r="C12" i="4" s="1"/>
  <c r="B10" i="4" a="1"/>
  <c r="B12" i="4" s="1"/>
  <c r="C27" i="6"/>
  <c r="M20" i="3"/>
  <c r="C10" i="6" l="1"/>
  <c r="C11" i="6"/>
  <c r="C12" i="6"/>
  <c r="B10" i="6"/>
  <c r="B11" i="6"/>
  <c r="B12" i="6"/>
  <c r="C11" i="4"/>
  <c r="C13" i="4"/>
  <c r="C10" i="4"/>
  <c r="B13" i="4"/>
  <c r="B11" i="4"/>
  <c r="B10" i="4"/>
  <c r="C18" i="3"/>
  <c r="D18" i="3"/>
  <c r="E18" i="3"/>
  <c r="F18" i="3"/>
  <c r="G18" i="3"/>
  <c r="H18" i="3"/>
  <c r="I18" i="3"/>
  <c r="J18" i="3"/>
  <c r="K18" i="3"/>
  <c r="L18" i="3"/>
  <c r="C19" i="3"/>
  <c r="D19" i="3"/>
  <c r="E19" i="3"/>
  <c r="F19" i="3"/>
  <c r="G19" i="3"/>
  <c r="H19" i="3"/>
  <c r="I19" i="3"/>
  <c r="J19" i="3"/>
  <c r="K19" i="3"/>
  <c r="L19" i="3"/>
  <c r="C20" i="3"/>
  <c r="D20" i="3"/>
  <c r="E20" i="3"/>
  <c r="F20" i="3"/>
  <c r="G20" i="3"/>
  <c r="H20" i="3"/>
  <c r="I20" i="3"/>
  <c r="J20" i="3"/>
  <c r="K20" i="3"/>
  <c r="L20" i="3"/>
  <c r="B18" i="3"/>
  <c r="B20" i="3"/>
  <c r="B19" i="3"/>
  <c r="C15" i="3"/>
  <c r="D15" i="3"/>
  <c r="E15" i="3"/>
  <c r="F15" i="3"/>
  <c r="G15" i="3"/>
  <c r="H15" i="3"/>
  <c r="I15" i="3"/>
  <c r="J15" i="3"/>
  <c r="K15" i="3"/>
  <c r="L15" i="3"/>
  <c r="B15" i="3"/>
  <c r="C14" i="3"/>
  <c r="D14" i="3"/>
  <c r="E14" i="3"/>
  <c r="F14" i="3"/>
  <c r="G14" i="3"/>
  <c r="H14" i="3"/>
  <c r="I14" i="3"/>
  <c r="J14" i="3"/>
  <c r="K14" i="3"/>
  <c r="L14" i="3"/>
  <c r="B14" i="3"/>
  <c r="C13" i="3"/>
  <c r="D13" i="3"/>
  <c r="E13" i="3"/>
  <c r="F13" i="3"/>
  <c r="G13" i="3"/>
  <c r="H13" i="3"/>
  <c r="I13" i="3"/>
  <c r="J13" i="3"/>
  <c r="K13" i="3"/>
  <c r="L13" i="3"/>
  <c r="B13" i="3"/>
  <c r="B9" i="3"/>
  <c r="C9" i="3"/>
  <c r="J9" i="3"/>
  <c r="K9" i="3"/>
  <c r="L10" i="3"/>
  <c r="D8" i="3"/>
  <c r="E8" i="3"/>
  <c r="F8" i="3"/>
  <c r="L8" i="3"/>
  <c r="B8" i="3"/>
  <c r="C3" i="3"/>
  <c r="C8" i="3" s="1"/>
  <c r="D3" i="3"/>
  <c r="E3" i="3"/>
  <c r="F3" i="3"/>
  <c r="G3" i="3"/>
  <c r="G8" i="3" s="1"/>
  <c r="H3" i="3"/>
  <c r="H8" i="3" s="1"/>
  <c r="I3" i="3"/>
  <c r="I8" i="3" s="1"/>
  <c r="J3" i="3"/>
  <c r="J8" i="3" s="1"/>
  <c r="K3" i="3"/>
  <c r="K8" i="3" s="1"/>
  <c r="L3" i="3"/>
  <c r="C4" i="3"/>
  <c r="C5" i="3" s="1"/>
  <c r="C10" i="3" s="1"/>
  <c r="D4" i="3"/>
  <c r="D9" i="3" s="1"/>
  <c r="E4" i="3"/>
  <c r="E9" i="3" s="1"/>
  <c r="F4" i="3"/>
  <c r="F9" i="3" s="1"/>
  <c r="G4" i="3"/>
  <c r="G9" i="3" s="1"/>
  <c r="H4" i="3"/>
  <c r="H5" i="3" s="1"/>
  <c r="H10" i="3" s="1"/>
  <c r="I4" i="3"/>
  <c r="I5" i="3" s="1"/>
  <c r="I10" i="3" s="1"/>
  <c r="J4" i="3"/>
  <c r="K4" i="3"/>
  <c r="K5" i="3" s="1"/>
  <c r="K10" i="3" s="1"/>
  <c r="L4" i="3"/>
  <c r="L9" i="3" s="1"/>
  <c r="D5" i="3"/>
  <c r="D10" i="3" s="1"/>
  <c r="F5" i="3"/>
  <c r="F10" i="3" s="1"/>
  <c r="G5" i="3"/>
  <c r="G10" i="3" s="1"/>
  <c r="J5" i="3"/>
  <c r="J10" i="3" s="1"/>
  <c r="L5" i="3"/>
  <c r="B4" i="3"/>
  <c r="B5" i="3" s="1"/>
  <c r="B10" i="3" s="1"/>
  <c r="B3" i="3"/>
  <c r="Q4" i="2"/>
  <c r="R4" i="2"/>
  <c r="S4" i="2"/>
  <c r="T4" i="2"/>
  <c r="U4" i="2"/>
  <c r="V4" i="2"/>
  <c r="W4" i="2"/>
  <c r="X4" i="2"/>
  <c r="Y4" i="2"/>
  <c r="Z4" i="2"/>
  <c r="Q5" i="2"/>
  <c r="R5" i="2"/>
  <c r="S5" i="2"/>
  <c r="T5" i="2"/>
  <c r="U5" i="2"/>
  <c r="V5" i="2"/>
  <c r="W5" i="2"/>
  <c r="X5" i="2"/>
  <c r="Y5" i="2"/>
  <c r="Z5" i="2"/>
  <c r="Q6" i="2"/>
  <c r="R6" i="2"/>
  <c r="S6" i="2"/>
  <c r="T6" i="2"/>
  <c r="U6" i="2"/>
  <c r="V6" i="2"/>
  <c r="W6" i="2"/>
  <c r="X6" i="2"/>
  <c r="Y6" i="2"/>
  <c r="Z6" i="2"/>
  <c r="Q7" i="2"/>
  <c r="R7" i="2"/>
  <c r="S7" i="2"/>
  <c r="T7" i="2"/>
  <c r="U7" i="2"/>
  <c r="V7" i="2"/>
  <c r="W7" i="2"/>
  <c r="X7" i="2"/>
  <c r="Y7" i="2"/>
  <c r="Z7" i="2"/>
  <c r="Q8" i="2"/>
  <c r="R8" i="2"/>
  <c r="S8" i="2"/>
  <c r="T8" i="2"/>
  <c r="U8" i="2"/>
  <c r="V8" i="2"/>
  <c r="W8" i="2"/>
  <c r="X8" i="2"/>
  <c r="Y8" i="2"/>
  <c r="Z8" i="2"/>
  <c r="Q9" i="2"/>
  <c r="R9" i="2"/>
  <c r="S9" i="2"/>
  <c r="T9" i="2"/>
  <c r="U9" i="2"/>
  <c r="V9" i="2"/>
  <c r="W9" i="2"/>
  <c r="X9" i="2"/>
  <c r="Y9" i="2"/>
  <c r="Z9" i="2"/>
  <c r="Q10" i="2"/>
  <c r="R10" i="2"/>
  <c r="S10" i="2"/>
  <c r="T10" i="2"/>
  <c r="U10" i="2"/>
  <c r="V10" i="2"/>
  <c r="W10" i="2"/>
  <c r="X10" i="2"/>
  <c r="Y10" i="2"/>
  <c r="Z10" i="2"/>
  <c r="Q11" i="2"/>
  <c r="R11" i="2"/>
  <c r="S11" i="2"/>
  <c r="T11" i="2"/>
  <c r="U11" i="2"/>
  <c r="V11" i="2"/>
  <c r="W11" i="2"/>
  <c r="X11" i="2"/>
  <c r="Y11" i="2"/>
  <c r="Z11" i="2"/>
  <c r="Q12" i="2"/>
  <c r="R12" i="2"/>
  <c r="S12" i="2"/>
  <c r="T12" i="2"/>
  <c r="U12" i="2"/>
  <c r="V12" i="2"/>
  <c r="W12" i="2"/>
  <c r="X12" i="2"/>
  <c r="Y12" i="2"/>
  <c r="Z12" i="2"/>
  <c r="Q13" i="2"/>
  <c r="R13" i="2"/>
  <c r="S13" i="2"/>
  <c r="T13" i="2"/>
  <c r="U13" i="2"/>
  <c r="V13" i="2"/>
  <c r="W13" i="2"/>
  <c r="X13" i="2"/>
  <c r="Y13" i="2"/>
  <c r="Z13" i="2"/>
  <c r="Q14" i="2"/>
  <c r="R14" i="2"/>
  <c r="S14" i="2"/>
  <c r="T14" i="2"/>
  <c r="U14" i="2"/>
  <c r="V14" i="2"/>
  <c r="W14" i="2"/>
  <c r="X14" i="2"/>
  <c r="Y14" i="2"/>
  <c r="Z14" i="2"/>
  <c r="Q15" i="2"/>
  <c r="R15" i="2"/>
  <c r="S15" i="2"/>
  <c r="T15" i="2"/>
  <c r="U15" i="2"/>
  <c r="V15" i="2"/>
  <c r="W15" i="2"/>
  <c r="X15" i="2"/>
  <c r="Y15" i="2"/>
  <c r="Z15" i="2"/>
  <c r="Q16" i="2"/>
  <c r="R16" i="2"/>
  <c r="S16" i="2"/>
  <c r="T16" i="2"/>
  <c r="U16" i="2"/>
  <c r="V16" i="2"/>
  <c r="W16" i="2"/>
  <c r="X16" i="2"/>
  <c r="Y16" i="2"/>
  <c r="Z16" i="2"/>
  <c r="Q17" i="2"/>
  <c r="R17" i="2"/>
  <c r="S17" i="2"/>
  <c r="T17" i="2"/>
  <c r="U17" i="2"/>
  <c r="V17" i="2"/>
  <c r="W17" i="2"/>
  <c r="X17" i="2"/>
  <c r="Y17" i="2"/>
  <c r="Z17" i="2"/>
  <c r="Q18" i="2"/>
  <c r="R18" i="2"/>
  <c r="S18" i="2"/>
  <c r="T18" i="2"/>
  <c r="U18" i="2"/>
  <c r="V18" i="2"/>
  <c r="W18" i="2"/>
  <c r="X18" i="2"/>
  <c r="Y18" i="2"/>
  <c r="Z18" i="2"/>
  <c r="Q19" i="2"/>
  <c r="R19" i="2"/>
  <c r="S19" i="2"/>
  <c r="T19" i="2"/>
  <c r="U19" i="2"/>
  <c r="V19" i="2"/>
  <c r="W19" i="2"/>
  <c r="X19" i="2"/>
  <c r="Y19" i="2"/>
  <c r="Z19" i="2"/>
  <c r="Q20" i="2"/>
  <c r="R20" i="2"/>
  <c r="S20" i="2"/>
  <c r="T20" i="2"/>
  <c r="U20" i="2"/>
  <c r="V20" i="2"/>
  <c r="W20" i="2"/>
  <c r="X20" i="2"/>
  <c r="Y20" i="2"/>
  <c r="Z20" i="2"/>
  <c r="Q21" i="2"/>
  <c r="R21" i="2"/>
  <c r="S21" i="2"/>
  <c r="T21" i="2"/>
  <c r="U21" i="2"/>
  <c r="V21" i="2"/>
  <c r="W21" i="2"/>
  <c r="X21" i="2"/>
  <c r="Y21" i="2"/>
  <c r="Z21" i="2"/>
  <c r="Q22" i="2"/>
  <c r="R22" i="2"/>
  <c r="S22" i="2"/>
  <c r="T22" i="2"/>
  <c r="U22" i="2"/>
  <c r="V22" i="2"/>
  <c r="W22" i="2"/>
  <c r="X22" i="2"/>
  <c r="Y22" i="2"/>
  <c r="Z22" i="2"/>
  <c r="Q23" i="2"/>
  <c r="R23" i="2"/>
  <c r="S23" i="2"/>
  <c r="T23" i="2"/>
  <c r="U23" i="2"/>
  <c r="V23" i="2"/>
  <c r="W23" i="2"/>
  <c r="X23" i="2"/>
  <c r="Y23" i="2"/>
  <c r="Z23" i="2"/>
  <c r="Q24" i="2"/>
  <c r="R24" i="2"/>
  <c r="S24" i="2"/>
  <c r="T24" i="2"/>
  <c r="U24" i="2"/>
  <c r="V24" i="2"/>
  <c r="W24" i="2"/>
  <c r="X24" i="2"/>
  <c r="Y24" i="2"/>
  <c r="Z24" i="2"/>
  <c r="Q25" i="2"/>
  <c r="R25" i="2"/>
  <c r="S25" i="2"/>
  <c r="T25" i="2"/>
  <c r="U25" i="2"/>
  <c r="V25" i="2"/>
  <c r="W25" i="2"/>
  <c r="X25" i="2"/>
  <c r="Y25" i="2"/>
  <c r="Z25" i="2"/>
  <c r="Q26" i="2"/>
  <c r="R26" i="2"/>
  <c r="S26" i="2"/>
  <c r="T26" i="2"/>
  <c r="U26" i="2"/>
  <c r="V26" i="2"/>
  <c r="W26" i="2"/>
  <c r="X26" i="2"/>
  <c r="Y26" i="2"/>
  <c r="Z26" i="2"/>
  <c r="Q27" i="2"/>
  <c r="R27" i="2"/>
  <c r="S27" i="2"/>
  <c r="T27" i="2"/>
  <c r="U27" i="2"/>
  <c r="V27" i="2"/>
  <c r="W27" i="2"/>
  <c r="X27" i="2"/>
  <c r="Y27" i="2"/>
  <c r="Z27" i="2"/>
  <c r="Q28" i="2"/>
  <c r="R28" i="2"/>
  <c r="S28" i="2"/>
  <c r="T28" i="2"/>
  <c r="U28" i="2"/>
  <c r="V28" i="2"/>
  <c r="W28" i="2"/>
  <c r="X28" i="2"/>
  <c r="Y28" i="2"/>
  <c r="Z28" i="2"/>
  <c r="Q29" i="2"/>
  <c r="R29" i="2"/>
  <c r="S29" i="2"/>
  <c r="T29" i="2"/>
  <c r="U29" i="2"/>
  <c r="V29" i="2"/>
  <c r="W29" i="2"/>
  <c r="X29" i="2"/>
  <c r="Y29" i="2"/>
  <c r="Z29" i="2"/>
  <c r="Q30" i="2"/>
  <c r="R30" i="2"/>
  <c r="S30" i="2"/>
  <c r="T30" i="2"/>
  <c r="U30" i="2"/>
  <c r="V30" i="2"/>
  <c r="W30" i="2"/>
  <c r="X30" i="2"/>
  <c r="Y30" i="2"/>
  <c r="Z30" i="2"/>
  <c r="Q31" i="2"/>
  <c r="R31" i="2"/>
  <c r="S31" i="2"/>
  <c r="T31" i="2"/>
  <c r="U31" i="2"/>
  <c r="V31" i="2"/>
  <c r="W31" i="2"/>
  <c r="X31" i="2"/>
  <c r="Y31" i="2"/>
  <c r="Z31" i="2"/>
  <c r="Q32" i="2"/>
  <c r="R32" i="2"/>
  <c r="S32" i="2"/>
  <c r="T32" i="2"/>
  <c r="U32" i="2"/>
  <c r="V32" i="2"/>
  <c r="W32" i="2"/>
  <c r="X32" i="2"/>
  <c r="Y32" i="2"/>
  <c r="Z32" i="2"/>
  <c r="Q33" i="2"/>
  <c r="R33" i="2"/>
  <c r="S33" i="2"/>
  <c r="T33" i="2"/>
  <c r="U33" i="2"/>
  <c r="V33" i="2"/>
  <c r="W33" i="2"/>
  <c r="X33" i="2"/>
  <c r="Y33" i="2"/>
  <c r="Z33" i="2"/>
  <c r="Q34" i="2"/>
  <c r="R34" i="2"/>
  <c r="S34" i="2"/>
  <c r="T34" i="2"/>
  <c r="U34" i="2"/>
  <c r="V34" i="2"/>
  <c r="W34" i="2"/>
  <c r="X34" i="2"/>
  <c r="Y34" i="2"/>
  <c r="Z34" i="2"/>
  <c r="Q35" i="2"/>
  <c r="R35" i="2"/>
  <c r="S35" i="2"/>
  <c r="T35" i="2"/>
  <c r="U35" i="2"/>
  <c r="V35" i="2"/>
  <c r="W35" i="2"/>
  <c r="X35" i="2"/>
  <c r="Y35" i="2"/>
  <c r="Z35" i="2"/>
  <c r="Q36" i="2"/>
  <c r="R36" i="2"/>
  <c r="S36" i="2"/>
  <c r="T36" i="2"/>
  <c r="U36" i="2"/>
  <c r="V36" i="2"/>
  <c r="W36" i="2"/>
  <c r="X36" i="2"/>
  <c r="Y36" i="2"/>
  <c r="Z36" i="2"/>
  <c r="Q37" i="2"/>
  <c r="R37" i="2"/>
  <c r="S37" i="2"/>
  <c r="T37" i="2"/>
  <c r="U37" i="2"/>
  <c r="V37" i="2"/>
  <c r="W37" i="2"/>
  <c r="X37" i="2"/>
  <c r="Y37" i="2"/>
  <c r="Z37" i="2"/>
  <c r="Q38" i="2"/>
  <c r="R38" i="2"/>
  <c r="S38" i="2"/>
  <c r="T38" i="2"/>
  <c r="U38" i="2"/>
  <c r="V38" i="2"/>
  <c r="W38" i="2"/>
  <c r="X38" i="2"/>
  <c r="Y38" i="2"/>
  <c r="Z38" i="2"/>
  <c r="Q39" i="2"/>
  <c r="R39" i="2"/>
  <c r="S39" i="2"/>
  <c r="T39" i="2"/>
  <c r="U39" i="2"/>
  <c r="V39" i="2"/>
  <c r="W39" i="2"/>
  <c r="X39" i="2"/>
  <c r="Y39" i="2"/>
  <c r="Z39" i="2"/>
  <c r="Q40" i="2"/>
  <c r="R40" i="2"/>
  <c r="S40" i="2"/>
  <c r="T40" i="2"/>
  <c r="U40" i="2"/>
  <c r="V40" i="2"/>
  <c r="W40" i="2"/>
  <c r="X40" i="2"/>
  <c r="Y40" i="2"/>
  <c r="Z40" i="2"/>
  <c r="Q41" i="2"/>
  <c r="R41" i="2"/>
  <c r="S41" i="2"/>
  <c r="T41" i="2"/>
  <c r="U41" i="2"/>
  <c r="V41" i="2"/>
  <c r="W41" i="2"/>
  <c r="X41" i="2"/>
  <c r="Y41" i="2"/>
  <c r="Z41" i="2"/>
  <c r="Q42" i="2"/>
  <c r="R42" i="2"/>
  <c r="S42" i="2"/>
  <c r="T42" i="2"/>
  <c r="U42" i="2"/>
  <c r="V42" i="2"/>
  <c r="W42" i="2"/>
  <c r="X42" i="2"/>
  <c r="Y42" i="2"/>
  <c r="Z42" i="2"/>
  <c r="Q43" i="2"/>
  <c r="R43" i="2"/>
  <c r="S43" i="2"/>
  <c r="T43" i="2"/>
  <c r="U43" i="2"/>
  <c r="V43" i="2"/>
  <c r="W43" i="2"/>
  <c r="X43" i="2"/>
  <c r="Y43" i="2"/>
  <c r="Z43" i="2"/>
  <c r="Q44" i="2"/>
  <c r="R44" i="2"/>
  <c r="S44" i="2"/>
  <c r="T44" i="2"/>
  <c r="U44" i="2"/>
  <c r="V44" i="2"/>
  <c r="W44" i="2"/>
  <c r="X44" i="2"/>
  <c r="Y44" i="2"/>
  <c r="Z44" i="2"/>
  <c r="Q45" i="2"/>
  <c r="R45" i="2"/>
  <c r="S45" i="2"/>
  <c r="T45" i="2"/>
  <c r="U45" i="2"/>
  <c r="V45" i="2"/>
  <c r="W45" i="2"/>
  <c r="X45" i="2"/>
  <c r="Y45" i="2"/>
  <c r="Z45" i="2"/>
  <c r="Q46" i="2"/>
  <c r="R46" i="2"/>
  <c r="S46" i="2"/>
  <c r="T46" i="2"/>
  <c r="U46" i="2"/>
  <c r="V46" i="2"/>
  <c r="W46" i="2"/>
  <c r="X46" i="2"/>
  <c r="Y46" i="2"/>
  <c r="Z46" i="2"/>
  <c r="Q47" i="2"/>
  <c r="R47" i="2"/>
  <c r="S47" i="2"/>
  <c r="T47" i="2"/>
  <c r="U47" i="2"/>
  <c r="V47" i="2"/>
  <c r="W47" i="2"/>
  <c r="X47" i="2"/>
  <c r="Y47" i="2"/>
  <c r="Z47" i="2"/>
  <c r="Q48" i="2"/>
  <c r="R48" i="2"/>
  <c r="S48" i="2"/>
  <c r="T48" i="2"/>
  <c r="U48" i="2"/>
  <c r="V48" i="2"/>
  <c r="W48" i="2"/>
  <c r="X48" i="2"/>
  <c r="Y48" i="2"/>
  <c r="Z48" i="2"/>
  <c r="Q49" i="2"/>
  <c r="R49" i="2"/>
  <c r="S49" i="2"/>
  <c r="T49" i="2"/>
  <c r="U49" i="2"/>
  <c r="V49" i="2"/>
  <c r="W49" i="2"/>
  <c r="X49" i="2"/>
  <c r="Y49" i="2"/>
  <c r="Z49" i="2"/>
  <c r="Q50" i="2"/>
  <c r="R50" i="2"/>
  <c r="S50" i="2"/>
  <c r="T50" i="2"/>
  <c r="U50" i="2"/>
  <c r="V50" i="2"/>
  <c r="W50" i="2"/>
  <c r="X50" i="2"/>
  <c r="Y50" i="2"/>
  <c r="Z50" i="2"/>
  <c r="Q51" i="2"/>
  <c r="R51" i="2"/>
  <c r="S51" i="2"/>
  <c r="T51" i="2"/>
  <c r="U51" i="2"/>
  <c r="V51" i="2"/>
  <c r="W51" i="2"/>
  <c r="X51" i="2"/>
  <c r="Y51" i="2"/>
  <c r="Z51" i="2"/>
  <c r="Q52" i="2"/>
  <c r="R52" i="2"/>
  <c r="S52" i="2"/>
  <c r="T52" i="2"/>
  <c r="U52" i="2"/>
  <c r="V52" i="2"/>
  <c r="W52" i="2"/>
  <c r="X52" i="2"/>
  <c r="Y52" i="2"/>
  <c r="Z52" i="2"/>
  <c r="Q53" i="2"/>
  <c r="R53" i="2"/>
  <c r="S53" i="2"/>
  <c r="T53" i="2"/>
  <c r="U53" i="2"/>
  <c r="V53" i="2"/>
  <c r="W53" i="2"/>
  <c r="X53" i="2"/>
  <c r="Y53" i="2"/>
  <c r="Z53" i="2"/>
  <c r="Q54" i="2"/>
  <c r="R54" i="2"/>
  <c r="S54" i="2"/>
  <c r="T54" i="2"/>
  <c r="U54" i="2"/>
  <c r="V54" i="2"/>
  <c r="W54" i="2"/>
  <c r="X54" i="2"/>
  <c r="Y54" i="2"/>
  <c r="Z54" i="2"/>
  <c r="Q55" i="2"/>
  <c r="R55" i="2"/>
  <c r="S55" i="2"/>
  <c r="T55" i="2"/>
  <c r="U55" i="2"/>
  <c r="V55" i="2"/>
  <c r="W55" i="2"/>
  <c r="X55" i="2"/>
  <c r="Y55" i="2"/>
  <c r="Z55" i="2"/>
  <c r="Q56" i="2"/>
  <c r="R56" i="2"/>
  <c r="S56" i="2"/>
  <c r="T56" i="2"/>
  <c r="U56" i="2"/>
  <c r="V56" i="2"/>
  <c r="W56" i="2"/>
  <c r="X56" i="2"/>
  <c r="Y56" i="2"/>
  <c r="Z56" i="2"/>
  <c r="Q57" i="2"/>
  <c r="R57" i="2"/>
  <c r="S57" i="2"/>
  <c r="T57" i="2"/>
  <c r="U57" i="2"/>
  <c r="V57" i="2"/>
  <c r="W57" i="2"/>
  <c r="X57" i="2"/>
  <c r="Y57" i="2"/>
  <c r="Z57" i="2"/>
  <c r="Q58" i="2"/>
  <c r="R58" i="2"/>
  <c r="S58" i="2"/>
  <c r="T58" i="2"/>
  <c r="U58" i="2"/>
  <c r="V58" i="2"/>
  <c r="W58" i="2"/>
  <c r="X58" i="2"/>
  <c r="Y58" i="2"/>
  <c r="Z58" i="2"/>
  <c r="Q59" i="2"/>
  <c r="R59" i="2"/>
  <c r="S59" i="2"/>
  <c r="T59" i="2"/>
  <c r="U59" i="2"/>
  <c r="V59" i="2"/>
  <c r="W59" i="2"/>
  <c r="X59" i="2"/>
  <c r="Y59" i="2"/>
  <c r="Z59" i="2"/>
  <c r="Q60" i="2"/>
  <c r="R60" i="2"/>
  <c r="S60" i="2"/>
  <c r="T60" i="2"/>
  <c r="U60" i="2"/>
  <c r="V60" i="2"/>
  <c r="W60" i="2"/>
  <c r="X60" i="2"/>
  <c r="Y60" i="2"/>
  <c r="Z60" i="2"/>
  <c r="Q61" i="2"/>
  <c r="R61" i="2"/>
  <c r="S61" i="2"/>
  <c r="T61" i="2"/>
  <c r="U61" i="2"/>
  <c r="V61" i="2"/>
  <c r="W61" i="2"/>
  <c r="X61" i="2"/>
  <c r="Y61" i="2"/>
  <c r="Z61" i="2"/>
  <c r="Q3" i="2"/>
  <c r="R3" i="2"/>
  <c r="S3" i="2"/>
  <c r="T3" i="2"/>
  <c r="U3" i="2"/>
  <c r="V3" i="2"/>
  <c r="W3" i="2"/>
  <c r="X3" i="2"/>
  <c r="Y3" i="2"/>
  <c r="Z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3" i="2"/>
  <c r="M18" i="3"/>
  <c r="M19" i="3"/>
  <c r="M14" i="3"/>
  <c r="M15" i="3"/>
  <c r="M13" i="3"/>
  <c r="D21" i="6" l="1" a="1"/>
  <c r="D21" i="6" s="1"/>
  <c r="E21" i="6" a="1"/>
  <c r="E21" i="6" s="1"/>
  <c r="G21" i="6" a="1"/>
  <c r="G21" i="6" s="1"/>
  <c r="B21" i="6" a="1"/>
  <c r="B21" i="6" s="1"/>
  <c r="F21" i="6" a="1"/>
  <c r="F21" i="6" s="1"/>
  <c r="H21" i="6" a="1"/>
  <c r="H21" i="6" s="1"/>
  <c r="B22" i="6" a="1"/>
  <c r="B22" i="6" s="1"/>
  <c r="C22" i="6" s="1"/>
  <c r="D22" i="6" s="1"/>
  <c r="E22" i="6" s="1"/>
  <c r="F22" i="6" s="1"/>
  <c r="G22" i="6" s="1"/>
  <c r="H22" i="6" s="1"/>
  <c r="I22" i="6" s="1"/>
  <c r="I21" i="6" a="1"/>
  <c r="I21" i="6" s="1"/>
  <c r="C21" i="6" a="1"/>
  <c r="C21" i="6" s="1"/>
  <c r="I9" i="3"/>
  <c r="E5" i="3"/>
  <c r="E10" i="3" s="1"/>
  <c r="H9" i="3"/>
  <c r="G23" i="6" l="1"/>
  <c r="C23" i="6"/>
  <c r="D23" i="6"/>
  <c r="H23" i="6"/>
  <c r="B23" i="6"/>
  <c r="I23" i="6"/>
  <c r="E23" i="6"/>
  <c r="F23" i="6"/>
  <c r="B42" i="1" l="1"/>
  <c r="B41" i="1"/>
  <c r="B40" i="1"/>
  <c r="B39" i="1"/>
  <c r="B15" i="1"/>
  <c r="B9" i="1"/>
  <c r="I6" i="1"/>
  <c r="B10" i="1" s="1"/>
  <c r="H6" i="1"/>
  <c r="B11" i="1" s="1" a="1"/>
  <c r="B11" i="1" s="1"/>
  <c r="C11" i="1"/>
  <c r="D9" i="1"/>
  <c r="D10" i="1"/>
  <c r="B16" i="1" l="1"/>
  <c r="C21" i="1" s="1"/>
  <c r="C9" i="1" a="1"/>
  <c r="C9" i="1" s="1"/>
  <c r="C10" i="1" a="1"/>
  <c r="C10" i="1" s="1"/>
  <c r="B17" i="1" l="1"/>
  <c r="B18" i="1" s="1"/>
  <c r="B21" i="1" s="1"/>
</calcChain>
</file>

<file path=xl/sharedStrings.xml><?xml version="1.0" encoding="utf-8"?>
<sst xmlns="http://schemas.openxmlformats.org/spreadsheetml/2006/main" count="134" uniqueCount="54">
  <si>
    <t>Variance-covariance, S</t>
  </si>
  <si>
    <t>Mean 
returns</t>
  </si>
  <si>
    <t>Port1</t>
  </si>
  <si>
    <t>Port2</t>
  </si>
  <si>
    <t>F5</t>
  </si>
  <si>
    <t>Mean</t>
  </si>
  <si>
    <t>Variance</t>
  </si>
  <si>
    <t>Cov(1,2)</t>
  </si>
  <si>
    <t>order is does not matter</t>
  </si>
  <si>
    <t>Sample portfolio calculation</t>
  </si>
  <si>
    <t xml:space="preserve">% of port1 </t>
  </si>
  <si>
    <t>% of port2</t>
  </si>
  <si>
    <t xml:space="preserve">Mean </t>
  </si>
  <si>
    <t>Sigma</t>
  </si>
  <si>
    <t>Date</t>
  </si>
  <si>
    <t>SP500</t>
  </si>
  <si>
    <t>YRCW</t>
  </si>
  <si>
    <t>C</t>
  </si>
  <si>
    <t>F</t>
  </si>
  <si>
    <t>MSFT</t>
  </si>
  <si>
    <t>INTC</t>
  </si>
  <si>
    <t>GE</t>
  </si>
  <si>
    <t>BA</t>
  </si>
  <si>
    <t>GIS</t>
  </si>
  <si>
    <t>MON</t>
  </si>
  <si>
    <t>MRK</t>
  </si>
  <si>
    <t>COMPUTING RETURNS AND BETAS</t>
  </si>
  <si>
    <t xml:space="preserve">Average </t>
  </si>
  <si>
    <t>Return</t>
  </si>
  <si>
    <t>Annualized
returns</t>
  </si>
  <si>
    <t>Monthly
returns</t>
  </si>
  <si>
    <t>Alpha</t>
  </si>
  <si>
    <t>Beta</t>
  </si>
  <si>
    <t>R-squared</t>
  </si>
  <si>
    <t>Another (Check: Beta = Covar(Stock, SP)/Var(SP))</t>
  </si>
  <si>
    <t>Constant</t>
  </si>
  <si>
    <t>Asset1</t>
  </si>
  <si>
    <t>Asset2</t>
  </si>
  <si>
    <t>Asset3</t>
  </si>
  <si>
    <t>Asset4</t>
  </si>
  <si>
    <t>Covar</t>
  </si>
  <si>
    <t>Port_y</t>
  </si>
  <si>
    <t>Cov(port,y)</t>
  </si>
  <si>
    <t>Var(y)</t>
  </si>
  <si>
    <t>Expected</t>
  </si>
  <si>
    <t>Port3</t>
  </si>
  <si>
    <t>Port4</t>
  </si>
  <si>
    <t>Port5</t>
  </si>
  <si>
    <t>Port6</t>
  </si>
  <si>
    <t>Port7</t>
  </si>
  <si>
    <t>Port8</t>
  </si>
  <si>
    <t>Regression: regress expected return on beta</t>
  </si>
  <si>
    <t>intercept</t>
  </si>
  <si>
    <t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</si>
</sst>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0.000"/>
    <numFmt numFmtId="165" formatCode="yyyy\-mm\-dd;@"/>
    <numFmt numFmtId="166" formatCode="0.0%"/>
    <numFmt numFmtId="167" formatCode="_(* #,##0.0000_);_(* \(#,##0.0000\);_(* &quot;-&quot;??_);_(@_)"/>
    <numFmt numFmtId="168" formatCode="0.0000"/>
    <numFmt numFmtId="169" formatCode="#,##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 applyAlignment="1">
      <alignment horizontal="center" wrapText="1"/>
    </xf>
    <xf numFmtId="2" fontId="0" fillId="0" borderId="0" xfId="1" applyNumberFormat="1" applyFont="1"/>
    <xf numFmtId="9" fontId="0" fillId="0" borderId="0" xfId="0" applyNumberFormat="1"/>
    <xf numFmtId="9" fontId="0" fillId="0" borderId="0" xfId="2" applyFont="1"/>
    <xf numFmtId="10" fontId="0" fillId="0" borderId="0" xfId="2" applyNumberFormat="1" applyFont="1"/>
    <xf numFmtId="43" fontId="0" fillId="0" borderId="0" xfId="0" applyNumberFormat="1"/>
    <xf numFmtId="164" fontId="0" fillId="0" borderId="0" xfId="0" applyNumberFormat="1"/>
    <xf numFmtId="165" fontId="0" fillId="0" borderId="0" xfId="0" applyNumberFormat="1"/>
    <xf numFmtId="43" fontId="0" fillId="0" borderId="0" xfId="1" applyFont="1"/>
    <xf numFmtId="10" fontId="0" fillId="0" borderId="0" xfId="0" applyNumberFormat="1"/>
    <xf numFmtId="168" fontId="0" fillId="0" borderId="0" xfId="1" applyNumberFormat="1" applyFont="1"/>
    <xf numFmtId="0" fontId="2" fillId="0" borderId="0" xfId="0" applyFont="1"/>
    <xf numFmtId="0" fontId="2" fillId="2" borderId="0" xfId="0" applyFont="1" applyFill="1" applyAlignment="1">
      <alignment wrapText="1"/>
    </xf>
    <xf numFmtId="4" fontId="0" fillId="0" borderId="0" xfId="0" applyNumberFormat="1"/>
    <xf numFmtId="0" fontId="3" fillId="0" borderId="0" xfId="0" applyFont="1"/>
    <xf numFmtId="0" fontId="4" fillId="0" borderId="0" xfId="0" applyFont="1" applyAlignment="1">
      <alignment horizontal="center" wrapText="1"/>
    </xf>
    <xf numFmtId="2" fontId="3" fillId="0" borderId="0" xfId="1" applyNumberFormat="1" applyFont="1"/>
    <xf numFmtId="9" fontId="3" fillId="0" borderId="0" xfId="0" applyNumberFormat="1" applyFont="1"/>
    <xf numFmtId="9" fontId="3" fillId="0" borderId="0" xfId="2" applyFont="1"/>
    <xf numFmtId="0" fontId="3" fillId="0" borderId="0" xfId="0" applyFont="1" applyFill="1"/>
    <xf numFmtId="10" fontId="3" fillId="0" borderId="0" xfId="0" applyNumberFormat="1" applyFont="1"/>
    <xf numFmtId="167" fontId="3" fillId="0" borderId="0" xfId="1" applyNumberFormat="1" applyFont="1"/>
    <xf numFmtId="166" fontId="3" fillId="0" borderId="0" xfId="0" applyNumberFormat="1" applyFont="1"/>
    <xf numFmtId="166" fontId="3" fillId="0" borderId="0" xfId="2" applyNumberFormat="1" applyFont="1"/>
    <xf numFmtId="10" fontId="3" fillId="0" borderId="0" xfId="2" applyNumberFormat="1" applyFont="1"/>
    <xf numFmtId="43" fontId="3" fillId="0" borderId="0" xfId="1" applyFont="1"/>
    <xf numFmtId="169" fontId="3" fillId="0" borderId="0" xfId="0" applyNumberFormat="1" applyFont="1"/>
    <xf numFmtId="0" fontId="3" fillId="3" borderId="0" xfId="0" applyFont="1" applyFill="1"/>
    <xf numFmtId="9" fontId="3" fillId="3" borderId="0" xfId="0" applyNumberFormat="1" applyFont="1" applyFill="1"/>
    <xf numFmtId="169" fontId="3" fillId="3" borderId="0" xfId="0" applyNumberFormat="1" applyFont="1" applyFill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VarCov!$B$22:$B$38</c:f>
              <c:numCache>
                <c:formatCode>0.00%</c:formatCode>
                <c:ptCount val="17"/>
                <c:pt idx="0">
                  <c:v>0.81774079022634083</c:v>
                </c:pt>
                <c:pt idx="1">
                  <c:v>0.73606249734652307</c:v>
                </c:pt>
                <c:pt idx="2">
                  <c:v>0.65611889166522264</c:v>
                </c:pt>
                <c:pt idx="3">
                  <c:v>0.57862941508360954</c:v>
                </c:pt>
                <c:pt idx="4">
                  <c:v>0.50472566806137364</c:v>
                </c:pt>
                <c:pt idx="5">
                  <c:v>0.43623388222374476</c:v>
                </c:pt>
                <c:pt idx="6">
                  <c:v>0.37612232052884076</c:v>
                </c:pt>
                <c:pt idx="7">
                  <c:v>0.3290167169005247</c:v>
                </c:pt>
                <c:pt idx="8">
                  <c:v>0.30108470568927942</c:v>
                </c:pt>
                <c:pt idx="9">
                  <c:v>0.2977717246482614</c:v>
                </c:pt>
                <c:pt idx="10">
                  <c:v>0.31984371183438953</c:v>
                </c:pt>
                <c:pt idx="11">
                  <c:v>0.36269546454291374</c:v>
                </c:pt>
                <c:pt idx="12">
                  <c:v>0.42001428547133968</c:v>
                </c:pt>
                <c:pt idx="13">
                  <c:v>0.48671552266185258</c:v>
                </c:pt>
                <c:pt idx="14">
                  <c:v>0.55945330457510023</c:v>
                </c:pt>
                <c:pt idx="15">
                  <c:v>0.63616035714275698</c:v>
                </c:pt>
                <c:pt idx="16">
                  <c:v>0.71556131812724499</c:v>
                </c:pt>
              </c:numCache>
            </c:numRef>
          </c:xVal>
          <c:yVal>
            <c:numRef>
              <c:f>VarCov!$C$22:$C$38</c:f>
              <c:numCache>
                <c:formatCode>0.00%</c:formatCode>
                <c:ptCount val="17"/>
                <c:pt idx="0">
                  <c:v>0.17249999999999999</c:v>
                </c:pt>
                <c:pt idx="1">
                  <c:v>0.16249999999999998</c:v>
                </c:pt>
                <c:pt idx="2">
                  <c:v>0.15250000000000002</c:v>
                </c:pt>
                <c:pt idx="3">
                  <c:v>0.14249999999999999</c:v>
                </c:pt>
                <c:pt idx="4">
                  <c:v>0.13249999999999998</c:v>
                </c:pt>
                <c:pt idx="5">
                  <c:v>0.1225</c:v>
                </c:pt>
                <c:pt idx="6">
                  <c:v>0.1125</c:v>
                </c:pt>
                <c:pt idx="7">
                  <c:v>0.10250000000000001</c:v>
                </c:pt>
                <c:pt idx="8">
                  <c:v>9.2499999999999999E-2</c:v>
                </c:pt>
                <c:pt idx="9">
                  <c:v>8.2500000000000018E-2</c:v>
                </c:pt>
                <c:pt idx="10">
                  <c:v>7.2500000000000009E-2</c:v>
                </c:pt>
                <c:pt idx="11">
                  <c:v>6.25E-2</c:v>
                </c:pt>
                <c:pt idx="12">
                  <c:v>5.2499999999999991E-2</c:v>
                </c:pt>
                <c:pt idx="13">
                  <c:v>4.2500000000000038E-2</c:v>
                </c:pt>
                <c:pt idx="14">
                  <c:v>3.2500000000000029E-2</c:v>
                </c:pt>
                <c:pt idx="15">
                  <c:v>2.250000000000002E-2</c:v>
                </c:pt>
                <c:pt idx="16">
                  <c:v>1.2500000000000011E-2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ADB-4730-9BEE-A02D17568E58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VarCov!$B$39:$B$42</c:f>
              <c:numCache>
                <c:formatCode>0.00%</c:formatCode>
                <c:ptCount val="4"/>
                <c:pt idx="0">
                  <c:v>0.31622776601683794</c:v>
                </c:pt>
                <c:pt idx="1">
                  <c:v>0.54772255750516607</c:v>
                </c:pt>
                <c:pt idx="2">
                  <c:v>0.63245553203367588</c:v>
                </c:pt>
                <c:pt idx="3">
                  <c:v>0.70710678118654757</c:v>
                </c:pt>
              </c:numCache>
            </c:numRef>
          </c:xVal>
          <c:yVal>
            <c:numRef>
              <c:f>VarCov!$D$39:$D$42</c:f>
              <c:numCache>
                <c:formatCode>0.00%</c:formatCode>
                <c:ptCount val="4"/>
                <c:pt idx="0">
                  <c:v>0.06</c:v>
                </c:pt>
                <c:pt idx="1">
                  <c:v>0.08</c:v>
                </c:pt>
                <c:pt idx="2">
                  <c:v>0.1</c:v>
                </c:pt>
                <c:pt idx="3">
                  <c:v>0.15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ADB-4730-9BEE-A02D17568E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8402440"/>
        <c:axId val="708408344"/>
      </c:scatterChart>
      <c:valAx>
        <c:axId val="708402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408344"/>
        <c:crosses val="autoZero"/>
        <c:crossBetween val="midCat"/>
      </c:valAx>
      <c:valAx>
        <c:axId val="708408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402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'Prop 1 and  2'!$B$27:$B$42</c:f>
              <c:numCache>
                <c:formatCode>0.00%</c:formatCode>
                <c:ptCount val="16"/>
                <c:pt idx="0">
                  <c:v>0.85382548423293669</c:v>
                </c:pt>
                <c:pt idx="1">
                  <c:v>0.75743278563407779</c:v>
                </c:pt>
                <c:pt idx="2">
                  <c:v>0.6627487269639043</c:v>
                </c:pt>
                <c:pt idx="3">
                  <c:v>0.57062448996011339</c:v>
                </c:pt>
                <c:pt idx="4">
                  <c:v>0.48252847076964295</c:v>
                </c:pt>
                <c:pt idx="5">
                  <c:v>0.40112357793506426</c:v>
                </c:pt>
                <c:pt idx="6">
                  <c:v>0.33137819415080988</c:v>
                </c:pt>
                <c:pt idx="7">
                  <c:v>0.282077779084002</c:v>
                </c:pt>
                <c:pt idx="8">
                  <c:v>0.2648947384497492</c:v>
                </c:pt>
                <c:pt idx="9">
                  <c:v>0.28568436179610157</c:v>
                </c:pt>
                <c:pt idx="10">
                  <c:v>0.33750091822455475</c:v>
                </c:pt>
                <c:pt idx="11">
                  <c:v>0.4087091485898941</c:v>
                </c:pt>
                <c:pt idx="12">
                  <c:v>0.49094240964783392</c:v>
                </c:pt>
                <c:pt idx="13">
                  <c:v>0.57952628426297781</c:v>
                </c:pt>
                <c:pt idx="14">
                  <c:v>0.67195383905709849</c:v>
                </c:pt>
                <c:pt idx="15">
                  <c:v>0.7668364836173216</c:v>
                </c:pt>
              </c:numCache>
            </c:numRef>
          </c:xVal>
          <c:yVal>
            <c:numRef>
              <c:f>'Prop 1 and  2'!$C$27:$C$42</c:f>
              <c:numCache>
                <c:formatCode>0.00%</c:formatCode>
                <c:ptCount val="16"/>
                <c:pt idx="0">
                  <c:v>-3.5687090989418691E-2</c:v>
                </c:pt>
                <c:pt idx="1">
                  <c:v>-2.1610807689563555E-2</c:v>
                </c:pt>
                <c:pt idx="2">
                  <c:v>-7.5345243897084468E-3</c:v>
                </c:pt>
                <c:pt idx="3">
                  <c:v>6.5417589101466472E-3</c:v>
                </c:pt>
                <c:pt idx="4">
                  <c:v>2.0618042210001755E-2</c:v>
                </c:pt>
                <c:pt idx="5">
                  <c:v>3.4694325509856863E-2</c:v>
                </c:pt>
                <c:pt idx="6">
                  <c:v>4.8770608809711971E-2</c:v>
                </c:pt>
                <c:pt idx="7">
                  <c:v>6.2846892109567093E-2</c:v>
                </c:pt>
                <c:pt idx="8">
                  <c:v>7.6923175409422201E-2</c:v>
                </c:pt>
                <c:pt idx="9">
                  <c:v>9.0999458709277295E-2</c:v>
                </c:pt>
                <c:pt idx="10">
                  <c:v>0.10507574200913242</c:v>
                </c:pt>
                <c:pt idx="11">
                  <c:v>0.11915202530898752</c:v>
                </c:pt>
                <c:pt idx="12">
                  <c:v>0.13322830860884266</c:v>
                </c:pt>
                <c:pt idx="13">
                  <c:v>0.14730459190869774</c:v>
                </c:pt>
                <c:pt idx="14">
                  <c:v>0.16138087520855288</c:v>
                </c:pt>
                <c:pt idx="15">
                  <c:v>0.17545715850840796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306-495C-8F41-8ED2A9072C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3750024"/>
        <c:axId val="693756912"/>
      </c:scatterChart>
      <c:valAx>
        <c:axId val="693750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3756912"/>
        <c:crosses val="autoZero"/>
        <c:crossBetween val="midCat"/>
      </c:valAx>
      <c:valAx>
        <c:axId val="69375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3750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'Prop 3'!$B$23:$I$23</c:f>
              <c:numCache>
                <c:formatCode>_(* #,##0.00_);_(* \(#,##0.00\);_(* "-"??_);_(@_)</c:formatCode>
                <c:ptCount val="8"/>
                <c:pt idx="0">
                  <c:v>0.50033604852716795</c:v>
                </c:pt>
                <c:pt idx="1">
                  <c:v>0.75050407279075215</c:v>
                </c:pt>
                <c:pt idx="2">
                  <c:v>0.9694010940213883</c:v>
                </c:pt>
                <c:pt idx="3">
                  <c:v>0.26267642547676323</c:v>
                </c:pt>
                <c:pt idx="4">
                  <c:v>1.9575647898625459</c:v>
                </c:pt>
                <c:pt idx="5">
                  <c:v>0.14759913431551436</c:v>
                </c:pt>
                <c:pt idx="6">
                  <c:v>1.6260921577132967</c:v>
                </c:pt>
                <c:pt idx="7">
                  <c:v>1.0006720970543364</c:v>
                </c:pt>
              </c:numCache>
            </c:numRef>
          </c:xVal>
          <c:yVal>
            <c:numRef>
              <c:f>'Prop 3'!$B$24:$I$24</c:f>
              <c:numCache>
                <c:formatCode>0.00%</c:formatCode>
                <c:ptCount val="8"/>
                <c:pt idx="0">
                  <c:v>0.06</c:v>
                </c:pt>
                <c:pt idx="1">
                  <c:v>0.08</c:v>
                </c:pt>
                <c:pt idx="2">
                  <c:v>9.7500000000000003E-2</c:v>
                </c:pt>
                <c:pt idx="3">
                  <c:v>4.1000000000000023E-2</c:v>
                </c:pt>
                <c:pt idx="4">
                  <c:v>0.17649999999999999</c:v>
                </c:pt>
                <c:pt idx="5">
                  <c:v>3.1800000000000023E-2</c:v>
                </c:pt>
                <c:pt idx="6">
                  <c:v>0.15</c:v>
                </c:pt>
                <c:pt idx="7">
                  <c:v>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099-47B3-8BD1-30BAFD3CC8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3765112"/>
        <c:axId val="693765440"/>
      </c:scatterChart>
      <c:valAx>
        <c:axId val="693765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3765440"/>
        <c:crosses val="autoZero"/>
        <c:crossBetween val="midCat"/>
      </c:valAx>
      <c:valAx>
        <c:axId val="69376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3765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20</xdr:row>
      <xdr:rowOff>3175</xdr:rowOff>
    </xdr:from>
    <xdr:to>
      <xdr:col>12</xdr:col>
      <xdr:colOff>314325</xdr:colOff>
      <xdr:row>34</xdr:row>
      <xdr:rowOff>168275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16F3DFD-630F-434D-B17B-97C1D4388C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568325</xdr:colOff>
      <xdr:row>23</xdr:row>
      <xdr:rowOff>111125</xdr:rowOff>
    </xdr:from>
    <xdr:to>
      <xdr:col>11</xdr:col>
      <xdr:colOff>263525</xdr:colOff>
      <xdr:row>38</xdr:row>
      <xdr:rowOff>92075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B3B9D717-D868-4D29-9BDF-3F0E268EFC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219075</xdr:colOff>
      <xdr:row>12</xdr:row>
      <xdr:rowOff>180975</xdr:rowOff>
    </xdr:from>
    <xdr:to>
      <xdr:col>17</xdr:col>
      <xdr:colOff>523875</xdr:colOff>
      <xdr:row>27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45E133F-994F-40A7-A1EF-D961097D15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2"/>
  <sheetViews>
    <sheetView workbookViewId="0">
      <selection activeCell="C8" sqref="C8"/>
    </sheetView>
  </sheetViews>
  <sheetFormatPr defaultRowHeight="14.5" x14ac:dyDescent="0.35"/>
  <cols>
    <col min="1" max="1" width="9.36328125" customWidth="1"/>
  </cols>
  <sheetData>
    <row r="2" spans="1:12" ht="29" x14ac:dyDescent="0.35">
      <c r="A2" s="31" t="s">
        <v>0</v>
      </c>
      <c r="B2" s="31"/>
      <c r="C2" s="31"/>
      <c r="D2" s="31"/>
      <c r="F2" s="1" t="s">
        <v>1</v>
      </c>
      <c r="H2" t="s">
        <v>2</v>
      </c>
      <c r="I2" t="s">
        <v>3</v>
      </c>
    </row>
    <row r="3" spans="1:12" x14ac:dyDescent="0.35">
      <c r="A3" s="2">
        <v>0.1</v>
      </c>
      <c r="B3" s="2">
        <v>0.01</v>
      </c>
      <c r="C3" s="2">
        <v>0.03</v>
      </c>
      <c r="D3" s="2">
        <v>0.05</v>
      </c>
      <c r="F3" s="3">
        <v>0.06</v>
      </c>
      <c r="H3" s="4">
        <v>0.25</v>
      </c>
      <c r="I3" s="3">
        <v>0.05</v>
      </c>
      <c r="L3" t="s">
        <v>4</v>
      </c>
    </row>
    <row r="4" spans="1:12" x14ac:dyDescent="0.35">
      <c r="A4" s="2">
        <v>0.01</v>
      </c>
      <c r="B4" s="2">
        <v>0.3</v>
      </c>
      <c r="C4" s="2">
        <v>0.06</v>
      </c>
      <c r="D4" s="2">
        <v>-0.04</v>
      </c>
      <c r="F4" s="3">
        <v>0.08</v>
      </c>
      <c r="H4" s="4">
        <v>0.25</v>
      </c>
      <c r="I4" s="3">
        <v>0.15</v>
      </c>
    </row>
    <row r="5" spans="1:12" x14ac:dyDescent="0.35">
      <c r="A5" s="2">
        <v>0.03</v>
      </c>
      <c r="B5" s="2">
        <v>0.06</v>
      </c>
      <c r="C5" s="2">
        <v>0.4</v>
      </c>
      <c r="D5" s="2">
        <v>0.02</v>
      </c>
      <c r="F5" s="3">
        <v>0.1</v>
      </c>
      <c r="H5" s="4">
        <v>0.25</v>
      </c>
      <c r="I5" s="3">
        <v>0.25</v>
      </c>
    </row>
    <row r="6" spans="1:12" x14ac:dyDescent="0.35">
      <c r="A6" s="2">
        <v>0.05</v>
      </c>
      <c r="B6" s="2">
        <v>-0.04</v>
      </c>
      <c r="C6" s="2">
        <v>0.02</v>
      </c>
      <c r="D6" s="2">
        <v>0.5</v>
      </c>
      <c r="F6" s="3">
        <v>0.15</v>
      </c>
      <c r="H6" s="4">
        <f>1-SUM(H3:H5)</f>
        <v>0.25</v>
      </c>
      <c r="I6" s="4">
        <f>1-SUM(I3:I5)</f>
        <v>0.55000000000000004</v>
      </c>
    </row>
    <row r="8" spans="1:12" x14ac:dyDescent="0.35">
      <c r="B8" t="s">
        <v>5</v>
      </c>
      <c r="C8" t="s">
        <v>6</v>
      </c>
    </row>
    <row r="9" spans="1:12" x14ac:dyDescent="0.35">
      <c r="A9" t="s">
        <v>2</v>
      </c>
      <c r="B9" s="5">
        <f>SUMPRODUCT(mean,Port1)</f>
        <v>9.7500000000000003E-2</v>
      </c>
      <c r="C9" s="5">
        <f t="array" ref="C9">MMULT(MMULT(TRANSPOSE(Port1),VarCor),Port1)</f>
        <v>9.7500000000000003E-2</v>
      </c>
      <c r="D9" t="str">
        <f ca="1">_xlfn.FORMULATEXT(C9)</f>
        <v>{=MMULT(MMULT(TRANSPOSE(Port1),VarCor),Port1)}</v>
      </c>
    </row>
    <row r="10" spans="1:12" x14ac:dyDescent="0.35">
      <c r="A10" t="s">
        <v>3</v>
      </c>
      <c r="B10" s="5">
        <f>SUMPRODUCT(mean,Port2)</f>
        <v>0.1225</v>
      </c>
      <c r="C10" s="5">
        <f t="array" ref="C10">MMULT(MMULT(TRANSPOSE(Port2),VarCor),Port2)</f>
        <v>0.19030000000000002</v>
      </c>
      <c r="D10" t="str">
        <f ca="1">_xlfn.FORMULATEXT(C10)</f>
        <v>{=MMULT(MMULT(TRANSPOSE(Port2),VarCor),Port2)}</v>
      </c>
    </row>
    <row r="11" spans="1:12" x14ac:dyDescent="0.35">
      <c r="A11" t="s">
        <v>7</v>
      </c>
      <c r="B11">
        <f t="array" ref="B11">MMULT(MMULT(TRANSPOSE(Port1),VarCor),Port2)</f>
        <v>0.11950000000000001</v>
      </c>
      <c r="C11" t="str">
        <f ca="1">_xlfn.FORMULATEXT(B11)</f>
        <v>{=MMULT(MMULT(TRANSPOSE(Port1),VarCor),Port2)}</v>
      </c>
      <c r="I11" t="s">
        <v>8</v>
      </c>
    </row>
    <row r="13" spans="1:12" x14ac:dyDescent="0.35">
      <c r="A13" t="s">
        <v>9</v>
      </c>
    </row>
    <row r="14" spans="1:12" x14ac:dyDescent="0.35">
      <c r="A14" t="s">
        <v>10</v>
      </c>
      <c r="B14" s="3">
        <v>0</v>
      </c>
    </row>
    <row r="15" spans="1:12" x14ac:dyDescent="0.35">
      <c r="A15" t="s">
        <v>11</v>
      </c>
      <c r="B15" s="3">
        <f>1-B14</f>
        <v>1</v>
      </c>
    </row>
    <row r="16" spans="1:12" x14ac:dyDescent="0.35">
      <c r="A16" t="s">
        <v>12</v>
      </c>
      <c r="B16" s="5">
        <f>B14*B9+B15*B10</f>
        <v>0.1225</v>
      </c>
    </row>
    <row r="17" spans="1:5" x14ac:dyDescent="0.35">
      <c r="A17" t="s">
        <v>6</v>
      </c>
      <c r="B17" s="5">
        <f>B14^2*C9+B15^2*C10+2*B11*B15*B14</f>
        <v>0.19030000000000002</v>
      </c>
    </row>
    <row r="18" spans="1:5" x14ac:dyDescent="0.35">
      <c r="A18" t="s">
        <v>13</v>
      </c>
      <c r="B18" s="5">
        <f>SQRT(B17)</f>
        <v>0.43623388222374476</v>
      </c>
    </row>
    <row r="20" spans="1:5" x14ac:dyDescent="0.35">
      <c r="B20" t="s">
        <v>13</v>
      </c>
      <c r="C20" t="s">
        <v>5</v>
      </c>
    </row>
    <row r="21" spans="1:5" x14ac:dyDescent="0.35">
      <c r="B21" s="6">
        <f>B18</f>
        <v>0.43623388222374476</v>
      </c>
      <c r="C21" s="7">
        <f>B16</f>
        <v>0.1225</v>
      </c>
    </row>
    <row r="22" spans="1:5" x14ac:dyDescent="0.35">
      <c r="A22" s="3">
        <v>-2</v>
      </c>
      <c r="B22" s="5">
        <f t="dataTable" ref="B22:C38" dt2D="0" dtr="0" r1="B14"/>
        <v>0.81774079022634083</v>
      </c>
      <c r="C22" s="5">
        <v>0.17249999999999999</v>
      </c>
      <c r="D22" s="5"/>
      <c r="E22" s="5"/>
    </row>
    <row r="23" spans="1:5" x14ac:dyDescent="0.35">
      <c r="A23" s="3">
        <v>-1.6</v>
      </c>
      <c r="B23" s="5">
        <v>0.73606249734652307</v>
      </c>
      <c r="C23" s="5">
        <v>0.16249999999999998</v>
      </c>
      <c r="D23" s="5"/>
      <c r="E23" s="5"/>
    </row>
    <row r="24" spans="1:5" x14ac:dyDescent="0.35">
      <c r="A24" s="3">
        <v>-1.2</v>
      </c>
      <c r="B24" s="5">
        <v>0.65611889166522264</v>
      </c>
      <c r="C24" s="5">
        <v>0.15250000000000002</v>
      </c>
      <c r="D24" s="5"/>
      <c r="E24" s="5"/>
    </row>
    <row r="25" spans="1:5" x14ac:dyDescent="0.35">
      <c r="A25" s="3">
        <v>-0.8</v>
      </c>
      <c r="B25" s="5">
        <v>0.57862941508360954</v>
      </c>
      <c r="C25" s="5">
        <v>0.14249999999999999</v>
      </c>
      <c r="D25" s="5"/>
      <c r="E25" s="5"/>
    </row>
    <row r="26" spans="1:5" x14ac:dyDescent="0.35">
      <c r="A26" s="3">
        <v>-0.4</v>
      </c>
      <c r="B26" s="5">
        <v>0.50472566806137364</v>
      </c>
      <c r="C26" s="5">
        <v>0.13249999999999998</v>
      </c>
      <c r="D26" s="5"/>
      <c r="E26" s="5"/>
    </row>
    <row r="27" spans="1:5" x14ac:dyDescent="0.35">
      <c r="A27" s="3">
        <v>0</v>
      </c>
      <c r="B27" s="5">
        <v>0.43623388222374476</v>
      </c>
      <c r="C27" s="5">
        <v>0.1225</v>
      </c>
      <c r="D27" s="5"/>
      <c r="E27" s="5"/>
    </row>
    <row r="28" spans="1:5" x14ac:dyDescent="0.35">
      <c r="A28" s="3">
        <v>0.4</v>
      </c>
      <c r="B28" s="5">
        <v>0.37612232052884076</v>
      </c>
      <c r="C28" s="5">
        <v>0.1125</v>
      </c>
      <c r="D28" s="5"/>
      <c r="E28" s="5"/>
    </row>
    <row r="29" spans="1:5" x14ac:dyDescent="0.35">
      <c r="A29" s="3">
        <v>0.8</v>
      </c>
      <c r="B29" s="5">
        <v>0.3290167169005247</v>
      </c>
      <c r="C29" s="5">
        <v>0.10250000000000001</v>
      </c>
      <c r="D29" s="5"/>
      <c r="E29" s="5"/>
    </row>
    <row r="30" spans="1:5" x14ac:dyDescent="0.35">
      <c r="A30" s="3">
        <v>1.2</v>
      </c>
      <c r="B30" s="5">
        <v>0.30108470568927942</v>
      </c>
      <c r="C30" s="5">
        <v>9.2499999999999999E-2</v>
      </c>
      <c r="D30" s="5"/>
      <c r="E30" s="5"/>
    </row>
    <row r="31" spans="1:5" x14ac:dyDescent="0.35">
      <c r="A31" s="3">
        <v>1.6</v>
      </c>
      <c r="B31" s="5">
        <v>0.2977717246482614</v>
      </c>
      <c r="C31" s="5">
        <v>8.2500000000000018E-2</v>
      </c>
      <c r="D31" s="5"/>
      <c r="E31" s="5"/>
    </row>
    <row r="32" spans="1:5" x14ac:dyDescent="0.35">
      <c r="A32" s="3">
        <v>2</v>
      </c>
      <c r="B32" s="5">
        <v>0.31984371183438953</v>
      </c>
      <c r="C32" s="5">
        <v>7.2500000000000009E-2</v>
      </c>
      <c r="D32" s="5"/>
      <c r="E32" s="5"/>
    </row>
    <row r="33" spans="1:5" x14ac:dyDescent="0.35">
      <c r="A33" s="3">
        <v>2.4</v>
      </c>
      <c r="B33" s="5">
        <v>0.36269546454291374</v>
      </c>
      <c r="C33" s="5">
        <v>6.25E-2</v>
      </c>
      <c r="E33" s="5"/>
    </row>
    <row r="34" spans="1:5" x14ac:dyDescent="0.35">
      <c r="A34" s="3">
        <v>2.8</v>
      </c>
      <c r="B34" s="5">
        <v>0.42001428547133968</v>
      </c>
      <c r="C34" s="5">
        <v>5.2499999999999991E-2</v>
      </c>
      <c r="E34" s="5"/>
    </row>
    <row r="35" spans="1:5" x14ac:dyDescent="0.35">
      <c r="A35" s="3">
        <v>3.2</v>
      </c>
      <c r="B35" s="5">
        <v>0.48671552266185258</v>
      </c>
      <c r="C35" s="5">
        <v>4.2500000000000038E-2</v>
      </c>
      <c r="E35" s="5"/>
    </row>
    <row r="36" spans="1:5" x14ac:dyDescent="0.35">
      <c r="A36" s="3">
        <v>3.6</v>
      </c>
      <c r="B36" s="5">
        <v>0.55945330457510023</v>
      </c>
      <c r="C36" s="5">
        <v>3.2500000000000029E-2</v>
      </c>
      <c r="E36" s="5"/>
    </row>
    <row r="37" spans="1:5" x14ac:dyDescent="0.35">
      <c r="A37" s="3">
        <v>4</v>
      </c>
      <c r="B37" s="5">
        <v>0.63616035714275698</v>
      </c>
      <c r="C37" s="5">
        <v>2.250000000000002E-2</v>
      </c>
      <c r="D37" s="5"/>
      <c r="E37" s="5"/>
    </row>
    <row r="38" spans="1:5" x14ac:dyDescent="0.35">
      <c r="A38" s="3">
        <v>4.4000000000000004</v>
      </c>
      <c r="B38" s="5">
        <v>0.71556131812724499</v>
      </c>
      <c r="C38" s="5">
        <v>1.2500000000000011E-2</v>
      </c>
    </row>
    <row r="39" spans="1:5" x14ac:dyDescent="0.35">
      <c r="B39" s="5">
        <f>SQRT(A3)</f>
        <v>0.31622776601683794</v>
      </c>
      <c r="C39" s="5"/>
      <c r="D39" s="5">
        <v>0.06</v>
      </c>
    </row>
    <row r="40" spans="1:5" x14ac:dyDescent="0.35">
      <c r="B40" s="5">
        <f>SQRT(B4)</f>
        <v>0.54772255750516607</v>
      </c>
      <c r="C40" s="5"/>
      <c r="D40" s="5">
        <v>0.08</v>
      </c>
    </row>
    <row r="41" spans="1:5" x14ac:dyDescent="0.35">
      <c r="B41" s="5">
        <f>SQRT(C5)</f>
        <v>0.63245553203367588</v>
      </c>
      <c r="C41" s="5"/>
      <c r="D41" s="5">
        <v>0.1</v>
      </c>
    </row>
    <row r="42" spans="1:5" x14ac:dyDescent="0.35">
      <c r="B42" s="5">
        <f>SQRT(D6)</f>
        <v>0.70710678118654757</v>
      </c>
      <c r="C42" s="5"/>
      <c r="D42" s="5">
        <v>0.15</v>
      </c>
    </row>
  </sheetData>
  <mergeCells count="1">
    <mergeCell ref="A2:D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2CFF8-AD1D-47DC-A3B2-38F2E206C8EB}">
  <dimension ref="A1:M20"/>
  <sheetViews>
    <sheetView workbookViewId="0">
      <selection activeCell="G8" sqref="G8"/>
    </sheetView>
  </sheetViews>
  <sheetFormatPr defaultRowHeight="14.5" x14ac:dyDescent="0.35"/>
  <cols>
    <col min="1" max="1" width="10.26953125" customWidth="1"/>
    <col min="2" max="2" width="12.36328125" customWidth="1"/>
  </cols>
  <sheetData>
    <row r="1" spans="1:13" x14ac:dyDescent="0.35">
      <c r="A1" s="32" t="s">
        <v>26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</row>
    <row r="2" spans="1:13" ht="29" x14ac:dyDescent="0.35">
      <c r="A2" s="13" t="s">
        <v>30</v>
      </c>
      <c r="B2" s="9" t="s">
        <v>16</v>
      </c>
      <c r="C2" s="9" t="s">
        <v>17</v>
      </c>
      <c r="D2" s="9" t="s">
        <v>18</v>
      </c>
      <c r="E2" s="9" t="s">
        <v>19</v>
      </c>
      <c r="F2" s="9" t="s">
        <v>20</v>
      </c>
      <c r="G2" s="9" t="s">
        <v>21</v>
      </c>
      <c r="H2" s="9" t="s">
        <v>22</v>
      </c>
      <c r="I2" s="9" t="s">
        <v>23</v>
      </c>
      <c r="J2" s="9" t="s">
        <v>24</v>
      </c>
      <c r="K2" s="9" t="s">
        <v>25</v>
      </c>
      <c r="L2" s="9" t="s">
        <v>15</v>
      </c>
    </row>
    <row r="3" spans="1:13" x14ac:dyDescent="0.35">
      <c r="A3" s="12" t="s">
        <v>27</v>
      </c>
      <c r="B3" s="10">
        <f>AVERAGE(Data!P3:P61)</f>
        <v>-1.7359072928084612E-2</v>
      </c>
      <c r="C3" s="10">
        <f>AVERAGE(Data!Q3:Q61)</f>
        <v>7.2761642861799156E-3</v>
      </c>
      <c r="D3" s="10">
        <f>AVERAGE(Data!R3:R61)</f>
        <v>-5.1303801727421109E-3</v>
      </c>
      <c r="E3" s="10">
        <f>AVERAGE(Data!S3:S61)</f>
        <v>2.0679017159140223E-2</v>
      </c>
      <c r="F3" s="10">
        <f>AVERAGE(Data!T3:T61)</f>
        <v>1.5324036371164241E-2</v>
      </c>
      <c r="G3" s="10">
        <f>AVERAGE(Data!U3:U61)</f>
        <v>-1.4269383040621229E-2</v>
      </c>
      <c r="H3" s="10">
        <f>AVERAGE(Data!V3:V61)</f>
        <v>1.9587504671500923E-2</v>
      </c>
      <c r="I3" s="10">
        <f>AVERAGE(Data!W3:W61)</f>
        <v>1.9008665597947437E-3</v>
      </c>
      <c r="J3" s="10">
        <f>AVERAGE(Data!X3:X61)</f>
        <v>8.2349954678448811E-3</v>
      </c>
      <c r="K3" s="10">
        <f>AVERAGE(Data!Y3:Y61)</f>
        <v>6.6572176023376615E-3</v>
      </c>
      <c r="L3" s="10">
        <f>AVERAGE(Data!Z3:Z61)</f>
        <v>6.9874732336714009E-3</v>
      </c>
    </row>
    <row r="4" spans="1:13" x14ac:dyDescent="0.35">
      <c r="A4" s="12" t="s">
        <v>6</v>
      </c>
      <c r="B4" s="10">
        <f>_xlfn.VAR.P(Data!P3:P61)</f>
        <v>4.9161176263225845E-2</v>
      </c>
      <c r="C4" s="10">
        <f>_xlfn.VAR.P(Data!Q3:Q61)</f>
        <v>5.4765314027343691E-3</v>
      </c>
      <c r="D4" s="10">
        <f>_xlfn.VAR.P(Data!R3:R61)</f>
        <v>4.1336760408105114E-3</v>
      </c>
      <c r="E4" s="10">
        <f>_xlfn.VAR.P(Data!S3:S61)</f>
        <v>3.4094491704192297E-3</v>
      </c>
      <c r="F4" s="10">
        <f>_xlfn.VAR.P(Data!T3:T61)</f>
        <v>3.6826087335654991E-3</v>
      </c>
      <c r="G4" s="10">
        <f>_xlfn.VAR.P(Data!U3:U61)</f>
        <v>6.050201508481472E-3</v>
      </c>
      <c r="H4" s="10">
        <f>_xlfn.VAR.P(Data!V3:V61)</f>
        <v>5.2658139049286375E-3</v>
      </c>
      <c r="I4" s="10">
        <f>_xlfn.VAR.P(Data!W3:W61)</f>
        <v>2.6766590289399009E-3</v>
      </c>
      <c r="J4" s="10">
        <f>_xlfn.VAR.P(Data!X3:X61)</f>
        <v>3.5347616224900586E-3</v>
      </c>
      <c r="K4" s="10">
        <f>_xlfn.VAR.P(Data!Y3:Y61)</f>
        <v>2.7424007918676217E-3</v>
      </c>
      <c r="L4" s="10">
        <f>_xlfn.VAR.P(Data!Z3:Z61)</f>
        <v>1.0471549221083591E-3</v>
      </c>
    </row>
    <row r="5" spans="1:13" x14ac:dyDescent="0.35">
      <c r="A5" s="12" t="s">
        <v>13</v>
      </c>
      <c r="B5" s="10">
        <f>SQRT(B4)</f>
        <v>0.22172319739536916</v>
      </c>
      <c r="C5" s="10">
        <f t="shared" ref="C5:L5" si="0">SQRT(C4)</f>
        <v>7.4003590471911351E-2</v>
      </c>
      <c r="D5" s="10">
        <f t="shared" si="0"/>
        <v>6.4293670301286354E-2</v>
      </c>
      <c r="E5" s="10">
        <f t="shared" si="0"/>
        <v>5.8390488698239457E-2</v>
      </c>
      <c r="F5" s="10">
        <f t="shared" si="0"/>
        <v>6.0684501592791373E-2</v>
      </c>
      <c r="G5" s="10">
        <f t="shared" si="0"/>
        <v>7.778304126531356E-2</v>
      </c>
      <c r="H5" s="10">
        <f t="shared" si="0"/>
        <v>7.2565927989164711E-2</v>
      </c>
      <c r="I5" s="10">
        <f t="shared" si="0"/>
        <v>5.1736438116088947E-2</v>
      </c>
      <c r="J5" s="10">
        <f t="shared" si="0"/>
        <v>5.9453861291677755E-2</v>
      </c>
      <c r="K5" s="10">
        <f t="shared" si="0"/>
        <v>5.2367936677585665E-2</v>
      </c>
      <c r="L5" s="10">
        <f t="shared" si="0"/>
        <v>3.2359773208543337E-2</v>
      </c>
    </row>
    <row r="7" spans="1:13" ht="29" x14ac:dyDescent="0.35">
      <c r="A7" s="13" t="s">
        <v>29</v>
      </c>
      <c r="B7" s="9" t="s">
        <v>16</v>
      </c>
      <c r="C7" s="9" t="s">
        <v>17</v>
      </c>
      <c r="D7" s="9" t="s">
        <v>18</v>
      </c>
      <c r="E7" s="9" t="s">
        <v>19</v>
      </c>
      <c r="F7" s="9" t="s">
        <v>20</v>
      </c>
      <c r="G7" s="9" t="s">
        <v>21</v>
      </c>
      <c r="H7" s="9" t="s">
        <v>22</v>
      </c>
      <c r="I7" s="9" t="s">
        <v>23</v>
      </c>
      <c r="J7" s="9" t="s">
        <v>24</v>
      </c>
      <c r="K7" s="9" t="s">
        <v>25</v>
      </c>
      <c r="L7" s="9" t="s">
        <v>15</v>
      </c>
    </row>
    <row r="8" spans="1:13" x14ac:dyDescent="0.35">
      <c r="A8" s="12" t="s">
        <v>27</v>
      </c>
      <c r="B8" s="5">
        <f>12*B3</f>
        <v>-0.20830887513701535</v>
      </c>
      <c r="C8" s="5">
        <f t="shared" ref="C8:L8" si="1">12*C3</f>
        <v>8.7313971434158991E-2</v>
      </c>
      <c r="D8" s="5">
        <f t="shared" si="1"/>
        <v>-6.1564562072905331E-2</v>
      </c>
      <c r="E8" s="5">
        <f t="shared" si="1"/>
        <v>0.24814820590968267</v>
      </c>
      <c r="F8" s="5">
        <f t="shared" si="1"/>
        <v>0.1838884364539709</v>
      </c>
      <c r="G8" s="5">
        <f t="shared" si="1"/>
        <v>-0.17123259648745476</v>
      </c>
      <c r="H8" s="5">
        <f t="shared" si="1"/>
        <v>0.23505005605801108</v>
      </c>
      <c r="I8" s="5">
        <f t="shared" si="1"/>
        <v>2.2810398717536925E-2</v>
      </c>
      <c r="J8" s="5">
        <f t="shared" si="1"/>
        <v>9.8819945614138566E-2</v>
      </c>
      <c r="K8" s="5">
        <f t="shared" si="1"/>
        <v>7.9886611228051935E-2</v>
      </c>
      <c r="L8" s="5">
        <f t="shared" si="1"/>
        <v>8.3849678804056804E-2</v>
      </c>
    </row>
    <row r="9" spans="1:13" x14ac:dyDescent="0.35">
      <c r="A9" s="12" t="s">
        <v>6</v>
      </c>
      <c r="B9" s="5">
        <f t="shared" ref="B9:L9" si="2">12*B4</f>
        <v>0.58993411515871008</v>
      </c>
      <c r="C9" s="5">
        <f t="shared" si="2"/>
        <v>6.5718376832812425E-2</v>
      </c>
      <c r="D9" s="5">
        <f t="shared" si="2"/>
        <v>4.960411248972614E-2</v>
      </c>
      <c r="E9" s="5">
        <f t="shared" si="2"/>
        <v>4.0913390045030758E-2</v>
      </c>
      <c r="F9" s="5">
        <f t="shared" si="2"/>
        <v>4.4191304802785991E-2</v>
      </c>
      <c r="G9" s="5">
        <f t="shared" si="2"/>
        <v>7.2602418101777672E-2</v>
      </c>
      <c r="H9" s="5">
        <f t="shared" si="2"/>
        <v>6.3189766859143653E-2</v>
      </c>
      <c r="I9" s="5">
        <f t="shared" si="2"/>
        <v>3.2119908347278812E-2</v>
      </c>
      <c r="J9" s="5">
        <f t="shared" si="2"/>
        <v>4.2417139469880703E-2</v>
      </c>
      <c r="K9" s="5">
        <f t="shared" si="2"/>
        <v>3.2908809502411457E-2</v>
      </c>
      <c r="L9" s="5">
        <f t="shared" si="2"/>
        <v>1.2565859065300309E-2</v>
      </c>
    </row>
    <row r="10" spans="1:13" x14ac:dyDescent="0.35">
      <c r="A10" s="12" t="s">
        <v>13</v>
      </c>
      <c r="B10" s="5">
        <f t="shared" ref="B10:L10" si="3">12*B5</f>
        <v>2.66067836874443</v>
      </c>
      <c r="C10" s="5">
        <f t="shared" si="3"/>
        <v>0.88804308566293622</v>
      </c>
      <c r="D10" s="5">
        <f t="shared" si="3"/>
        <v>0.77152404361543625</v>
      </c>
      <c r="E10" s="5">
        <f t="shared" si="3"/>
        <v>0.70068586437887348</v>
      </c>
      <c r="F10" s="5">
        <f t="shared" si="3"/>
        <v>0.72821401911349648</v>
      </c>
      <c r="G10" s="5">
        <f t="shared" si="3"/>
        <v>0.93339649518376278</v>
      </c>
      <c r="H10" s="5">
        <f t="shared" si="3"/>
        <v>0.87079113586997647</v>
      </c>
      <c r="I10" s="5">
        <f t="shared" si="3"/>
        <v>0.62083725739306739</v>
      </c>
      <c r="J10" s="5">
        <f t="shared" si="3"/>
        <v>0.71344633550013303</v>
      </c>
      <c r="K10" s="5">
        <f t="shared" si="3"/>
        <v>0.62841524013102801</v>
      </c>
      <c r="L10" s="5">
        <f t="shared" si="3"/>
        <v>0.38831727850252007</v>
      </c>
    </row>
    <row r="12" spans="1:13" x14ac:dyDescent="0.35">
      <c r="B12" s="9" t="s">
        <v>16</v>
      </c>
      <c r="C12" s="9" t="s">
        <v>17</v>
      </c>
      <c r="D12" s="9" t="s">
        <v>18</v>
      </c>
      <c r="E12" s="9" t="s">
        <v>19</v>
      </c>
      <c r="F12" s="9" t="s">
        <v>20</v>
      </c>
      <c r="G12" s="9" t="s">
        <v>21</v>
      </c>
      <c r="H12" s="9" t="s">
        <v>22</v>
      </c>
      <c r="I12" s="9" t="s">
        <v>23</v>
      </c>
      <c r="J12" s="9" t="s">
        <v>24</v>
      </c>
      <c r="K12" s="9" t="s">
        <v>25</v>
      </c>
      <c r="L12" s="9" t="s">
        <v>15</v>
      </c>
    </row>
    <row r="13" spans="1:13" x14ac:dyDescent="0.35">
      <c r="A13" s="12" t="s">
        <v>31</v>
      </c>
      <c r="B13" s="11">
        <f>INTERCEPT(Data!P3:P61,Data!$Z$3:$Z$61)</f>
        <v>-5.0870901093556735E-2</v>
      </c>
      <c r="C13" s="11">
        <f>INTERCEPT(Data!Q3:Q61,Data!$Z$3:$Z$61)</f>
        <v>-4.5312867498209569E-3</v>
      </c>
      <c r="D13" s="11">
        <f>INTERCEPT(Data!R3:R61,Data!$Z$3:$Z$61)</f>
        <v>-1.2571005046029492E-2</v>
      </c>
      <c r="E13" s="11">
        <f>INTERCEPT(Data!S3:S61,Data!$Z$3:$Z$61)</f>
        <v>1.2478191227107088E-2</v>
      </c>
      <c r="F13" s="11">
        <f>INTERCEPT(Data!T3:T61,Data!$Z$3:$Z$61)</f>
        <v>9.8828247234427988E-3</v>
      </c>
      <c r="G13" s="11">
        <f>INTERCEPT(Data!U3:U61,Data!$Z$3:$Z$61)</f>
        <v>-2.055817850068864E-2</v>
      </c>
      <c r="H13" s="11">
        <f>INTERCEPT(Data!V3:V61,Data!$Z$3:$Z$61)</f>
        <v>1.0848217003371061E-2</v>
      </c>
      <c r="I13" s="11">
        <f>INTERCEPT(Data!W3:W61,Data!$Z$3:$Z$61)</f>
        <v>-3.3611968868339807E-3</v>
      </c>
      <c r="J13" s="11">
        <f>INTERCEPT(Data!X3:X61,Data!$Z$3:$Z$61)</f>
        <v>5.1808201913298262E-3</v>
      </c>
      <c r="K13" s="11">
        <f>INTERCEPT(Data!Y3:Y61,Data!$Z$3:$Z$61)</f>
        <v>2.2686764220682214E-3</v>
      </c>
      <c r="L13" s="11">
        <f>INTERCEPT(Data!Z3:Z61,Data!$Z$3:$Z$61)</f>
        <v>0</v>
      </c>
      <c r="M13" t="str">
        <f ca="1">_xlfn.FORMULATEXT(L13)</f>
        <v>=INTERCEPT(Data!Z3:Z61,Data!$Z$3:$Z$61)</v>
      </c>
    </row>
    <row r="14" spans="1:13" x14ac:dyDescent="0.35">
      <c r="A14" s="12" t="s">
        <v>32</v>
      </c>
      <c r="B14" s="11">
        <f>SLOPE(Data!P3:P61,Data!$Z$3:$Z$61)</f>
        <v>4.7959866241754652</v>
      </c>
      <c r="C14" s="11">
        <f>SLOPE(Data!Q3:Q61,Data!$Z$3:$Z$61)</f>
        <v>1.6898026856264505</v>
      </c>
      <c r="D14" s="11">
        <f>SLOPE(Data!R3:R61,Data!$Z$3:$Z$61)</f>
        <v>1.0648520036445108</v>
      </c>
      <c r="E14" s="11">
        <f>SLOPE(Data!S3:S61,Data!$Z$3:$Z$61)</f>
        <v>1.1736468474061268</v>
      </c>
      <c r="F14" s="11">
        <f>SLOPE(Data!T3:T61,Data!$Z$3:$Z$61)</f>
        <v>0.77870947991631689</v>
      </c>
      <c r="G14" s="11">
        <f>SLOPE(Data!U3:U61,Data!$Z$3:$Z$61)</f>
        <v>0.9000099534926036</v>
      </c>
      <c r="H14" s="11">
        <f>SLOPE(Data!V3:V61,Data!$Z$3:$Z$61)</f>
        <v>1.250707856169921</v>
      </c>
      <c r="I14" s="11">
        <f>SLOPE(Data!W3:W61,Data!$Z$3:$Z$61)</f>
        <v>0.7530709987226526</v>
      </c>
      <c r="J14" s="11">
        <f>SLOPE(Data!X3:X61,Data!$Z$3:$Z$61)</f>
        <v>0.43709294824880651</v>
      </c>
      <c r="K14" s="11">
        <f>SLOPE(Data!Y3:Y61,Data!$Z$3:$Z$61)</f>
        <v>0.62805838870649755</v>
      </c>
      <c r="L14" s="11">
        <f>SLOPE(Data!Z3:Z61,Data!$Z$3:$Z$61)</f>
        <v>1</v>
      </c>
      <c r="M14" t="str">
        <f ca="1">_xlfn.FORMULATEXT(L14)</f>
        <v>=SLOPE(Data!Z3:Z61,Data!$Z$3:$Z$61)</v>
      </c>
    </row>
    <row r="15" spans="1:13" x14ac:dyDescent="0.35">
      <c r="A15" s="12" t="s">
        <v>33</v>
      </c>
      <c r="B15" s="11">
        <f>RSQ(Data!P3:P61,Data!$Z$3:$Z$61)</f>
        <v>0.48994191943536997</v>
      </c>
      <c r="C15" s="11">
        <f>RSQ(Data!Q3:Q61,Data!$Z$3:$Z$61)</f>
        <v>0.545980771888678</v>
      </c>
      <c r="D15" s="11">
        <f>RSQ(Data!R3:R61,Data!$Z$3:$Z$61)</f>
        <v>0.28724534911606331</v>
      </c>
      <c r="E15" s="11">
        <f>RSQ(Data!S3:S61,Data!$Z$3:$Z$61)</f>
        <v>0.42305963593069051</v>
      </c>
      <c r="F15" s="11">
        <f>RSQ(Data!T3:T61,Data!$Z$3:$Z$61)</f>
        <v>0.17242740143555485</v>
      </c>
      <c r="G15" s="11">
        <f>RSQ(Data!U3:U61,Data!$Z$3:$Z$61)</f>
        <v>0.14019603263630731</v>
      </c>
      <c r="H15" s="11">
        <f>RSQ(Data!V3:V61,Data!$Z$3:$Z$61)</f>
        <v>0.31106932522438296</v>
      </c>
      <c r="I15" s="11">
        <f>RSQ(Data!W3:W61,Data!$Z$3:$Z$61)</f>
        <v>0.22186547862850525</v>
      </c>
      <c r="J15" s="11">
        <f>RSQ(Data!X3:X61,Data!$Z$3:$Z$61)</f>
        <v>5.6597651048655107E-2</v>
      </c>
      <c r="K15" s="11">
        <f>RSQ(Data!Y3:Y61,Data!$Z$3:$Z$61)</f>
        <v>0.15061910205633042</v>
      </c>
      <c r="L15" s="11">
        <f>RSQ(Data!Z3:Z61,Data!$Z$3:$Z$61)</f>
        <v>0.99999999999999956</v>
      </c>
      <c r="M15" t="str">
        <f ca="1">_xlfn.FORMULATEXT(L15)</f>
        <v>=RSQ(Data!Z3:Z61,Data!$Z$3:$Z$61)</v>
      </c>
    </row>
    <row r="17" spans="1:13" x14ac:dyDescent="0.35">
      <c r="A17" s="12" t="s">
        <v>34</v>
      </c>
    </row>
    <row r="18" spans="1:13" x14ac:dyDescent="0.35">
      <c r="B18" s="9">
        <f>COVAR(Data!P3:P61,Data!$Z$3:$Z$61)/VARP(Data!$Z$3:$Z$61)</f>
        <v>4.7959866241754643</v>
      </c>
      <c r="C18" s="9">
        <f>COVAR(Data!Q3:Q61,Data!$Z$3:$Z$61)/VARP(Data!$Z$3:$Z$61)</f>
        <v>1.6898026856264503</v>
      </c>
      <c r="D18" s="9">
        <f>COVAR(Data!R3:R61,Data!$Z$3:$Z$61)/VARP(Data!$Z$3:$Z$61)</f>
        <v>1.0648520036445106</v>
      </c>
      <c r="E18" s="9">
        <f>COVAR(Data!S3:S61,Data!$Z$3:$Z$61)/VARP(Data!$Z$3:$Z$61)</f>
        <v>1.1736468474061266</v>
      </c>
      <c r="F18" s="9">
        <f>COVAR(Data!T3:T61,Data!$Z$3:$Z$61)/VARP(Data!$Z$3:$Z$61)</f>
        <v>0.77870947991631678</v>
      </c>
      <c r="G18" s="9">
        <f>COVAR(Data!U3:U61,Data!$Z$3:$Z$61)/VARP(Data!$Z$3:$Z$61)</f>
        <v>0.90000995349260349</v>
      </c>
      <c r="H18" s="9">
        <f>COVAR(Data!V3:V61,Data!$Z$3:$Z$61)/VARP(Data!$Z$3:$Z$61)</f>
        <v>1.2507078561699208</v>
      </c>
      <c r="I18" s="9">
        <f>COVAR(Data!W3:W61,Data!$Z$3:$Z$61)/VARP(Data!$Z$3:$Z$61)</f>
        <v>0.75307099872265248</v>
      </c>
      <c r="J18" s="9">
        <f>COVAR(Data!X3:X61,Data!$Z$3:$Z$61)/VARP(Data!$Z$3:$Z$61)</f>
        <v>0.43709294824880651</v>
      </c>
      <c r="K18" s="9">
        <f>COVAR(Data!Y3:Y61,Data!$Z$3:$Z$61)/VARP(Data!$Z$3:$Z$61)</f>
        <v>0.62805838870649744</v>
      </c>
      <c r="L18" s="9">
        <f>COVAR(Data!Z3:Z61,Data!$Z$3:$Z$61)/VARP(Data!$Z$3:$Z$61)</f>
        <v>0.99999999999999978</v>
      </c>
      <c r="M18" t="str">
        <f ca="1">_xlfn.FORMULATEXT(L18)</f>
        <v>=COVAR(Data!Z3:Z61,Data!$Z$3:$Z$61)/VARP(Data!$Z$3:$Z$61)</v>
      </c>
    </row>
    <row r="19" spans="1:13" x14ac:dyDescent="0.35">
      <c r="B19" s="9">
        <f>_xlfn.COVARIANCE.P(Data!P3:P61,Data!$Z$3:$Z$61)/_xlfn.VAR.P(Data!$Z$3:$Z$61)</f>
        <v>4.7959866241754643</v>
      </c>
      <c r="C19" s="9">
        <f>_xlfn.COVARIANCE.P(Data!Q3:Q61,Data!$Z$3:$Z$61)/_xlfn.VAR.P(Data!$Z$3:$Z$61)</f>
        <v>1.6898026856264503</v>
      </c>
      <c r="D19" s="9">
        <f>_xlfn.COVARIANCE.P(Data!R3:R61,Data!$Z$3:$Z$61)/_xlfn.VAR.P(Data!$Z$3:$Z$61)</f>
        <v>1.0648520036445106</v>
      </c>
      <c r="E19" s="9">
        <f>_xlfn.COVARIANCE.P(Data!S3:S61,Data!$Z$3:$Z$61)/_xlfn.VAR.P(Data!$Z$3:$Z$61)</f>
        <v>1.1736468474061266</v>
      </c>
      <c r="F19" s="9">
        <f>_xlfn.COVARIANCE.P(Data!T3:T61,Data!$Z$3:$Z$61)/_xlfn.VAR.P(Data!$Z$3:$Z$61)</f>
        <v>0.77870947991631678</v>
      </c>
      <c r="G19" s="9">
        <f>_xlfn.COVARIANCE.P(Data!U3:U61,Data!$Z$3:$Z$61)/_xlfn.VAR.P(Data!$Z$3:$Z$61)</f>
        <v>0.90000995349260349</v>
      </c>
      <c r="H19" s="9">
        <f>_xlfn.COVARIANCE.P(Data!V3:V61,Data!$Z$3:$Z$61)/_xlfn.VAR.P(Data!$Z$3:$Z$61)</f>
        <v>1.2507078561699208</v>
      </c>
      <c r="I19" s="9">
        <f>_xlfn.COVARIANCE.P(Data!W3:W61,Data!$Z$3:$Z$61)/_xlfn.VAR.P(Data!$Z$3:$Z$61)</f>
        <v>0.75307099872265248</v>
      </c>
      <c r="J19" s="9">
        <f>_xlfn.COVARIANCE.P(Data!X3:X61,Data!$Z$3:$Z$61)/_xlfn.VAR.P(Data!$Z$3:$Z$61)</f>
        <v>0.43709294824880651</v>
      </c>
      <c r="K19" s="9">
        <f>_xlfn.COVARIANCE.P(Data!Y3:Y61,Data!$Z$3:$Z$61)/_xlfn.VAR.P(Data!$Z$3:$Z$61)</f>
        <v>0.62805838870649744</v>
      </c>
      <c r="L19" s="9">
        <f>_xlfn.COVARIANCE.P(Data!Z3:Z61,Data!$Z$3:$Z$61)/_xlfn.VAR.P(Data!$Z$3:$Z$61)</f>
        <v>0.99999999999999978</v>
      </c>
      <c r="M19" t="str">
        <f ca="1">_xlfn.FORMULATEXT(L19)</f>
        <v>=COVARIANCE.P(Data!Z3:Z61,Data!$Z$3:$Z$61)/VAR.P(Data!$Z$3:$Z$61)</v>
      </c>
    </row>
    <row r="20" spans="1:13" x14ac:dyDescent="0.35">
      <c r="B20" s="9">
        <f>_xlfn.COVARIANCE.S(Data!P3:P61,Data!$Z$3:$Z$61)/_xlfn.VAR.S(Data!$Z$3:$Z$61)</f>
        <v>4.7959866241754634</v>
      </c>
      <c r="C20" s="9">
        <f>_xlfn.COVARIANCE.S(Data!Q3:Q61,Data!$Z$3:$Z$61)/_xlfn.VAR.S(Data!$Z$3:$Z$61)</f>
        <v>1.6898026856264501</v>
      </c>
      <c r="D20" s="9">
        <f>_xlfn.COVARIANCE.S(Data!R3:R61,Data!$Z$3:$Z$61)/_xlfn.VAR.S(Data!$Z$3:$Z$61)</f>
        <v>1.0648520036445104</v>
      </c>
      <c r="E20" s="9">
        <f>_xlfn.COVARIANCE.S(Data!S3:S61,Data!$Z$3:$Z$61)/_xlfn.VAR.S(Data!$Z$3:$Z$61)</f>
        <v>1.1736468474061263</v>
      </c>
      <c r="F20" s="9">
        <f>_xlfn.COVARIANCE.S(Data!T3:T61,Data!$Z$3:$Z$61)/_xlfn.VAR.S(Data!$Z$3:$Z$61)</f>
        <v>0.77870947991631656</v>
      </c>
      <c r="G20" s="9">
        <f>_xlfn.COVARIANCE.S(Data!U3:U61,Data!$Z$3:$Z$61)/_xlfn.VAR.S(Data!$Z$3:$Z$61)</f>
        <v>0.90000995349260327</v>
      </c>
      <c r="H20" s="9">
        <f>_xlfn.COVARIANCE.S(Data!V3:V61,Data!$Z$3:$Z$61)/_xlfn.VAR.S(Data!$Z$3:$Z$61)</f>
        <v>1.2507078561699205</v>
      </c>
      <c r="I20" s="9">
        <f>_xlfn.COVARIANCE.S(Data!W3:W61,Data!$Z$3:$Z$61)/_xlfn.VAR.S(Data!$Z$3:$Z$61)</f>
        <v>0.75307099872265237</v>
      </c>
      <c r="J20" s="9">
        <f>_xlfn.COVARIANCE.S(Data!X3:X61,Data!$Z$3:$Z$61)/_xlfn.VAR.S(Data!$Z$3:$Z$61)</f>
        <v>0.4370929482488064</v>
      </c>
      <c r="K20" s="9">
        <f>_xlfn.COVARIANCE.S(Data!Y3:Y61,Data!$Z$3:$Z$61)/_xlfn.VAR.S(Data!$Z$3:$Z$61)</f>
        <v>0.62805838870649733</v>
      </c>
      <c r="L20" s="9">
        <f>_xlfn.COVARIANCE.S(Data!Z3:Z61,Data!$Z$3:$Z$61)/_xlfn.VAR.S(Data!$Z$3:$Z$61)</f>
        <v>0.99999999999999956</v>
      </c>
      <c r="M20" t="str">
        <f ca="1">_xlfn.FORMULATEXT(L20)</f>
        <v>=COVARIANCE.S(Data!Z3:Z61,Data!$Z$3:$Z$61)/VAR.S(Data!$Z$3:$Z$61)</v>
      </c>
    </row>
  </sheetData>
  <mergeCells count="1">
    <mergeCell ref="A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27629-83B6-4011-8715-9E6DF6C4F05B}">
  <dimension ref="A1:Z61"/>
  <sheetViews>
    <sheetView zoomScale="85" zoomScaleNormal="85" workbookViewId="0">
      <selection activeCell="Q3" sqref="Q3"/>
    </sheetView>
  </sheetViews>
  <sheetFormatPr defaultRowHeight="14.5" x14ac:dyDescent="0.35"/>
  <cols>
    <col min="1" max="1" width="10.81640625" bestFit="1" customWidth="1"/>
    <col min="2" max="11" width="8.7265625" style="9"/>
    <col min="12" max="12" width="9.7265625" style="9" bestFit="1" customWidth="1"/>
    <col min="15" max="15" width="10.81640625" bestFit="1" customWidth="1"/>
  </cols>
  <sheetData>
    <row r="1" spans="1:26" x14ac:dyDescent="0.35">
      <c r="A1" t="s">
        <v>14</v>
      </c>
      <c r="B1" s="9" t="s">
        <v>16</v>
      </c>
      <c r="C1" s="9" t="s">
        <v>17</v>
      </c>
      <c r="D1" s="9" t="s">
        <v>18</v>
      </c>
      <c r="E1" s="9" t="s">
        <v>19</v>
      </c>
      <c r="F1" s="9" t="s">
        <v>20</v>
      </c>
      <c r="G1" s="9" t="s">
        <v>21</v>
      </c>
      <c r="H1" s="9" t="s">
        <v>22</v>
      </c>
      <c r="I1" s="9" t="s">
        <v>23</v>
      </c>
      <c r="J1" s="9" t="s">
        <v>24</v>
      </c>
      <c r="K1" s="9" t="s">
        <v>25</v>
      </c>
      <c r="L1" s="9" t="s">
        <v>15</v>
      </c>
      <c r="N1" s="9" t="s">
        <v>28</v>
      </c>
      <c r="O1" t="s">
        <v>14</v>
      </c>
      <c r="P1" s="9" t="s">
        <v>16</v>
      </c>
      <c r="Q1" s="9" t="s">
        <v>17</v>
      </c>
      <c r="R1" s="9" t="s">
        <v>18</v>
      </c>
      <c r="S1" s="9" t="s">
        <v>19</v>
      </c>
      <c r="T1" s="9" t="s">
        <v>20</v>
      </c>
      <c r="U1" s="9" t="s">
        <v>21</v>
      </c>
      <c r="V1" s="9" t="s">
        <v>22</v>
      </c>
      <c r="W1" s="9" t="s">
        <v>23</v>
      </c>
      <c r="X1" s="9" t="s">
        <v>24</v>
      </c>
      <c r="Y1" s="9" t="s">
        <v>25</v>
      </c>
      <c r="Z1" s="9" t="s">
        <v>15</v>
      </c>
    </row>
    <row r="2" spans="1:26" x14ac:dyDescent="0.35">
      <c r="A2" s="8">
        <v>41760</v>
      </c>
      <c r="B2" s="9">
        <v>22.389999</v>
      </c>
      <c r="C2" s="9">
        <v>44.975425999999999</v>
      </c>
      <c r="D2" s="9">
        <v>12.858231999999999</v>
      </c>
      <c r="E2" s="9">
        <v>36.420287999999999</v>
      </c>
      <c r="F2" s="9">
        <v>23.682531000000001</v>
      </c>
      <c r="G2" s="9">
        <v>21.629459000000001</v>
      </c>
      <c r="H2" s="9">
        <v>118.121826</v>
      </c>
      <c r="I2" s="9">
        <v>45.818027000000001</v>
      </c>
      <c r="J2" s="9">
        <v>33.594161999999997</v>
      </c>
      <c r="K2" s="9">
        <v>49.598728000000001</v>
      </c>
      <c r="L2" s="9">
        <v>1923.5699460000001</v>
      </c>
      <c r="O2" s="8">
        <v>41760</v>
      </c>
    </row>
    <row r="3" spans="1:26" x14ac:dyDescent="0.35">
      <c r="A3" s="8">
        <v>41791</v>
      </c>
      <c r="B3" s="9">
        <v>28.110001</v>
      </c>
      <c r="C3" s="9">
        <v>44.540359000000002</v>
      </c>
      <c r="D3" s="9">
        <v>13.483936</v>
      </c>
      <c r="E3" s="9">
        <v>37.358082000000003</v>
      </c>
      <c r="F3" s="9">
        <v>27.016037000000001</v>
      </c>
      <c r="G3" s="9">
        <v>21.217697000000001</v>
      </c>
      <c r="H3" s="9">
        <v>111.740967</v>
      </c>
      <c r="I3" s="9">
        <v>43.824486</v>
      </c>
      <c r="J3" s="9">
        <v>33.901328999999997</v>
      </c>
      <c r="K3" s="9">
        <v>49.590153000000001</v>
      </c>
      <c r="L3" s="9">
        <v>1960.2299800000001</v>
      </c>
      <c r="O3" s="8">
        <v>41791</v>
      </c>
      <c r="P3" s="5">
        <f>LN(B3/B2)</f>
        <v>0.22751103454510205</v>
      </c>
      <c r="Q3" s="5">
        <f t="shared" ref="Q3:Z3" si="0">LN(C3/C2)</f>
        <v>-9.7205297532159153E-3</v>
      </c>
      <c r="R3" s="5">
        <f t="shared" si="0"/>
        <v>4.7514822196207597E-2</v>
      </c>
      <c r="S3" s="5">
        <f t="shared" si="0"/>
        <v>2.5423291701826091E-2</v>
      </c>
      <c r="T3" s="5">
        <f t="shared" si="0"/>
        <v>0.13169296489098642</v>
      </c>
      <c r="U3" s="5">
        <f t="shared" si="0"/>
        <v>-1.9220630487060335E-2</v>
      </c>
      <c r="V3" s="5">
        <f t="shared" si="0"/>
        <v>-5.5533117599822761E-2</v>
      </c>
      <c r="W3" s="5">
        <f t="shared" si="0"/>
        <v>-4.4484914026003963E-2</v>
      </c>
      <c r="X3" s="5">
        <f t="shared" si="0"/>
        <v>9.101915284910167E-3</v>
      </c>
      <c r="Y3" s="5">
        <f t="shared" si="0"/>
        <v>-1.7290244501024527E-4</v>
      </c>
      <c r="Z3" s="5">
        <f t="shared" si="0"/>
        <v>1.8878996624704429E-2</v>
      </c>
    </row>
    <row r="4" spans="1:26" x14ac:dyDescent="0.35">
      <c r="A4" s="8">
        <v>41821</v>
      </c>
      <c r="B4" s="9">
        <v>26.18</v>
      </c>
      <c r="C4" s="9">
        <v>46.251998999999998</v>
      </c>
      <c r="D4" s="9">
        <v>13.311868</v>
      </c>
      <c r="E4" s="9">
        <v>38.666080000000001</v>
      </c>
      <c r="F4" s="9">
        <v>29.630219</v>
      </c>
      <c r="G4" s="9">
        <v>20.479624000000001</v>
      </c>
      <c r="H4" s="9">
        <v>105.812698</v>
      </c>
      <c r="I4" s="9">
        <v>41.830944000000002</v>
      </c>
      <c r="J4" s="9">
        <v>33.192245</v>
      </c>
      <c r="K4" s="9">
        <v>49.005291</v>
      </c>
      <c r="L4" s="9">
        <v>1930.670044</v>
      </c>
      <c r="O4" s="8">
        <v>41821</v>
      </c>
      <c r="P4" s="5">
        <f t="shared" ref="P4:P61" si="1">LN(B4/B3)</f>
        <v>-7.1129660011214735E-2</v>
      </c>
      <c r="Q4" s="5">
        <f t="shared" ref="Q4:Q61" si="2">LN(C4/C3)</f>
        <v>3.7708962678656664E-2</v>
      </c>
      <c r="R4" s="5">
        <f t="shared" ref="R4:R61" si="3">LN(D4/D3)</f>
        <v>-1.2843082830181122E-2</v>
      </c>
      <c r="S4" s="5">
        <f t="shared" ref="S4:S61" si="4">LN(E4/E3)</f>
        <v>3.4413456196339322E-2</v>
      </c>
      <c r="T4" s="5">
        <f t="shared" ref="T4:T61" si="5">LN(F4/F3)</f>
        <v>9.2364100074661157E-2</v>
      </c>
      <c r="U4" s="5">
        <f t="shared" ref="U4:U61" si="6">LN(G4/G3)</f>
        <v>-3.5405156979319917E-2</v>
      </c>
      <c r="V4" s="5">
        <f t="shared" ref="V4:V61" si="7">LN(H4/H3)</f>
        <v>-5.4512866885715341E-2</v>
      </c>
      <c r="W4" s="5">
        <f t="shared" ref="W4:W61" si="8">LN(I4/I3)</f>
        <v>-4.6556349538305584E-2</v>
      </c>
      <c r="X4" s="5">
        <f t="shared" ref="X4:X61" si="9">LN(J4/J3)</f>
        <v>-2.1137952857765645E-2</v>
      </c>
      <c r="Y4" s="5">
        <f t="shared" ref="Y4:Y61" si="10">LN(K4/K3)</f>
        <v>-1.1864013922651712E-2</v>
      </c>
      <c r="Z4" s="5">
        <f t="shared" ref="Z4:Z61" si="11">LN(L4/L3)</f>
        <v>-1.5194687370535838E-2</v>
      </c>
    </row>
    <row r="5" spans="1:26" x14ac:dyDescent="0.35">
      <c r="A5" s="8">
        <v>41852</v>
      </c>
      <c r="B5" s="9">
        <v>23.219999000000001</v>
      </c>
      <c r="C5" s="9">
        <v>48.852859000000002</v>
      </c>
      <c r="D5" s="9">
        <v>13.71447</v>
      </c>
      <c r="E5" s="9">
        <v>40.699706999999997</v>
      </c>
      <c r="F5" s="9">
        <v>30.530752</v>
      </c>
      <c r="G5" s="9">
        <v>21.155493</v>
      </c>
      <c r="H5" s="9">
        <v>111.363327</v>
      </c>
      <c r="I5" s="9">
        <v>44.869511000000003</v>
      </c>
      <c r="J5" s="9">
        <v>35.219757000000001</v>
      </c>
      <c r="K5" s="9">
        <v>51.915894000000002</v>
      </c>
      <c r="L5" s="9">
        <v>2003.369995</v>
      </c>
      <c r="O5" s="8">
        <v>41852</v>
      </c>
      <c r="P5" s="5">
        <f t="shared" si="1"/>
        <v>-0.11998182727833138</v>
      </c>
      <c r="Q5" s="5">
        <f t="shared" si="2"/>
        <v>5.4708218230484995E-2</v>
      </c>
      <c r="R5" s="5">
        <f t="shared" si="3"/>
        <v>2.9795511657934846E-2</v>
      </c>
      <c r="S5" s="5">
        <f t="shared" si="4"/>
        <v>5.1258163496077466E-2</v>
      </c>
      <c r="T5" s="5">
        <f t="shared" si="5"/>
        <v>2.9939685237656003E-2</v>
      </c>
      <c r="U5" s="5">
        <f t="shared" si="6"/>
        <v>3.2469147456129006E-2</v>
      </c>
      <c r="V5" s="5">
        <f t="shared" si="7"/>
        <v>5.1127541091316397E-2</v>
      </c>
      <c r="W5" s="5">
        <f t="shared" si="8"/>
        <v>7.0122169043569146E-2</v>
      </c>
      <c r="X5" s="5">
        <f t="shared" si="9"/>
        <v>5.9290939255308636E-2</v>
      </c>
      <c r="Y5" s="5">
        <f t="shared" si="10"/>
        <v>5.7696714190575461E-2</v>
      </c>
      <c r="Z5" s="5">
        <f t="shared" si="11"/>
        <v>3.6963644321168353E-2</v>
      </c>
    </row>
    <row r="6" spans="1:26" x14ac:dyDescent="0.35">
      <c r="A6" s="8">
        <v>41883</v>
      </c>
      <c r="B6" s="9">
        <v>20.32</v>
      </c>
      <c r="C6" s="9">
        <v>49.013649000000001</v>
      </c>
      <c r="D6" s="9">
        <v>11.650604</v>
      </c>
      <c r="E6" s="9">
        <v>41.792278000000003</v>
      </c>
      <c r="F6" s="9">
        <v>30.645823</v>
      </c>
      <c r="G6" s="9">
        <v>20.862342999999999</v>
      </c>
      <c r="H6" s="9">
        <v>112.550224</v>
      </c>
      <c r="I6" s="9">
        <v>42.406650999999997</v>
      </c>
      <c r="J6" s="9">
        <v>37.557929999999999</v>
      </c>
      <c r="K6" s="9">
        <v>51.199038999999999</v>
      </c>
      <c r="L6" s="9">
        <v>1972.290039</v>
      </c>
      <c r="O6" s="8">
        <v>41883</v>
      </c>
      <c r="P6" s="5">
        <f t="shared" si="1"/>
        <v>-0.13340831049314125</v>
      </c>
      <c r="Q6" s="5">
        <f t="shared" si="2"/>
        <v>3.2859074663887109E-3</v>
      </c>
      <c r="R6" s="5">
        <f t="shared" si="3"/>
        <v>-0.16309345566089997</v>
      </c>
      <c r="S6" s="5">
        <f t="shared" si="4"/>
        <v>2.6490692217216037E-2</v>
      </c>
      <c r="T6" s="5">
        <f t="shared" si="5"/>
        <v>3.7619345544756249E-3</v>
      </c>
      <c r="U6" s="5">
        <f t="shared" si="6"/>
        <v>-1.3953824588613654E-2</v>
      </c>
      <c r="V6" s="5">
        <f t="shared" si="7"/>
        <v>1.0601485359912045E-2</v>
      </c>
      <c r="W6" s="5">
        <f t="shared" si="8"/>
        <v>-5.645330863458236E-2</v>
      </c>
      <c r="X6" s="5">
        <f t="shared" si="9"/>
        <v>6.4277337444931956E-2</v>
      </c>
      <c r="Y6" s="5">
        <f t="shared" si="10"/>
        <v>-1.3904223725600171E-2</v>
      </c>
      <c r="Z6" s="5">
        <f t="shared" si="11"/>
        <v>-1.5635436078483781E-2</v>
      </c>
    </row>
    <row r="7" spans="1:26" x14ac:dyDescent="0.35">
      <c r="A7" s="8">
        <v>41913</v>
      </c>
      <c r="B7" s="9">
        <v>21.440000999999999</v>
      </c>
      <c r="C7" s="9">
        <v>50.631042000000001</v>
      </c>
      <c r="D7" s="9">
        <v>11.099190999999999</v>
      </c>
      <c r="E7" s="9">
        <v>42.324145999999999</v>
      </c>
      <c r="F7" s="9">
        <v>29.932933999999999</v>
      </c>
      <c r="G7" s="9">
        <v>21.201719000000001</v>
      </c>
      <c r="H7" s="9">
        <v>110.367783</v>
      </c>
      <c r="I7" s="9">
        <v>43.675915000000003</v>
      </c>
      <c r="J7" s="9">
        <v>39.994202000000001</v>
      </c>
      <c r="K7" s="9">
        <v>50.406731000000001</v>
      </c>
      <c r="L7" s="9">
        <v>2018.0500489999999</v>
      </c>
      <c r="O7" s="8">
        <v>41913</v>
      </c>
      <c r="P7" s="5">
        <f t="shared" si="1"/>
        <v>5.3652760134109974E-2</v>
      </c>
      <c r="Q7" s="5">
        <f t="shared" si="2"/>
        <v>3.2466056110525526E-2</v>
      </c>
      <c r="R7" s="5">
        <f t="shared" si="3"/>
        <v>-4.8485801382021507E-2</v>
      </c>
      <c r="S7" s="5">
        <f t="shared" si="4"/>
        <v>1.2646164992747077E-2</v>
      </c>
      <c r="T7" s="5">
        <f t="shared" si="5"/>
        <v>-2.3537026714084548E-2</v>
      </c>
      <c r="U7" s="5">
        <f t="shared" si="6"/>
        <v>1.6136499801136951E-2</v>
      </c>
      <c r="V7" s="5">
        <f t="shared" si="7"/>
        <v>-1.9581286974437739E-2</v>
      </c>
      <c r="W7" s="5">
        <f t="shared" si="8"/>
        <v>2.9491592857298646E-2</v>
      </c>
      <c r="X7" s="5">
        <f t="shared" si="9"/>
        <v>6.2849952607406251E-2</v>
      </c>
      <c r="Y7" s="5">
        <f t="shared" si="10"/>
        <v>-1.5596044590657056E-2</v>
      </c>
      <c r="Z7" s="5">
        <f t="shared" si="11"/>
        <v>2.2936398946422354E-2</v>
      </c>
    </row>
    <row r="8" spans="1:26" x14ac:dyDescent="0.35">
      <c r="A8" s="8">
        <v>41944</v>
      </c>
      <c r="B8" s="9">
        <v>24.01</v>
      </c>
      <c r="C8" s="9">
        <v>51.056919000000001</v>
      </c>
      <c r="D8" s="9">
        <v>12.501431999999999</v>
      </c>
      <c r="E8" s="9">
        <v>43.099421999999997</v>
      </c>
      <c r="F8" s="9">
        <v>32.784523</v>
      </c>
      <c r="G8" s="9">
        <v>21.760307000000001</v>
      </c>
      <c r="H8" s="9">
        <v>118.717613</v>
      </c>
      <c r="I8" s="9">
        <v>44.705230999999998</v>
      </c>
      <c r="J8" s="9">
        <v>41.582718</v>
      </c>
      <c r="K8" s="9">
        <v>52.546883000000001</v>
      </c>
      <c r="L8" s="9">
        <v>2067.5600589999999</v>
      </c>
      <c r="O8" s="8">
        <v>41944</v>
      </c>
      <c r="P8" s="5">
        <f t="shared" si="1"/>
        <v>0.11321202738877076</v>
      </c>
      <c r="Q8" s="5">
        <f t="shared" si="2"/>
        <v>8.3762027637740259E-3</v>
      </c>
      <c r="R8" s="5">
        <f t="shared" si="3"/>
        <v>0.11897097496744051</v>
      </c>
      <c r="S8" s="5">
        <f t="shared" si="4"/>
        <v>1.8151835731524114E-2</v>
      </c>
      <c r="T8" s="5">
        <f t="shared" si="5"/>
        <v>9.0997198479336086E-2</v>
      </c>
      <c r="U8" s="5">
        <f t="shared" si="6"/>
        <v>2.6005267047677041E-2</v>
      </c>
      <c r="V8" s="5">
        <f t="shared" si="7"/>
        <v>7.2929402481974992E-2</v>
      </c>
      <c r="W8" s="5">
        <f t="shared" si="8"/>
        <v>2.3293713380167523E-2</v>
      </c>
      <c r="X8" s="5">
        <f t="shared" si="9"/>
        <v>3.8950154651172714E-2</v>
      </c>
      <c r="Y8" s="5">
        <f t="shared" si="10"/>
        <v>4.1581062878200334E-2</v>
      </c>
      <c r="Z8" s="5">
        <f t="shared" si="11"/>
        <v>2.4237473674625542E-2</v>
      </c>
    </row>
    <row r="9" spans="1:26" x14ac:dyDescent="0.35">
      <c r="A9" s="8">
        <v>41974</v>
      </c>
      <c r="B9" s="9">
        <v>22.49</v>
      </c>
      <c r="C9" s="9">
        <v>51.189357999999999</v>
      </c>
      <c r="D9" s="9">
        <v>12.318642000000001</v>
      </c>
      <c r="E9" s="9">
        <v>42.137520000000002</v>
      </c>
      <c r="F9" s="9">
        <v>32.149020999999998</v>
      </c>
      <c r="G9" s="9">
        <v>20.758140999999998</v>
      </c>
      <c r="H9" s="9">
        <v>115.517662</v>
      </c>
      <c r="I9" s="9">
        <v>45.196773999999998</v>
      </c>
      <c r="J9" s="9">
        <v>40.763641</v>
      </c>
      <c r="K9" s="9">
        <v>49.40625</v>
      </c>
      <c r="L9" s="9">
        <v>2058.8999020000001</v>
      </c>
      <c r="O9" s="8">
        <v>41974</v>
      </c>
      <c r="P9" s="5">
        <f t="shared" si="1"/>
        <v>-6.5399644261937687E-2</v>
      </c>
      <c r="Q9" s="5">
        <f t="shared" si="2"/>
        <v>2.5905896616306074E-3</v>
      </c>
      <c r="R9" s="5">
        <f t="shared" si="3"/>
        <v>-1.472947298958556E-2</v>
      </c>
      <c r="S9" s="5">
        <f t="shared" si="4"/>
        <v>-2.2571031150251459E-2</v>
      </c>
      <c r="T9" s="5">
        <f t="shared" si="5"/>
        <v>-1.9574545064052866E-2</v>
      </c>
      <c r="U9" s="5">
        <f t="shared" si="6"/>
        <v>-4.7149023262169264E-2</v>
      </c>
      <c r="V9" s="5">
        <f t="shared" si="7"/>
        <v>-2.7324237064825077E-2</v>
      </c>
      <c r="W9" s="5">
        <f t="shared" si="8"/>
        <v>1.0935193228510926E-2</v>
      </c>
      <c r="X9" s="5">
        <f t="shared" si="9"/>
        <v>-1.9894116121480478E-2</v>
      </c>
      <c r="Y9" s="5">
        <f t="shared" si="10"/>
        <v>-6.1628846215860081E-2</v>
      </c>
      <c r="Z9" s="5">
        <f t="shared" si="11"/>
        <v>-4.1973845845717124E-3</v>
      </c>
    </row>
    <row r="10" spans="1:26" x14ac:dyDescent="0.35">
      <c r="A10" s="8">
        <v>42005</v>
      </c>
      <c r="B10" s="9">
        <v>15.86</v>
      </c>
      <c r="C10" s="9">
        <v>44.415829000000002</v>
      </c>
      <c r="D10" s="9">
        <v>11.690787</v>
      </c>
      <c r="E10" s="9">
        <v>36.649211999999999</v>
      </c>
      <c r="F10" s="9">
        <v>29.269874999999999</v>
      </c>
      <c r="G10" s="9">
        <v>19.816748</v>
      </c>
      <c r="H10" s="9">
        <v>129.195267</v>
      </c>
      <c r="I10" s="9">
        <v>44.476402</v>
      </c>
      <c r="J10" s="9">
        <v>44.388927000000002</v>
      </c>
      <c r="K10" s="9">
        <v>52.838912999999998</v>
      </c>
      <c r="L10" s="9">
        <v>1994.98999</v>
      </c>
      <c r="O10" s="8">
        <v>42005</v>
      </c>
      <c r="P10" s="5">
        <f t="shared" si="1"/>
        <v>-0.34927054976452243</v>
      </c>
      <c r="Q10" s="5">
        <f t="shared" si="2"/>
        <v>-0.14193574396588113</v>
      </c>
      <c r="R10" s="5">
        <f t="shared" si="3"/>
        <v>-5.2312629041393326E-2</v>
      </c>
      <c r="S10" s="5">
        <f t="shared" si="4"/>
        <v>-0.13954662777728369</v>
      </c>
      <c r="T10" s="5">
        <f t="shared" si="5"/>
        <v>-9.3823169098640871E-2</v>
      </c>
      <c r="U10" s="5">
        <f t="shared" si="6"/>
        <v>-4.6411068332354311E-2</v>
      </c>
      <c r="V10" s="5">
        <f t="shared" si="7"/>
        <v>0.11190152153051838</v>
      </c>
      <c r="W10" s="5">
        <f t="shared" si="8"/>
        <v>-1.6066956226928462E-2</v>
      </c>
      <c r="X10" s="5">
        <f t="shared" si="9"/>
        <v>8.51995143055959E-2</v>
      </c>
      <c r="Y10" s="5">
        <f t="shared" si="10"/>
        <v>6.717097349606746E-2</v>
      </c>
      <c r="Z10" s="5">
        <f t="shared" si="11"/>
        <v>-3.1532779216949261E-2</v>
      </c>
    </row>
    <row r="11" spans="1:26" x14ac:dyDescent="0.35">
      <c r="A11" s="8">
        <v>42036</v>
      </c>
      <c r="B11" s="9">
        <v>19.709999</v>
      </c>
      <c r="C11" s="9">
        <v>49.601112000000001</v>
      </c>
      <c r="D11" s="9">
        <v>13.118747000000001</v>
      </c>
      <c r="E11" s="9">
        <v>39.778903999999997</v>
      </c>
      <c r="F11" s="9">
        <v>29.455916999999999</v>
      </c>
      <c r="G11" s="9">
        <v>21.558696999999999</v>
      </c>
      <c r="H11" s="9">
        <v>134.06553600000001</v>
      </c>
      <c r="I11" s="9">
        <v>45.941223000000001</v>
      </c>
      <c r="J11" s="9">
        <v>47.055602999999998</v>
      </c>
      <c r="K11" s="9">
        <v>51.313701999999999</v>
      </c>
      <c r="L11" s="9">
        <v>2104.5</v>
      </c>
      <c r="O11" s="8">
        <v>42036</v>
      </c>
      <c r="P11" s="5">
        <f t="shared" si="1"/>
        <v>0.21732585422225839</v>
      </c>
      <c r="Q11" s="5">
        <f t="shared" si="2"/>
        <v>0.11041733792145916</v>
      </c>
      <c r="R11" s="5">
        <f t="shared" si="3"/>
        <v>0.11524118019067521</v>
      </c>
      <c r="S11" s="5">
        <f t="shared" si="4"/>
        <v>8.1944794093452469E-2</v>
      </c>
      <c r="T11" s="5">
        <f t="shared" si="5"/>
        <v>6.335976614206729E-3</v>
      </c>
      <c r="U11" s="5">
        <f t="shared" si="6"/>
        <v>8.4251869472311863E-2</v>
      </c>
      <c r="V11" s="5">
        <f t="shared" si="7"/>
        <v>3.7003797469204985E-2</v>
      </c>
      <c r="W11" s="5">
        <f t="shared" si="8"/>
        <v>3.2404062204292865E-2</v>
      </c>
      <c r="X11" s="5">
        <f t="shared" si="9"/>
        <v>5.8339898576886269E-2</v>
      </c>
      <c r="Y11" s="5">
        <f t="shared" si="10"/>
        <v>-2.9290095876177119E-2</v>
      </c>
      <c r="Z11" s="5">
        <f t="shared" si="11"/>
        <v>5.343887644310899E-2</v>
      </c>
    </row>
    <row r="12" spans="1:26" x14ac:dyDescent="0.35">
      <c r="A12" s="8">
        <v>42064</v>
      </c>
      <c r="B12" s="9">
        <v>17.959999</v>
      </c>
      <c r="C12" s="9">
        <v>48.749512000000003</v>
      </c>
      <c r="D12" s="9">
        <v>12.958171999999999</v>
      </c>
      <c r="E12" s="9">
        <v>37.147564000000003</v>
      </c>
      <c r="F12" s="9">
        <v>27.900549000000002</v>
      </c>
      <c r="G12" s="9">
        <v>20.776716</v>
      </c>
      <c r="H12" s="9">
        <v>134.20619199999999</v>
      </c>
      <c r="I12" s="9">
        <v>48.341183000000001</v>
      </c>
      <c r="J12" s="9">
        <v>41.814200999999997</v>
      </c>
      <c r="K12" s="9">
        <v>50.384548000000002</v>
      </c>
      <c r="L12" s="9">
        <v>2067.889893</v>
      </c>
      <c r="O12" s="8">
        <v>42064</v>
      </c>
      <c r="P12" s="5">
        <f t="shared" si="1"/>
        <v>-9.2979063234195705E-2</v>
      </c>
      <c r="Q12" s="5">
        <f t="shared" si="2"/>
        <v>-1.7318065697067519E-2</v>
      </c>
      <c r="R12" s="5">
        <f t="shared" si="3"/>
        <v>-1.2315644313443112E-2</v>
      </c>
      <c r="S12" s="5">
        <f t="shared" si="4"/>
        <v>-6.8438524504395012E-2</v>
      </c>
      <c r="T12" s="5">
        <f t="shared" si="5"/>
        <v>-5.4248440671589307E-2</v>
      </c>
      <c r="U12" s="5">
        <f t="shared" si="6"/>
        <v>-3.6946371613531571E-2</v>
      </c>
      <c r="V12" s="5">
        <f t="shared" si="7"/>
        <v>1.0486085428168806E-3</v>
      </c>
      <c r="W12" s="5">
        <f t="shared" si="8"/>
        <v>5.0921028875389837E-2</v>
      </c>
      <c r="X12" s="5">
        <f t="shared" si="9"/>
        <v>-0.11809392634452165</v>
      </c>
      <c r="Y12" s="5">
        <f t="shared" si="10"/>
        <v>-1.8273271261395021E-2</v>
      </c>
      <c r="Z12" s="5">
        <f t="shared" si="11"/>
        <v>-1.7549197229950769E-2</v>
      </c>
    </row>
    <row r="13" spans="1:26" x14ac:dyDescent="0.35">
      <c r="A13" s="8">
        <v>42095</v>
      </c>
      <c r="B13" s="9">
        <v>15.6</v>
      </c>
      <c r="C13" s="9">
        <v>50.452713000000003</v>
      </c>
      <c r="D13" s="9">
        <v>12.6852</v>
      </c>
      <c r="E13" s="9">
        <v>44.438209999999998</v>
      </c>
      <c r="F13" s="9">
        <v>29.042627</v>
      </c>
      <c r="G13" s="9">
        <v>22.677689000000001</v>
      </c>
      <c r="H13" s="9">
        <v>128.179047</v>
      </c>
      <c r="I13" s="9">
        <v>47.265040999999997</v>
      </c>
      <c r="J13" s="9">
        <v>42.260100999999999</v>
      </c>
      <c r="K13" s="9">
        <v>52.63026</v>
      </c>
      <c r="L13" s="9">
        <v>2085.51001</v>
      </c>
      <c r="O13" s="8">
        <v>42095</v>
      </c>
      <c r="P13" s="5">
        <f t="shared" si="1"/>
        <v>-0.14087609293927331</v>
      </c>
      <c r="Q13" s="5">
        <f t="shared" si="2"/>
        <v>3.4341334232254134E-2</v>
      </c>
      <c r="R13" s="5">
        <f t="shared" si="3"/>
        <v>-2.1290672012532201E-2</v>
      </c>
      <c r="S13" s="5">
        <f t="shared" si="4"/>
        <v>0.17920148792385787</v>
      </c>
      <c r="T13" s="5">
        <f t="shared" si="5"/>
        <v>4.0118281244636567E-2</v>
      </c>
      <c r="U13" s="5">
        <f t="shared" si="6"/>
        <v>8.7548641115886727E-2</v>
      </c>
      <c r="V13" s="5">
        <f t="shared" si="7"/>
        <v>-4.59492723713689E-2</v>
      </c>
      <c r="W13" s="5">
        <f t="shared" si="8"/>
        <v>-2.2512916135985897E-2</v>
      </c>
      <c r="X13" s="5">
        <f t="shared" si="9"/>
        <v>1.0607383476603905E-2</v>
      </c>
      <c r="Y13" s="5">
        <f t="shared" si="10"/>
        <v>4.3606698733448759E-2</v>
      </c>
      <c r="Z13" s="5">
        <f t="shared" si="11"/>
        <v>8.4847224530057719E-3</v>
      </c>
    </row>
    <row r="14" spans="1:26" x14ac:dyDescent="0.35">
      <c r="A14" s="8">
        <v>42125</v>
      </c>
      <c r="B14" s="9">
        <v>13.15</v>
      </c>
      <c r="C14" s="9">
        <v>51.171841000000001</v>
      </c>
      <c r="D14" s="9">
        <v>12.294225000000001</v>
      </c>
      <c r="E14" s="9">
        <v>42.811973999999999</v>
      </c>
      <c r="F14" s="9">
        <v>30.746811000000001</v>
      </c>
      <c r="G14" s="9">
        <v>22.836798000000002</v>
      </c>
      <c r="H14" s="9">
        <v>125.657318</v>
      </c>
      <c r="I14" s="9">
        <v>48.336098</v>
      </c>
      <c r="J14" s="9">
        <v>43.231102</v>
      </c>
      <c r="K14" s="9">
        <v>53.805511000000003</v>
      </c>
      <c r="L14" s="9">
        <v>2107.389893</v>
      </c>
      <c r="O14" s="8">
        <v>42125</v>
      </c>
      <c r="P14" s="5">
        <f t="shared" si="1"/>
        <v>-0.17084915563171779</v>
      </c>
      <c r="Q14" s="5">
        <f t="shared" si="2"/>
        <v>1.4152878912381504E-2</v>
      </c>
      <c r="R14" s="5">
        <f t="shared" si="3"/>
        <v>-3.1306319652593555E-2</v>
      </c>
      <c r="S14" s="5">
        <f t="shared" si="4"/>
        <v>-3.7281855116722558E-2</v>
      </c>
      <c r="T14" s="5">
        <f t="shared" si="5"/>
        <v>5.7021634259764524E-2</v>
      </c>
      <c r="U14" s="5">
        <f t="shared" si="6"/>
        <v>6.9916045911743554E-3</v>
      </c>
      <c r="V14" s="5">
        <f t="shared" si="7"/>
        <v>-1.9869587751517963E-2</v>
      </c>
      <c r="W14" s="5">
        <f t="shared" si="8"/>
        <v>2.240772079014882E-2</v>
      </c>
      <c r="X14" s="5">
        <f t="shared" si="9"/>
        <v>2.2716787759499049E-2</v>
      </c>
      <c r="Y14" s="5">
        <f t="shared" si="10"/>
        <v>2.2084657364186532E-2</v>
      </c>
      <c r="Z14" s="5">
        <f t="shared" si="11"/>
        <v>1.0436729763142673E-2</v>
      </c>
    </row>
    <row r="15" spans="1:26" x14ac:dyDescent="0.35">
      <c r="A15" s="8">
        <v>42156</v>
      </c>
      <c r="B15" s="9">
        <v>12.98</v>
      </c>
      <c r="C15" s="9">
        <v>52.318992999999999</v>
      </c>
      <c r="D15" s="9">
        <v>12.164557</v>
      </c>
      <c r="E15" s="9">
        <v>40.598216999999998</v>
      </c>
      <c r="F15" s="9">
        <v>27.338408999999999</v>
      </c>
      <c r="G15" s="9">
        <v>22.250596999999999</v>
      </c>
      <c r="H15" s="9">
        <v>124.842659</v>
      </c>
      <c r="I15" s="9">
        <v>47.965935000000002</v>
      </c>
      <c r="J15" s="9">
        <v>41.297535000000003</v>
      </c>
      <c r="K15" s="9">
        <v>50.306252000000001</v>
      </c>
      <c r="L15" s="9">
        <v>2063.110107</v>
      </c>
      <c r="O15" s="8">
        <v>42156</v>
      </c>
      <c r="P15" s="5">
        <f t="shared" si="1"/>
        <v>-1.3012047347829599E-2</v>
      </c>
      <c r="Q15" s="5">
        <f t="shared" si="2"/>
        <v>2.2170059739843716E-2</v>
      </c>
      <c r="R15" s="5">
        <f t="shared" si="3"/>
        <v>-1.0603080302867912E-2</v>
      </c>
      <c r="S15" s="5">
        <f t="shared" si="4"/>
        <v>-5.3093680428399813E-2</v>
      </c>
      <c r="T15" s="5">
        <f t="shared" si="5"/>
        <v>-0.11749364507858852</v>
      </c>
      <c r="U15" s="5">
        <f t="shared" si="6"/>
        <v>-2.6004342602452726E-2</v>
      </c>
      <c r="V15" s="5">
        <f t="shared" si="7"/>
        <v>-6.5042870008827835E-3</v>
      </c>
      <c r="W15" s="5">
        <f t="shared" si="8"/>
        <v>-7.6875806560996055E-3</v>
      </c>
      <c r="X15" s="5">
        <f t="shared" si="9"/>
        <v>-4.5757376955696712E-2</v>
      </c>
      <c r="Y15" s="5">
        <f t="shared" si="10"/>
        <v>-6.7246533249478394E-2</v>
      </c>
      <c r="Z15" s="5">
        <f t="shared" si="11"/>
        <v>-2.1235559276432083E-2</v>
      </c>
    </row>
    <row r="16" spans="1:26" x14ac:dyDescent="0.35">
      <c r="A16" s="8">
        <v>42186</v>
      </c>
      <c r="B16" s="9">
        <v>19.299999</v>
      </c>
      <c r="C16" s="9">
        <v>55.368716999999997</v>
      </c>
      <c r="D16" s="9">
        <v>12.018682</v>
      </c>
      <c r="E16" s="9">
        <v>42.943080999999999</v>
      </c>
      <c r="F16" s="9">
        <v>26.017319000000001</v>
      </c>
      <c r="G16" s="9">
        <v>22.050416999999999</v>
      </c>
      <c r="H16" s="9">
        <v>129.74743699999999</v>
      </c>
      <c r="I16" s="9">
        <v>50.109425000000002</v>
      </c>
      <c r="J16" s="9">
        <v>46.406447999999997</v>
      </c>
      <c r="K16" s="9">
        <v>52.496367999999997</v>
      </c>
      <c r="L16" s="9">
        <v>2103.8400879999999</v>
      </c>
      <c r="O16" s="8">
        <v>42186</v>
      </c>
      <c r="P16" s="5">
        <f t="shared" si="1"/>
        <v>0.39669533282142305</v>
      </c>
      <c r="Q16" s="5">
        <f t="shared" si="2"/>
        <v>5.665529915214166E-2</v>
      </c>
      <c r="R16" s="5">
        <f t="shared" si="3"/>
        <v>-1.2064287112384983E-2</v>
      </c>
      <c r="S16" s="5">
        <f t="shared" si="4"/>
        <v>5.6151391770309776E-2</v>
      </c>
      <c r="T16" s="5">
        <f t="shared" si="5"/>
        <v>-4.9530204829173523E-2</v>
      </c>
      <c r="U16" s="5">
        <f t="shared" si="6"/>
        <v>-9.0373264343067E-3</v>
      </c>
      <c r="V16" s="5">
        <f t="shared" si="7"/>
        <v>3.8535552040219294E-2</v>
      </c>
      <c r="W16" s="5">
        <f t="shared" si="8"/>
        <v>4.3718042689752601E-2</v>
      </c>
      <c r="X16" s="5">
        <f t="shared" si="9"/>
        <v>0.11663560213890908</v>
      </c>
      <c r="Y16" s="5">
        <f t="shared" si="10"/>
        <v>4.2614622635687029E-2</v>
      </c>
      <c r="Z16" s="5">
        <f t="shared" si="11"/>
        <v>1.954968324649287E-2</v>
      </c>
    </row>
    <row r="17" spans="1:26" x14ac:dyDescent="0.35">
      <c r="A17" s="8">
        <v>42217</v>
      </c>
      <c r="B17" s="9">
        <v>16.709999</v>
      </c>
      <c r="C17" s="9">
        <v>50.695079999999997</v>
      </c>
      <c r="D17" s="9">
        <v>11.355524000000001</v>
      </c>
      <c r="E17" s="9">
        <v>40.018901999999997</v>
      </c>
      <c r="F17" s="9">
        <v>25.648855000000001</v>
      </c>
      <c r="G17" s="9">
        <v>21.974722</v>
      </c>
      <c r="H17" s="9">
        <v>117.606956</v>
      </c>
      <c r="I17" s="9">
        <v>49.235419999999998</v>
      </c>
      <c r="J17" s="9">
        <v>45.723747000000003</v>
      </c>
      <c r="K17" s="9">
        <v>47.946559999999998</v>
      </c>
      <c r="L17" s="9">
        <v>1972.1800539999999</v>
      </c>
      <c r="O17" s="8">
        <v>42217</v>
      </c>
      <c r="P17" s="5">
        <f t="shared" si="1"/>
        <v>-0.144097761334471</v>
      </c>
      <c r="Q17" s="5">
        <f t="shared" si="2"/>
        <v>-8.8185894705768236E-2</v>
      </c>
      <c r="R17" s="5">
        <f t="shared" si="3"/>
        <v>-5.6757950948081184E-2</v>
      </c>
      <c r="S17" s="5">
        <f t="shared" si="4"/>
        <v>-7.0523648660145363E-2</v>
      </c>
      <c r="T17" s="5">
        <f t="shared" si="5"/>
        <v>-1.4263500405522437E-2</v>
      </c>
      <c r="U17" s="5">
        <f t="shared" si="6"/>
        <v>-3.4387205269167226E-3</v>
      </c>
      <c r="V17" s="5">
        <f t="shared" si="7"/>
        <v>-9.8241585103910248E-2</v>
      </c>
      <c r="W17" s="5">
        <f t="shared" si="8"/>
        <v>-1.7595830969970607E-2</v>
      </c>
      <c r="X17" s="5">
        <f t="shared" si="9"/>
        <v>-1.4820624145609201E-2</v>
      </c>
      <c r="Y17" s="5">
        <f t="shared" si="10"/>
        <v>-9.0656928893463412E-2</v>
      </c>
      <c r="Z17" s="5">
        <f t="shared" si="11"/>
        <v>-6.4624730898542204E-2</v>
      </c>
    </row>
    <row r="18" spans="1:26" x14ac:dyDescent="0.35">
      <c r="A18" s="8">
        <v>42248</v>
      </c>
      <c r="B18" s="9">
        <v>13.26</v>
      </c>
      <c r="C18" s="9">
        <v>47.026603999999999</v>
      </c>
      <c r="D18" s="9">
        <v>11.109909</v>
      </c>
      <c r="E18" s="9">
        <v>40.967751</v>
      </c>
      <c r="F18" s="9">
        <v>27.311789999999998</v>
      </c>
      <c r="G18" s="9">
        <v>21.306954999999999</v>
      </c>
      <c r="H18" s="9">
        <v>118.60185199999999</v>
      </c>
      <c r="I18" s="9">
        <v>48.688946000000001</v>
      </c>
      <c r="J18" s="9">
        <v>46.423515000000002</v>
      </c>
      <c r="K18" s="9">
        <v>43.975501999999999</v>
      </c>
      <c r="L18" s="9">
        <v>1920.030029</v>
      </c>
      <c r="O18" s="8">
        <v>42248</v>
      </c>
      <c r="P18" s="5">
        <f t="shared" si="1"/>
        <v>-0.23125529800517955</v>
      </c>
      <c r="Q18" s="5">
        <f t="shared" si="2"/>
        <v>-7.5115380346603366E-2</v>
      </c>
      <c r="R18" s="5">
        <f t="shared" si="3"/>
        <v>-2.1866908765641294E-2</v>
      </c>
      <c r="S18" s="5">
        <f t="shared" si="4"/>
        <v>2.3433303729962197E-2</v>
      </c>
      <c r="T18" s="5">
        <f t="shared" si="5"/>
        <v>6.2819545850387376E-2</v>
      </c>
      <c r="U18" s="5">
        <f t="shared" si="6"/>
        <v>-3.0859247512721455E-2</v>
      </c>
      <c r="V18" s="5">
        <f t="shared" si="7"/>
        <v>8.423918580919695E-3</v>
      </c>
      <c r="W18" s="5">
        <f t="shared" si="8"/>
        <v>-1.1161260375456269E-2</v>
      </c>
      <c r="X18" s="5">
        <f t="shared" si="9"/>
        <v>1.5188328702214614E-2</v>
      </c>
      <c r="Y18" s="5">
        <f t="shared" si="10"/>
        <v>-8.6454351223124157E-2</v>
      </c>
      <c r="Z18" s="5">
        <f t="shared" si="11"/>
        <v>-2.6798731264652844E-2</v>
      </c>
    </row>
    <row r="19" spans="1:26" x14ac:dyDescent="0.35">
      <c r="A19" s="8">
        <v>42278</v>
      </c>
      <c r="B19" s="9">
        <v>18.260000000000002</v>
      </c>
      <c r="C19" s="9">
        <v>50.401218</v>
      </c>
      <c r="D19" s="9">
        <v>12.125112</v>
      </c>
      <c r="E19" s="9">
        <v>48.724418999999997</v>
      </c>
      <c r="F19" s="9">
        <v>30.68272</v>
      </c>
      <c r="G19" s="9">
        <v>24.660364000000001</v>
      </c>
      <c r="H19" s="9">
        <v>134.10749799999999</v>
      </c>
      <c r="I19" s="9">
        <v>50.406460000000003</v>
      </c>
      <c r="J19" s="9">
        <v>52.156677000000002</v>
      </c>
      <c r="K19" s="9">
        <v>49.086753999999999</v>
      </c>
      <c r="L19" s="9">
        <v>2079.360107</v>
      </c>
      <c r="O19" s="8">
        <v>42278</v>
      </c>
      <c r="P19" s="5">
        <f t="shared" si="1"/>
        <v>0.31996089040910614</v>
      </c>
      <c r="Q19" s="5">
        <f t="shared" si="2"/>
        <v>6.9301857330387795E-2</v>
      </c>
      <c r="R19" s="5">
        <f t="shared" si="3"/>
        <v>8.7441261095375339E-2</v>
      </c>
      <c r="S19" s="5">
        <f t="shared" si="4"/>
        <v>0.17339512503160118</v>
      </c>
      <c r="T19" s="5">
        <f t="shared" si="5"/>
        <v>0.1163811525802718</v>
      </c>
      <c r="U19" s="5">
        <f t="shared" si="6"/>
        <v>0.14616371313438586</v>
      </c>
      <c r="V19" s="5">
        <f t="shared" si="7"/>
        <v>0.12286960026588335</v>
      </c>
      <c r="W19" s="5">
        <f t="shared" si="8"/>
        <v>3.4667318662001928E-2</v>
      </c>
      <c r="X19" s="5">
        <f t="shared" si="9"/>
        <v>0.11644608811563903</v>
      </c>
      <c r="Y19" s="5">
        <f t="shared" si="10"/>
        <v>0.10995651630148208</v>
      </c>
      <c r="Z19" s="5">
        <f t="shared" si="11"/>
        <v>7.9719379495131665E-2</v>
      </c>
    </row>
    <row r="20" spans="1:26" x14ac:dyDescent="0.35">
      <c r="A20" s="8">
        <v>42309</v>
      </c>
      <c r="B20" s="9">
        <v>16.93</v>
      </c>
      <c r="C20" s="9">
        <v>51.320194000000001</v>
      </c>
      <c r="D20" s="9">
        <v>11.851521</v>
      </c>
      <c r="E20" s="9">
        <v>50.307217000000001</v>
      </c>
      <c r="F20" s="9">
        <v>31.507332000000002</v>
      </c>
      <c r="G20" s="9">
        <v>25.53013</v>
      </c>
      <c r="H20" s="9">
        <v>131.734543</v>
      </c>
      <c r="I20" s="9">
        <v>50.903759000000001</v>
      </c>
      <c r="J20" s="9">
        <v>49.681235999999998</v>
      </c>
      <c r="K20" s="9">
        <v>47.604996</v>
      </c>
      <c r="L20" s="9">
        <v>2080.4099120000001</v>
      </c>
      <c r="O20" s="8">
        <v>42309</v>
      </c>
      <c r="P20" s="5">
        <f t="shared" si="1"/>
        <v>-7.5625679021778608E-2</v>
      </c>
      <c r="Q20" s="5">
        <f t="shared" si="2"/>
        <v>1.8068978490960418E-2</v>
      </c>
      <c r="R20" s="5">
        <f t="shared" si="3"/>
        <v>-2.2822460119492249E-2</v>
      </c>
      <c r="S20" s="5">
        <f t="shared" si="4"/>
        <v>3.1968224679886872E-2</v>
      </c>
      <c r="T20" s="5">
        <f t="shared" si="5"/>
        <v>2.652065097664728E-2</v>
      </c>
      <c r="U20" s="5">
        <f t="shared" si="6"/>
        <v>3.4662064915591179E-2</v>
      </c>
      <c r="V20" s="5">
        <f t="shared" si="7"/>
        <v>-1.7852842366171399E-2</v>
      </c>
      <c r="W20" s="5">
        <f t="shared" si="8"/>
        <v>9.8174300504370281E-3</v>
      </c>
      <c r="X20" s="5">
        <f t="shared" si="9"/>
        <v>-4.8624891224088619E-2</v>
      </c>
      <c r="Y20" s="5">
        <f t="shared" si="10"/>
        <v>-3.0651508724115293E-2</v>
      </c>
      <c r="Z20" s="5">
        <f t="shared" si="11"/>
        <v>5.0474185711855491E-4</v>
      </c>
    </row>
    <row r="21" spans="1:26" x14ac:dyDescent="0.35">
      <c r="A21" s="8">
        <v>42339</v>
      </c>
      <c r="B21" s="9">
        <v>14.18</v>
      </c>
      <c r="C21" s="9">
        <v>49.100014000000002</v>
      </c>
      <c r="D21" s="9">
        <v>11.653031</v>
      </c>
      <c r="E21" s="9">
        <v>51.699309999999997</v>
      </c>
      <c r="F21" s="9">
        <v>31.437263000000002</v>
      </c>
      <c r="G21" s="9">
        <v>26.561903000000001</v>
      </c>
      <c r="H21" s="9">
        <v>131.76533499999999</v>
      </c>
      <c r="I21" s="9">
        <v>50.815632000000001</v>
      </c>
      <c r="J21" s="9">
        <v>50.207382000000003</v>
      </c>
      <c r="K21" s="9">
        <v>47.434364000000002</v>
      </c>
      <c r="L21" s="9">
        <v>2043.9399410000001</v>
      </c>
      <c r="O21" s="8">
        <v>42339</v>
      </c>
      <c r="P21" s="5">
        <f t="shared" si="1"/>
        <v>-0.17725467504106254</v>
      </c>
      <c r="Q21" s="5">
        <f t="shared" si="2"/>
        <v>-4.4225000010123632E-2</v>
      </c>
      <c r="R21" s="5">
        <f t="shared" si="3"/>
        <v>-1.6889895928046288E-2</v>
      </c>
      <c r="S21" s="5">
        <f t="shared" si="4"/>
        <v>2.7295889258285005E-2</v>
      </c>
      <c r="T21" s="5">
        <f t="shared" si="5"/>
        <v>-2.2263715873542464E-3</v>
      </c>
      <c r="U21" s="5">
        <f t="shared" si="6"/>
        <v>3.9618647848946538E-2</v>
      </c>
      <c r="V21" s="5">
        <f t="shared" si="7"/>
        <v>2.3371547929267058E-4</v>
      </c>
      <c r="W21" s="5">
        <f t="shared" si="8"/>
        <v>-1.7327477324255945E-3</v>
      </c>
      <c r="X21" s="5">
        <f t="shared" si="9"/>
        <v>1.0534751136663582E-2</v>
      </c>
      <c r="Y21" s="5">
        <f t="shared" si="10"/>
        <v>-3.5907687791383652E-3</v>
      </c>
      <c r="Z21" s="5">
        <f t="shared" si="11"/>
        <v>-1.7685658536441762E-2</v>
      </c>
    </row>
    <row r="22" spans="1:26" x14ac:dyDescent="0.35">
      <c r="A22" s="8">
        <v>42370</v>
      </c>
      <c r="B22" s="9">
        <v>10.34</v>
      </c>
      <c r="C22" s="9">
        <v>40.399597</v>
      </c>
      <c r="D22" s="9">
        <v>9.8748880000000003</v>
      </c>
      <c r="E22" s="9">
        <v>51.335884</v>
      </c>
      <c r="F22" s="9">
        <v>28.307226</v>
      </c>
      <c r="G22" s="9">
        <v>25.006934999999999</v>
      </c>
      <c r="H22" s="9">
        <v>109.47485399999999</v>
      </c>
      <c r="I22" s="9">
        <v>49.802143000000001</v>
      </c>
      <c r="J22" s="9">
        <v>53.232306999999999</v>
      </c>
      <c r="K22" s="9">
        <v>45.896811999999997</v>
      </c>
      <c r="L22" s="9">
        <v>1940.23999</v>
      </c>
      <c r="O22" s="8">
        <v>42370</v>
      </c>
      <c r="P22" s="5">
        <f t="shared" si="1"/>
        <v>-0.3158126520236984</v>
      </c>
      <c r="Q22" s="5">
        <f t="shared" si="2"/>
        <v>-0.19503951026299066</v>
      </c>
      <c r="R22" s="5">
        <f t="shared" si="3"/>
        <v>-0.16557134889603325</v>
      </c>
      <c r="S22" s="5">
        <f t="shared" si="4"/>
        <v>-7.0544343742972816E-3</v>
      </c>
      <c r="T22" s="5">
        <f t="shared" si="5"/>
        <v>-0.104876801318517</v>
      </c>
      <c r="U22" s="5">
        <f t="shared" si="6"/>
        <v>-6.0324784738010222E-2</v>
      </c>
      <c r="V22" s="5">
        <f t="shared" si="7"/>
        <v>-0.18532769628628681</v>
      </c>
      <c r="W22" s="5">
        <f t="shared" si="8"/>
        <v>-2.0146008551580656E-2</v>
      </c>
      <c r="X22" s="5">
        <f t="shared" si="9"/>
        <v>5.8503418787728079E-2</v>
      </c>
      <c r="Y22" s="5">
        <f t="shared" si="10"/>
        <v>-3.2951285617050373E-2</v>
      </c>
      <c r="Z22" s="5">
        <f t="shared" si="11"/>
        <v>-5.2067617227535473E-2</v>
      </c>
    </row>
    <row r="23" spans="1:26" x14ac:dyDescent="0.35">
      <c r="A23" s="8">
        <v>42401</v>
      </c>
      <c r="B23" s="9">
        <v>8.0500000000000007</v>
      </c>
      <c r="C23" s="9">
        <v>36.906086000000002</v>
      </c>
      <c r="D23" s="9">
        <v>10.474458</v>
      </c>
      <c r="E23" s="9">
        <v>47.412768999999997</v>
      </c>
      <c r="F23" s="9">
        <v>27.002279000000001</v>
      </c>
      <c r="G23" s="9">
        <v>25.041307</v>
      </c>
      <c r="H23" s="9">
        <v>107.69781500000001</v>
      </c>
      <c r="I23" s="9">
        <v>52.269787000000001</v>
      </c>
      <c r="J23" s="9">
        <v>53.633006999999999</v>
      </c>
      <c r="K23" s="9">
        <v>45.480141000000003</v>
      </c>
      <c r="L23" s="9">
        <v>1932.2299800000001</v>
      </c>
      <c r="O23" s="8">
        <v>42401</v>
      </c>
      <c r="P23" s="5">
        <f t="shared" si="1"/>
        <v>-0.25034777764981092</v>
      </c>
      <c r="Q23" s="5">
        <f t="shared" si="2"/>
        <v>-9.0443339973850553E-2</v>
      </c>
      <c r="R23" s="5">
        <f t="shared" si="3"/>
        <v>5.894475327537331E-2</v>
      </c>
      <c r="S23" s="5">
        <f t="shared" si="4"/>
        <v>-7.9498420214581825E-2</v>
      </c>
      <c r="T23" s="5">
        <f t="shared" si="5"/>
        <v>-4.7195837895996955E-2</v>
      </c>
      <c r="U23" s="5">
        <f t="shared" si="6"/>
        <v>1.3735549553969596E-3</v>
      </c>
      <c r="V23" s="5">
        <f t="shared" si="7"/>
        <v>-1.6365582928796977E-2</v>
      </c>
      <c r="W23" s="5">
        <f t="shared" si="8"/>
        <v>4.8360502488044611E-2</v>
      </c>
      <c r="X23" s="5">
        <f t="shared" si="9"/>
        <v>7.4991943199823538E-3</v>
      </c>
      <c r="Y23" s="5">
        <f t="shared" si="10"/>
        <v>-9.1198901752933305E-3</v>
      </c>
      <c r="Z23" s="5">
        <f t="shared" si="11"/>
        <v>-4.1369056367907874E-3</v>
      </c>
    </row>
    <row r="24" spans="1:26" x14ac:dyDescent="0.35">
      <c r="A24" s="8">
        <v>42430</v>
      </c>
      <c r="B24" s="9">
        <v>9.32</v>
      </c>
      <c r="C24" s="9">
        <v>39.660980000000002</v>
      </c>
      <c r="D24" s="9">
        <v>11.303371</v>
      </c>
      <c r="E24" s="9">
        <v>51.835869000000002</v>
      </c>
      <c r="F24" s="9">
        <v>29.780743000000001</v>
      </c>
      <c r="G24" s="9">
        <v>27.546095000000001</v>
      </c>
      <c r="H24" s="9">
        <v>116.751312</v>
      </c>
      <c r="I24" s="9">
        <v>56.266624</v>
      </c>
      <c r="J24" s="9">
        <v>54.582492999999999</v>
      </c>
      <c r="K24" s="9">
        <v>47.925808000000004</v>
      </c>
      <c r="L24" s="9">
        <v>2059.73999</v>
      </c>
      <c r="O24" s="8">
        <v>42430</v>
      </c>
      <c r="P24" s="5">
        <f t="shared" si="1"/>
        <v>0.14649053726702782</v>
      </c>
      <c r="Q24" s="5">
        <f t="shared" si="2"/>
        <v>7.1991363125686089E-2</v>
      </c>
      <c r="R24" s="5">
        <f t="shared" si="3"/>
        <v>7.6161277588135873E-2</v>
      </c>
      <c r="S24" s="5">
        <f t="shared" si="4"/>
        <v>8.919078076059922E-2</v>
      </c>
      <c r="T24" s="5">
        <f t="shared" si="5"/>
        <v>9.794070672561897E-2</v>
      </c>
      <c r="U24" s="5">
        <f t="shared" si="6"/>
        <v>9.5334041910453193E-2</v>
      </c>
      <c r="V24" s="5">
        <f t="shared" si="7"/>
        <v>8.0716838053271539E-2</v>
      </c>
      <c r="W24" s="5">
        <f t="shared" si="8"/>
        <v>7.3683017478310173E-2</v>
      </c>
      <c r="X24" s="5">
        <f t="shared" si="9"/>
        <v>1.7548509521725889E-2</v>
      </c>
      <c r="Y24" s="5">
        <f t="shared" si="10"/>
        <v>5.237837932478169E-2</v>
      </c>
      <c r="Z24" s="5">
        <f t="shared" si="11"/>
        <v>6.3904990415635493E-2</v>
      </c>
    </row>
    <row r="25" spans="1:26" x14ac:dyDescent="0.35">
      <c r="A25" s="8">
        <v>42461</v>
      </c>
      <c r="B25" s="9">
        <v>9.1999999999999993</v>
      </c>
      <c r="C25" s="9">
        <v>43.964309999999998</v>
      </c>
      <c r="D25" s="9">
        <v>11.353607999999999</v>
      </c>
      <c r="E25" s="9">
        <v>46.805256</v>
      </c>
      <c r="F25" s="9">
        <v>27.875143000000001</v>
      </c>
      <c r="G25" s="9">
        <v>26.644929999999999</v>
      </c>
      <c r="H25" s="9">
        <v>123.980423</v>
      </c>
      <c r="I25" s="9">
        <v>54.481361</v>
      </c>
      <c r="J25" s="9">
        <v>55.120387999999998</v>
      </c>
      <c r="K25" s="9">
        <v>50.10857</v>
      </c>
      <c r="L25" s="9">
        <v>2065.3000489999999</v>
      </c>
      <c r="O25" s="8">
        <v>42461</v>
      </c>
      <c r="P25" s="5">
        <f t="shared" si="1"/>
        <v>-1.2959144642505341E-2</v>
      </c>
      <c r="Q25" s="5">
        <f t="shared" si="2"/>
        <v>0.10301033558386058</v>
      </c>
      <c r="R25" s="5">
        <f t="shared" si="3"/>
        <v>4.4345790608635279E-3</v>
      </c>
      <c r="S25" s="5">
        <f t="shared" si="4"/>
        <v>-0.10208685705892973</v>
      </c>
      <c r="T25" s="5">
        <f t="shared" si="5"/>
        <v>-6.6126616763283422E-2</v>
      </c>
      <c r="U25" s="5">
        <f t="shared" si="6"/>
        <v>-3.3261894655037101E-2</v>
      </c>
      <c r="V25" s="5">
        <f t="shared" si="7"/>
        <v>6.0077539935341928E-2</v>
      </c>
      <c r="W25" s="5">
        <f t="shared" si="8"/>
        <v>-3.2242892025759667E-2</v>
      </c>
      <c r="X25" s="5">
        <f t="shared" si="9"/>
        <v>9.8064755589623246E-3</v>
      </c>
      <c r="Y25" s="5">
        <f t="shared" si="10"/>
        <v>4.4537902880155404E-2</v>
      </c>
      <c r="Z25" s="5">
        <f t="shared" si="11"/>
        <v>2.6957616481642385E-3</v>
      </c>
    </row>
    <row r="26" spans="1:26" x14ac:dyDescent="0.35">
      <c r="A26" s="8">
        <v>42491</v>
      </c>
      <c r="B26" s="9">
        <v>9.2100000000000009</v>
      </c>
      <c r="C26" s="9">
        <v>44.286597999999998</v>
      </c>
      <c r="D26" s="9">
        <v>11.419575999999999</v>
      </c>
      <c r="E26" s="9">
        <v>49.742905</v>
      </c>
      <c r="F26" s="9">
        <v>29.081102000000001</v>
      </c>
      <c r="G26" s="9">
        <v>26.194348999999999</v>
      </c>
      <c r="H26" s="9">
        <v>116.024719</v>
      </c>
      <c r="I26" s="9">
        <v>56.163147000000002</v>
      </c>
      <c r="J26" s="9">
        <v>55.937828000000003</v>
      </c>
      <c r="K26" s="9">
        <v>51.406055000000002</v>
      </c>
      <c r="L26" s="9">
        <v>2096.9499510000001</v>
      </c>
      <c r="O26" s="8">
        <v>42491</v>
      </c>
      <c r="P26" s="5">
        <f t="shared" si="1"/>
        <v>1.0863662122210114E-3</v>
      </c>
      <c r="Q26" s="5">
        <f t="shared" si="2"/>
        <v>7.3039346579703741E-3</v>
      </c>
      <c r="R26" s="5">
        <f t="shared" si="3"/>
        <v>5.7934968176360721E-3</v>
      </c>
      <c r="S26" s="5">
        <f t="shared" si="4"/>
        <v>6.0872336059192927E-2</v>
      </c>
      <c r="T26" s="5">
        <f t="shared" si="5"/>
        <v>4.2353187596134226E-2</v>
      </c>
      <c r="U26" s="5">
        <f t="shared" si="6"/>
        <v>-1.7055188130388588E-2</v>
      </c>
      <c r="V26" s="5">
        <f t="shared" si="7"/>
        <v>-6.6320410876099328E-2</v>
      </c>
      <c r="W26" s="5">
        <f t="shared" si="8"/>
        <v>3.0402151298504876E-2</v>
      </c>
      <c r="X26" s="5">
        <f t="shared" si="9"/>
        <v>1.4721193837177749E-2</v>
      </c>
      <c r="Y26" s="5">
        <f t="shared" si="10"/>
        <v>2.5563915733162204E-2</v>
      </c>
      <c r="Z26" s="5">
        <f t="shared" si="11"/>
        <v>1.5208366645339389E-2</v>
      </c>
    </row>
    <row r="27" spans="1:26" x14ac:dyDescent="0.35">
      <c r="A27" s="8">
        <v>42522</v>
      </c>
      <c r="B27" s="9">
        <v>8.8000000000000007</v>
      </c>
      <c r="C27" s="9">
        <v>40.311549999999997</v>
      </c>
      <c r="D27" s="9">
        <v>10.640776000000001</v>
      </c>
      <c r="E27" s="9">
        <v>48.361279000000003</v>
      </c>
      <c r="F27" s="9">
        <v>30.455825999999998</v>
      </c>
      <c r="G27" s="9">
        <v>27.277473000000001</v>
      </c>
      <c r="H27" s="9">
        <v>120.42044799999999</v>
      </c>
      <c r="I27" s="9">
        <v>63.803055000000001</v>
      </c>
      <c r="J27" s="9">
        <v>60.613968</v>
      </c>
      <c r="K27" s="9">
        <v>52.639580000000002</v>
      </c>
      <c r="L27" s="9">
        <v>2098.860107</v>
      </c>
      <c r="O27" s="8">
        <v>42522</v>
      </c>
      <c r="P27" s="5">
        <f t="shared" si="1"/>
        <v>-4.5538128783054709E-2</v>
      </c>
      <c r="Q27" s="5">
        <f t="shared" si="2"/>
        <v>-9.4044074676654751E-2</v>
      </c>
      <c r="R27" s="5">
        <f t="shared" si="3"/>
        <v>-7.063566210783187E-2</v>
      </c>
      <c r="S27" s="5">
        <f t="shared" si="4"/>
        <v>-2.8168367494947465E-2</v>
      </c>
      <c r="T27" s="5">
        <f t="shared" si="5"/>
        <v>4.6188758495805976E-2</v>
      </c>
      <c r="U27" s="5">
        <f t="shared" si="6"/>
        <v>4.0517496239487305E-2</v>
      </c>
      <c r="V27" s="5">
        <f t="shared" si="7"/>
        <v>3.7186089109148814E-2</v>
      </c>
      <c r="W27" s="5">
        <f t="shared" si="8"/>
        <v>0.12754027874451473</v>
      </c>
      <c r="X27" s="5">
        <f t="shared" si="9"/>
        <v>8.0284501859837348E-2</v>
      </c>
      <c r="Y27" s="5">
        <f t="shared" si="10"/>
        <v>2.3712341182346237E-2</v>
      </c>
      <c r="Z27" s="5">
        <f t="shared" si="11"/>
        <v>9.1050648411568206E-4</v>
      </c>
    </row>
    <row r="28" spans="1:26" x14ac:dyDescent="0.35">
      <c r="A28" s="8">
        <v>42552</v>
      </c>
      <c r="B28" s="9">
        <v>11.87</v>
      </c>
      <c r="C28" s="9">
        <v>41.661921999999997</v>
      </c>
      <c r="D28" s="9">
        <v>10.716963</v>
      </c>
      <c r="E28" s="9">
        <v>53.568832</v>
      </c>
      <c r="F28" s="9">
        <v>32.368594999999999</v>
      </c>
      <c r="G28" s="9">
        <v>27.195522</v>
      </c>
      <c r="H28" s="9">
        <v>123.934685</v>
      </c>
      <c r="I28" s="9">
        <v>64.312988000000004</v>
      </c>
      <c r="J28" s="9">
        <v>60.019252999999999</v>
      </c>
      <c r="K28" s="9">
        <v>54.036532999999999</v>
      </c>
      <c r="L28" s="9">
        <v>2173.6000979999999</v>
      </c>
      <c r="O28" s="8">
        <v>42552</v>
      </c>
      <c r="P28" s="5">
        <f t="shared" si="1"/>
        <v>0.29926248713741571</v>
      </c>
      <c r="Q28" s="5">
        <f t="shared" si="2"/>
        <v>3.2949541763444674E-2</v>
      </c>
      <c r="R28" s="5">
        <f t="shared" si="3"/>
        <v>7.1343996812974018E-3</v>
      </c>
      <c r="S28" s="5">
        <f t="shared" si="4"/>
        <v>0.10226793353297045</v>
      </c>
      <c r="T28" s="5">
        <f t="shared" si="5"/>
        <v>6.0911356705469918E-2</v>
      </c>
      <c r="U28" s="5">
        <f t="shared" si="6"/>
        <v>-3.0088693242294766E-3</v>
      </c>
      <c r="V28" s="5">
        <f t="shared" si="7"/>
        <v>2.8765340619428825E-2</v>
      </c>
      <c r="W28" s="5">
        <f t="shared" si="8"/>
        <v>7.9605282980649023E-3</v>
      </c>
      <c r="X28" s="5">
        <f t="shared" si="9"/>
        <v>-9.8599674814830816E-3</v>
      </c>
      <c r="Y28" s="5">
        <f t="shared" si="10"/>
        <v>2.6192046591468073E-2</v>
      </c>
      <c r="Z28" s="5">
        <f t="shared" si="11"/>
        <v>3.4990433050203752E-2</v>
      </c>
    </row>
    <row r="29" spans="1:26" x14ac:dyDescent="0.35">
      <c r="A29" s="8">
        <v>42583</v>
      </c>
      <c r="B29" s="9">
        <v>11.59</v>
      </c>
      <c r="C29" s="9">
        <v>45.563831</v>
      </c>
      <c r="D29" s="9">
        <v>10.783125999999999</v>
      </c>
      <c r="E29" s="9">
        <v>54.306023000000003</v>
      </c>
      <c r="F29" s="9">
        <v>33.324989000000002</v>
      </c>
      <c r="G29" s="9">
        <v>27.282855999999999</v>
      </c>
      <c r="H29" s="9">
        <v>120.030998</v>
      </c>
      <c r="I29" s="9">
        <v>63.777648999999997</v>
      </c>
      <c r="J29" s="9">
        <v>58.591904</v>
      </c>
      <c r="K29" s="9">
        <v>57.841019000000003</v>
      </c>
      <c r="L29" s="9">
        <v>2170.9499510000001</v>
      </c>
      <c r="O29" s="8">
        <v>42583</v>
      </c>
      <c r="P29" s="5">
        <f t="shared" si="1"/>
        <v>-2.3871551269916223E-2</v>
      </c>
      <c r="Q29" s="5">
        <f t="shared" si="2"/>
        <v>8.9526651811941194E-2</v>
      </c>
      <c r="R29" s="5">
        <f t="shared" si="3"/>
        <v>6.1546916252920632E-3</v>
      </c>
      <c r="S29" s="5">
        <f t="shared" si="4"/>
        <v>1.3667735191856658E-2</v>
      </c>
      <c r="T29" s="5">
        <f t="shared" si="5"/>
        <v>2.9118873372819969E-2</v>
      </c>
      <c r="U29" s="5">
        <f t="shared" si="6"/>
        <v>3.2061921819220604E-3</v>
      </c>
      <c r="V29" s="5">
        <f t="shared" si="7"/>
        <v>-3.2004666870343632E-2</v>
      </c>
      <c r="W29" s="5">
        <f t="shared" si="8"/>
        <v>-8.358801697400154E-3</v>
      </c>
      <c r="X29" s="5">
        <f t="shared" si="9"/>
        <v>-2.4068864041564938E-2</v>
      </c>
      <c r="Y29" s="5">
        <f t="shared" si="10"/>
        <v>6.8037840407724995E-2</v>
      </c>
      <c r="Z29" s="5">
        <f t="shared" si="11"/>
        <v>-1.2199870176702919E-3</v>
      </c>
    </row>
    <row r="30" spans="1:26" x14ac:dyDescent="0.35">
      <c r="A30" s="8">
        <v>42614</v>
      </c>
      <c r="B30" s="9">
        <v>12.32</v>
      </c>
      <c r="C30" s="9">
        <v>45.077080000000002</v>
      </c>
      <c r="D30" s="9">
        <v>10.329548000000001</v>
      </c>
      <c r="E30" s="9">
        <v>54.777633999999999</v>
      </c>
      <c r="F30" s="9">
        <v>35.31776</v>
      </c>
      <c r="G30" s="9">
        <v>25.868061000000001</v>
      </c>
      <c r="H30" s="9">
        <v>123.166679</v>
      </c>
      <c r="I30" s="9">
        <v>57.527774999999998</v>
      </c>
      <c r="J30" s="9">
        <v>56.056376999999998</v>
      </c>
      <c r="K30" s="9">
        <v>57.490966999999998</v>
      </c>
      <c r="L30" s="9">
        <v>2168.2700199999999</v>
      </c>
      <c r="O30" s="8">
        <v>42614</v>
      </c>
      <c r="P30" s="5">
        <f t="shared" si="1"/>
        <v>6.1081300753713423E-2</v>
      </c>
      <c r="Q30" s="5">
        <f t="shared" si="2"/>
        <v>-1.07403086241387E-2</v>
      </c>
      <c r="R30" s="5">
        <f t="shared" si="3"/>
        <v>-4.2973978767597315E-2</v>
      </c>
      <c r="S30" s="5">
        <f t="shared" si="4"/>
        <v>8.6468303576311741E-3</v>
      </c>
      <c r="T30" s="5">
        <f t="shared" si="5"/>
        <v>5.8078417583868266E-2</v>
      </c>
      <c r="U30" s="5">
        <f t="shared" si="6"/>
        <v>-5.3249477870103416E-2</v>
      </c>
      <c r="V30" s="5">
        <f t="shared" si="7"/>
        <v>2.5788525764752677E-2</v>
      </c>
      <c r="W30" s="5">
        <f t="shared" si="8"/>
        <v>-0.10313492516392471</v>
      </c>
      <c r="X30" s="5">
        <f t="shared" si="9"/>
        <v>-4.4238613578766024E-2</v>
      </c>
      <c r="Y30" s="5">
        <f t="shared" si="10"/>
        <v>-6.0703554507038843E-3</v>
      </c>
      <c r="Z30" s="5">
        <f t="shared" si="11"/>
        <v>-1.2352134063971093E-3</v>
      </c>
    </row>
    <row r="31" spans="1:26" x14ac:dyDescent="0.35">
      <c r="A31" s="8">
        <v>42644</v>
      </c>
      <c r="B31" s="9">
        <v>8.8800000000000008</v>
      </c>
      <c r="C31" s="9">
        <v>46.909560999999997</v>
      </c>
      <c r="D31" s="9">
        <v>10.047132</v>
      </c>
      <c r="E31" s="9">
        <v>56.983955000000002</v>
      </c>
      <c r="F31" s="9">
        <v>32.623305999999999</v>
      </c>
      <c r="G31" s="9">
        <v>25.620270000000001</v>
      </c>
      <c r="H31" s="9">
        <v>133.16099500000001</v>
      </c>
      <c r="I31" s="9">
        <v>55.816707999999998</v>
      </c>
      <c r="J31" s="9">
        <v>59.176696999999997</v>
      </c>
      <c r="K31" s="9">
        <v>54.488464</v>
      </c>
      <c r="L31" s="9">
        <v>2126.1499020000001</v>
      </c>
      <c r="O31" s="8">
        <v>42644</v>
      </c>
      <c r="P31" s="5">
        <f t="shared" si="1"/>
        <v>-0.32742240110129495</v>
      </c>
      <c r="Q31" s="5">
        <f t="shared" si="2"/>
        <v>3.9847600612723036E-2</v>
      </c>
      <c r="R31" s="5">
        <f t="shared" si="3"/>
        <v>-2.772130547978947E-2</v>
      </c>
      <c r="S31" s="5">
        <f t="shared" si="4"/>
        <v>3.9487765023812044E-2</v>
      </c>
      <c r="T31" s="5">
        <f t="shared" si="5"/>
        <v>-7.9359012642920515E-2</v>
      </c>
      <c r="U31" s="5">
        <f t="shared" si="6"/>
        <v>-9.6252066526925258E-3</v>
      </c>
      <c r="V31" s="5">
        <f t="shared" si="7"/>
        <v>7.8020333037325765E-2</v>
      </c>
      <c r="W31" s="5">
        <f t="shared" si="8"/>
        <v>-3.0194623562232927E-2</v>
      </c>
      <c r="X31" s="5">
        <f t="shared" si="9"/>
        <v>5.4169916176829723E-2</v>
      </c>
      <c r="Y31" s="5">
        <f t="shared" si="10"/>
        <v>-5.3638830271086464E-2</v>
      </c>
      <c r="Z31" s="5">
        <f t="shared" si="11"/>
        <v>-1.9616837421336072E-2</v>
      </c>
    </row>
    <row r="32" spans="1:26" x14ac:dyDescent="0.35">
      <c r="A32" s="8">
        <v>42675</v>
      </c>
      <c r="B32" s="9">
        <v>12.68</v>
      </c>
      <c r="C32" s="9">
        <v>53.819533999999997</v>
      </c>
      <c r="D32" s="9">
        <v>10.362928</v>
      </c>
      <c r="E32" s="9">
        <v>57.307293000000001</v>
      </c>
      <c r="F32" s="9">
        <v>32.464264</v>
      </c>
      <c r="G32" s="9">
        <v>27.081772000000001</v>
      </c>
      <c r="H32" s="9">
        <v>140.76191700000001</v>
      </c>
      <c r="I32" s="9">
        <v>55.301124999999999</v>
      </c>
      <c r="J32" s="9">
        <v>57.216670999999998</v>
      </c>
      <c r="K32" s="9">
        <v>56.780467999999999</v>
      </c>
      <c r="L32" s="9">
        <v>2198.8100589999999</v>
      </c>
      <c r="O32" s="8">
        <v>42675</v>
      </c>
      <c r="P32" s="5">
        <f t="shared" si="1"/>
        <v>0.35622439200500106</v>
      </c>
      <c r="Q32" s="5">
        <f t="shared" si="2"/>
        <v>0.13741497281919898</v>
      </c>
      <c r="R32" s="5">
        <f t="shared" si="3"/>
        <v>3.0947601738809203E-2</v>
      </c>
      <c r="S32" s="5">
        <f t="shared" si="4"/>
        <v>5.6581561281249968E-3</v>
      </c>
      <c r="T32" s="5">
        <f t="shared" si="5"/>
        <v>-4.8870257879805104E-3</v>
      </c>
      <c r="U32" s="5">
        <f t="shared" si="6"/>
        <v>5.5477046594443961E-2</v>
      </c>
      <c r="V32" s="5">
        <f t="shared" si="7"/>
        <v>5.5511046393693524E-2</v>
      </c>
      <c r="W32" s="5">
        <f t="shared" si="8"/>
        <v>-9.2799991895563833E-3</v>
      </c>
      <c r="X32" s="5">
        <f t="shared" si="9"/>
        <v>-3.3682525668789945E-2</v>
      </c>
      <c r="Y32" s="5">
        <f t="shared" si="10"/>
        <v>4.1203383810479104E-2</v>
      </c>
      <c r="Z32" s="5">
        <f t="shared" si="11"/>
        <v>3.3603545390870432E-2</v>
      </c>
    </row>
    <row r="33" spans="1:26" x14ac:dyDescent="0.35">
      <c r="A33" s="8">
        <v>42705</v>
      </c>
      <c r="B33" s="9">
        <v>13.28</v>
      </c>
      <c r="C33" s="9">
        <v>56.908546000000001</v>
      </c>
      <c r="D33" s="9">
        <v>10.510225999999999</v>
      </c>
      <c r="E33" s="9">
        <v>59.494388999999998</v>
      </c>
      <c r="F33" s="9">
        <v>34.190029000000003</v>
      </c>
      <c r="G33" s="9">
        <v>27.821323</v>
      </c>
      <c r="H33" s="9">
        <v>147.79933199999999</v>
      </c>
      <c r="I33" s="9">
        <v>56.054333</v>
      </c>
      <c r="J33" s="9">
        <v>60.519184000000003</v>
      </c>
      <c r="K33" s="9">
        <v>54.627651</v>
      </c>
      <c r="L33" s="9">
        <v>2238.830078</v>
      </c>
      <c r="O33" s="8">
        <v>42705</v>
      </c>
      <c r="P33" s="5">
        <f t="shared" si="1"/>
        <v>4.6233195039207857E-2</v>
      </c>
      <c r="Q33" s="5">
        <f t="shared" si="2"/>
        <v>5.5809036406006846E-2</v>
      </c>
      <c r="R33" s="5">
        <f t="shared" si="3"/>
        <v>1.4113865604923764E-2</v>
      </c>
      <c r="S33" s="5">
        <f t="shared" si="4"/>
        <v>3.7454112475300519E-2</v>
      </c>
      <c r="T33" s="5">
        <f t="shared" si="5"/>
        <v>5.1794136716914171E-2</v>
      </c>
      <c r="U33" s="5">
        <f t="shared" si="6"/>
        <v>2.6941859430685163E-2</v>
      </c>
      <c r="V33" s="5">
        <f t="shared" si="7"/>
        <v>4.878555759629926E-2</v>
      </c>
      <c r="W33" s="5">
        <f t="shared" si="8"/>
        <v>1.3528200605190789E-2</v>
      </c>
      <c r="X33" s="5">
        <f t="shared" si="9"/>
        <v>5.6115098712092491E-2</v>
      </c>
      <c r="Y33" s="5">
        <f t="shared" si="10"/>
        <v>-3.8652210219091911E-2</v>
      </c>
      <c r="Z33" s="5">
        <f t="shared" si="11"/>
        <v>1.8037111058687334E-2</v>
      </c>
    </row>
    <row r="34" spans="1:26" x14ac:dyDescent="0.35">
      <c r="A34" s="8">
        <v>42736</v>
      </c>
      <c r="B34" s="9">
        <v>14.93</v>
      </c>
      <c r="C34" s="9">
        <v>53.461284999999997</v>
      </c>
      <c r="D34" s="9">
        <v>10.709515</v>
      </c>
      <c r="E34" s="9">
        <v>61.897533000000003</v>
      </c>
      <c r="F34" s="9">
        <v>34.708488000000003</v>
      </c>
      <c r="G34" s="9">
        <v>26.353247</v>
      </c>
      <c r="H34" s="9">
        <v>155.147537</v>
      </c>
      <c r="I34" s="9">
        <v>56.698627000000002</v>
      </c>
      <c r="J34" s="9">
        <v>64.284041999999999</v>
      </c>
      <c r="K34" s="9">
        <v>57.964213999999998</v>
      </c>
      <c r="L34" s="9">
        <v>2278.8701169999999</v>
      </c>
      <c r="O34" s="8">
        <v>42736</v>
      </c>
      <c r="P34" s="5">
        <f t="shared" si="1"/>
        <v>0.11711346750281132</v>
      </c>
      <c r="Q34" s="5">
        <f t="shared" si="2"/>
        <v>-6.2487776091191924E-2</v>
      </c>
      <c r="R34" s="5">
        <f t="shared" si="3"/>
        <v>1.8783910665863584E-2</v>
      </c>
      <c r="S34" s="5">
        <f t="shared" si="4"/>
        <v>3.9598318708320861E-2</v>
      </c>
      <c r="T34" s="5">
        <f t="shared" si="5"/>
        <v>1.5050216139362648E-2</v>
      </c>
      <c r="U34" s="5">
        <f t="shared" si="6"/>
        <v>-5.4211247877725459E-2</v>
      </c>
      <c r="V34" s="5">
        <f t="shared" si="7"/>
        <v>4.852102692588612E-2</v>
      </c>
      <c r="W34" s="5">
        <f t="shared" si="8"/>
        <v>1.1428542765943635E-2</v>
      </c>
      <c r="X34" s="5">
        <f t="shared" si="9"/>
        <v>6.0351014354176842E-2</v>
      </c>
      <c r="Y34" s="5">
        <f t="shared" si="10"/>
        <v>5.9285636992970958E-2</v>
      </c>
      <c r="Z34" s="5">
        <f t="shared" si="11"/>
        <v>1.7726314594617782E-2</v>
      </c>
    </row>
    <row r="35" spans="1:26" x14ac:dyDescent="0.35">
      <c r="A35" s="8">
        <v>42767</v>
      </c>
      <c r="B35" s="9">
        <v>12.84</v>
      </c>
      <c r="C35" s="9">
        <v>57.272415000000002</v>
      </c>
      <c r="D35" s="9">
        <v>10.987512000000001</v>
      </c>
      <c r="E35" s="9">
        <v>61.256058000000003</v>
      </c>
      <c r="F35" s="9">
        <v>34.124043</v>
      </c>
      <c r="G35" s="9">
        <v>26.450852999999999</v>
      </c>
      <c r="H35" s="9">
        <v>171.106583</v>
      </c>
      <c r="I35" s="9">
        <v>55.209586999999999</v>
      </c>
      <c r="J35" s="9">
        <v>67.661720000000003</v>
      </c>
      <c r="K35" s="9">
        <v>61.592236</v>
      </c>
      <c r="L35" s="9">
        <v>2363.639893</v>
      </c>
      <c r="O35" s="8">
        <v>42767</v>
      </c>
      <c r="P35" s="5">
        <f t="shared" si="1"/>
        <v>-0.15080731328928393</v>
      </c>
      <c r="Q35" s="5">
        <f t="shared" si="2"/>
        <v>6.8861347106568646E-2</v>
      </c>
      <c r="R35" s="5">
        <f t="shared" si="3"/>
        <v>2.5626756507177825E-2</v>
      </c>
      <c r="S35" s="5">
        <f t="shared" si="4"/>
        <v>-1.0417573635736992E-2</v>
      </c>
      <c r="T35" s="5">
        <f t="shared" si="5"/>
        <v>-1.6982058835600652E-2</v>
      </c>
      <c r="U35" s="5">
        <f t="shared" si="6"/>
        <v>3.6969141095667913E-3</v>
      </c>
      <c r="V35" s="5">
        <f t="shared" si="7"/>
        <v>9.7910138925627124E-2</v>
      </c>
      <c r="W35" s="5">
        <f t="shared" si="8"/>
        <v>-2.6613379533881758E-2</v>
      </c>
      <c r="X35" s="5">
        <f t="shared" si="9"/>
        <v>5.1209164215848438E-2</v>
      </c>
      <c r="Y35" s="5">
        <f t="shared" si="10"/>
        <v>6.0710003511269713E-2</v>
      </c>
      <c r="Z35" s="5">
        <f t="shared" si="11"/>
        <v>3.6523000999039816E-2</v>
      </c>
    </row>
    <row r="36" spans="1:26" x14ac:dyDescent="0.35">
      <c r="A36" s="8">
        <v>42795</v>
      </c>
      <c r="B36" s="9">
        <v>11.01</v>
      </c>
      <c r="C36" s="9">
        <v>57.445979999999999</v>
      </c>
      <c r="D36" s="9">
        <v>10.207074</v>
      </c>
      <c r="E36" s="9">
        <v>63.438282000000001</v>
      </c>
      <c r="F36" s="9">
        <v>34.244231999999997</v>
      </c>
      <c r="G36" s="9">
        <v>26.661386</v>
      </c>
      <c r="H36" s="9">
        <v>169.35150100000001</v>
      </c>
      <c r="I36" s="9">
        <v>53.965836000000003</v>
      </c>
      <c r="J36" s="9">
        <v>64.500793000000002</v>
      </c>
      <c r="K36" s="9">
        <v>59.413555000000002</v>
      </c>
      <c r="L36" s="9">
        <v>2362.719971</v>
      </c>
      <c r="O36" s="8">
        <v>42795</v>
      </c>
      <c r="P36" s="5">
        <f t="shared" si="1"/>
        <v>-0.15376134752722656</v>
      </c>
      <c r="Q36" s="5">
        <f t="shared" si="2"/>
        <v>3.0259337647471339E-3</v>
      </c>
      <c r="R36" s="5">
        <f t="shared" si="3"/>
        <v>-7.3678345839267897E-2</v>
      </c>
      <c r="S36" s="5">
        <f t="shared" si="4"/>
        <v>3.5004745597327143E-2</v>
      </c>
      <c r="T36" s="5">
        <f t="shared" si="5"/>
        <v>3.5159326109218871E-3</v>
      </c>
      <c r="U36" s="5">
        <f t="shared" si="6"/>
        <v>7.9278940845190302E-3</v>
      </c>
      <c r="V36" s="5">
        <f t="shared" si="7"/>
        <v>-1.0310212208933226E-2</v>
      </c>
      <c r="W36" s="5">
        <f t="shared" si="8"/>
        <v>-2.2785436059483955E-2</v>
      </c>
      <c r="X36" s="5">
        <f t="shared" si="9"/>
        <v>-4.7843065953421936E-2</v>
      </c>
      <c r="Y36" s="5">
        <f t="shared" si="10"/>
        <v>-3.6013424646412058E-2</v>
      </c>
      <c r="Z36" s="5">
        <f t="shared" si="11"/>
        <v>-3.8927294496698804E-4</v>
      </c>
    </row>
    <row r="37" spans="1:26" x14ac:dyDescent="0.35">
      <c r="A37" s="8">
        <v>42826</v>
      </c>
      <c r="B37" s="9">
        <v>10.66</v>
      </c>
      <c r="C37" s="9">
        <v>56.773758000000001</v>
      </c>
      <c r="D37" s="9">
        <v>10.058002999999999</v>
      </c>
      <c r="E37" s="9">
        <v>65.942688000000004</v>
      </c>
      <c r="F37" s="9">
        <v>34.320186999999997</v>
      </c>
      <c r="G37" s="9">
        <v>25.936703000000001</v>
      </c>
      <c r="H37" s="9">
        <v>176.98315400000001</v>
      </c>
      <c r="I37" s="9">
        <v>52.594059000000001</v>
      </c>
      <c r="J37" s="9">
        <v>65.347335999999999</v>
      </c>
      <c r="K37" s="9">
        <v>58.702717</v>
      </c>
      <c r="L37" s="9">
        <v>2384.1999510000001</v>
      </c>
      <c r="O37" s="8">
        <v>42826</v>
      </c>
      <c r="P37" s="5">
        <f t="shared" si="1"/>
        <v>-3.2305531996890027E-2</v>
      </c>
      <c r="Q37" s="5">
        <f t="shared" si="2"/>
        <v>-1.1770816029423028E-2</v>
      </c>
      <c r="R37" s="5">
        <f t="shared" si="3"/>
        <v>-1.4712373301839589E-2</v>
      </c>
      <c r="S37" s="5">
        <f t="shared" si="4"/>
        <v>3.8718504890227996E-2</v>
      </c>
      <c r="T37" s="5">
        <f t="shared" si="5"/>
        <v>2.2155815561033373E-3</v>
      </c>
      <c r="U37" s="5">
        <f t="shared" si="6"/>
        <v>-2.7557231588264865E-2</v>
      </c>
      <c r="V37" s="5">
        <f t="shared" si="7"/>
        <v>4.4078110377787007E-2</v>
      </c>
      <c r="W37" s="5">
        <f t="shared" si="8"/>
        <v>-2.5748013082963431E-2</v>
      </c>
      <c r="X37" s="5">
        <f t="shared" si="9"/>
        <v>1.303915582857759E-2</v>
      </c>
      <c r="Y37" s="5">
        <f t="shared" si="10"/>
        <v>-1.2036387024545991E-2</v>
      </c>
      <c r="Z37" s="5">
        <f t="shared" si="11"/>
        <v>9.0501322804594966E-3</v>
      </c>
    </row>
    <row r="38" spans="1:26" x14ac:dyDescent="0.35">
      <c r="A38" s="8">
        <v>42856</v>
      </c>
      <c r="B38" s="9">
        <v>9.19</v>
      </c>
      <c r="C38" s="9">
        <v>58.292599000000003</v>
      </c>
      <c r="D38" s="9">
        <v>9.8825050000000001</v>
      </c>
      <c r="E38" s="9">
        <v>67.271941999999996</v>
      </c>
      <c r="F38" s="9">
        <v>34.282207</v>
      </c>
      <c r="G38" s="9">
        <v>24.496271</v>
      </c>
      <c r="H38" s="9">
        <v>179.66429099999999</v>
      </c>
      <c r="I38" s="9">
        <v>52.321021999999999</v>
      </c>
      <c r="J38" s="9">
        <v>68.679337000000004</v>
      </c>
      <c r="K38" s="9">
        <v>61.320934000000001</v>
      </c>
      <c r="L38" s="9">
        <v>2411.8000489999999</v>
      </c>
      <c r="O38" s="8">
        <v>42856</v>
      </c>
      <c r="P38" s="5">
        <f t="shared" si="1"/>
        <v>-0.14838248237010279</v>
      </c>
      <c r="Q38" s="5">
        <f t="shared" si="2"/>
        <v>2.6400926544542874E-2</v>
      </c>
      <c r="R38" s="5">
        <f t="shared" si="3"/>
        <v>-1.76026138863347E-2</v>
      </c>
      <c r="S38" s="5">
        <f t="shared" si="4"/>
        <v>1.9957239214789622E-2</v>
      </c>
      <c r="T38" s="5">
        <f t="shared" si="5"/>
        <v>-1.1072501020969413E-3</v>
      </c>
      <c r="U38" s="5">
        <f t="shared" si="6"/>
        <v>-5.7138167923135967E-2</v>
      </c>
      <c r="V38" s="5">
        <f t="shared" si="7"/>
        <v>1.5035506615814043E-2</v>
      </c>
      <c r="W38" s="5">
        <f t="shared" si="8"/>
        <v>-5.2049259993288723E-3</v>
      </c>
      <c r="X38" s="5">
        <f t="shared" si="9"/>
        <v>4.9731708388963167E-2</v>
      </c>
      <c r="Y38" s="5">
        <f t="shared" si="10"/>
        <v>4.3635273495795289E-2</v>
      </c>
      <c r="Z38" s="5">
        <f t="shared" si="11"/>
        <v>1.1509759254333795E-2</v>
      </c>
    </row>
    <row r="39" spans="1:26" x14ac:dyDescent="0.35">
      <c r="A39" s="8">
        <v>42887</v>
      </c>
      <c r="B39" s="9">
        <v>11.12</v>
      </c>
      <c r="C39" s="9">
        <v>64.397232000000002</v>
      </c>
      <c r="D39" s="9">
        <v>9.9447150000000004</v>
      </c>
      <c r="E39" s="9">
        <v>66.775977999999995</v>
      </c>
      <c r="F39" s="9">
        <v>32.270031000000003</v>
      </c>
      <c r="G39" s="9">
        <v>24.165239</v>
      </c>
      <c r="H39" s="9">
        <v>190.80424500000001</v>
      </c>
      <c r="I39" s="9">
        <v>51.085380999999998</v>
      </c>
      <c r="J39" s="9">
        <v>67.796256999999997</v>
      </c>
      <c r="K39" s="9">
        <v>60.360290999999997</v>
      </c>
      <c r="L39" s="9">
        <v>2423.4099120000001</v>
      </c>
      <c r="O39" s="8">
        <v>42887</v>
      </c>
      <c r="P39" s="5">
        <f t="shared" si="1"/>
        <v>0.19062935245484067</v>
      </c>
      <c r="Q39" s="5">
        <f t="shared" si="2"/>
        <v>9.9595512348864837E-2</v>
      </c>
      <c r="R39" s="5">
        <f t="shared" si="3"/>
        <v>6.2752321449776422E-3</v>
      </c>
      <c r="S39" s="5">
        <f t="shared" si="4"/>
        <v>-7.3998352700471344E-3</v>
      </c>
      <c r="T39" s="5">
        <f t="shared" si="5"/>
        <v>-6.0487506512798439E-2</v>
      </c>
      <c r="U39" s="5">
        <f t="shared" si="6"/>
        <v>-1.360570629942906E-2</v>
      </c>
      <c r="V39" s="5">
        <f t="shared" si="7"/>
        <v>6.0157947675407317E-2</v>
      </c>
      <c r="W39" s="5">
        <f t="shared" si="8"/>
        <v>-2.3899870423760912E-2</v>
      </c>
      <c r="X39" s="5">
        <f t="shared" si="9"/>
        <v>-1.2941395584593373E-2</v>
      </c>
      <c r="Y39" s="5">
        <f t="shared" si="10"/>
        <v>-1.5789830498109694E-2</v>
      </c>
      <c r="Z39" s="5">
        <f t="shared" si="11"/>
        <v>4.8022259241070758E-3</v>
      </c>
    </row>
    <row r="40" spans="1:26" x14ac:dyDescent="0.35">
      <c r="A40" s="8">
        <v>42917</v>
      </c>
      <c r="B40" s="9">
        <v>13.29</v>
      </c>
      <c r="C40" s="9">
        <v>65.908957999999998</v>
      </c>
      <c r="D40" s="9">
        <v>9.9713770000000004</v>
      </c>
      <c r="E40" s="9">
        <v>70.428162</v>
      </c>
      <c r="F40" s="9">
        <v>33.924660000000003</v>
      </c>
      <c r="G40" s="9">
        <v>23.314861000000001</v>
      </c>
      <c r="H40" s="9">
        <v>233.94386299999999</v>
      </c>
      <c r="I40" s="9">
        <v>51.325130000000001</v>
      </c>
      <c r="J40" s="9">
        <v>59.630043000000001</v>
      </c>
      <c r="K40" s="9">
        <v>60.604885000000003</v>
      </c>
      <c r="L40" s="9">
        <v>2470.3000489999999</v>
      </c>
      <c r="O40" s="8">
        <v>42917</v>
      </c>
      <c r="P40" s="5">
        <f t="shared" si="1"/>
        <v>0.17826658390271766</v>
      </c>
      <c r="Q40" s="5">
        <f t="shared" si="2"/>
        <v>2.3203714682423871E-2</v>
      </c>
      <c r="R40" s="5">
        <f t="shared" si="3"/>
        <v>2.6774345014629526E-3</v>
      </c>
      <c r="S40" s="5">
        <f t="shared" si="4"/>
        <v>5.324980649435989E-2</v>
      </c>
      <c r="T40" s="5">
        <f t="shared" si="5"/>
        <v>5.0003216855150266E-2</v>
      </c>
      <c r="U40" s="5">
        <f t="shared" si="6"/>
        <v>-3.5824227170040412E-2</v>
      </c>
      <c r="V40" s="5">
        <f t="shared" si="7"/>
        <v>0.20383317767291492</v>
      </c>
      <c r="W40" s="5">
        <f t="shared" si="8"/>
        <v>4.6821256069565047E-3</v>
      </c>
      <c r="X40" s="5">
        <f t="shared" si="9"/>
        <v>-0.12834746268445202</v>
      </c>
      <c r="Y40" s="5">
        <f t="shared" si="10"/>
        <v>4.0440454258827982E-3</v>
      </c>
      <c r="Z40" s="5">
        <f t="shared" si="11"/>
        <v>1.916401766181007E-2</v>
      </c>
    </row>
    <row r="41" spans="1:26" x14ac:dyDescent="0.35">
      <c r="A41" s="8">
        <v>42948</v>
      </c>
      <c r="B41" s="9">
        <v>13.39</v>
      </c>
      <c r="C41" s="9">
        <v>65.504547000000002</v>
      </c>
      <c r="D41" s="9">
        <v>9.9284090000000003</v>
      </c>
      <c r="E41" s="9">
        <v>72.433471999999995</v>
      </c>
      <c r="F41" s="9">
        <v>33.542084000000003</v>
      </c>
      <c r="G41" s="9">
        <v>22.349861000000001</v>
      </c>
      <c r="H41" s="9">
        <v>231.24220299999999</v>
      </c>
      <c r="I41" s="9">
        <v>49.555064999999999</v>
      </c>
      <c r="J41" s="9">
        <v>58.189075000000003</v>
      </c>
      <c r="K41" s="9">
        <v>60.585911000000003</v>
      </c>
      <c r="L41" s="9">
        <v>2471.6499020000001</v>
      </c>
      <c r="O41" s="8">
        <v>42948</v>
      </c>
      <c r="P41" s="5">
        <f t="shared" si="1"/>
        <v>7.4962869779272865E-3</v>
      </c>
      <c r="Q41" s="5">
        <f t="shared" si="2"/>
        <v>-6.1548054234584187E-3</v>
      </c>
      <c r="R41" s="5">
        <f t="shared" si="3"/>
        <v>-4.3184451104869197E-3</v>
      </c>
      <c r="S41" s="5">
        <f t="shared" si="4"/>
        <v>2.8075301413436386E-2</v>
      </c>
      <c r="T41" s="5">
        <f t="shared" si="5"/>
        <v>-1.1341294333882337E-2</v>
      </c>
      <c r="U41" s="5">
        <f t="shared" si="6"/>
        <v>-4.2270866614497769E-2</v>
      </c>
      <c r="V41" s="5">
        <f t="shared" si="7"/>
        <v>-1.1615525799926236E-2</v>
      </c>
      <c r="W41" s="5">
        <f t="shared" si="8"/>
        <v>-3.50960202487944E-2</v>
      </c>
      <c r="X41" s="5">
        <f t="shared" si="9"/>
        <v>-2.4461901908151965E-2</v>
      </c>
      <c r="Y41" s="5">
        <f t="shared" si="10"/>
        <v>-3.1312609177068344E-4</v>
      </c>
      <c r="Z41" s="5">
        <f t="shared" si="11"/>
        <v>5.4628357104102084E-4</v>
      </c>
    </row>
    <row r="42" spans="1:26" x14ac:dyDescent="0.35">
      <c r="A42" s="8">
        <v>42979</v>
      </c>
      <c r="B42" s="9">
        <v>13.8</v>
      </c>
      <c r="C42" s="9">
        <v>70.364058999999997</v>
      </c>
      <c r="D42" s="9">
        <v>10.774528999999999</v>
      </c>
      <c r="E42" s="9">
        <v>72.546715000000006</v>
      </c>
      <c r="F42" s="9">
        <v>36.693851000000002</v>
      </c>
      <c r="G42" s="9">
        <v>22.013020000000001</v>
      </c>
      <c r="H42" s="9">
        <v>246.74409499999999</v>
      </c>
      <c r="I42" s="9">
        <v>48.159412000000003</v>
      </c>
      <c r="J42" s="9">
        <v>58.207436000000001</v>
      </c>
      <c r="K42" s="9">
        <v>60.747204000000004</v>
      </c>
      <c r="L42" s="9">
        <v>2519.360107</v>
      </c>
      <c r="O42" s="8">
        <v>42979</v>
      </c>
      <c r="P42" s="5">
        <f t="shared" si="1"/>
        <v>3.016043246007789E-2</v>
      </c>
      <c r="Q42" s="5">
        <f t="shared" si="2"/>
        <v>7.1563047154177814E-2</v>
      </c>
      <c r="R42" s="5">
        <f t="shared" si="3"/>
        <v>8.1784679068035951E-2</v>
      </c>
      <c r="S42" s="5">
        <f t="shared" si="4"/>
        <v>1.5621861907256123E-3</v>
      </c>
      <c r="T42" s="5">
        <f t="shared" si="5"/>
        <v>8.980830410968095E-2</v>
      </c>
      <c r="U42" s="5">
        <f t="shared" si="6"/>
        <v>-1.5186005316046906E-2</v>
      </c>
      <c r="V42" s="5">
        <f t="shared" si="7"/>
        <v>6.488608785552559E-2</v>
      </c>
      <c r="W42" s="5">
        <f t="shared" si="8"/>
        <v>-2.8567883908003269E-2</v>
      </c>
      <c r="X42" s="5">
        <f t="shared" si="9"/>
        <v>3.1549055885868467E-4</v>
      </c>
      <c r="Y42" s="5">
        <f t="shared" si="10"/>
        <v>2.6586821744338305E-3</v>
      </c>
      <c r="Z42" s="5">
        <f t="shared" si="11"/>
        <v>1.911903932397916E-2</v>
      </c>
    </row>
    <row r="43" spans="1:26" x14ac:dyDescent="0.35">
      <c r="A43" s="8">
        <v>43009</v>
      </c>
      <c r="B43" s="9">
        <v>13.47</v>
      </c>
      <c r="C43" s="9">
        <v>71.099236000000005</v>
      </c>
      <c r="D43" s="9">
        <v>11.044568999999999</v>
      </c>
      <c r="E43" s="9">
        <v>81.010009999999994</v>
      </c>
      <c r="F43" s="9">
        <v>43.834114</v>
      </c>
      <c r="G43" s="9">
        <v>18.544074999999999</v>
      </c>
      <c r="H43" s="9">
        <v>250.403381</v>
      </c>
      <c r="I43" s="9">
        <v>48.308284999999998</v>
      </c>
      <c r="J43" s="9">
        <v>59.570644000000001</v>
      </c>
      <c r="K43" s="9">
        <v>52.643588999999999</v>
      </c>
      <c r="L43" s="9">
        <v>2575.26001</v>
      </c>
      <c r="O43" s="8">
        <v>43009</v>
      </c>
      <c r="P43" s="5">
        <f t="shared" si="1"/>
        <v>-2.4203601740886364E-2</v>
      </c>
      <c r="Q43" s="5">
        <f t="shared" si="2"/>
        <v>1.0393984089223365E-2</v>
      </c>
      <c r="R43" s="5">
        <f t="shared" si="3"/>
        <v>2.4753891191295022E-2</v>
      </c>
      <c r="S43" s="5">
        <f t="shared" si="4"/>
        <v>0.11034202809672565</v>
      </c>
      <c r="T43" s="5">
        <f t="shared" si="5"/>
        <v>0.17780317933812725</v>
      </c>
      <c r="U43" s="5">
        <f t="shared" si="6"/>
        <v>-0.17148376546074304</v>
      </c>
      <c r="V43" s="5">
        <f t="shared" si="7"/>
        <v>1.472139460807219E-2</v>
      </c>
      <c r="W43" s="5">
        <f t="shared" si="8"/>
        <v>3.0864864159712473E-3</v>
      </c>
      <c r="X43" s="5">
        <f t="shared" si="9"/>
        <v>2.3149789493975784E-2</v>
      </c>
      <c r="Y43" s="5">
        <f t="shared" si="10"/>
        <v>-0.14317659168604091</v>
      </c>
      <c r="Z43" s="5">
        <f t="shared" si="11"/>
        <v>2.1945560290305279E-2</v>
      </c>
    </row>
    <row r="44" spans="1:26" x14ac:dyDescent="0.35">
      <c r="A44" s="8">
        <v>43040</v>
      </c>
      <c r="B44" s="9">
        <v>12.32</v>
      </c>
      <c r="C44" s="9">
        <v>73.033896999999996</v>
      </c>
      <c r="D44" s="9">
        <v>11.409535999999999</v>
      </c>
      <c r="E44" s="9">
        <v>81.974181999999999</v>
      </c>
      <c r="F44" s="9">
        <v>43.207779000000002</v>
      </c>
      <c r="G44" s="9">
        <v>16.823965000000001</v>
      </c>
      <c r="H44" s="9">
        <v>268.67065400000001</v>
      </c>
      <c r="I44" s="9">
        <v>53.125252000000003</v>
      </c>
      <c r="J44" s="9">
        <v>62.919291999999999</v>
      </c>
      <c r="K44" s="9">
        <v>52.81559</v>
      </c>
      <c r="L44" s="9">
        <v>2584.8400879999999</v>
      </c>
      <c r="O44" s="8">
        <v>43040</v>
      </c>
      <c r="P44" s="5">
        <f t="shared" si="1"/>
        <v>-8.9241032316898977E-2</v>
      </c>
      <c r="Q44" s="5">
        <f t="shared" si="2"/>
        <v>2.6847084518053666E-2</v>
      </c>
      <c r="R44" s="5">
        <f t="shared" si="3"/>
        <v>3.2510683036000222E-2</v>
      </c>
      <c r="S44" s="5">
        <f t="shared" si="4"/>
        <v>1.1831616744954197E-2</v>
      </c>
      <c r="T44" s="5">
        <f t="shared" si="5"/>
        <v>-1.4391824193094243E-2</v>
      </c>
      <c r="U44" s="5">
        <f t="shared" si="6"/>
        <v>-9.7345972987228552E-2</v>
      </c>
      <c r="V44" s="5">
        <f t="shared" si="7"/>
        <v>7.0413153388503277E-2</v>
      </c>
      <c r="W44" s="5">
        <f t="shared" si="8"/>
        <v>9.5049292723064921E-2</v>
      </c>
      <c r="X44" s="5">
        <f t="shared" si="9"/>
        <v>5.468992334981828E-2</v>
      </c>
      <c r="Y44" s="5">
        <f t="shared" si="10"/>
        <v>3.2619474974644827E-3</v>
      </c>
      <c r="Z44" s="5">
        <f t="shared" si="11"/>
        <v>3.7131407628128972E-3</v>
      </c>
    </row>
    <row r="45" spans="1:26" x14ac:dyDescent="0.35">
      <c r="A45" s="8">
        <v>43070</v>
      </c>
      <c r="B45" s="9">
        <v>14.38</v>
      </c>
      <c r="C45" s="9">
        <v>72.289017000000001</v>
      </c>
      <c r="D45" s="9">
        <v>11.382197</v>
      </c>
      <c r="E45" s="9">
        <v>83.726814000000005</v>
      </c>
      <c r="F45" s="9">
        <v>44.743316999999998</v>
      </c>
      <c r="G45" s="9">
        <v>16.051296000000001</v>
      </c>
      <c r="H45" s="9">
        <v>287.78756700000002</v>
      </c>
      <c r="I45" s="9">
        <v>55.689464999999998</v>
      </c>
      <c r="J45" s="9">
        <v>66.240120000000005</v>
      </c>
      <c r="K45" s="9">
        <v>53.771178999999997</v>
      </c>
      <c r="L45" s="9">
        <v>2673.610107</v>
      </c>
      <c r="O45" s="8">
        <v>43070</v>
      </c>
      <c r="P45" s="5">
        <f t="shared" si="1"/>
        <v>0.15461439418752684</v>
      </c>
      <c r="Q45" s="5">
        <f t="shared" si="2"/>
        <v>-1.0251466928814238E-2</v>
      </c>
      <c r="R45" s="5">
        <f t="shared" si="3"/>
        <v>-2.3990289033397772E-3</v>
      </c>
      <c r="S45" s="5">
        <f t="shared" si="4"/>
        <v>2.1154940585669059E-2</v>
      </c>
      <c r="T45" s="5">
        <f t="shared" si="5"/>
        <v>3.4921544302343802E-2</v>
      </c>
      <c r="U45" s="5">
        <f t="shared" si="6"/>
        <v>-4.7014764057187082E-2</v>
      </c>
      <c r="V45" s="5">
        <f t="shared" si="7"/>
        <v>6.8736298461672923E-2</v>
      </c>
      <c r="W45" s="5">
        <f t="shared" si="8"/>
        <v>4.7138620041028791E-2</v>
      </c>
      <c r="X45" s="5">
        <f t="shared" si="9"/>
        <v>5.1433495926777408E-2</v>
      </c>
      <c r="Y45" s="5">
        <f t="shared" si="10"/>
        <v>1.7931205024584389E-2</v>
      </c>
      <c r="Z45" s="5">
        <f t="shared" si="11"/>
        <v>3.3766014609890378E-2</v>
      </c>
    </row>
    <row r="46" spans="1:26" x14ac:dyDescent="0.35">
      <c r="A46" s="8">
        <v>43101</v>
      </c>
      <c r="B46" s="9">
        <v>15.97</v>
      </c>
      <c r="C46" s="9">
        <v>76.242996000000005</v>
      </c>
      <c r="D46" s="9">
        <v>9.9970140000000001</v>
      </c>
      <c r="E46" s="9">
        <v>92.996077999999997</v>
      </c>
      <c r="F46" s="9">
        <v>46.662551999999998</v>
      </c>
      <c r="G46" s="9">
        <v>15.086743</v>
      </c>
      <c r="H46" s="9">
        <v>345.811554</v>
      </c>
      <c r="I46" s="9">
        <v>54.938046</v>
      </c>
      <c r="J46" s="9">
        <v>65.835548000000003</v>
      </c>
      <c r="K46" s="9">
        <v>57.100451999999997</v>
      </c>
      <c r="L46" s="9">
        <v>2823.8100589999999</v>
      </c>
      <c r="O46" s="8">
        <v>43101</v>
      </c>
      <c r="P46" s="5">
        <f t="shared" si="1"/>
        <v>0.10487360993402049</v>
      </c>
      <c r="Q46" s="5">
        <f t="shared" si="2"/>
        <v>5.3253346619090716E-2</v>
      </c>
      <c r="R46" s="5">
        <f t="shared" si="3"/>
        <v>-0.12976401965718401</v>
      </c>
      <c r="S46" s="5">
        <f t="shared" si="4"/>
        <v>0.10499803560641349</v>
      </c>
      <c r="T46" s="5">
        <f t="shared" si="5"/>
        <v>4.1999865838997681E-2</v>
      </c>
      <c r="U46" s="5">
        <f t="shared" si="6"/>
        <v>-6.1973182799852748E-2</v>
      </c>
      <c r="V46" s="5">
        <f t="shared" si="7"/>
        <v>0.18367139168697644</v>
      </c>
      <c r="W46" s="5">
        <f t="shared" si="8"/>
        <v>-1.3584876841209697E-2</v>
      </c>
      <c r="X46" s="5">
        <f t="shared" si="9"/>
        <v>-6.1263860559994049E-3</v>
      </c>
      <c r="Y46" s="5">
        <f t="shared" si="10"/>
        <v>6.0074415261447252E-2</v>
      </c>
      <c r="Z46" s="5">
        <f t="shared" si="11"/>
        <v>5.4657398659986728E-2</v>
      </c>
    </row>
    <row r="47" spans="1:26" x14ac:dyDescent="0.35">
      <c r="A47" s="8">
        <v>43132</v>
      </c>
      <c r="B47" s="9">
        <v>8.7200000000000006</v>
      </c>
      <c r="C47" s="9">
        <v>73.338226000000006</v>
      </c>
      <c r="D47" s="9">
        <v>9.7950610000000005</v>
      </c>
      <c r="E47" s="9">
        <v>91.782364000000001</v>
      </c>
      <c r="F47" s="9">
        <v>47.777259999999998</v>
      </c>
      <c r="G47" s="9">
        <v>13.164747</v>
      </c>
      <c r="H47" s="9">
        <v>353.46218900000002</v>
      </c>
      <c r="I47" s="9">
        <v>47.870376999999998</v>
      </c>
      <c r="J47" s="9">
        <v>58.918796999999998</v>
      </c>
      <c r="K47" s="9">
        <v>52.252941</v>
      </c>
      <c r="L47" s="9">
        <v>2713.830078</v>
      </c>
      <c r="O47" s="8">
        <v>43132</v>
      </c>
      <c r="P47" s="5">
        <f t="shared" si="1"/>
        <v>-0.60509272430603289</v>
      </c>
      <c r="Q47" s="5">
        <f t="shared" si="2"/>
        <v>-3.8843581890308329E-2</v>
      </c>
      <c r="R47" s="5">
        <f t="shared" si="3"/>
        <v>-2.0408169359899683E-2</v>
      </c>
      <c r="S47" s="5">
        <f t="shared" si="4"/>
        <v>-1.3137154340416948E-2</v>
      </c>
      <c r="T47" s="5">
        <f t="shared" si="5"/>
        <v>2.3607835458069146E-2</v>
      </c>
      <c r="U47" s="5">
        <f t="shared" si="6"/>
        <v>-0.13627383603867835</v>
      </c>
      <c r="V47" s="5">
        <f t="shared" si="7"/>
        <v>2.1882532737232785E-2</v>
      </c>
      <c r="W47" s="5">
        <f t="shared" si="8"/>
        <v>-0.13770923509301997</v>
      </c>
      <c r="X47" s="5">
        <f t="shared" si="9"/>
        <v>-0.11099976174285266</v>
      </c>
      <c r="Y47" s="5">
        <f t="shared" si="10"/>
        <v>-8.8715856225384568E-2</v>
      </c>
      <c r="Z47" s="5">
        <f t="shared" si="11"/>
        <v>-3.9726107788010244E-2</v>
      </c>
    </row>
    <row r="48" spans="1:26" x14ac:dyDescent="0.35">
      <c r="A48" s="8">
        <v>43160</v>
      </c>
      <c r="B48" s="9">
        <v>8.83</v>
      </c>
      <c r="C48" s="9">
        <v>65.842003000000005</v>
      </c>
      <c r="D48" s="9">
        <v>10.228961</v>
      </c>
      <c r="E48" s="9">
        <v>89.755013000000005</v>
      </c>
      <c r="F48" s="9">
        <v>50.824115999999997</v>
      </c>
      <c r="G48" s="9">
        <v>12.685237000000001</v>
      </c>
      <c r="H48" s="9">
        <v>321.54074100000003</v>
      </c>
      <c r="I48" s="9">
        <v>42.671402</v>
      </c>
      <c r="J48" s="9">
        <v>58.329140000000002</v>
      </c>
      <c r="K48" s="9">
        <v>52.493873999999998</v>
      </c>
      <c r="L48" s="9">
        <v>2640.8701169999999</v>
      </c>
      <c r="O48" s="8">
        <v>43160</v>
      </c>
      <c r="P48" s="5">
        <f t="shared" si="1"/>
        <v>1.2535776694980228E-2</v>
      </c>
      <c r="Q48" s="5">
        <f t="shared" si="2"/>
        <v>-0.10782399549872057</v>
      </c>
      <c r="R48" s="5">
        <f t="shared" si="3"/>
        <v>4.3344731733900216E-2</v>
      </c>
      <c r="S48" s="5">
        <f t="shared" si="4"/>
        <v>-2.2336284918811958E-2</v>
      </c>
      <c r="T48" s="5">
        <f t="shared" si="5"/>
        <v>6.1821172264538191E-2</v>
      </c>
      <c r="U48" s="5">
        <f t="shared" si="6"/>
        <v>-3.7103698779986469E-2</v>
      </c>
      <c r="V48" s="5">
        <f t="shared" si="7"/>
        <v>-9.4652260538751767E-2</v>
      </c>
      <c r="W48" s="5">
        <f t="shared" si="8"/>
        <v>-0.114967925401344</v>
      </c>
      <c r="X48" s="5">
        <f t="shared" si="9"/>
        <v>-1.0058376913497298E-2</v>
      </c>
      <c r="Y48" s="5">
        <f t="shared" si="10"/>
        <v>4.6003007327830346E-3</v>
      </c>
      <c r="Z48" s="5">
        <f t="shared" si="11"/>
        <v>-2.725249739187887E-2</v>
      </c>
    </row>
    <row r="49" spans="1:26" x14ac:dyDescent="0.35">
      <c r="A49" s="8">
        <v>43191</v>
      </c>
      <c r="B49" s="9">
        <v>8.32</v>
      </c>
      <c r="C49" s="9">
        <v>66.593079000000003</v>
      </c>
      <c r="D49" s="9">
        <v>10.376671</v>
      </c>
      <c r="E49" s="9">
        <v>91.967658999999998</v>
      </c>
      <c r="F49" s="9">
        <v>50.375202000000002</v>
      </c>
      <c r="G49" s="9">
        <v>13.240449999999999</v>
      </c>
      <c r="H49" s="9">
        <v>327.11090100000001</v>
      </c>
      <c r="I49" s="9">
        <v>41.421374999999998</v>
      </c>
      <c r="J49" s="9">
        <v>53.078662999999999</v>
      </c>
      <c r="K49" s="9">
        <v>57.230365999999997</v>
      </c>
      <c r="L49" s="9">
        <v>2648.0500489999999</v>
      </c>
      <c r="O49" s="8">
        <v>43191</v>
      </c>
      <c r="P49" s="5">
        <f t="shared" si="1"/>
        <v>-5.9492759782751335E-2</v>
      </c>
      <c r="Q49" s="5">
        <f t="shared" si="2"/>
        <v>1.1342675085688973E-2</v>
      </c>
      <c r="R49" s="5">
        <f t="shared" si="3"/>
        <v>1.4337102610728271E-2</v>
      </c>
      <c r="S49" s="5">
        <f t="shared" si="4"/>
        <v>2.4353101676522448E-2</v>
      </c>
      <c r="T49" s="5">
        <f t="shared" si="5"/>
        <v>-8.8719361635359525E-3</v>
      </c>
      <c r="U49" s="5">
        <f t="shared" si="6"/>
        <v>4.2837661485552195E-2</v>
      </c>
      <c r="V49" s="5">
        <f t="shared" si="7"/>
        <v>1.7175002922384958E-2</v>
      </c>
      <c r="W49" s="5">
        <f t="shared" si="8"/>
        <v>-2.9731901528333046E-2</v>
      </c>
      <c r="X49" s="5">
        <f t="shared" si="9"/>
        <v>-9.4326776205318735E-2</v>
      </c>
      <c r="Y49" s="5">
        <f t="shared" si="10"/>
        <v>8.6388154572824477E-2</v>
      </c>
      <c r="Z49" s="5">
        <f t="shared" si="11"/>
        <v>2.7150859477301889E-3</v>
      </c>
    </row>
    <row r="50" spans="1:26" x14ac:dyDescent="0.35">
      <c r="A50" s="8">
        <v>43221</v>
      </c>
      <c r="B50" s="9">
        <v>10.72</v>
      </c>
      <c r="C50" s="9">
        <v>65.051902999999996</v>
      </c>
      <c r="D50" s="9">
        <v>10.805923</v>
      </c>
      <c r="E50" s="9">
        <v>97.199355999999995</v>
      </c>
      <c r="F50" s="9">
        <v>53.868876999999998</v>
      </c>
      <c r="G50" s="9">
        <v>13.249862</v>
      </c>
      <c r="H50" s="9">
        <v>345.35128800000001</v>
      </c>
      <c r="I50" s="9">
        <v>40.484515999999999</v>
      </c>
      <c r="J50" s="9">
        <v>52.728648999999997</v>
      </c>
      <c r="K50" s="9">
        <v>57.871983</v>
      </c>
      <c r="L50" s="9">
        <v>2705.2700199999999</v>
      </c>
      <c r="O50" s="8">
        <v>43221</v>
      </c>
      <c r="P50" s="5">
        <f t="shared" si="1"/>
        <v>0.25344890080953875</v>
      </c>
      <c r="Q50" s="5">
        <f t="shared" si="2"/>
        <v>-2.3415194277190438E-2</v>
      </c>
      <c r="R50" s="5">
        <f t="shared" si="3"/>
        <v>4.0534296336645098E-2</v>
      </c>
      <c r="S50" s="5">
        <f t="shared" si="4"/>
        <v>5.5327103291768147E-2</v>
      </c>
      <c r="T50" s="5">
        <f t="shared" si="5"/>
        <v>6.7053859808513513E-2</v>
      </c>
      <c r="U50" s="5">
        <f t="shared" si="6"/>
        <v>7.1059943696024893E-4</v>
      </c>
      <c r="V50" s="5">
        <f t="shared" si="7"/>
        <v>5.4262864888787739E-2</v>
      </c>
      <c r="W50" s="5">
        <f t="shared" si="8"/>
        <v>-2.2877471918327185E-2</v>
      </c>
      <c r="X50" s="5">
        <f t="shared" si="9"/>
        <v>-6.6160886263098434E-3</v>
      </c>
      <c r="Y50" s="5">
        <f t="shared" si="10"/>
        <v>1.114874981016181E-2</v>
      </c>
      <c r="Z50" s="5">
        <f t="shared" si="11"/>
        <v>2.1378191291432879E-2</v>
      </c>
    </row>
    <row r="51" spans="1:26" x14ac:dyDescent="0.35">
      <c r="A51" s="8">
        <v>43252</v>
      </c>
      <c r="B51" s="9">
        <v>10.050000000000001</v>
      </c>
      <c r="C51" s="9">
        <v>65.585159000000004</v>
      </c>
      <c r="D51" s="9">
        <v>10.356846000000001</v>
      </c>
      <c r="E51" s="9">
        <v>97.393494000000004</v>
      </c>
      <c r="F51" s="9">
        <v>48.791245000000004</v>
      </c>
      <c r="G51" s="9">
        <v>12.807572</v>
      </c>
      <c r="H51" s="9">
        <v>330.66455100000002</v>
      </c>
      <c r="I51" s="9">
        <v>42.370403000000003</v>
      </c>
      <c r="J51" s="9">
        <v>53.721924000000001</v>
      </c>
      <c r="K51" s="9">
        <v>59.009399000000002</v>
      </c>
      <c r="L51" s="9">
        <v>2718.3701169999999</v>
      </c>
      <c r="O51" s="8">
        <v>43252</v>
      </c>
      <c r="P51" s="5">
        <f t="shared" si="1"/>
        <v>-6.4538521137571178E-2</v>
      </c>
      <c r="Q51" s="5">
        <f t="shared" si="2"/>
        <v>8.1639766487139297E-3</v>
      </c>
      <c r="R51" s="5">
        <f t="shared" si="3"/>
        <v>-4.2446659399977327E-2</v>
      </c>
      <c r="S51" s="5">
        <f t="shared" si="4"/>
        <v>1.995325772869188E-3</v>
      </c>
      <c r="T51" s="5">
        <f t="shared" si="5"/>
        <v>-9.9001998966617058E-2</v>
      </c>
      <c r="U51" s="5">
        <f t="shared" si="6"/>
        <v>-3.3950578762203955E-2</v>
      </c>
      <c r="V51" s="5">
        <f t="shared" si="7"/>
        <v>-4.3457704666948545E-2</v>
      </c>
      <c r="W51" s="5">
        <f t="shared" si="8"/>
        <v>4.5530496018475766E-2</v>
      </c>
      <c r="X51" s="5">
        <f t="shared" si="9"/>
        <v>1.8662254226888435E-2</v>
      </c>
      <c r="Y51" s="5">
        <f t="shared" si="10"/>
        <v>1.9463354844786621E-2</v>
      </c>
      <c r="Z51" s="5">
        <f t="shared" si="11"/>
        <v>4.830749144322073E-3</v>
      </c>
    </row>
    <row r="52" spans="1:26" x14ac:dyDescent="0.35">
      <c r="A52" s="8">
        <v>43282</v>
      </c>
      <c r="B52" s="9">
        <v>9.74</v>
      </c>
      <c r="C52" s="9">
        <v>70.456023999999999</v>
      </c>
      <c r="D52" s="9">
        <v>9.3932000000000002</v>
      </c>
      <c r="E52" s="9">
        <v>104.771339</v>
      </c>
      <c r="F52" s="9">
        <v>47.210999000000001</v>
      </c>
      <c r="G52" s="9">
        <v>12.944832</v>
      </c>
      <c r="H52" s="9">
        <v>351.15423600000003</v>
      </c>
      <c r="I52" s="9">
        <v>44.093558999999999</v>
      </c>
      <c r="J52" s="9">
        <v>56.194758999999998</v>
      </c>
      <c r="K52" s="9">
        <v>64.530288999999996</v>
      </c>
      <c r="L52" s="9">
        <v>2816.290039</v>
      </c>
      <c r="O52" s="8">
        <v>43282</v>
      </c>
      <c r="P52" s="5">
        <f t="shared" si="1"/>
        <v>-3.1331516850641089E-2</v>
      </c>
      <c r="Q52" s="5">
        <f t="shared" si="2"/>
        <v>7.1639306542226083E-2</v>
      </c>
      <c r="R52" s="5">
        <f t="shared" si="3"/>
        <v>-9.7661727088062242E-2</v>
      </c>
      <c r="S52" s="5">
        <f t="shared" si="4"/>
        <v>7.3020839956356595E-2</v>
      </c>
      <c r="T52" s="5">
        <f t="shared" si="5"/>
        <v>-3.2923995920929705E-2</v>
      </c>
      <c r="U52" s="5">
        <f t="shared" si="6"/>
        <v>1.0660076614058383E-2</v>
      </c>
      <c r="V52" s="5">
        <f t="shared" si="7"/>
        <v>6.0121125342304481E-2</v>
      </c>
      <c r="W52" s="5">
        <f t="shared" si="8"/>
        <v>3.9863641324033174E-2</v>
      </c>
      <c r="X52" s="5">
        <f t="shared" si="9"/>
        <v>4.5002309970778212E-2</v>
      </c>
      <c r="Y52" s="5">
        <f t="shared" si="10"/>
        <v>8.9437974172076579E-2</v>
      </c>
      <c r="Z52" s="5">
        <f t="shared" si="11"/>
        <v>3.5387950784307211E-2</v>
      </c>
    </row>
    <row r="53" spans="1:26" x14ac:dyDescent="0.35">
      <c r="A53" s="8">
        <v>43313</v>
      </c>
      <c r="B53" s="9">
        <v>9.57</v>
      </c>
      <c r="C53" s="9">
        <v>69.818984999999998</v>
      </c>
      <c r="D53" s="9">
        <v>8.9939610000000005</v>
      </c>
      <c r="E53" s="9">
        <v>110.944244</v>
      </c>
      <c r="F53" s="9">
        <v>47.534900999999998</v>
      </c>
      <c r="G53" s="9">
        <v>12.289517</v>
      </c>
      <c r="H53" s="9">
        <v>337.83938599999999</v>
      </c>
      <c r="I53" s="9">
        <v>44.530144</v>
      </c>
      <c r="J53" s="9">
        <v>56.041538000000003</v>
      </c>
      <c r="K53" s="9">
        <v>67.194969</v>
      </c>
      <c r="L53" s="9">
        <v>2901.5200199999999</v>
      </c>
      <c r="O53" s="8">
        <v>43313</v>
      </c>
      <c r="P53" s="5">
        <f t="shared" si="1"/>
        <v>-1.7607912189580847E-2</v>
      </c>
      <c r="Q53" s="5">
        <f t="shared" si="2"/>
        <v>-9.0827779518468845E-3</v>
      </c>
      <c r="R53" s="5">
        <f t="shared" si="3"/>
        <v>-4.3432671122558303E-2</v>
      </c>
      <c r="S53" s="5">
        <f t="shared" si="4"/>
        <v>5.7247517148686172E-2</v>
      </c>
      <c r="T53" s="5">
        <f t="shared" si="5"/>
        <v>6.8373040275695185E-3</v>
      </c>
      <c r="U53" s="5">
        <f t="shared" si="6"/>
        <v>-5.1950012573940899E-2</v>
      </c>
      <c r="V53" s="5">
        <f t="shared" si="7"/>
        <v>-3.8654952557447185E-2</v>
      </c>
      <c r="W53" s="5">
        <f t="shared" si="8"/>
        <v>9.8526357393196855E-3</v>
      </c>
      <c r="X53" s="5">
        <f t="shared" si="9"/>
        <v>-2.7303305486772928E-3</v>
      </c>
      <c r="Y53" s="5">
        <f t="shared" si="10"/>
        <v>4.0463668180236924E-2</v>
      </c>
      <c r="Z53" s="5">
        <f t="shared" si="11"/>
        <v>2.9814314708128044E-2</v>
      </c>
    </row>
    <row r="54" spans="1:26" x14ac:dyDescent="0.35">
      <c r="A54" s="8">
        <v>43344</v>
      </c>
      <c r="B54" s="9">
        <v>8.98</v>
      </c>
      <c r="C54" s="9">
        <v>70.752196999999995</v>
      </c>
      <c r="D54" s="9">
        <v>8.7757550000000002</v>
      </c>
      <c r="E54" s="9">
        <v>113.39376799999999</v>
      </c>
      <c r="F54" s="9">
        <v>46.698250000000002</v>
      </c>
      <c r="G54" s="9">
        <v>10.722462</v>
      </c>
      <c r="H54" s="9">
        <v>368.34008799999998</v>
      </c>
      <c r="I54" s="9">
        <v>41.539532000000001</v>
      </c>
      <c r="J54" s="9">
        <v>57.75573</v>
      </c>
      <c r="K54" s="9">
        <v>69.497176999999994</v>
      </c>
      <c r="L54" s="9">
        <v>2913.9799800000001</v>
      </c>
      <c r="O54" s="8">
        <v>43344</v>
      </c>
      <c r="P54" s="5">
        <f t="shared" si="1"/>
        <v>-6.3633323150754692E-2</v>
      </c>
      <c r="Q54" s="5">
        <f t="shared" si="2"/>
        <v>1.3277624855363723E-2</v>
      </c>
      <c r="R54" s="5">
        <f t="shared" si="3"/>
        <v>-2.4560546578214132E-2</v>
      </c>
      <c r="S54" s="5">
        <f t="shared" si="4"/>
        <v>2.1838665067277899E-2</v>
      </c>
      <c r="T54" s="5">
        <f t="shared" si="5"/>
        <v>-1.7757508393594128E-2</v>
      </c>
      <c r="U54" s="5">
        <f t="shared" si="6"/>
        <v>-0.13640582910858762</v>
      </c>
      <c r="V54" s="5">
        <f t="shared" si="7"/>
        <v>8.6436070381466237E-2</v>
      </c>
      <c r="W54" s="5">
        <f t="shared" si="8"/>
        <v>-6.9520800968262089E-2</v>
      </c>
      <c r="X54" s="5">
        <f t="shared" si="9"/>
        <v>3.012939948449014E-2</v>
      </c>
      <c r="Y54" s="5">
        <f t="shared" si="10"/>
        <v>3.3687754385677324E-2</v>
      </c>
      <c r="Z54" s="5">
        <f t="shared" si="11"/>
        <v>4.2850929639178534E-3</v>
      </c>
    </row>
    <row r="55" spans="1:26" x14ac:dyDescent="0.35">
      <c r="A55" s="8">
        <v>43374</v>
      </c>
      <c r="B55" s="9">
        <v>8.26</v>
      </c>
      <c r="C55" s="9">
        <v>64.558670000000006</v>
      </c>
      <c r="D55" s="9">
        <v>9.0603730000000002</v>
      </c>
      <c r="E55" s="9">
        <v>105.898293</v>
      </c>
      <c r="F55" s="9">
        <v>46.293380999999997</v>
      </c>
      <c r="G55" s="9">
        <v>9.6874029999999998</v>
      </c>
      <c r="H55" s="9">
        <v>351.463165</v>
      </c>
      <c r="I55" s="9">
        <v>42.391227999999998</v>
      </c>
      <c r="J55" s="9">
        <v>63.080997000000004</v>
      </c>
      <c r="K55" s="9">
        <v>72.604896999999994</v>
      </c>
      <c r="L55" s="9">
        <v>2711.73999</v>
      </c>
      <c r="O55" s="8">
        <v>43374</v>
      </c>
      <c r="P55" s="5">
        <f t="shared" si="1"/>
        <v>-8.3575294781221554E-2</v>
      </c>
      <c r="Q55" s="5">
        <f t="shared" si="2"/>
        <v>-9.1609166286581792E-2</v>
      </c>
      <c r="R55" s="5">
        <f t="shared" si="3"/>
        <v>3.1917483648601891E-2</v>
      </c>
      <c r="S55" s="5">
        <f t="shared" si="4"/>
        <v>-6.8387300377952556E-2</v>
      </c>
      <c r="T55" s="5">
        <f t="shared" si="5"/>
        <v>-8.7076988300089954E-3</v>
      </c>
      <c r="U55" s="5">
        <f t="shared" si="6"/>
        <v>-0.10151441172686992</v>
      </c>
      <c r="V55" s="5">
        <f t="shared" si="7"/>
        <v>-4.6901751558771972E-2</v>
      </c>
      <c r="W55" s="5">
        <f t="shared" si="8"/>
        <v>2.0295901906331036E-2</v>
      </c>
      <c r="X55" s="5">
        <f t="shared" si="9"/>
        <v>8.8197002037436509E-2</v>
      </c>
      <c r="Y55" s="5">
        <f t="shared" si="10"/>
        <v>4.3746238305865826E-2</v>
      </c>
      <c r="Z55" s="5">
        <f t="shared" si="11"/>
        <v>-7.1929345879864132E-2</v>
      </c>
    </row>
    <row r="56" spans="1:26" x14ac:dyDescent="0.35">
      <c r="A56" s="8">
        <v>43405</v>
      </c>
      <c r="B56" s="9">
        <v>5.66</v>
      </c>
      <c r="C56" s="9">
        <v>63.897896000000003</v>
      </c>
      <c r="D56" s="9">
        <v>9.0879270000000005</v>
      </c>
      <c r="E56" s="9">
        <v>109.94347399999999</v>
      </c>
      <c r="F56" s="9">
        <v>48.692974</v>
      </c>
      <c r="G56" s="9">
        <v>7.1936159999999996</v>
      </c>
      <c r="H56" s="9">
        <v>343.44073500000002</v>
      </c>
      <c r="I56" s="9">
        <v>41.406219</v>
      </c>
      <c r="J56" s="9">
        <v>53.178524000000003</v>
      </c>
      <c r="K56" s="9">
        <v>78.256653</v>
      </c>
      <c r="L56" s="9">
        <v>2760.169922</v>
      </c>
      <c r="O56" s="8">
        <v>43405</v>
      </c>
      <c r="P56" s="5">
        <f t="shared" si="1"/>
        <v>-0.37800069531779507</v>
      </c>
      <c r="Q56" s="5">
        <f t="shared" si="2"/>
        <v>-1.0287988364336814E-2</v>
      </c>
      <c r="R56" s="5">
        <f t="shared" si="3"/>
        <v>3.0365401907592512E-3</v>
      </c>
      <c r="S56" s="5">
        <f t="shared" si="4"/>
        <v>3.7487227490025532E-2</v>
      </c>
      <c r="T56" s="5">
        <f t="shared" si="5"/>
        <v>5.0535756723948784E-2</v>
      </c>
      <c r="U56" s="5">
        <f t="shared" si="6"/>
        <v>-0.29763241569216997</v>
      </c>
      <c r="V56" s="5">
        <f t="shared" si="7"/>
        <v>-2.309034799253722E-2</v>
      </c>
      <c r="W56" s="5">
        <f t="shared" si="8"/>
        <v>-2.3510367100364037E-2</v>
      </c>
      <c r="X56" s="5">
        <f t="shared" si="9"/>
        <v>-0.17076493666183762</v>
      </c>
      <c r="Y56" s="5">
        <f t="shared" si="10"/>
        <v>7.4961476823669299E-2</v>
      </c>
      <c r="Z56" s="5">
        <f t="shared" si="11"/>
        <v>1.7701752187834409E-2</v>
      </c>
    </row>
    <row r="57" spans="1:26" x14ac:dyDescent="0.35">
      <c r="A57" s="8">
        <v>43435</v>
      </c>
      <c r="B57" s="9">
        <v>3.15</v>
      </c>
      <c r="C57" s="9">
        <v>51.696567999999999</v>
      </c>
      <c r="D57" s="9">
        <v>7.388166</v>
      </c>
      <c r="E57" s="9">
        <v>101.138069</v>
      </c>
      <c r="F57" s="9">
        <v>46.634402999999999</v>
      </c>
      <c r="G57" s="9">
        <v>7.2607559999999998</v>
      </c>
      <c r="H57" s="9">
        <v>320.88793900000002</v>
      </c>
      <c r="I57" s="9">
        <v>38.108204000000001</v>
      </c>
      <c r="J57" s="9">
        <v>47.902374000000002</v>
      </c>
      <c r="K57" s="9">
        <v>75.366660999999993</v>
      </c>
      <c r="L57" s="9">
        <v>2506.8500979999999</v>
      </c>
      <c r="O57" s="8">
        <v>43435</v>
      </c>
      <c r="P57" s="5">
        <f t="shared" si="1"/>
        <v>-0.58602143937754991</v>
      </c>
      <c r="Q57" s="5">
        <f t="shared" si="2"/>
        <v>-0.21189503806161489</v>
      </c>
      <c r="R57" s="5">
        <f t="shared" si="3"/>
        <v>-0.20706729842310415</v>
      </c>
      <c r="S57" s="5">
        <f t="shared" si="4"/>
        <v>-8.347975786496982E-2</v>
      </c>
      <c r="T57" s="5">
        <f t="shared" si="5"/>
        <v>-4.319621808026599E-2</v>
      </c>
      <c r="U57" s="5">
        <f t="shared" si="6"/>
        <v>9.2899896127850677E-3</v>
      </c>
      <c r="V57" s="5">
        <f t="shared" si="7"/>
        <v>-6.7922601533764268E-2</v>
      </c>
      <c r="W57" s="5">
        <f t="shared" si="8"/>
        <v>-8.3001499904190174E-2</v>
      </c>
      <c r="X57" s="5">
        <f t="shared" si="9"/>
        <v>-0.10448956585929309</v>
      </c>
      <c r="Y57" s="5">
        <f t="shared" si="10"/>
        <v>-3.7628832742441921E-2</v>
      </c>
      <c r="Z57" s="5">
        <f t="shared" si="11"/>
        <v>-9.6265219766061866E-2</v>
      </c>
    </row>
    <row r="58" spans="1:26" x14ac:dyDescent="0.35">
      <c r="A58" s="8">
        <v>43466</v>
      </c>
      <c r="B58" s="9">
        <v>6.24</v>
      </c>
      <c r="C58" s="9">
        <v>64.010002</v>
      </c>
      <c r="D58" s="9">
        <v>8.4988050000000008</v>
      </c>
      <c r="E58" s="9">
        <v>103.98590900000001</v>
      </c>
      <c r="F58" s="9">
        <v>46.823203999999997</v>
      </c>
      <c r="G58" s="9">
        <v>9.7588930000000005</v>
      </c>
      <c r="H58" s="9">
        <v>383.69241299999999</v>
      </c>
      <c r="I58" s="9">
        <v>43.490718999999999</v>
      </c>
      <c r="J58" s="9">
        <v>48.656517000000001</v>
      </c>
      <c r="K58" s="9">
        <v>73.928329000000005</v>
      </c>
      <c r="L58" s="9">
        <v>2704.1000979999999</v>
      </c>
      <c r="O58" s="8">
        <v>43466</v>
      </c>
      <c r="P58" s="5">
        <f t="shared" si="1"/>
        <v>0.68357772954379459</v>
      </c>
      <c r="Q58" s="5">
        <f t="shared" si="2"/>
        <v>0.21364795606681689</v>
      </c>
      <c r="R58" s="5">
        <f t="shared" si="3"/>
        <v>0.14004603442451688</v>
      </c>
      <c r="S58" s="5">
        <f t="shared" si="4"/>
        <v>2.7768796454771649E-2</v>
      </c>
      <c r="T58" s="5">
        <f t="shared" si="5"/>
        <v>4.0403614622919132E-3</v>
      </c>
      <c r="U58" s="5">
        <f t="shared" si="6"/>
        <v>0.29569501621435212</v>
      </c>
      <c r="V58" s="5">
        <f t="shared" si="7"/>
        <v>0.17874926130499266</v>
      </c>
      <c r="W58" s="5">
        <f t="shared" si="8"/>
        <v>0.13211797197222092</v>
      </c>
      <c r="X58" s="5">
        <f t="shared" si="9"/>
        <v>1.5620691719757248E-2</v>
      </c>
      <c r="Y58" s="5">
        <f t="shared" si="10"/>
        <v>-1.9268918576060536E-2</v>
      </c>
      <c r="Z58" s="5">
        <f t="shared" si="11"/>
        <v>7.5742151976753658E-2</v>
      </c>
    </row>
    <row r="59" spans="1:26" x14ac:dyDescent="0.35">
      <c r="A59" s="8">
        <v>43497</v>
      </c>
      <c r="B59" s="9">
        <v>7.67</v>
      </c>
      <c r="C59" s="9">
        <v>63.533352000000001</v>
      </c>
      <c r="D59" s="9">
        <v>8.6173909999999996</v>
      </c>
      <c r="E59" s="9">
        <v>111.553589</v>
      </c>
      <c r="F59" s="9">
        <v>52.626418999999999</v>
      </c>
      <c r="G59" s="9">
        <v>10.379004999999999</v>
      </c>
      <c r="H59" s="9">
        <v>437.76077299999997</v>
      </c>
      <c r="I59" s="9">
        <v>46.679920000000003</v>
      </c>
      <c r="J59" s="9">
        <v>51.673515000000002</v>
      </c>
      <c r="K59" s="9">
        <v>80.742087999999995</v>
      </c>
      <c r="L59" s="9">
        <v>2784.48999</v>
      </c>
      <c r="O59" s="8">
        <v>43497</v>
      </c>
      <c r="P59" s="5">
        <f t="shared" si="1"/>
        <v>0.20633643299782839</v>
      </c>
      <c r="Q59" s="5">
        <f t="shared" si="2"/>
        <v>-7.4743560380564986E-3</v>
      </c>
      <c r="R59" s="5">
        <f t="shared" si="3"/>
        <v>1.3856805271352081E-2</v>
      </c>
      <c r="S59" s="5">
        <f t="shared" si="4"/>
        <v>7.0249694696909823E-2</v>
      </c>
      <c r="T59" s="5">
        <f t="shared" si="5"/>
        <v>0.1168393639942861</v>
      </c>
      <c r="U59" s="5">
        <f t="shared" si="6"/>
        <v>6.1606043863937629E-2</v>
      </c>
      <c r="V59" s="5">
        <f t="shared" si="7"/>
        <v>0.13183135700326676</v>
      </c>
      <c r="W59" s="5">
        <f t="shared" si="8"/>
        <v>7.0766534611727161E-2</v>
      </c>
      <c r="X59" s="5">
        <f t="shared" si="9"/>
        <v>6.015961135934153E-2</v>
      </c>
      <c r="Y59" s="5">
        <f t="shared" si="10"/>
        <v>8.8163879026342817E-2</v>
      </c>
      <c r="Z59" s="5">
        <f t="shared" si="11"/>
        <v>2.9295553154109054E-2</v>
      </c>
    </row>
    <row r="60" spans="1:26" x14ac:dyDescent="0.35">
      <c r="A60" s="8">
        <v>43525</v>
      </c>
      <c r="B60" s="9">
        <v>6.69</v>
      </c>
      <c r="C60" s="9">
        <v>62.220001000000003</v>
      </c>
      <c r="D60" s="9">
        <v>8.6272149999999996</v>
      </c>
      <c r="E60" s="9">
        <v>117.94000200000001</v>
      </c>
      <c r="F60" s="9">
        <v>53.700001</v>
      </c>
      <c r="G60" s="9">
        <v>9.9794280000000004</v>
      </c>
      <c r="H60" s="9">
        <v>381.42001299999998</v>
      </c>
      <c r="I60" s="9">
        <v>51.255797999999999</v>
      </c>
      <c r="J60" s="9">
        <v>56.622973999999999</v>
      </c>
      <c r="K60" s="9">
        <v>82.609413000000004</v>
      </c>
      <c r="L60" s="9">
        <v>2834.3999020000001</v>
      </c>
      <c r="O60" s="8">
        <v>43525</v>
      </c>
      <c r="P60" s="5">
        <f t="shared" si="1"/>
        <v>-0.13670274123902765</v>
      </c>
      <c r="Q60" s="5">
        <f t="shared" si="2"/>
        <v>-2.0888488819479623E-2</v>
      </c>
      <c r="R60" s="5">
        <f t="shared" si="3"/>
        <v>1.1393708922970804E-3</v>
      </c>
      <c r="S60" s="5">
        <f t="shared" si="4"/>
        <v>5.5670943256117274E-2</v>
      </c>
      <c r="T60" s="5">
        <f t="shared" si="5"/>
        <v>2.0194764127233082E-2</v>
      </c>
      <c r="U60" s="5">
        <f t="shared" si="6"/>
        <v>-3.9259241673446854E-2</v>
      </c>
      <c r="V60" s="5">
        <f t="shared" si="7"/>
        <v>-0.13777141654078567</v>
      </c>
      <c r="W60" s="5">
        <f t="shared" si="8"/>
        <v>9.3514649706097241E-2</v>
      </c>
      <c r="X60" s="5">
        <f t="shared" si="9"/>
        <v>9.1469436059184811E-2</v>
      </c>
      <c r="Y60" s="5">
        <f t="shared" si="10"/>
        <v>2.2863656993765826E-2</v>
      </c>
      <c r="Z60" s="5">
        <f t="shared" si="11"/>
        <v>1.7765510853122508E-2</v>
      </c>
    </row>
    <row r="61" spans="1:26" x14ac:dyDescent="0.35">
      <c r="A61" s="8">
        <v>43556</v>
      </c>
      <c r="B61" s="9">
        <v>8.0399999999999991</v>
      </c>
      <c r="C61" s="9">
        <v>69.089995999999999</v>
      </c>
      <c r="D61" s="9">
        <v>9.5</v>
      </c>
      <c r="E61" s="9">
        <v>123.370003</v>
      </c>
      <c r="F61" s="9">
        <v>58.490001999999997</v>
      </c>
      <c r="G61" s="9">
        <v>9.32</v>
      </c>
      <c r="H61" s="9">
        <v>375.17001299999998</v>
      </c>
      <c r="I61" s="9">
        <v>51.255797999999999</v>
      </c>
      <c r="J61" s="9">
        <v>54.610000999999997</v>
      </c>
      <c r="K61" s="9">
        <v>73.459998999999996</v>
      </c>
      <c r="L61" s="9">
        <v>2905.030029</v>
      </c>
      <c r="O61" s="8">
        <v>43556</v>
      </c>
      <c r="P61" s="5">
        <f t="shared" si="1"/>
        <v>0.18381520905073767</v>
      </c>
      <c r="Q61" s="5">
        <f t="shared" si="2"/>
        <v>0.10473343706370973</v>
      </c>
      <c r="R61" s="5">
        <f t="shared" si="3"/>
        <v>9.6370057065321632E-2</v>
      </c>
      <c r="S61" s="5">
        <f t="shared" si="4"/>
        <v>4.5011956870334768E-2</v>
      </c>
      <c r="T61" s="5">
        <f t="shared" si="5"/>
        <v>8.5442813512020252E-2</v>
      </c>
      <c r="U61" s="5">
        <f t="shared" si="6"/>
        <v>-6.8363145354068164E-2</v>
      </c>
      <c r="V61" s="5">
        <f t="shared" si="7"/>
        <v>-1.6521873029343995E-2</v>
      </c>
      <c r="W61" s="5">
        <f t="shared" si="8"/>
        <v>0</v>
      </c>
      <c r="X61" s="5">
        <f t="shared" si="9"/>
        <v>-3.6197769437930724E-2</v>
      </c>
      <c r="Y61" s="5">
        <f t="shared" si="10"/>
        <v>-0.11738260609321922</v>
      </c>
      <c r="Z61" s="5">
        <f t="shared" si="11"/>
        <v>2.4613487261705761E-2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A88E-E5B4-4239-AF62-F61134A6018C}">
  <dimension ref="A2:I42"/>
  <sheetViews>
    <sheetView topLeftCell="A9" workbookViewId="0">
      <selection activeCell="N19" sqref="N19"/>
    </sheetView>
  </sheetViews>
  <sheetFormatPr defaultRowHeight="14.5" x14ac:dyDescent="0.35"/>
  <cols>
    <col min="1" max="1" width="8.7265625" style="15"/>
    <col min="2" max="2" width="9.08984375" style="15" customWidth="1"/>
    <col min="3" max="11" width="8.7265625" style="15"/>
    <col min="12" max="12" width="8.7265625" style="15" customWidth="1"/>
    <col min="13" max="16384" width="8.7265625" style="15"/>
  </cols>
  <sheetData>
    <row r="2" spans="1:9" ht="29" x14ac:dyDescent="0.35">
      <c r="A2" s="33" t="s">
        <v>0</v>
      </c>
      <c r="B2" s="33"/>
      <c r="C2" s="33"/>
      <c r="D2" s="33"/>
      <c r="F2" s="16" t="s">
        <v>1</v>
      </c>
    </row>
    <row r="3" spans="1:9" x14ac:dyDescent="0.35">
      <c r="A3" s="17">
        <v>0.1</v>
      </c>
      <c r="B3" s="17">
        <v>0.01</v>
      </c>
      <c r="C3" s="17">
        <v>0.03</v>
      </c>
      <c r="D3" s="17">
        <v>0.05</v>
      </c>
      <c r="F3" s="18">
        <v>0.06</v>
      </c>
      <c r="H3" s="19"/>
      <c r="I3" s="18"/>
    </row>
    <row r="4" spans="1:9" x14ac:dyDescent="0.35">
      <c r="A4" s="17">
        <v>0.01</v>
      </c>
      <c r="B4" s="17">
        <v>0.3</v>
      </c>
      <c r="C4" s="17">
        <v>0.06</v>
      </c>
      <c r="D4" s="17">
        <v>-0.04</v>
      </c>
      <c r="F4" s="18">
        <v>0.08</v>
      </c>
      <c r="H4" s="19"/>
      <c r="I4" s="18"/>
    </row>
    <row r="5" spans="1:9" x14ac:dyDescent="0.35">
      <c r="A5" s="17">
        <v>0.03</v>
      </c>
      <c r="B5" s="17">
        <v>0.06</v>
      </c>
      <c r="C5" s="17">
        <v>0.4</v>
      </c>
      <c r="D5" s="17">
        <v>0.02</v>
      </c>
      <c r="F5" s="18">
        <v>0.1</v>
      </c>
      <c r="H5" s="19"/>
      <c r="I5" s="18"/>
    </row>
    <row r="6" spans="1:9" x14ac:dyDescent="0.35">
      <c r="A6" s="17">
        <v>0.05</v>
      </c>
      <c r="B6" s="17">
        <v>-0.04</v>
      </c>
      <c r="C6" s="17">
        <v>0.02</v>
      </c>
      <c r="D6" s="17">
        <v>0.5</v>
      </c>
      <c r="F6" s="18">
        <v>0.15</v>
      </c>
      <c r="H6" s="19"/>
      <c r="I6" s="19"/>
    </row>
    <row r="8" spans="1:9" x14ac:dyDescent="0.35">
      <c r="A8" s="15" t="s">
        <v>35</v>
      </c>
      <c r="B8" s="18">
        <v>0.03</v>
      </c>
      <c r="C8" s="18">
        <v>0.15</v>
      </c>
    </row>
    <row r="9" spans="1:9" x14ac:dyDescent="0.35">
      <c r="A9" s="20"/>
      <c r="B9" s="15" t="s">
        <v>2</v>
      </c>
      <c r="C9" s="15" t="s">
        <v>3</v>
      </c>
    </row>
    <row r="10" spans="1:9" x14ac:dyDescent="0.35">
      <c r="A10" s="15" t="s">
        <v>36</v>
      </c>
      <c r="B10" s="21">
        <f t="array" ref="B10:B13">MMULT(MINVERSE($A$3:$D$6),$F$3:$F$6-B8)/SUM(MMULT(MINVERSE($A$3:$D$6),$F$3:$F$6-B8))</f>
        <v>0.19242009132420088</v>
      </c>
      <c r="C10" s="21">
        <f t="array" ref="C10:C13">MMULT(MINVERSE($A$3:$D$6),$F$3:$F$6-C8)/SUM(MMULT(MINVERSE($A$3:$D$6),$F$3:$F$6-C8))</f>
        <v>0.8655849358974359</v>
      </c>
      <c r="E10" s="22"/>
      <c r="F10" s="22"/>
    </row>
    <row r="11" spans="1:9" x14ac:dyDescent="0.35">
      <c r="A11" s="15" t="s">
        <v>37</v>
      </c>
      <c r="B11" s="21">
        <v>0.25513698630136994</v>
      </c>
      <c r="C11" s="21">
        <v>0.1769831730769231</v>
      </c>
      <c r="E11" s="22"/>
      <c r="F11" s="22"/>
    </row>
    <row r="12" spans="1:9" x14ac:dyDescent="0.35">
      <c r="A12" s="15" t="s">
        <v>38</v>
      </c>
      <c r="B12" s="21">
        <v>0.19493721461187216</v>
      </c>
      <c r="C12" s="21">
        <v>3.1074719551282052E-2</v>
      </c>
      <c r="E12" s="22"/>
      <c r="F12" s="22"/>
    </row>
    <row r="13" spans="1:9" x14ac:dyDescent="0.35">
      <c r="A13" s="15" t="s">
        <v>39</v>
      </c>
      <c r="B13" s="21">
        <v>0.35750570776255702</v>
      </c>
      <c r="C13" s="21">
        <v>-7.3642828525641052E-2</v>
      </c>
      <c r="E13" s="22"/>
      <c r="F13" s="22"/>
    </row>
    <row r="14" spans="1:9" x14ac:dyDescent="0.35">
      <c r="E14" s="22"/>
      <c r="F14" s="22"/>
    </row>
    <row r="15" spans="1:9" x14ac:dyDescent="0.35">
      <c r="A15" s="15" t="s">
        <v>5</v>
      </c>
      <c r="B15" s="21">
        <f>SUMPRODUCT(B10:B13,$F$3:$F$6)</f>
        <v>0.10507574200913242</v>
      </c>
      <c r="C15" s="21">
        <f>SUMPRODUCT(C10:C13,$F$3:$F$6)</f>
        <v>5.8154797676282052E-2</v>
      </c>
    </row>
    <row r="16" spans="1:9" x14ac:dyDescent="0.35">
      <c r="A16" s="15" t="s">
        <v>6</v>
      </c>
      <c r="B16" s="21">
        <f t="array" ref="B16">MMULT(MMULT(TRANSPOSE(B10:B13),$A$3:$D$6),B10:B13)</f>
        <v>0.11390686980241758</v>
      </c>
      <c r="C16" s="21">
        <f t="array" ref="C16">MMULT(MMULT(TRANSPOSE(C10:C13),$A$3:$D$6),C10:C13)</f>
        <v>8.7332975586960779E-2</v>
      </c>
    </row>
    <row r="17" spans="1:3" x14ac:dyDescent="0.35">
      <c r="A17" s="15" t="s">
        <v>13</v>
      </c>
      <c r="B17" s="21">
        <f>SQRT(B16)</f>
        <v>0.33750091822455475</v>
      </c>
      <c r="C17" s="21">
        <f>SQRT(C16)</f>
        <v>0.2955215315115986</v>
      </c>
    </row>
    <row r="18" spans="1:3" x14ac:dyDescent="0.35">
      <c r="A18" s="15" t="s">
        <v>40</v>
      </c>
      <c r="B18" s="21">
        <f t="array" ref="B18">MMULT(MMULT(TRANSPOSE(B10:B13),A3:D6),C10:C13)</f>
        <v>4.271719183055904E-2</v>
      </c>
      <c r="C18" s="21"/>
    </row>
    <row r="20" spans="1:3" x14ac:dyDescent="0.35">
      <c r="A20" s="15" t="s">
        <v>2</v>
      </c>
      <c r="B20" s="18">
        <v>0.5</v>
      </c>
    </row>
    <row r="21" spans="1:3" x14ac:dyDescent="0.35">
      <c r="A21" s="15" t="s">
        <v>5</v>
      </c>
      <c r="B21" s="24">
        <f>B20*B15+(1-B20)*C15</f>
        <v>8.1615269842707228E-2</v>
      </c>
    </row>
    <row r="22" spans="1:3" x14ac:dyDescent="0.35">
      <c r="A22" s="15" t="s">
        <v>6</v>
      </c>
      <c r="B22" s="25">
        <f>B20^2*B16+(1-B20)^2*C16+2*B20*(1-B20)*B18</f>
        <v>7.1668557262624111E-2</v>
      </c>
    </row>
    <row r="23" spans="1:3" x14ac:dyDescent="0.35">
      <c r="A23" s="15" t="s">
        <v>13</v>
      </c>
      <c r="B23" s="25">
        <f>SQRT(B22)</f>
        <v>0.26770983781442198</v>
      </c>
    </row>
    <row r="25" spans="1:3" x14ac:dyDescent="0.35">
      <c r="B25" s="15" t="s">
        <v>13</v>
      </c>
      <c r="C25" s="15" t="s">
        <v>5</v>
      </c>
    </row>
    <row r="26" spans="1:3" x14ac:dyDescent="0.35">
      <c r="B26" s="21">
        <f>B23</f>
        <v>0.26770983781442198</v>
      </c>
      <c r="C26" s="23">
        <f>B21</f>
        <v>8.1615269842707228E-2</v>
      </c>
    </row>
    <row r="27" spans="1:3" x14ac:dyDescent="0.35">
      <c r="A27" s="18">
        <v>-2</v>
      </c>
      <c r="B27" s="25">
        <f t="dataTable" ref="B27:C42" dt2D="0" dtr="0" r1="B20"/>
        <v>0.85382548423293669</v>
      </c>
      <c r="C27" s="25">
        <v>-3.5687090989418691E-2</v>
      </c>
    </row>
    <row r="28" spans="1:3" x14ac:dyDescent="0.35">
      <c r="A28" s="18">
        <v>-1.7</v>
      </c>
      <c r="B28" s="25">
        <v>0.75743278563407779</v>
      </c>
      <c r="C28" s="25">
        <v>-2.1610807689563555E-2</v>
      </c>
    </row>
    <row r="29" spans="1:3" x14ac:dyDescent="0.35">
      <c r="A29" s="18">
        <v>-1.4</v>
      </c>
      <c r="B29" s="25">
        <v>0.6627487269639043</v>
      </c>
      <c r="C29" s="25">
        <v>-7.5345243897084468E-3</v>
      </c>
    </row>
    <row r="30" spans="1:3" x14ac:dyDescent="0.35">
      <c r="A30" s="18">
        <v>-1.1000000000000001</v>
      </c>
      <c r="B30" s="25">
        <v>0.57062448996011339</v>
      </c>
      <c r="C30" s="25">
        <v>6.5417589101466472E-3</v>
      </c>
    </row>
    <row r="31" spans="1:3" x14ac:dyDescent="0.35">
      <c r="A31" s="18">
        <v>-0.8</v>
      </c>
      <c r="B31" s="25">
        <v>0.48252847076964295</v>
      </c>
      <c r="C31" s="25">
        <v>2.0618042210001755E-2</v>
      </c>
    </row>
    <row r="32" spans="1:3" x14ac:dyDescent="0.35">
      <c r="A32" s="18">
        <v>-0.5</v>
      </c>
      <c r="B32" s="25">
        <v>0.40112357793506426</v>
      </c>
      <c r="C32" s="25">
        <v>3.4694325509856863E-2</v>
      </c>
    </row>
    <row r="33" spans="1:3" x14ac:dyDescent="0.35">
      <c r="A33" s="18">
        <v>-0.2</v>
      </c>
      <c r="B33" s="25">
        <v>0.33137819415080988</v>
      </c>
      <c r="C33" s="25">
        <v>4.8770608809711971E-2</v>
      </c>
    </row>
    <row r="34" spans="1:3" x14ac:dyDescent="0.35">
      <c r="A34" s="18">
        <v>0.1</v>
      </c>
      <c r="B34" s="25">
        <v>0.282077779084002</v>
      </c>
      <c r="C34" s="25">
        <v>6.2846892109567093E-2</v>
      </c>
    </row>
    <row r="35" spans="1:3" x14ac:dyDescent="0.35">
      <c r="A35" s="18">
        <v>0.4</v>
      </c>
      <c r="B35" s="25">
        <v>0.2648947384497492</v>
      </c>
      <c r="C35" s="25">
        <v>7.6923175409422201E-2</v>
      </c>
    </row>
    <row r="36" spans="1:3" x14ac:dyDescent="0.35">
      <c r="A36" s="18">
        <v>0.7</v>
      </c>
      <c r="B36" s="25">
        <v>0.28568436179610157</v>
      </c>
      <c r="C36" s="25">
        <v>9.0999458709277295E-2</v>
      </c>
    </row>
    <row r="37" spans="1:3" x14ac:dyDescent="0.35">
      <c r="A37" s="18">
        <v>1</v>
      </c>
      <c r="B37" s="25">
        <v>0.33750091822455475</v>
      </c>
      <c r="C37" s="25">
        <v>0.10507574200913242</v>
      </c>
    </row>
    <row r="38" spans="1:3" x14ac:dyDescent="0.35">
      <c r="A38" s="18">
        <v>1.3</v>
      </c>
      <c r="B38" s="25">
        <v>0.4087091485898941</v>
      </c>
      <c r="C38" s="25">
        <v>0.11915202530898752</v>
      </c>
    </row>
    <row r="39" spans="1:3" x14ac:dyDescent="0.35">
      <c r="A39" s="18">
        <v>1.6</v>
      </c>
      <c r="B39" s="25">
        <v>0.49094240964783392</v>
      </c>
      <c r="C39" s="25">
        <v>0.13322830860884266</v>
      </c>
    </row>
    <row r="40" spans="1:3" x14ac:dyDescent="0.35">
      <c r="A40" s="18">
        <v>1.9</v>
      </c>
      <c r="B40" s="25">
        <v>0.57952628426297781</v>
      </c>
      <c r="C40" s="25">
        <v>0.14730459190869774</v>
      </c>
    </row>
    <row r="41" spans="1:3" x14ac:dyDescent="0.35">
      <c r="A41" s="18">
        <v>2.2000000000000002</v>
      </c>
      <c r="B41" s="25">
        <v>0.67195383905709849</v>
      </c>
      <c r="C41" s="25">
        <v>0.16138087520855288</v>
      </c>
    </row>
    <row r="42" spans="1:3" x14ac:dyDescent="0.35">
      <c r="A42" s="18">
        <v>2.5</v>
      </c>
      <c r="B42" s="25">
        <v>0.7668364836173216</v>
      </c>
      <c r="C42" s="25">
        <v>0.17545715850840796</v>
      </c>
    </row>
  </sheetData>
  <mergeCells count="1">
    <mergeCell ref="A2:D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63D5E-4F95-4CA7-962E-4A845DF8671F}">
  <dimension ref="A2:L58"/>
  <sheetViews>
    <sheetView topLeftCell="A9" workbookViewId="0">
      <selection activeCell="I30" sqref="I30"/>
    </sheetView>
  </sheetViews>
  <sheetFormatPr defaultRowHeight="14.5" x14ac:dyDescent="0.35"/>
  <cols>
    <col min="1" max="1" width="10.08984375" style="15" bestFit="1" customWidth="1"/>
    <col min="2" max="2" width="9.08984375" style="15" customWidth="1"/>
    <col min="3" max="11" width="8.7265625" style="15"/>
    <col min="12" max="12" width="8.7265625" style="15" customWidth="1"/>
    <col min="13" max="16384" width="8.7265625" style="15"/>
  </cols>
  <sheetData>
    <row r="2" spans="1:9" ht="29" x14ac:dyDescent="0.35">
      <c r="A2" s="33" t="s">
        <v>0</v>
      </c>
      <c r="B2" s="33"/>
      <c r="C2" s="33"/>
      <c r="D2" s="33"/>
      <c r="F2" s="16" t="s">
        <v>1</v>
      </c>
    </row>
    <row r="3" spans="1:9" x14ac:dyDescent="0.35">
      <c r="A3" s="17">
        <v>0.1</v>
      </c>
      <c r="B3" s="17">
        <v>0.01</v>
      </c>
      <c r="C3" s="17">
        <v>0.03</v>
      </c>
      <c r="D3" s="17">
        <v>0.05</v>
      </c>
      <c r="F3" s="18">
        <v>0.06</v>
      </c>
      <c r="H3" s="19"/>
      <c r="I3" s="18"/>
    </row>
    <row r="4" spans="1:9" x14ac:dyDescent="0.35">
      <c r="A4" s="17">
        <v>0.01</v>
      </c>
      <c r="B4" s="17">
        <v>0.3</v>
      </c>
      <c r="C4" s="17">
        <v>0.06</v>
      </c>
      <c r="D4" s="17">
        <v>-0.04</v>
      </c>
      <c r="F4" s="18">
        <v>0.08</v>
      </c>
      <c r="H4" s="19"/>
      <c r="I4" s="18"/>
    </row>
    <row r="5" spans="1:9" x14ac:dyDescent="0.35">
      <c r="A5" s="17">
        <v>0.03</v>
      </c>
      <c r="B5" s="17">
        <v>0.06</v>
      </c>
      <c r="C5" s="17">
        <v>0.4</v>
      </c>
      <c r="D5" s="17">
        <v>0.02</v>
      </c>
      <c r="F5" s="18">
        <v>0.1</v>
      </c>
      <c r="H5" s="19"/>
      <c r="I5" s="18"/>
    </row>
    <row r="6" spans="1:9" x14ac:dyDescent="0.35">
      <c r="A6" s="17">
        <v>0.05</v>
      </c>
      <c r="B6" s="17">
        <v>-0.04</v>
      </c>
      <c r="C6" s="17">
        <v>0.02</v>
      </c>
      <c r="D6" s="17">
        <v>0.5</v>
      </c>
      <c r="F6" s="18">
        <v>0.15</v>
      </c>
      <c r="H6" s="19"/>
      <c r="I6" s="19"/>
    </row>
    <row r="8" spans="1:9" x14ac:dyDescent="0.35">
      <c r="A8" s="28" t="s">
        <v>35</v>
      </c>
      <c r="B8" s="29">
        <v>0.02</v>
      </c>
      <c r="C8" s="18"/>
    </row>
    <row r="9" spans="1:9" x14ac:dyDescent="0.35">
      <c r="A9" s="20"/>
      <c r="B9" s="15" t="s">
        <v>41</v>
      </c>
      <c r="C9" s="15" t="s">
        <v>3</v>
      </c>
    </row>
    <row r="10" spans="1:9" x14ac:dyDescent="0.35">
      <c r="A10" s="15" t="s">
        <v>36</v>
      </c>
      <c r="B10" s="21">
        <f t="array" ref="B10:B13">MMULT(MINVERSE($A$3:$D$6),$F$3:$F$6-B8)/SUM(MMULT(MINVERSE($A$3:$D$6),$F$3:$F$6-B8))</f>
        <v>0.26601156286368571</v>
      </c>
      <c r="C10" s="21">
        <f t="array" ref="C10:C13">MMULT(MINVERSE($A$3:$D$6),$F$3:$F$6-C8)/SUM(MMULT(MINVERSE($A$3:$D$6),$F$3:$F$6-C8))</f>
        <v>0.35527263160809713</v>
      </c>
      <c r="E10" s="22"/>
      <c r="F10" s="22"/>
    </row>
    <row r="11" spans="1:9" x14ac:dyDescent="0.35">
      <c r="A11" s="15" t="s">
        <v>37</v>
      </c>
      <c r="B11" s="21">
        <v>0.24659308480684772</v>
      </c>
      <c r="C11" s="21">
        <v>0.23622995763063889</v>
      </c>
      <c r="E11" s="22"/>
      <c r="F11" s="22"/>
    </row>
    <row r="12" spans="1:9" x14ac:dyDescent="0.35">
      <c r="A12" s="15" t="s">
        <v>38</v>
      </c>
      <c r="B12" s="21">
        <v>0.17702350114502388</v>
      </c>
      <c r="C12" s="21">
        <v>0.15529547783223951</v>
      </c>
      <c r="E12" s="22"/>
      <c r="F12" s="22"/>
    </row>
    <row r="13" spans="1:9" x14ac:dyDescent="0.35">
      <c r="A13" s="15" t="s">
        <v>39</v>
      </c>
      <c r="B13" s="21">
        <v>0.31037185118444283</v>
      </c>
      <c r="C13" s="21">
        <v>0.25320193292902443</v>
      </c>
      <c r="E13" s="22"/>
      <c r="F13" s="22"/>
    </row>
    <row r="14" spans="1:9" x14ac:dyDescent="0.35">
      <c r="B14" s="21"/>
      <c r="C14" s="21"/>
      <c r="E14" s="22"/>
      <c r="F14" s="22"/>
    </row>
    <row r="15" spans="1:9" x14ac:dyDescent="0.35">
      <c r="B15" s="15" t="s">
        <v>2</v>
      </c>
      <c r="C15" s="21" t="s">
        <v>3</v>
      </c>
      <c r="D15" s="15" t="s">
        <v>45</v>
      </c>
      <c r="E15" s="21" t="s">
        <v>46</v>
      </c>
      <c r="F15" s="15" t="s">
        <v>47</v>
      </c>
      <c r="G15" s="21" t="s">
        <v>48</v>
      </c>
      <c r="H15" s="15" t="s">
        <v>49</v>
      </c>
      <c r="I15" s="21" t="s">
        <v>50</v>
      </c>
    </row>
    <row r="16" spans="1:9" customFormat="1" x14ac:dyDescent="0.35">
      <c r="A16" s="15"/>
      <c r="B16" s="14">
        <v>1</v>
      </c>
      <c r="C16" s="14">
        <v>0</v>
      </c>
      <c r="D16" s="14">
        <v>0.25</v>
      </c>
      <c r="E16" s="14">
        <v>0.3</v>
      </c>
      <c r="F16" s="14">
        <v>0.2</v>
      </c>
      <c r="G16" s="14">
        <v>0</v>
      </c>
      <c r="H16" s="14">
        <v>0</v>
      </c>
      <c r="I16" s="14">
        <v>0</v>
      </c>
    </row>
    <row r="17" spans="1:12" customFormat="1" x14ac:dyDescent="0.35">
      <c r="A17" s="15"/>
      <c r="B17" s="14">
        <v>0</v>
      </c>
      <c r="C17" s="14">
        <v>1</v>
      </c>
      <c r="D17" s="14">
        <v>0.25</v>
      </c>
      <c r="E17" s="14">
        <v>0.6</v>
      </c>
      <c r="F17" s="14">
        <v>0.4</v>
      </c>
      <c r="G17" s="14">
        <v>1.26</v>
      </c>
      <c r="H17" s="14">
        <v>0</v>
      </c>
      <c r="I17" s="14">
        <v>0</v>
      </c>
    </row>
    <row r="18" spans="1:12" customFormat="1" x14ac:dyDescent="0.35">
      <c r="A18" s="15"/>
      <c r="B18" s="14">
        <v>0</v>
      </c>
      <c r="C18" s="14">
        <v>0</v>
      </c>
      <c r="D18" s="14">
        <v>0.25</v>
      </c>
      <c r="E18" s="14">
        <v>0.8</v>
      </c>
      <c r="F18" s="14">
        <v>-1.45</v>
      </c>
      <c r="G18" s="14">
        <v>0.6</v>
      </c>
      <c r="H18" s="14">
        <v>0</v>
      </c>
      <c r="I18" s="14">
        <v>1</v>
      </c>
    </row>
    <row r="19" spans="1:12" customFormat="1" x14ac:dyDescent="0.35">
      <c r="A19" s="15"/>
      <c r="B19" s="14">
        <v>0</v>
      </c>
      <c r="C19" s="14">
        <v>0</v>
      </c>
      <c r="D19" s="14">
        <f t="shared" ref="D19:I19" si="0">1-SUM(D16:D18)</f>
        <v>0.25</v>
      </c>
      <c r="E19" s="14">
        <f t="shared" si="0"/>
        <v>-0.7</v>
      </c>
      <c r="F19" s="14">
        <f t="shared" si="0"/>
        <v>1.8499999999999999</v>
      </c>
      <c r="G19" s="14">
        <f t="shared" si="0"/>
        <v>-0.85999999999999988</v>
      </c>
      <c r="H19" s="14">
        <f t="shared" si="0"/>
        <v>1</v>
      </c>
      <c r="I19" s="14">
        <f t="shared" si="0"/>
        <v>0</v>
      </c>
    </row>
    <row r="20" spans="1:12" customFormat="1" x14ac:dyDescent="0.35"/>
    <row r="21" spans="1:12" customFormat="1" x14ac:dyDescent="0.35">
      <c r="A21" t="s">
        <v>42</v>
      </c>
      <c r="B21" s="10">
        <f t="array" ref="B21">MMULT(MMULT(TRANSPOSE($B$10:$B$13),$A$3:$D$6),B16:B19)</f>
        <v>4.9896384728009904E-2</v>
      </c>
      <c r="C21" s="10">
        <f t="array" ref="C21">MMULT(MMULT(TRANSPOSE($B$10:$B$13),$A$3:$D$6),C16:C19)</f>
        <v>7.4844577092014877E-2</v>
      </c>
      <c r="D21" s="10">
        <f t="array" ref="D21">MMULT(MMULT(TRANSPOSE($B$10:$B$13),$A$3:$D$6),D16:D19)</f>
        <v>9.6674245410519222E-2</v>
      </c>
      <c r="E21" s="10">
        <f t="array" ref="E21">MMULT(MMULT(TRANSPOSE($B$10:$B$13),$A$3:$D$6),E16:E19)</f>
        <v>2.6195601982205205E-2</v>
      </c>
      <c r="F21" s="10">
        <f t="array" ref="F21">MMULT(MMULT(TRANSPOSE($B$10:$B$13),$A$3:$D$6),F16:F19)</f>
        <v>0.19521960524833887</v>
      </c>
      <c r="G21" s="10">
        <f t="array" ref="G21">MMULT(MMULT(TRANSPOSE($B$10:$B$13),$A$3:$D$6),G16:G19)</f>
        <v>1.4719433494762901E-2</v>
      </c>
      <c r="H21" s="10">
        <f t="array" ref="H21">MMULT(MMULT(TRANSPOSE($B$10:$B$13),$A$3:$D$6),H16:H19)</f>
        <v>0.16216325036603227</v>
      </c>
      <c r="I21" s="10">
        <f t="array" ref="I21">MMULT(MMULT(TRANSPOSE($B$10:$B$13),$A$3:$D$6),I16:I19)</f>
        <v>9.979276945601985E-2</v>
      </c>
    </row>
    <row r="22" spans="1:12" customFormat="1" x14ac:dyDescent="0.35">
      <c r="A22" t="s">
        <v>43</v>
      </c>
      <c r="B22" s="5">
        <f t="array" ref="B22">MMULT(MMULT(TRANSPOSE($B$10:$B$13),$A$3:$D$6),$B$10:$B$13)</f>
        <v>9.972574407718407E-2</v>
      </c>
      <c r="C22" s="10">
        <f>B22</f>
        <v>9.972574407718407E-2</v>
      </c>
      <c r="D22" s="10">
        <f t="shared" ref="D22:I22" si="1">C22</f>
        <v>9.972574407718407E-2</v>
      </c>
      <c r="E22" s="10">
        <f t="shared" si="1"/>
        <v>9.972574407718407E-2</v>
      </c>
      <c r="F22" s="10">
        <f t="shared" si="1"/>
        <v>9.972574407718407E-2</v>
      </c>
      <c r="G22" s="10">
        <f t="shared" si="1"/>
        <v>9.972574407718407E-2</v>
      </c>
      <c r="H22" s="10">
        <f t="shared" si="1"/>
        <v>9.972574407718407E-2</v>
      </c>
      <c r="I22" s="10">
        <f t="shared" si="1"/>
        <v>9.972574407718407E-2</v>
      </c>
    </row>
    <row r="23" spans="1:12" x14ac:dyDescent="0.35">
      <c r="A23" s="15" t="s">
        <v>32</v>
      </c>
      <c r="B23" s="26">
        <f>B21/B22</f>
        <v>0.50033604852716795</v>
      </c>
      <c r="C23" s="26">
        <f t="shared" ref="C23" si="2">C21/C22</f>
        <v>0.75050407279075215</v>
      </c>
      <c r="D23" s="26">
        <f t="shared" ref="D23" si="3">D21/D22</f>
        <v>0.9694010940213883</v>
      </c>
      <c r="E23" s="26">
        <f t="shared" ref="E23" si="4">E21/E22</f>
        <v>0.26267642547676323</v>
      </c>
      <c r="F23" s="26">
        <f t="shared" ref="F23" si="5">F21/F22</f>
        <v>1.9575647898625459</v>
      </c>
      <c r="G23" s="26">
        <f t="shared" ref="G23" si="6">G21/G22</f>
        <v>0.14759913431551436</v>
      </c>
      <c r="H23" s="26">
        <f t="shared" ref="H23" si="7">H21/H22</f>
        <v>1.6260921577132967</v>
      </c>
      <c r="I23" s="26">
        <f t="shared" ref="I23" si="8">I21/I22</f>
        <v>1.0006720970543364</v>
      </c>
      <c r="J23" s="26"/>
      <c r="K23" s="26"/>
      <c r="L23" s="26"/>
    </row>
    <row r="24" spans="1:12" x14ac:dyDescent="0.35">
      <c r="A24" s="15" t="s">
        <v>44</v>
      </c>
      <c r="B24" s="21">
        <f>SUMPRODUCT(B16:B19,$F$3:$F$6)</f>
        <v>0.06</v>
      </c>
      <c r="C24" s="21">
        <f>SUMPRODUCT(C16:C19,$F$3:$F$6)</f>
        <v>0.08</v>
      </c>
      <c r="D24" s="21">
        <f t="shared" ref="D24:I24" si="9">SUMPRODUCT(D16:D19,$F$3:$F$6)</f>
        <v>9.7500000000000003E-2</v>
      </c>
      <c r="E24" s="21">
        <f t="shared" si="9"/>
        <v>4.1000000000000023E-2</v>
      </c>
      <c r="F24" s="21">
        <f t="shared" si="9"/>
        <v>0.17649999999999999</v>
      </c>
      <c r="G24" s="21">
        <f t="shared" si="9"/>
        <v>3.1800000000000023E-2</v>
      </c>
      <c r="H24" s="21">
        <f t="shared" si="9"/>
        <v>0.15</v>
      </c>
      <c r="I24" s="21">
        <f t="shared" si="9"/>
        <v>0.1</v>
      </c>
      <c r="J24" s="21"/>
      <c r="K24" s="21"/>
      <c r="L24" s="21"/>
    </row>
    <row r="25" spans="1:12" x14ac:dyDescent="0.35">
      <c r="B25" s="21"/>
      <c r="C25" s="21"/>
      <c r="E25" s="22"/>
      <c r="F25" s="22"/>
    </row>
    <row r="26" spans="1:12" x14ac:dyDescent="0.35">
      <c r="A26" s="15" t="s">
        <v>51</v>
      </c>
      <c r="B26" s="21"/>
      <c r="C26" s="21"/>
      <c r="E26" s="22"/>
      <c r="F26" s="22"/>
    </row>
    <row r="27" spans="1:12" x14ac:dyDescent="0.35">
      <c r="A27" s="28" t="s">
        <v>52</v>
      </c>
      <c r="B27" s="30">
        <f>INTERCEPT(B24:I24,B23:I23)</f>
        <v>2.0000000000000046E-2</v>
      </c>
      <c r="C27" s="21" t="str">
        <f ca="1">_xlfn.FORMULATEXT(B27)</f>
        <v>=INTERCEPT(B24:I24,B23:I23)</v>
      </c>
      <c r="E27" s="22"/>
      <c r="F27" s="22"/>
    </row>
    <row r="28" spans="1:12" x14ac:dyDescent="0.35">
      <c r="A28" s="15" t="s">
        <v>53</v>
      </c>
      <c r="B28" s="27">
        <f>SLOPE(B24:I24,B23:I23)</f>
        <v>7.9946268348537727E-2</v>
      </c>
      <c r="C28" s="21"/>
      <c r="E28" s="22"/>
      <c r="F28" s="22"/>
    </row>
    <row r="29" spans="1:12" x14ac:dyDescent="0.35">
      <c r="A29" s="15" t="s">
        <v>33</v>
      </c>
      <c r="B29" s="27">
        <f>RSQ(B24:I24,B23:I23)</f>
        <v>0.99999999999999956</v>
      </c>
      <c r="C29" s="21"/>
      <c r="E29" s="22"/>
      <c r="F29" s="22"/>
    </row>
    <row r="30" spans="1:12" x14ac:dyDescent="0.35">
      <c r="E30" s="22"/>
      <c r="F30" s="22"/>
    </row>
    <row r="31" spans="1:12" x14ac:dyDescent="0.35">
      <c r="B31" s="22">
        <f>SUMPRODUCT(B10:B13,F3:F6)-B8</f>
        <v>7.9946268348537755E-2</v>
      </c>
      <c r="C31" s="21"/>
    </row>
    <row r="32" spans="1:12" x14ac:dyDescent="0.35">
      <c r="B32" s="21"/>
      <c r="C32" s="21"/>
    </row>
    <row r="33" spans="1:3" x14ac:dyDescent="0.35">
      <c r="B33" s="21"/>
      <c r="C33" s="21"/>
    </row>
    <row r="34" spans="1:3" x14ac:dyDescent="0.35">
      <c r="B34" s="21"/>
      <c r="C34" s="21"/>
    </row>
    <row r="36" spans="1:3" x14ac:dyDescent="0.35">
      <c r="B36" s="18"/>
    </row>
    <row r="37" spans="1:3" x14ac:dyDescent="0.35">
      <c r="B37" s="24"/>
    </row>
    <row r="38" spans="1:3" x14ac:dyDescent="0.35">
      <c r="B38" s="25"/>
    </row>
    <row r="39" spans="1:3" x14ac:dyDescent="0.35">
      <c r="B39" s="25"/>
    </row>
    <row r="42" spans="1:3" x14ac:dyDescent="0.35">
      <c r="B42" s="21"/>
      <c r="C42" s="23"/>
    </row>
    <row r="43" spans="1:3" x14ac:dyDescent="0.35">
      <c r="A43" s="18"/>
      <c r="B43" s="25"/>
      <c r="C43" s="25"/>
    </row>
    <row r="44" spans="1:3" x14ac:dyDescent="0.35">
      <c r="A44" s="18"/>
      <c r="B44" s="25"/>
      <c r="C44" s="25"/>
    </row>
    <row r="45" spans="1:3" x14ac:dyDescent="0.35">
      <c r="A45" s="18"/>
      <c r="B45" s="25"/>
      <c r="C45" s="25"/>
    </row>
    <row r="46" spans="1:3" x14ac:dyDescent="0.35">
      <c r="A46" s="18"/>
      <c r="B46" s="25"/>
      <c r="C46" s="25"/>
    </row>
    <row r="47" spans="1:3" x14ac:dyDescent="0.35">
      <c r="A47" s="18"/>
      <c r="B47" s="25"/>
      <c r="C47" s="25"/>
    </row>
    <row r="48" spans="1:3" x14ac:dyDescent="0.35">
      <c r="A48" s="18"/>
      <c r="B48" s="25"/>
      <c r="C48" s="25"/>
    </row>
    <row r="49" spans="1:3" x14ac:dyDescent="0.35">
      <c r="A49" s="18"/>
      <c r="B49" s="25"/>
      <c r="C49" s="25"/>
    </row>
    <row r="50" spans="1:3" x14ac:dyDescent="0.35">
      <c r="A50" s="18"/>
      <c r="B50" s="25"/>
      <c r="C50" s="25"/>
    </row>
    <row r="51" spans="1:3" x14ac:dyDescent="0.35">
      <c r="A51" s="18"/>
      <c r="B51" s="25"/>
      <c r="C51" s="25"/>
    </row>
    <row r="52" spans="1:3" x14ac:dyDescent="0.35">
      <c r="A52" s="18"/>
      <c r="B52" s="25"/>
      <c r="C52" s="25"/>
    </row>
    <row r="53" spans="1:3" x14ac:dyDescent="0.35">
      <c r="A53" s="18"/>
      <c r="B53" s="25"/>
      <c r="C53" s="25"/>
    </row>
    <row r="54" spans="1:3" x14ac:dyDescent="0.35">
      <c r="A54" s="18"/>
      <c r="B54" s="25"/>
      <c r="C54" s="25"/>
    </row>
    <row r="55" spans="1:3" x14ac:dyDescent="0.35">
      <c r="A55" s="18"/>
      <c r="B55" s="25"/>
      <c r="C55" s="25"/>
    </row>
    <row r="56" spans="1:3" x14ac:dyDescent="0.35">
      <c r="A56" s="18"/>
      <c r="B56" s="25"/>
      <c r="C56" s="25"/>
    </row>
    <row r="57" spans="1:3" x14ac:dyDescent="0.35">
      <c r="A57" s="18"/>
      <c r="B57" s="25"/>
      <c r="C57" s="25"/>
    </row>
    <row r="58" spans="1:3" x14ac:dyDescent="0.35">
      <c r="A58" s="18"/>
      <c r="B58" s="25"/>
      <c r="C58" s="25"/>
    </row>
  </sheetData>
  <mergeCells count="1">
    <mergeCell ref="A2:D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E5757-A47D-4843-8FFC-C4F924130D9F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VarCov</vt:lpstr>
      <vt:lpstr>COMPUTING RETURNS AND BETAS</vt:lpstr>
      <vt:lpstr>Data</vt:lpstr>
      <vt:lpstr>Prop 1 and  2</vt:lpstr>
      <vt:lpstr>Prop 3</vt:lpstr>
      <vt:lpstr>Sheet1</vt:lpstr>
      <vt:lpstr>mean</vt:lpstr>
      <vt:lpstr>Port1</vt:lpstr>
      <vt:lpstr>Port2</vt:lpstr>
      <vt:lpstr>VarCor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2019-04-24T02:06:15Z</dcterms:modified>
</cp:coreProperties>
</file>