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26A9A48-9C07-48C9-A83D-A290964D36FD}" xr6:coauthVersionLast="45" xr6:coauthVersionMax="45" xr10:uidLastSave="{00000000-0000-0000-0000-000000000000}"/>
  <bookViews>
    <workbookView xWindow="-120" yWindow="-120" windowWidth="29040" windowHeight="15840" xr2:uid="{2158B198-FF3D-4A1A-B0F0-C66F865C6F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2" i="1" l="1"/>
  <c r="Q43" i="1"/>
  <c r="R43" i="1"/>
  <c r="Q44" i="1"/>
  <c r="R44" i="1"/>
  <c r="Q45" i="1"/>
  <c r="R45" i="1"/>
  <c r="R42" i="1"/>
  <c r="Q42" i="1"/>
  <c r="K30" i="1"/>
  <c r="K29" i="1"/>
  <c r="K28" i="1"/>
  <c r="K27" i="1"/>
  <c r="Q38" i="1"/>
  <c r="Y18" i="1"/>
  <c r="Q37" i="1"/>
  <c r="Q36" i="1"/>
  <c r="Q35" i="1"/>
  <c r="Q34" i="1"/>
  <c r="V48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27" i="1"/>
  <c r="Q27" i="1" a="1"/>
  <c r="Q27" i="1" s="1"/>
  <c r="J38" i="1"/>
  <c r="J37" i="1"/>
  <c r="J35" i="1"/>
  <c r="J34" i="1"/>
  <c r="N48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7" i="1"/>
  <c r="M48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7" i="1"/>
  <c r="J27" i="1" a="1"/>
  <c r="J27" i="1" s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7" i="1"/>
  <c r="T28" i="1" l="1"/>
  <c r="R30" i="1"/>
  <c r="S30" i="1"/>
  <c r="R28" i="1"/>
  <c r="Q28" i="1"/>
  <c r="T29" i="1"/>
  <c r="S29" i="1"/>
  <c r="R29" i="1"/>
  <c r="R27" i="1"/>
  <c r="T30" i="1"/>
  <c r="S28" i="1"/>
  <c r="Q30" i="1"/>
  <c r="T27" i="1"/>
  <c r="S27" i="1"/>
  <c r="Q29" i="1"/>
  <c r="J29" i="1"/>
  <c r="J30" i="1"/>
  <c r="J28" i="1"/>
  <c r="W8" i="1" l="1"/>
  <c r="U11" i="1"/>
  <c r="K3" i="1"/>
  <c r="L3" i="1"/>
  <c r="K5" i="1"/>
  <c r="K6" i="1"/>
  <c r="K8" i="1"/>
  <c r="L8" i="1"/>
  <c r="M8" i="1"/>
  <c r="K10" i="1"/>
  <c r="K11" i="1"/>
  <c r="L11" i="1"/>
  <c r="K13" i="1"/>
  <c r="K14" i="1"/>
  <c r="K16" i="1"/>
  <c r="L16" i="1"/>
  <c r="M16" i="1"/>
  <c r="K18" i="1"/>
  <c r="K19" i="1"/>
  <c r="L19" i="1"/>
  <c r="K21" i="1"/>
  <c r="L2" i="1"/>
  <c r="E24" i="1"/>
  <c r="K4" i="1" s="1"/>
  <c r="F24" i="1"/>
  <c r="G24" i="1"/>
  <c r="F23" i="1"/>
  <c r="L6" i="1" s="1"/>
  <c r="G23" i="1"/>
  <c r="M3" i="1" s="1"/>
  <c r="H23" i="1"/>
  <c r="E23" i="1"/>
  <c r="K9" i="1" s="1"/>
  <c r="M21" i="1" l="1"/>
  <c r="M13" i="1"/>
  <c r="M5" i="1"/>
  <c r="L21" i="1"/>
  <c r="M18" i="1"/>
  <c r="L13" i="1"/>
  <c r="M10" i="1"/>
  <c r="L5" i="1"/>
  <c r="L18" i="1"/>
  <c r="M15" i="1"/>
  <c r="L10" i="1"/>
  <c r="M7" i="1"/>
  <c r="M20" i="1"/>
  <c r="L15" i="1"/>
  <c r="M12" i="1"/>
  <c r="L7" i="1"/>
  <c r="M4" i="1"/>
  <c r="L20" i="1"/>
  <c r="M17" i="1"/>
  <c r="K15" i="1"/>
  <c r="L12" i="1"/>
  <c r="M9" i="1"/>
  <c r="K7" i="1"/>
  <c r="L4" i="1"/>
  <c r="K2" i="1"/>
  <c r="K20" i="1"/>
  <c r="L17" i="1"/>
  <c r="M14" i="1"/>
  <c r="K12" i="1"/>
  <c r="L9" i="1"/>
  <c r="M6" i="1"/>
  <c r="M2" i="1"/>
  <c r="M19" i="1"/>
  <c r="K17" i="1"/>
  <c r="L14" i="1"/>
  <c r="M11" i="1"/>
  <c r="P2" i="1" l="1" a="1"/>
  <c r="P2" i="1" l="1"/>
  <c r="V4" i="1"/>
  <c r="X3" i="1"/>
  <c r="S3" i="1"/>
  <c r="U2" i="1"/>
  <c r="AA2" i="1"/>
  <c r="R2" i="1"/>
  <c r="Q2" i="1"/>
  <c r="Z3" i="1"/>
  <c r="T2" i="1"/>
  <c r="AE2" i="1"/>
  <c r="AB4" i="1"/>
  <c r="S2" i="1"/>
  <c r="AG4" i="1"/>
  <c r="AF4" i="1"/>
  <c r="V2" i="1"/>
  <c r="AI4" i="1"/>
  <c r="AD4" i="1"/>
  <c r="AF3" i="1"/>
  <c r="AH4" i="1"/>
  <c r="Y4" i="1"/>
  <c r="X4" i="1"/>
  <c r="AC4" i="1"/>
  <c r="S4" i="1"/>
  <c r="AH3" i="1"/>
  <c r="P3" i="1"/>
  <c r="R4" i="1"/>
  <c r="Q4" i="1"/>
  <c r="P4" i="1"/>
  <c r="AG3" i="1"/>
  <c r="AI2" i="1"/>
  <c r="R3" i="1"/>
  <c r="AB2" i="1"/>
  <c r="AD3" i="1"/>
  <c r="AC3" i="1"/>
  <c r="AB3" i="1"/>
  <c r="W4" i="1"/>
  <c r="Q3" i="1"/>
  <c r="Z4" i="1"/>
  <c r="AD2" i="1"/>
  <c r="AA4" i="1"/>
  <c r="V3" i="1"/>
  <c r="U3" i="1"/>
  <c r="T3" i="1"/>
  <c r="AA3" i="1"/>
  <c r="AC2" i="1"/>
  <c r="AE4" i="1"/>
  <c r="U4" i="1"/>
  <c r="AE3" i="1"/>
  <c r="AH2" i="1"/>
  <c r="AG2" i="1"/>
  <c r="AF2" i="1"/>
  <c r="W2" i="1"/>
  <c r="T4" i="1"/>
  <c r="AI3" i="1"/>
  <c r="Y3" i="1"/>
  <c r="W3" i="1"/>
  <c r="Z2" i="1"/>
  <c r="Y2" i="1"/>
  <c r="X2" i="1"/>
  <c r="P7" i="1" l="1" a="1"/>
  <c r="P7" i="1" l="1"/>
  <c r="R7" i="1"/>
  <c r="Q7" i="1"/>
  <c r="P9" i="1"/>
  <c r="R8" i="1"/>
  <c r="R9" i="1"/>
  <c r="Q9" i="1"/>
  <c r="Q8" i="1"/>
  <c r="P8" i="1"/>
  <c r="P12" i="1" l="1" a="1"/>
  <c r="T8" i="1"/>
  <c r="V8" i="1" s="1"/>
  <c r="P12" i="1" l="1"/>
  <c r="Q12" i="1"/>
  <c r="Q14" i="1"/>
  <c r="R13" i="1"/>
  <c r="P13" i="1"/>
  <c r="R14" i="1"/>
  <c r="P14" i="1"/>
  <c r="P19" i="1" s="1"/>
  <c r="U19" i="1" s="1"/>
  <c r="Q13" i="1"/>
  <c r="R12" i="1"/>
  <c r="U13" i="1" l="1"/>
  <c r="Q18" i="1"/>
  <c r="V18" i="1" s="1"/>
  <c r="R19" i="1"/>
  <c r="W19" i="1" s="1"/>
  <c r="U14" i="1"/>
  <c r="P18" i="1"/>
  <c r="U18" i="1" s="1"/>
  <c r="R18" i="1"/>
  <c r="W18" i="1" s="1"/>
  <c r="Q19" i="1"/>
  <c r="V19" i="1" s="1"/>
  <c r="Q17" i="1"/>
  <c r="V17" i="1" s="1"/>
  <c r="R17" i="1"/>
  <c r="W17" i="1" s="1"/>
  <c r="P17" i="1"/>
  <c r="U17" i="1" s="1"/>
  <c r="U12" i="1"/>
</calcChain>
</file>

<file path=xl/sharedStrings.xml><?xml version="1.0" encoding="utf-8"?>
<sst xmlns="http://schemas.openxmlformats.org/spreadsheetml/2006/main" count="79" uniqueCount="72">
  <si>
    <t>№</t>
  </si>
  <si>
    <t>Х2</t>
  </si>
  <si>
    <t>x1</t>
  </si>
  <si>
    <t>x2</t>
  </si>
  <si>
    <t>x3</t>
  </si>
  <si>
    <t>y</t>
  </si>
  <si>
    <t>ср знач</t>
  </si>
  <si>
    <t>ср кв відх</t>
  </si>
  <si>
    <t>n</t>
  </si>
  <si>
    <t>m</t>
  </si>
  <si>
    <t>x1*</t>
  </si>
  <si>
    <t>x2*</t>
  </si>
  <si>
    <t>x3*</t>
  </si>
  <si>
    <t>f</t>
  </si>
  <si>
    <t>x1*t</t>
  </si>
  <si>
    <t>x2*t</t>
  </si>
  <si>
    <t>x3*t</t>
  </si>
  <si>
    <t>r=x*t * x*</t>
  </si>
  <si>
    <t>det(r)</t>
  </si>
  <si>
    <t>Х2кр</t>
  </si>
  <si>
    <t>С=r^-1</t>
  </si>
  <si>
    <t>F1</t>
  </si>
  <si>
    <t>F2</t>
  </si>
  <si>
    <t>F3</t>
  </si>
  <si>
    <t>Fкр</t>
  </si>
  <si>
    <t>α</t>
  </si>
  <si>
    <t>r(xi, xj)</t>
  </si>
  <si>
    <t>t(xi, xj)</t>
  </si>
  <si>
    <t>tкр</t>
  </si>
  <si>
    <t>Х</t>
  </si>
  <si>
    <t>f1(x)</t>
  </si>
  <si>
    <t>f2(x)</t>
  </si>
  <si>
    <t>f3(x)</t>
  </si>
  <si>
    <t>b0</t>
  </si>
  <si>
    <t>b1</t>
  </si>
  <si>
    <t>b2</t>
  </si>
  <si>
    <t>b3</t>
  </si>
  <si>
    <t>R^2</t>
  </si>
  <si>
    <t>(f(xi)-yser)^2</t>
  </si>
  <si>
    <t>(yi-yser)^2</t>
  </si>
  <si>
    <t>cума</t>
  </si>
  <si>
    <t>R</t>
  </si>
  <si>
    <t>F</t>
  </si>
  <si>
    <t>дуже сильна щільність зв</t>
  </si>
  <si>
    <t>оцінка істотності</t>
  </si>
  <si>
    <t>модель адекватна</t>
  </si>
  <si>
    <t>(f(xi,b)-yi)^2</t>
  </si>
  <si>
    <t>S^2</t>
  </si>
  <si>
    <t>t1</t>
  </si>
  <si>
    <t>t2</t>
  </si>
  <si>
    <t>t3</t>
  </si>
  <si>
    <t>t0</t>
  </si>
  <si>
    <t>±</t>
  </si>
  <si>
    <t>Довірчий інтервал</t>
  </si>
  <si>
    <t>d = (ХтХ)^-1</t>
  </si>
  <si>
    <t>стандартизація</t>
  </si>
  <si>
    <t>кореляційна матриця</t>
  </si>
  <si>
    <t>перевірка мул.кол. Усього масиву</t>
  </si>
  <si>
    <t>матриця похибок</t>
  </si>
  <si>
    <t>прев. М.к.</t>
  </si>
  <si>
    <t>кожної зм.</t>
  </si>
  <si>
    <t>із усіма ін.</t>
  </si>
  <si>
    <t>частинні коеф. Кор.</t>
  </si>
  <si>
    <t>перев. М.к. кожної пари зм.</t>
  </si>
  <si>
    <t>b = (Xт * X)^-1 * Xт * y</t>
  </si>
  <si>
    <t>пошук параметрів</t>
  </si>
  <si>
    <t>інд. Кор.</t>
  </si>
  <si>
    <t>коеф. Детермінації</t>
  </si>
  <si>
    <t>оцінка стат. Значимості коеф. Регресії</t>
  </si>
  <si>
    <t>для обч. R^2</t>
  </si>
  <si>
    <t>для обч. S^2</t>
  </si>
  <si>
    <t>по шкалі Чеддока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</si>
</sst>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50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5" borderId="1" xfId="4"/>
    <xf numFmtId="0" fontId="1" fillId="6" borderId="13" xfId="5" applyBorder="1"/>
    <xf numFmtId="0" fontId="1" fillId="6" borderId="14" xfId="5" applyBorder="1"/>
    <xf numFmtId="0" fontId="1" fillId="6" borderId="15" xfId="5" applyBorder="1" applyAlignment="1">
      <alignment horizontal="center"/>
    </xf>
    <xf numFmtId="0" fontId="1" fillId="6" borderId="16" xfId="5" applyBorder="1"/>
    <xf numFmtId="0" fontId="1" fillId="6" borderId="0" xfId="5" applyBorder="1"/>
    <xf numFmtId="0" fontId="1" fillId="6" borderId="17" xfId="5" applyBorder="1"/>
    <xf numFmtId="0" fontId="1" fillId="6" borderId="18" xfId="5" applyBorder="1"/>
    <xf numFmtId="0" fontId="1" fillId="6" borderId="19" xfId="5" applyBorder="1"/>
    <xf numFmtId="0" fontId="1" fillId="6" borderId="20" xfId="5" applyBorder="1"/>
    <xf numFmtId="0" fontId="1" fillId="6" borderId="0" xfId="5" applyAlignment="1">
      <alignment horizontal="center"/>
    </xf>
    <xf numFmtId="0" fontId="1" fillId="6" borderId="19" xfId="5" applyBorder="1" applyAlignment="1">
      <alignment horizontal="center"/>
    </xf>
    <xf numFmtId="0" fontId="1" fillId="6" borderId="14" xfId="5" applyBorder="1" applyAlignment="1">
      <alignment horizontal="center"/>
    </xf>
    <xf numFmtId="0" fontId="1" fillId="6" borderId="15" xfId="5" applyBorder="1" applyAlignment="1">
      <alignment horizontal="center"/>
    </xf>
  </cellXfs>
  <cellStyles count="6">
    <cellStyle name="20% — акцент6" xfId="5" builtinId="50"/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F11A-2BF9-45D5-B0A1-13F587A00210}">
  <dimension ref="A1:AI48"/>
  <sheetViews>
    <sheetView tabSelected="1" workbookViewId="0">
      <selection activeCell="N21" sqref="N21"/>
    </sheetView>
  </sheetViews>
  <sheetFormatPr defaultRowHeight="15" x14ac:dyDescent="0.25"/>
  <cols>
    <col min="3" max="3" width="8" customWidth="1"/>
    <col min="4" max="4" width="10" customWidth="1"/>
    <col min="9" max="9" width="9.28515625" customWidth="1"/>
    <col min="11" max="11" width="10.28515625" customWidth="1"/>
    <col min="13" max="13" width="13.42578125" customWidth="1"/>
    <col min="14" max="14" width="11" customWidth="1"/>
    <col min="16" max="16" width="10.85546875" customWidth="1"/>
    <col min="18" max="20" width="9.140625" customWidth="1"/>
    <col min="22" max="22" width="11.7109375" customWidth="1"/>
  </cols>
  <sheetData>
    <row r="1" spans="1:35" ht="15.75" thickBot="1" x14ac:dyDescent="0.3">
      <c r="A1" s="4" t="s">
        <v>8</v>
      </c>
      <c r="D1" s="7" t="s">
        <v>0</v>
      </c>
      <c r="E1" s="7" t="s">
        <v>2</v>
      </c>
      <c r="F1" s="7" t="s">
        <v>3</v>
      </c>
      <c r="G1" s="7" t="s">
        <v>4</v>
      </c>
      <c r="H1" s="29" t="s">
        <v>5</v>
      </c>
      <c r="I1" s="7" t="s">
        <v>13</v>
      </c>
      <c r="K1" s="7" t="s">
        <v>10</v>
      </c>
      <c r="L1" s="7" t="s">
        <v>11</v>
      </c>
      <c r="M1" s="7" t="s">
        <v>12</v>
      </c>
      <c r="O1" s="8"/>
      <c r="P1" s="7">
        <v>1</v>
      </c>
      <c r="Q1" s="7">
        <v>2</v>
      </c>
      <c r="R1" s="7">
        <v>3</v>
      </c>
      <c r="S1" s="7">
        <v>4</v>
      </c>
      <c r="T1" s="7">
        <v>5</v>
      </c>
      <c r="U1" s="7">
        <v>6</v>
      </c>
      <c r="V1" s="7">
        <v>7</v>
      </c>
      <c r="W1" s="7">
        <v>8</v>
      </c>
      <c r="X1" s="7">
        <v>9</v>
      </c>
      <c r="Y1" s="7">
        <v>10</v>
      </c>
      <c r="Z1" s="7">
        <v>11</v>
      </c>
      <c r="AA1" s="7">
        <v>12</v>
      </c>
      <c r="AB1" s="7">
        <v>13</v>
      </c>
      <c r="AC1" s="7">
        <v>14</v>
      </c>
      <c r="AD1" s="7">
        <v>15</v>
      </c>
      <c r="AE1" s="7">
        <v>16</v>
      </c>
      <c r="AF1" s="7">
        <v>17</v>
      </c>
      <c r="AG1" s="7">
        <v>18</v>
      </c>
      <c r="AH1" s="7">
        <v>19</v>
      </c>
      <c r="AI1" s="7">
        <v>20</v>
      </c>
    </row>
    <row r="2" spans="1:35" ht="15.75" thickBot="1" x14ac:dyDescent="0.3">
      <c r="A2">
        <v>20</v>
      </c>
      <c r="D2" s="8">
        <v>1</v>
      </c>
      <c r="E2" s="9">
        <v>4</v>
      </c>
      <c r="F2" s="10">
        <v>2</v>
      </c>
      <c r="G2" s="10">
        <v>1</v>
      </c>
      <c r="H2" s="30">
        <v>26</v>
      </c>
      <c r="I2" s="8">
        <v>-6.2377918133975498</v>
      </c>
      <c r="K2" s="9">
        <f>(E2-E$23)/SQRT($A$2*E$24)</f>
        <v>-0.16825892712827273</v>
      </c>
      <c r="L2" s="10">
        <f t="shared" ref="L2:M2" si="0">(F2-F$23)/SQRT($A$2*F$24)</f>
        <v>-0.2102445474406843</v>
      </c>
      <c r="M2" s="11">
        <f t="shared" si="0"/>
        <v>-0.31377667862168845</v>
      </c>
      <c r="O2" s="7" t="s">
        <v>14</v>
      </c>
      <c r="P2" s="9">
        <f t="array" ref="P2:AI4">TRANSPOSE(K2:M21)</f>
        <v>-0.16825892712827273</v>
      </c>
      <c r="Q2" s="10">
        <v>-0.13107463384025664</v>
      </c>
      <c r="R2" s="10">
        <v>-9.3890340552240575E-2</v>
      </c>
      <c r="S2" s="10">
        <v>-0.11248248719624862</v>
      </c>
      <c r="T2" s="10">
        <v>-7.5298193908232544E-2</v>
      </c>
      <c r="U2" s="10">
        <v>-1.9521753976208447E-2</v>
      </c>
      <c r="V2" s="10">
        <v>-0.14966678048426468</v>
      </c>
      <c r="W2" s="10">
        <v>-7.5298193908232544E-2</v>
      </c>
      <c r="X2" s="10">
        <v>3.6254685955815651E-2</v>
      </c>
      <c r="Y2" s="10">
        <v>3.6254685955815651E-2</v>
      </c>
      <c r="Z2" s="10">
        <v>-0.14966678048426468</v>
      </c>
      <c r="AA2" s="10">
        <v>-0.11248248719624862</v>
      </c>
      <c r="AB2" s="10">
        <v>-0.16825892712827273</v>
      </c>
      <c r="AC2" s="10">
        <v>-0.22403536706029681</v>
      </c>
      <c r="AD2" s="10">
        <v>-0.16825892712827273</v>
      </c>
      <c r="AE2" s="10">
        <v>-0.13107463384025664</v>
      </c>
      <c r="AF2" s="10">
        <v>0.37091332554796025</v>
      </c>
      <c r="AG2" s="10">
        <v>0.40809761883597634</v>
      </c>
      <c r="AH2" s="10">
        <v>0.42668976547998433</v>
      </c>
      <c r="AI2" s="11">
        <v>0.50105835205601645</v>
      </c>
    </row>
    <row r="3" spans="1:35" ht="15.75" thickBot="1" x14ac:dyDescent="0.3">
      <c r="D3" s="8">
        <v>2</v>
      </c>
      <c r="E3" s="12">
        <v>6</v>
      </c>
      <c r="F3" s="13">
        <v>3</v>
      </c>
      <c r="G3" s="13">
        <v>2</v>
      </c>
      <c r="H3" s="31">
        <v>38</v>
      </c>
      <c r="I3" s="8">
        <v>24.332631749335576</v>
      </c>
      <c r="K3" s="12">
        <f t="shared" ref="K3:K21" si="1">(E3-E$23)/SQRT($A$2*E$24)</f>
        <v>-0.13107463384025664</v>
      </c>
      <c r="L3" s="13">
        <f t="shared" ref="L3:L21" si="2">(F3-F$23)/SQRT($A$2*F$24)</f>
        <v>-0.19138853421730456</v>
      </c>
      <c r="M3" s="14">
        <f t="shared" ref="M3:M21" si="3">(G3-G$23)/SQRT($A$2*G$24)</f>
        <v>-0.28458815037781043</v>
      </c>
      <c r="O3" s="7" t="s">
        <v>15</v>
      </c>
      <c r="P3" s="12">
        <v>-0.2102445474406843</v>
      </c>
      <c r="Q3" s="13">
        <v>-0.19138853421730456</v>
      </c>
      <c r="R3" s="13">
        <v>-0.15367650777054503</v>
      </c>
      <c r="S3" s="13">
        <v>-0.11596448132378552</v>
      </c>
      <c r="T3" s="13">
        <v>-7.8252454877026006E-2</v>
      </c>
      <c r="U3" s="13">
        <v>-5.9396441653646243E-2</v>
      </c>
      <c r="V3" s="13">
        <v>-0.19138853421730456</v>
      </c>
      <c r="W3" s="13">
        <v>-0.13482049454716527</v>
      </c>
      <c r="X3" s="13">
        <v>-7.8252454877026006E-2</v>
      </c>
      <c r="Y3" s="13">
        <v>-0.19138853421730456</v>
      </c>
      <c r="Z3" s="13">
        <v>-9.7108468100405756E-2</v>
      </c>
      <c r="AA3" s="13">
        <v>-2.1684415206886729E-2</v>
      </c>
      <c r="AB3" s="13">
        <v>-0.11596448132378552</v>
      </c>
      <c r="AC3" s="13">
        <v>-5.9396441653646243E-2</v>
      </c>
      <c r="AD3" s="13">
        <v>-2.1684415206886729E-2</v>
      </c>
      <c r="AE3" s="13">
        <v>-2.8284019835069702E-3</v>
      </c>
      <c r="AF3" s="13">
        <v>0.37429186248408824</v>
      </c>
      <c r="AG3" s="13">
        <v>0.43085990215422748</v>
      </c>
      <c r="AH3" s="13">
        <v>0.44971591537760724</v>
      </c>
      <c r="AI3" s="14">
        <v>0.46857192860098701</v>
      </c>
    </row>
    <row r="4" spans="1:35" ht="15.75" thickBot="1" x14ac:dyDescent="0.3">
      <c r="A4" s="4" t="s">
        <v>9</v>
      </c>
      <c r="D4" s="8">
        <v>3</v>
      </c>
      <c r="E4" s="12">
        <v>8</v>
      </c>
      <c r="F4" s="13">
        <v>5</v>
      </c>
      <c r="G4" s="13">
        <v>4</v>
      </c>
      <c r="H4" s="31">
        <v>49</v>
      </c>
      <c r="I4" s="8">
        <v>46.753835203652415</v>
      </c>
      <c r="K4" s="12">
        <f t="shared" si="1"/>
        <v>-9.3890340552240575E-2</v>
      </c>
      <c r="L4" s="13">
        <f t="shared" si="2"/>
        <v>-0.15367650777054503</v>
      </c>
      <c r="M4" s="14">
        <f t="shared" si="3"/>
        <v>-0.22621109389005445</v>
      </c>
      <c r="O4" s="7" t="s">
        <v>16</v>
      </c>
      <c r="P4" s="15">
        <v>-0.31377667862168845</v>
      </c>
      <c r="Q4" s="16">
        <v>-0.28458815037781043</v>
      </c>
      <c r="R4" s="16">
        <v>-0.22621109389005445</v>
      </c>
      <c r="S4" s="16">
        <v>-0.16783403740229846</v>
      </c>
      <c r="T4" s="16">
        <v>-0.31377667862168845</v>
      </c>
      <c r="U4" s="16">
        <v>-0.19702256564617646</v>
      </c>
      <c r="V4" s="16">
        <v>-0.10945698091454248</v>
      </c>
      <c r="W4" s="16">
        <v>-5.1079924426786487E-2</v>
      </c>
      <c r="X4" s="16">
        <v>3.6485660304847491E-2</v>
      </c>
      <c r="Y4" s="16">
        <v>3.6485660304847491E-2</v>
      </c>
      <c r="Z4" s="16">
        <v>-0.13864550915842047</v>
      </c>
      <c r="AA4" s="16">
        <v>-0.10945698091454248</v>
      </c>
      <c r="AB4" s="16">
        <v>9.4862716792603483E-2</v>
      </c>
      <c r="AC4" s="16">
        <v>0.32837094274362744</v>
      </c>
      <c r="AD4" s="16">
        <v>0.38674799923138342</v>
      </c>
      <c r="AE4" s="16">
        <v>0.41593652747526144</v>
      </c>
      <c r="AF4" s="16">
        <v>6.567418854872549E-2</v>
      </c>
      <c r="AG4" s="16">
        <v>0.12405124503648148</v>
      </c>
      <c r="AH4" s="16">
        <v>0.15323977328035948</v>
      </c>
      <c r="AI4" s="17">
        <v>0.26999388625587145</v>
      </c>
    </row>
    <row r="5" spans="1:35" ht="15.75" thickBot="1" x14ac:dyDescent="0.3">
      <c r="A5">
        <v>3</v>
      </c>
      <c r="D5" s="8">
        <v>4</v>
      </c>
      <c r="E5" s="12">
        <v>7</v>
      </c>
      <c r="F5" s="13">
        <v>7</v>
      </c>
      <c r="G5" s="13">
        <v>6</v>
      </c>
      <c r="H5" s="31">
        <v>52</v>
      </c>
      <c r="I5" s="8">
        <v>54.684054191264607</v>
      </c>
      <c r="K5" s="12">
        <f t="shared" si="1"/>
        <v>-0.11248248719624862</v>
      </c>
      <c r="L5" s="13">
        <f t="shared" si="2"/>
        <v>-0.11596448132378552</v>
      </c>
      <c r="M5" s="14">
        <f t="shared" si="3"/>
        <v>-0.16783403740229846</v>
      </c>
    </row>
    <row r="6" spans="1:35" ht="16.5" thickTop="1" thickBot="1" x14ac:dyDescent="0.3">
      <c r="D6" s="8">
        <v>5</v>
      </c>
      <c r="E6" s="12">
        <v>9</v>
      </c>
      <c r="F6" s="13">
        <v>9</v>
      </c>
      <c r="G6" s="13">
        <v>1</v>
      </c>
      <c r="H6" s="31">
        <v>58</v>
      </c>
      <c r="I6" s="8">
        <v>77.727946169820754</v>
      </c>
      <c r="K6" s="12">
        <f t="shared" si="1"/>
        <v>-7.5298193908232544E-2</v>
      </c>
      <c r="L6" s="13">
        <f t="shared" si="2"/>
        <v>-7.8252454877026006E-2</v>
      </c>
      <c r="M6" s="14">
        <f t="shared" si="3"/>
        <v>-0.31377667862168845</v>
      </c>
      <c r="O6" s="19" t="s">
        <v>17</v>
      </c>
      <c r="P6" s="34" t="s">
        <v>56</v>
      </c>
      <c r="Q6" s="35"/>
      <c r="R6" s="35"/>
      <c r="U6" s="6" t="s">
        <v>57</v>
      </c>
      <c r="V6" s="6"/>
      <c r="W6" s="6"/>
      <c r="X6" s="6"/>
    </row>
    <row r="7" spans="1:35" ht="16.5" thickTop="1" thickBot="1" x14ac:dyDescent="0.3">
      <c r="A7" s="5" t="s">
        <v>25</v>
      </c>
      <c r="D7" s="8">
        <v>6</v>
      </c>
      <c r="E7" s="12">
        <v>12</v>
      </c>
      <c r="F7" s="13">
        <v>10</v>
      </c>
      <c r="G7" s="13">
        <v>5</v>
      </c>
      <c r="H7" s="31">
        <v>77</v>
      </c>
      <c r="I7" s="8">
        <v>99.693317674467366</v>
      </c>
      <c r="K7" s="12">
        <f t="shared" si="1"/>
        <v>-1.9521753976208447E-2</v>
      </c>
      <c r="L7" s="13">
        <f t="shared" si="2"/>
        <v>-5.9396441653646243E-2</v>
      </c>
      <c r="M7" s="14">
        <f t="shared" si="3"/>
        <v>-0.19702256564617646</v>
      </c>
      <c r="P7" s="20">
        <f t="array" ref="P7:R9">MMULT(P2:AI4,K2:M21)</f>
        <v>0.99999999999999978</v>
      </c>
      <c r="Q7" s="21">
        <v>0.91915182044402466</v>
      </c>
      <c r="R7" s="22">
        <v>0.28015720642476039</v>
      </c>
      <c r="T7" s="4" t="s">
        <v>18</v>
      </c>
      <c r="V7" s="4" t="s">
        <v>1</v>
      </c>
      <c r="W7" s="4" t="s">
        <v>19</v>
      </c>
    </row>
    <row r="8" spans="1:35" ht="15.75" thickBot="1" x14ac:dyDescent="0.3">
      <c r="A8">
        <v>0.05</v>
      </c>
      <c r="D8" s="8">
        <v>7</v>
      </c>
      <c r="E8" s="12">
        <v>5</v>
      </c>
      <c r="F8" s="13">
        <v>3</v>
      </c>
      <c r="G8" s="13">
        <v>8</v>
      </c>
      <c r="H8" s="31">
        <v>36</v>
      </c>
      <c r="I8" s="8">
        <v>17.937787106555849</v>
      </c>
      <c r="K8" s="12">
        <f t="shared" si="1"/>
        <v>-0.14966678048426468</v>
      </c>
      <c r="L8" s="13">
        <f t="shared" si="2"/>
        <v>-0.19138853421730456</v>
      </c>
      <c r="M8" s="14">
        <f t="shared" si="3"/>
        <v>-0.10945698091454248</v>
      </c>
      <c r="P8" s="23">
        <v>0.91915182044402466</v>
      </c>
      <c r="Q8" s="24">
        <v>1</v>
      </c>
      <c r="R8" s="25">
        <v>0.47814199475450275</v>
      </c>
      <c r="T8">
        <f>MDETERM(P7:R9)</f>
        <v>9.4301930821992314E-2</v>
      </c>
      <c r="V8" s="2">
        <f>-(A2-1-(2*A5+5)/6)*LN(T8)</f>
        <v>40.534853711112994</v>
      </c>
      <c r="W8" s="3">
        <f>_xlfn.CHISQ.INV.RT(A8,0.5*A5*(A5-1))</f>
        <v>7.8147279032511792</v>
      </c>
    </row>
    <row r="9" spans="1:35" ht="15.75" thickBot="1" x14ac:dyDescent="0.3">
      <c r="D9" s="8">
        <v>8</v>
      </c>
      <c r="E9" s="12">
        <v>9</v>
      </c>
      <c r="F9" s="13">
        <v>6</v>
      </c>
      <c r="G9" s="13">
        <v>10</v>
      </c>
      <c r="H9" s="31">
        <v>57</v>
      </c>
      <c r="I9" s="8">
        <v>61.379499422727861</v>
      </c>
      <c r="K9" s="12">
        <f t="shared" si="1"/>
        <v>-7.5298193908232544E-2</v>
      </c>
      <c r="L9" s="13">
        <f t="shared" si="2"/>
        <v>-0.13482049454716527</v>
      </c>
      <c r="M9" s="14">
        <f t="shared" si="3"/>
        <v>-5.1079924426786487E-2</v>
      </c>
      <c r="P9" s="26">
        <v>0.28015720642476039</v>
      </c>
      <c r="Q9" s="27">
        <v>0.47814199475450275</v>
      </c>
      <c r="R9" s="28">
        <v>1</v>
      </c>
    </row>
    <row r="10" spans="1:35" ht="15.75" thickBot="1" x14ac:dyDescent="0.3">
      <c r="D10" s="8">
        <v>9</v>
      </c>
      <c r="E10" s="12">
        <v>15</v>
      </c>
      <c r="F10" s="13">
        <v>9</v>
      </c>
      <c r="G10" s="13">
        <v>13</v>
      </c>
      <c r="H10" s="31">
        <v>83</v>
      </c>
      <c r="I10" s="8">
        <v>98.511311962337729</v>
      </c>
      <c r="K10" s="12">
        <f t="shared" si="1"/>
        <v>3.6254685955815651E-2</v>
      </c>
      <c r="L10" s="13">
        <f t="shared" si="2"/>
        <v>-7.8252454877026006E-2</v>
      </c>
      <c r="M10" s="14">
        <f t="shared" si="3"/>
        <v>3.6485660304847491E-2</v>
      </c>
    </row>
    <row r="11" spans="1:35" ht="16.5" thickTop="1" thickBot="1" x14ac:dyDescent="0.3">
      <c r="D11" s="8">
        <v>10</v>
      </c>
      <c r="E11" s="12">
        <v>15</v>
      </c>
      <c r="F11" s="13">
        <v>3</v>
      </c>
      <c r="G11" s="13">
        <v>13</v>
      </c>
      <c r="H11" s="31">
        <v>70</v>
      </c>
      <c r="I11" s="8">
        <v>74.635891017005193</v>
      </c>
      <c r="K11" s="12">
        <f t="shared" si="1"/>
        <v>3.6254685955815651E-2</v>
      </c>
      <c r="L11" s="13">
        <f t="shared" si="2"/>
        <v>-0.19138853421730456</v>
      </c>
      <c r="M11" s="14">
        <f t="shared" si="3"/>
        <v>3.6485660304847491E-2</v>
      </c>
      <c r="O11" s="19" t="s">
        <v>20</v>
      </c>
      <c r="P11" s="34" t="s">
        <v>58</v>
      </c>
      <c r="Q11" s="35"/>
      <c r="R11" s="35"/>
      <c r="T11" t="s">
        <v>24</v>
      </c>
      <c r="U11" s="3">
        <f>_xlfn.F.INV.RT(A8,A2-A5,A5-1)</f>
        <v>19.436961378591917</v>
      </c>
      <c r="V11" t="s">
        <v>59</v>
      </c>
    </row>
    <row r="12" spans="1:35" ht="16.5" thickTop="1" thickBot="1" x14ac:dyDescent="0.3">
      <c r="D12" s="8">
        <v>11</v>
      </c>
      <c r="E12" s="12">
        <v>5</v>
      </c>
      <c r="F12" s="13">
        <v>8</v>
      </c>
      <c r="G12" s="13">
        <v>7</v>
      </c>
      <c r="H12" s="31">
        <v>47</v>
      </c>
      <c r="I12" s="8">
        <v>58.366476512012738</v>
      </c>
      <c r="K12" s="12">
        <f t="shared" si="1"/>
        <v>-0.14966678048426468</v>
      </c>
      <c r="L12" s="13">
        <f t="shared" si="2"/>
        <v>-9.7108468100405756E-2</v>
      </c>
      <c r="M12" s="14">
        <f t="shared" si="3"/>
        <v>-0.13864550915842047</v>
      </c>
      <c r="P12" s="20">
        <f t="array" ref="P12:R14">MINVERSE(P7:R9)</f>
        <v>8.1798986100111755</v>
      </c>
      <c r="Q12" s="21">
        <v>-8.3264137656036574</v>
      </c>
      <c r="R12" s="22">
        <v>1.689550543618572</v>
      </c>
      <c r="T12" t="s">
        <v>21</v>
      </c>
      <c r="U12" s="2">
        <f>(P12-1)*(A2-A5)/(A5-1)</f>
        <v>61.029138185094993</v>
      </c>
      <c r="V12" t="s">
        <v>60</v>
      </c>
    </row>
    <row r="13" spans="1:35" ht="15.75" thickBot="1" x14ac:dyDescent="0.3">
      <c r="D13" s="8">
        <v>12</v>
      </c>
      <c r="E13" s="12">
        <v>7</v>
      </c>
      <c r="F13" s="13">
        <v>12</v>
      </c>
      <c r="G13" s="13">
        <v>8</v>
      </c>
      <c r="H13" s="31">
        <v>63</v>
      </c>
      <c r="I13" s="8">
        <v>79.757928309559674</v>
      </c>
      <c r="K13" s="12">
        <f t="shared" si="1"/>
        <v>-0.11248248719624862</v>
      </c>
      <c r="L13" s="13">
        <f t="shared" si="2"/>
        <v>-2.1684415206886729E-2</v>
      </c>
      <c r="M13" s="14">
        <f t="shared" si="3"/>
        <v>-0.10945698091454248</v>
      </c>
      <c r="P13" s="23">
        <v>-8.3264137656036574</v>
      </c>
      <c r="Q13" s="24">
        <v>9.7719307723163453</v>
      </c>
      <c r="R13" s="25">
        <v>-2.3396656519700554</v>
      </c>
      <c r="T13" t="s">
        <v>22</v>
      </c>
      <c r="U13" s="2">
        <f>(Q13-1)*(A2-A5)/(A5-1)</f>
        <v>74.561411564688939</v>
      </c>
      <c r="V13" t="s">
        <v>61</v>
      </c>
    </row>
    <row r="14" spans="1:35" ht="15.75" thickBot="1" x14ac:dyDescent="0.3">
      <c r="D14" s="8">
        <v>13</v>
      </c>
      <c r="E14" s="12">
        <v>4</v>
      </c>
      <c r="F14" s="13">
        <v>7</v>
      </c>
      <c r="G14" s="13">
        <v>15</v>
      </c>
      <c r="H14" s="31">
        <v>44</v>
      </c>
      <c r="I14" s="8">
        <v>42.17352493187888</v>
      </c>
      <c r="K14" s="12">
        <f t="shared" si="1"/>
        <v>-0.16825892712827273</v>
      </c>
      <c r="L14" s="13">
        <f t="shared" si="2"/>
        <v>-0.11596448132378552</v>
      </c>
      <c r="M14" s="14">
        <f t="shared" si="3"/>
        <v>9.4862716792603483E-2</v>
      </c>
      <c r="P14" s="26">
        <v>1.6895505436185725</v>
      </c>
      <c r="Q14" s="27">
        <v>-2.3396656519700558</v>
      </c>
      <c r="R14" s="28">
        <v>1.645352641477942</v>
      </c>
      <c r="T14" t="s">
        <v>23</v>
      </c>
      <c r="U14" s="1">
        <f>(R14-1)*(A2-A5)/(A5-1)</f>
        <v>5.4854974525625071</v>
      </c>
    </row>
    <row r="15" spans="1:35" ht="15.75" thickBot="1" x14ac:dyDescent="0.3">
      <c r="D15" s="8">
        <v>14</v>
      </c>
      <c r="E15" s="12">
        <v>1</v>
      </c>
      <c r="F15" s="13">
        <v>10</v>
      </c>
      <c r="G15" s="13">
        <v>23</v>
      </c>
      <c r="H15" s="31">
        <v>42</v>
      </c>
      <c r="I15" s="8">
        <v>31.232358867687815</v>
      </c>
      <c r="K15" s="12">
        <f t="shared" si="1"/>
        <v>-0.22403536706029681</v>
      </c>
      <c r="L15" s="13">
        <f t="shared" si="2"/>
        <v>-5.9396441653646243E-2</v>
      </c>
      <c r="M15" s="14">
        <f t="shared" si="3"/>
        <v>0.32837094274362744</v>
      </c>
    </row>
    <row r="16" spans="1:35" ht="16.5" thickTop="1" thickBot="1" x14ac:dyDescent="0.3">
      <c r="D16" s="8">
        <v>15</v>
      </c>
      <c r="E16" s="12">
        <v>4</v>
      </c>
      <c r="F16" s="13">
        <v>12</v>
      </c>
      <c r="G16" s="13">
        <v>25</v>
      </c>
      <c r="H16" s="31">
        <v>55</v>
      </c>
      <c r="I16" s="8">
        <v>71.917842857582087</v>
      </c>
      <c r="K16" s="12">
        <f t="shared" si="1"/>
        <v>-0.16825892712827273</v>
      </c>
      <c r="L16" s="13">
        <f t="shared" si="2"/>
        <v>-2.1684415206886729E-2</v>
      </c>
      <c r="M16" s="14">
        <f t="shared" si="3"/>
        <v>0.38674799923138342</v>
      </c>
      <c r="O16" s="19" t="s">
        <v>26</v>
      </c>
      <c r="P16" s="34" t="s">
        <v>62</v>
      </c>
      <c r="Q16" s="35"/>
      <c r="R16" s="35"/>
      <c r="T16" s="4" t="s">
        <v>27</v>
      </c>
      <c r="U16" s="6" t="s">
        <v>63</v>
      </c>
      <c r="V16" s="6"/>
      <c r="W16" s="6"/>
    </row>
    <row r="17" spans="3:25" ht="16.5" thickTop="1" thickBot="1" x14ac:dyDescent="0.3">
      <c r="D17" s="8">
        <v>16</v>
      </c>
      <c r="E17" s="12">
        <v>6</v>
      </c>
      <c r="F17" s="13">
        <v>13</v>
      </c>
      <c r="G17" s="13">
        <v>26</v>
      </c>
      <c r="H17" s="31">
        <v>70</v>
      </c>
      <c r="I17" s="8">
        <v>83.100013049140884</v>
      </c>
      <c r="K17" s="12">
        <f t="shared" si="1"/>
        <v>-0.13107463384025664</v>
      </c>
      <c r="L17" s="13">
        <f t="shared" si="2"/>
        <v>-2.8284019835069702E-3</v>
      </c>
      <c r="M17" s="14">
        <f t="shared" si="3"/>
        <v>0.41593652747526144</v>
      </c>
      <c r="P17" s="20">
        <f>-P12/SQRT(P12*P12)</f>
        <v>-1</v>
      </c>
      <c r="Q17" s="21">
        <f>-Q12/SQRT(P12*Q13)</f>
        <v>0.93130908042428906</v>
      </c>
      <c r="R17" s="22">
        <f>-R12/SQRT(P12*R14)</f>
        <v>-0.4605403977580152</v>
      </c>
      <c r="U17" t="e">
        <f>ABS(P17*SQRT($A$2-$A$5)/SQRT(1-P17*P17))</f>
        <v>#DIV/0!</v>
      </c>
      <c r="V17" s="2">
        <f>ABS(Q17*SQRT($A$2-$A$5)/SQRT(1-Q17*Q17))</f>
        <v>10.542478929910272</v>
      </c>
      <c r="W17" s="1">
        <f>ABS(R17*SQRT($A$2-$A$5)/SQRT(1-R17*R17))</f>
        <v>2.1392224201851051</v>
      </c>
      <c r="Y17" s="4" t="s">
        <v>28</v>
      </c>
    </row>
    <row r="18" spans="3:25" ht="15.75" thickBot="1" x14ac:dyDescent="0.3">
      <c r="D18" s="8">
        <v>17</v>
      </c>
      <c r="E18" s="12">
        <v>33</v>
      </c>
      <c r="F18" s="13">
        <v>33</v>
      </c>
      <c r="G18" s="13">
        <v>14</v>
      </c>
      <c r="H18" s="31">
        <v>188</v>
      </c>
      <c r="I18" s="8">
        <v>180.1745212982793</v>
      </c>
      <c r="K18" s="12">
        <f t="shared" si="1"/>
        <v>0.37091332554796025</v>
      </c>
      <c r="L18" s="13">
        <f t="shared" si="2"/>
        <v>0.37429186248408824</v>
      </c>
      <c r="M18" s="14">
        <f t="shared" si="3"/>
        <v>6.567418854872549E-2</v>
      </c>
      <c r="P18" s="23">
        <f>-P13/SQRT(P12*Q13)</f>
        <v>0.93130908042428906</v>
      </c>
      <c r="Q18" s="24">
        <f>-Q13/SQRT(Q13*Q13)</f>
        <v>-1</v>
      </c>
      <c r="R18" s="25">
        <f>-R13/SQRT(Q13*R14)</f>
        <v>0.58349093342666125</v>
      </c>
      <c r="U18" s="2">
        <f>ABS(P18*SQRT($A$2-$A$5)/SQRT(1-P18*P18))</f>
        <v>10.542478929910272</v>
      </c>
      <c r="V18" t="e">
        <f>ABS(Q18*SQRT($A$2-$A$5)/SQRT(1-Q18*Q18))</f>
        <v>#DIV/0!</v>
      </c>
      <c r="W18" s="2">
        <f>ABS(R18*SQRT($A$2-$A$5)/SQRT(1-R18*R18))</f>
        <v>2.9623648948150505</v>
      </c>
      <c r="Y18" s="3">
        <f>_xlfn.T.INV.2T(A8/2,A2-A5)</f>
        <v>2.4580507203792843</v>
      </c>
    </row>
    <row r="19" spans="3:25" ht="15.75" thickBot="1" x14ac:dyDescent="0.3">
      <c r="D19" s="8">
        <v>18</v>
      </c>
      <c r="E19" s="12">
        <v>35</v>
      </c>
      <c r="F19" s="13">
        <v>36</v>
      </c>
      <c r="G19" s="13">
        <v>16</v>
      </c>
      <c r="H19" s="31">
        <v>201</v>
      </c>
      <c r="I19" s="8">
        <v>194.77405108665488</v>
      </c>
      <c r="K19" s="12">
        <f t="shared" si="1"/>
        <v>0.40809761883597634</v>
      </c>
      <c r="L19" s="13">
        <f t="shared" si="2"/>
        <v>0.43085990215422748</v>
      </c>
      <c r="M19" s="14">
        <f t="shared" si="3"/>
        <v>0.12405124503648148</v>
      </c>
      <c r="P19" s="26">
        <f>-P14/SQRT(P12*R14)</f>
        <v>-0.46054039775801531</v>
      </c>
      <c r="Q19" s="27">
        <f>-Q14/SQRT(Q13*R14)</f>
        <v>0.58349093342666136</v>
      </c>
      <c r="R19" s="28">
        <f>-R14/SQRT(R14*R14)</f>
        <v>-1</v>
      </c>
      <c r="U19" s="1">
        <f>ABS(P19*SQRT($A$2-$A$5)/SQRT(1-P19*P19))</f>
        <v>2.1392224201851056</v>
      </c>
      <c r="V19" s="2">
        <f>ABS(Q19*SQRT($A$2-$A$5)/SQRT(1-Q19*Q19))</f>
        <v>2.9623648948150518</v>
      </c>
      <c r="W19" t="e">
        <f>ABS(R19*SQRT($A$2-$A$5)/SQRT(1-R19*R19))</f>
        <v>#DIV/0!</v>
      </c>
    </row>
    <row r="20" spans="3:25" ht="15.75" thickBot="1" x14ac:dyDescent="0.3">
      <c r="D20" s="8">
        <v>19</v>
      </c>
      <c r="E20" s="12">
        <v>36</v>
      </c>
      <c r="F20" s="13">
        <v>37</v>
      </c>
      <c r="G20" s="13">
        <v>17</v>
      </c>
      <c r="H20" s="31">
        <v>200</v>
      </c>
      <c r="I20" s="8">
        <v>200.42095668702245</v>
      </c>
      <c r="K20" s="12">
        <f t="shared" si="1"/>
        <v>0.42668976547998433</v>
      </c>
      <c r="L20" s="13">
        <f t="shared" si="2"/>
        <v>0.44971591537760724</v>
      </c>
      <c r="M20" s="14">
        <f t="shared" si="3"/>
        <v>0.15323977328035948</v>
      </c>
    </row>
    <row r="21" spans="3:25" ht="15.75" thickBot="1" x14ac:dyDescent="0.3">
      <c r="D21" s="8">
        <v>20</v>
      </c>
      <c r="E21" s="15">
        <v>40</v>
      </c>
      <c r="F21" s="16">
        <v>38</v>
      </c>
      <c r="G21" s="16">
        <v>21</v>
      </c>
      <c r="H21" s="32">
        <v>230</v>
      </c>
      <c r="I21" s="8">
        <v>194.66384371641158</v>
      </c>
      <c r="K21" s="15">
        <f t="shared" si="1"/>
        <v>0.50105835205601645</v>
      </c>
      <c r="L21" s="16">
        <f t="shared" si="2"/>
        <v>0.46857192860098701</v>
      </c>
      <c r="M21" s="17">
        <f t="shared" si="3"/>
        <v>0.26999388625587145</v>
      </c>
    </row>
    <row r="22" spans="3:25" x14ac:dyDescent="0.25">
      <c r="K22" s="33" t="s">
        <v>55</v>
      </c>
      <c r="L22" s="33"/>
      <c r="M22" s="33"/>
    </row>
    <row r="23" spans="3:25" x14ac:dyDescent="0.25">
      <c r="D23" t="s">
        <v>6</v>
      </c>
      <c r="E23">
        <f>AVERAGE(E2:E21)</f>
        <v>13.05</v>
      </c>
      <c r="F23">
        <f>AVERAGE(F2:F21)</f>
        <v>13.15</v>
      </c>
      <c r="G23">
        <f>AVERAGE(G2:G21)</f>
        <v>11.75</v>
      </c>
      <c r="H23">
        <f>AVERAGE(H2:H21)</f>
        <v>84.3</v>
      </c>
    </row>
    <row r="24" spans="3:25" x14ac:dyDescent="0.25">
      <c r="D24" t="s">
        <v>7</v>
      </c>
      <c r="E24">
        <f>_xlfn.VAR.P(E2:E21)</f>
        <v>144.64750000000001</v>
      </c>
      <c r="F24">
        <f>_xlfn.VAR.P(F2:F21)</f>
        <v>140.6275</v>
      </c>
      <c r="G24">
        <f>_xlfn.VAR.P(G2:G21)</f>
        <v>58.6875</v>
      </c>
      <c r="I24" s="46" t="s">
        <v>65</v>
      </c>
      <c r="J24" s="46"/>
      <c r="K24" s="46"/>
    </row>
    <row r="25" spans="3:25" ht="15.75" thickBot="1" x14ac:dyDescent="0.3">
      <c r="I25" s="47" t="s">
        <v>64</v>
      </c>
      <c r="J25" s="47"/>
      <c r="K25" s="47"/>
      <c r="M25" s="6" t="s">
        <v>69</v>
      </c>
      <c r="N25" s="6"/>
      <c r="P25" s="6" t="s">
        <v>68</v>
      </c>
      <c r="Q25" s="6"/>
      <c r="R25" s="6"/>
      <c r="S25" s="6"/>
      <c r="T25" s="6"/>
      <c r="V25" t="s">
        <v>70</v>
      </c>
    </row>
    <row r="26" spans="3:25" ht="16.5" thickTop="1" thickBot="1" x14ac:dyDescent="0.3">
      <c r="C26" s="19" t="s">
        <v>29</v>
      </c>
      <c r="E26" t="s">
        <v>30</v>
      </c>
      <c r="F26" t="s">
        <v>31</v>
      </c>
      <c r="G26" t="s">
        <v>32</v>
      </c>
      <c r="I26" s="37"/>
      <c r="J26" s="38"/>
      <c r="K26" s="39" t="s">
        <v>52</v>
      </c>
      <c r="L26" s="4" t="s">
        <v>13</v>
      </c>
      <c r="M26" s="4" t="s">
        <v>38</v>
      </c>
      <c r="N26" s="4" t="s">
        <v>39</v>
      </c>
      <c r="P26" s="18" t="s">
        <v>54</v>
      </c>
      <c r="V26" s="4" t="s">
        <v>46</v>
      </c>
    </row>
    <row r="27" spans="3:25" ht="16.5" thickTop="1" thickBot="1" x14ac:dyDescent="0.3">
      <c r="D27" s="20">
        <v>1</v>
      </c>
      <c r="E27" s="21">
        <f>SIN(E2)</f>
        <v>-0.7568024953079282</v>
      </c>
      <c r="F27" s="21">
        <f>LN(E2+F2)</f>
        <v>1.791759469228055</v>
      </c>
      <c r="G27" s="22">
        <f>G2</f>
        <v>1</v>
      </c>
      <c r="I27" s="40" t="s">
        <v>33</v>
      </c>
      <c r="J27" s="41">
        <f t="array" ref="J27:J30">MMULT(MMULT(MINVERSE(MMULT(TRANSPOSE(D27:G46),D27:G46)),TRANSPOSE(D27:G46)),H2:H21)</f>
        <v>-159.47342498252698</v>
      </c>
      <c r="K27" s="42">
        <f>$Q$38*SQRT(Q27*$Q$32)</f>
        <v>41.558124532594015</v>
      </c>
      <c r="L27">
        <f>$J$27+$J$28*E27+$J$29*F27+$J$30*G27</f>
        <v>-6.2377918133975498</v>
      </c>
      <c r="M27">
        <f>(L27-$H$23)^2</f>
        <v>8197.0917464461163</v>
      </c>
      <c r="N27">
        <f>(H2-$H$23)^2</f>
        <v>3398.89</v>
      </c>
      <c r="Q27" s="36">
        <f t="array" ref="Q27:T30">MINVERSE(MMULT(TRANSPOSE(D27:G46),D27:G46))</f>
        <v>0.88849103062740942</v>
      </c>
      <c r="R27" s="21">
        <v>5.6814473647426818E-2</v>
      </c>
      <c r="S27" s="21">
        <v>-0.29127742038669779</v>
      </c>
      <c r="T27" s="22">
        <v>1.8815329598591321E-3</v>
      </c>
      <c r="V27">
        <f>(L27-H2)^2</f>
        <v>1039.2752210039621</v>
      </c>
    </row>
    <row r="28" spans="3:25" ht="16.5" thickTop="1" thickBot="1" x14ac:dyDescent="0.3">
      <c r="D28" s="23">
        <v>1</v>
      </c>
      <c r="E28" s="24">
        <f t="shared" ref="E28:E46" si="4">SIN(E3)</f>
        <v>-0.27941549819892586</v>
      </c>
      <c r="F28" s="24">
        <f t="shared" ref="F28:F46" si="5">LN(E3+F3)</f>
        <v>2.1972245773362196</v>
      </c>
      <c r="G28" s="25">
        <f t="shared" ref="G28:G46" si="6">G3</f>
        <v>2</v>
      </c>
      <c r="I28" s="40" t="s">
        <v>34</v>
      </c>
      <c r="J28" s="41">
        <v>-6.1686929688028052</v>
      </c>
      <c r="K28" s="42">
        <f>$Q$38*SQRT(R28*$Q$32)</f>
        <v>13.964718903263961</v>
      </c>
      <c r="L28">
        <f t="shared" ref="L28:L46" si="7">$J$27+$J$28*E28+$J$29*F28+$J$30*G28</f>
        <v>24.332631749335576</v>
      </c>
      <c r="M28">
        <f t="shared" ref="M28:M46" si="8">(L28-$H$23)^2</f>
        <v>3596.0852549107954</v>
      </c>
      <c r="N28">
        <f t="shared" ref="N28:N46" si="9">(H3-$H$23)^2</f>
        <v>2143.6899999999996</v>
      </c>
      <c r="Q28" s="23">
        <v>5.6814473647426811E-2</v>
      </c>
      <c r="R28" s="36">
        <v>0.1003241673619501</v>
      </c>
      <c r="S28" s="24">
        <v>-2.3437971673826663E-2</v>
      </c>
      <c r="T28" s="25">
        <v>9.3153824136018226E-4</v>
      </c>
      <c r="V28">
        <f t="shared" ref="V28:V46" si="10">(L28-H3)^2</f>
        <v>186.79695489926991</v>
      </c>
    </row>
    <row r="29" spans="3:25" ht="16.5" thickTop="1" thickBot="1" x14ac:dyDescent="0.3">
      <c r="D29" s="23">
        <v>1</v>
      </c>
      <c r="E29" s="24">
        <f t="shared" si="4"/>
        <v>0.98935824662338179</v>
      </c>
      <c r="F29" s="24">
        <f t="shared" si="5"/>
        <v>2.5649493574615367</v>
      </c>
      <c r="G29" s="25">
        <f t="shared" si="6"/>
        <v>4</v>
      </c>
      <c r="I29" s="40" t="s">
        <v>35</v>
      </c>
      <c r="J29" s="41">
        <v>82.992383716695883</v>
      </c>
      <c r="K29" s="42">
        <f>$Q$38*SQRT(S29*$Q$32)</f>
        <v>15.125629297199415</v>
      </c>
      <c r="L29">
        <f t="shared" si="7"/>
        <v>46.753835203652415</v>
      </c>
      <c r="M29">
        <f t="shared" si="8"/>
        <v>1409.7144909144906</v>
      </c>
      <c r="N29">
        <f t="shared" si="9"/>
        <v>1246.0899999999997</v>
      </c>
      <c r="Q29" s="23">
        <v>-0.29127742038669768</v>
      </c>
      <c r="R29" s="24">
        <v>-2.343797167382666E-2</v>
      </c>
      <c r="S29" s="36">
        <v>0.11769772609695114</v>
      </c>
      <c r="T29" s="25">
        <v>-4.8051982002281024E-3</v>
      </c>
      <c r="V29">
        <f t="shared" si="10"/>
        <v>5.0452562923511906</v>
      </c>
    </row>
    <row r="30" spans="3:25" ht="16.5" thickTop="1" thickBot="1" x14ac:dyDescent="0.3">
      <c r="D30" s="23">
        <v>1</v>
      </c>
      <c r="E30" s="24">
        <f t="shared" si="4"/>
        <v>0.65698659871878906</v>
      </c>
      <c r="F30" s="24">
        <f t="shared" si="5"/>
        <v>2.6390573296152584</v>
      </c>
      <c r="G30" s="25">
        <f t="shared" si="6"/>
        <v>6</v>
      </c>
      <c r="I30" s="43" t="s">
        <v>36</v>
      </c>
      <c r="J30" s="44">
        <v>-0.13523846064707323</v>
      </c>
      <c r="K30" s="45">
        <f>$Q$38*SQRT(T30*$Q$32)</f>
        <v>1.4273896632843937</v>
      </c>
      <c r="L30">
        <f t="shared" si="7"/>
        <v>54.684054191264607</v>
      </c>
      <c r="M30">
        <f t="shared" si="8"/>
        <v>877.10424614595127</v>
      </c>
      <c r="N30">
        <f t="shared" si="9"/>
        <v>1043.2899999999997</v>
      </c>
      <c r="Q30" s="26">
        <v>1.8815329598591047E-3</v>
      </c>
      <c r="R30" s="27">
        <v>9.3153824136018052E-4</v>
      </c>
      <c r="S30" s="27">
        <v>-4.8051982002280938E-3</v>
      </c>
      <c r="T30" s="36">
        <v>1.0481568150863356E-3</v>
      </c>
      <c r="V30">
        <f t="shared" si="10"/>
        <v>7.2041469016451058</v>
      </c>
    </row>
    <row r="31" spans="3:25" ht="15.75" thickTop="1" x14ac:dyDescent="0.25">
      <c r="D31" s="23">
        <v>1</v>
      </c>
      <c r="E31" s="24">
        <f t="shared" si="4"/>
        <v>0.41211848524175659</v>
      </c>
      <c r="F31" s="24">
        <f t="shared" si="5"/>
        <v>2.8903717578961645</v>
      </c>
      <c r="G31" s="25">
        <f t="shared" si="6"/>
        <v>1</v>
      </c>
      <c r="L31">
        <f t="shared" si="7"/>
        <v>77.727946169820754</v>
      </c>
      <c r="M31">
        <f t="shared" si="8"/>
        <v>43.191891546773661</v>
      </c>
      <c r="N31">
        <f t="shared" si="9"/>
        <v>691.68999999999983</v>
      </c>
      <c r="V31">
        <f t="shared" si="10"/>
        <v>389.19186007934536</v>
      </c>
    </row>
    <row r="32" spans="3:25" x14ac:dyDescent="0.25">
      <c r="D32" s="23">
        <v>1</v>
      </c>
      <c r="E32" s="24">
        <f t="shared" si="4"/>
        <v>-0.53657291800043494</v>
      </c>
      <c r="F32" s="24">
        <f t="shared" si="5"/>
        <v>3.0910424533583161</v>
      </c>
      <c r="G32" s="25">
        <f t="shared" si="6"/>
        <v>5</v>
      </c>
      <c r="L32">
        <f t="shared" si="7"/>
        <v>99.693317674467366</v>
      </c>
      <c r="M32">
        <f t="shared" si="8"/>
        <v>236.95422902706949</v>
      </c>
      <c r="N32">
        <f t="shared" si="9"/>
        <v>53.289999999999957</v>
      </c>
      <c r="P32" t="s">
        <v>47</v>
      </c>
      <c r="Q32">
        <f>V48/(A2-A5-1)</f>
        <v>317.87277797981642</v>
      </c>
      <c r="V32">
        <f t="shared" si="10"/>
        <v>514.98666707429288</v>
      </c>
    </row>
    <row r="33" spans="4:22" x14ac:dyDescent="0.25">
      <c r="D33" s="23">
        <v>1</v>
      </c>
      <c r="E33" s="24">
        <f t="shared" si="4"/>
        <v>-0.95892427466313845</v>
      </c>
      <c r="F33" s="24">
        <f t="shared" si="5"/>
        <v>2.0794415416798357</v>
      </c>
      <c r="G33" s="25">
        <f t="shared" si="6"/>
        <v>8</v>
      </c>
      <c r="L33">
        <f t="shared" si="7"/>
        <v>17.937787106555849</v>
      </c>
      <c r="M33">
        <f t="shared" si="8"/>
        <v>4403.9433001148054</v>
      </c>
      <c r="N33">
        <f t="shared" si="9"/>
        <v>2332.89</v>
      </c>
      <c r="V33">
        <f t="shared" si="10"/>
        <v>326.24353460810016</v>
      </c>
    </row>
    <row r="34" spans="4:22" x14ac:dyDescent="0.25">
      <c r="D34" s="23">
        <v>1</v>
      </c>
      <c r="E34" s="24">
        <f t="shared" si="4"/>
        <v>0.41211848524175659</v>
      </c>
      <c r="F34" s="24">
        <f t="shared" si="5"/>
        <v>2.7080502011022101</v>
      </c>
      <c r="G34" s="25">
        <f t="shared" si="6"/>
        <v>10</v>
      </c>
      <c r="H34" t="s">
        <v>67</v>
      </c>
      <c r="I34" t="s">
        <v>37</v>
      </c>
      <c r="J34" s="1">
        <f>M48/N48</f>
        <v>0.93409419118161552</v>
      </c>
      <c r="K34" t="s">
        <v>71</v>
      </c>
      <c r="L34">
        <f t="shared" si="7"/>
        <v>61.379499422727861</v>
      </c>
      <c r="M34">
        <f t="shared" si="8"/>
        <v>525.34934671273231</v>
      </c>
      <c r="N34">
        <f t="shared" si="9"/>
        <v>745.28999999999985</v>
      </c>
      <c r="P34" t="s">
        <v>51</v>
      </c>
      <c r="Q34" s="1">
        <f>ABS(J27)/SQRT(Q27*$Q$32)</f>
        <v>9.4893208026916032</v>
      </c>
      <c r="V34">
        <f t="shared" si="10"/>
        <v>19.180015193673665</v>
      </c>
    </row>
    <row r="35" spans="4:22" x14ac:dyDescent="0.25">
      <c r="D35" s="23">
        <v>1</v>
      </c>
      <c r="E35" s="24">
        <f t="shared" si="4"/>
        <v>0.65028784015711683</v>
      </c>
      <c r="F35" s="24">
        <f t="shared" si="5"/>
        <v>3.1780538303479458</v>
      </c>
      <c r="G35" s="25">
        <f t="shared" si="6"/>
        <v>13</v>
      </c>
      <c r="H35" t="s">
        <v>66</v>
      </c>
      <c r="I35" t="s">
        <v>41</v>
      </c>
      <c r="J35" s="1">
        <f>SQRT(J34)</f>
        <v>0.96648548420636693</v>
      </c>
      <c r="K35" t="s">
        <v>43</v>
      </c>
      <c r="L35">
        <f t="shared" si="7"/>
        <v>98.511311962337729</v>
      </c>
      <c r="M35">
        <f t="shared" si="8"/>
        <v>201.9613876908835</v>
      </c>
      <c r="N35">
        <f t="shared" si="9"/>
        <v>1.6899999999999926</v>
      </c>
      <c r="P35" t="s">
        <v>48</v>
      </c>
      <c r="Q35" s="2">
        <f>ABS(J28)/SQRT(R28*$Q$32)</f>
        <v>1.092354756736863</v>
      </c>
      <c r="V35">
        <f t="shared" si="10"/>
        <v>240.60079879296151</v>
      </c>
    </row>
    <row r="36" spans="4:22" x14ac:dyDescent="0.25">
      <c r="D36" s="23">
        <v>1</v>
      </c>
      <c r="E36" s="24">
        <f t="shared" si="4"/>
        <v>0.65028784015711683</v>
      </c>
      <c r="F36" s="24">
        <f t="shared" si="5"/>
        <v>2.8903717578961645</v>
      </c>
      <c r="G36" s="25">
        <f t="shared" si="6"/>
        <v>13</v>
      </c>
      <c r="L36">
        <f t="shared" si="7"/>
        <v>74.635891017005193</v>
      </c>
      <c r="M36">
        <f t="shared" si="8"/>
        <v>93.395002435200865</v>
      </c>
      <c r="N36">
        <f t="shared" si="9"/>
        <v>204.48999999999992</v>
      </c>
      <c r="P36" t="s">
        <v>49</v>
      </c>
      <c r="Q36" s="1">
        <f>ABS(J29)/SQRT(S29*$Q$32)</f>
        <v>13.568365493423096</v>
      </c>
      <c r="V36">
        <f t="shared" si="10"/>
        <v>21.491485521549439</v>
      </c>
    </row>
    <row r="37" spans="4:22" x14ac:dyDescent="0.25">
      <c r="D37" s="23">
        <v>1</v>
      </c>
      <c r="E37" s="24">
        <f t="shared" si="4"/>
        <v>-0.95892427466313845</v>
      </c>
      <c r="F37" s="24">
        <f t="shared" si="5"/>
        <v>2.5649493574615367</v>
      </c>
      <c r="G37" s="25">
        <f t="shared" si="6"/>
        <v>7</v>
      </c>
      <c r="I37" t="s">
        <v>42</v>
      </c>
      <c r="J37" s="1">
        <f>(J34/A5)/((1-J34)/(A2-A5-1))</f>
        <v>75.590236666851467</v>
      </c>
      <c r="K37" t="s">
        <v>44</v>
      </c>
      <c r="L37">
        <f t="shared" si="7"/>
        <v>58.366476512012738</v>
      </c>
      <c r="M37">
        <f t="shared" si="8"/>
        <v>672.54764050198685</v>
      </c>
      <c r="N37">
        <f t="shared" si="9"/>
        <v>1391.2899999999997</v>
      </c>
      <c r="P37" t="s">
        <v>50</v>
      </c>
      <c r="Q37" s="2">
        <f>ABS(J30)/SQRT(T30*$Q$32)</f>
        <v>0.23429359641550673</v>
      </c>
      <c r="V37">
        <f t="shared" si="10"/>
        <v>129.19678829813728</v>
      </c>
    </row>
    <row r="38" spans="4:22" x14ac:dyDescent="0.25">
      <c r="D38" s="23">
        <v>1</v>
      </c>
      <c r="E38" s="24">
        <f t="shared" si="4"/>
        <v>0.65698659871878906</v>
      </c>
      <c r="F38" s="24">
        <f t="shared" si="5"/>
        <v>2.9444389791664403</v>
      </c>
      <c r="G38" s="25">
        <f t="shared" si="6"/>
        <v>8</v>
      </c>
      <c r="I38" t="s">
        <v>24</v>
      </c>
      <c r="J38" s="3">
        <f>_xlfn.F.INV.RT(0.05,A5,A2-A5-1)</f>
        <v>3.2388715174535854</v>
      </c>
      <c r="K38" t="s">
        <v>45</v>
      </c>
      <c r="L38">
        <f t="shared" si="7"/>
        <v>79.757928309559674</v>
      </c>
      <c r="M38">
        <f t="shared" si="8"/>
        <v>20.630415241099417</v>
      </c>
      <c r="N38">
        <f t="shared" si="9"/>
        <v>453.68999999999988</v>
      </c>
      <c r="P38" t="s">
        <v>28</v>
      </c>
      <c r="Q38" s="3">
        <f>_xlfn.T.INV.2T(A8/2,A2-A5-1)</f>
        <v>2.4728783224615718</v>
      </c>
      <c r="V38">
        <f t="shared" si="10"/>
        <v>280.82816122834151</v>
      </c>
    </row>
    <row r="39" spans="4:22" x14ac:dyDescent="0.25">
      <c r="D39" s="23">
        <v>1</v>
      </c>
      <c r="E39" s="24">
        <f t="shared" si="4"/>
        <v>-0.7568024953079282</v>
      </c>
      <c r="F39" s="24">
        <f t="shared" si="5"/>
        <v>2.3978952727983707</v>
      </c>
      <c r="G39" s="25">
        <f t="shared" si="6"/>
        <v>15</v>
      </c>
      <c r="L39">
        <f t="shared" si="7"/>
        <v>42.17352493187888</v>
      </c>
      <c r="M39">
        <f t="shared" si="8"/>
        <v>1774.63990166503</v>
      </c>
      <c r="N39">
        <f t="shared" si="9"/>
        <v>1624.0899999999997</v>
      </c>
      <c r="V39">
        <f t="shared" si="10"/>
        <v>3.336011174468049</v>
      </c>
    </row>
    <row r="40" spans="4:22" ht="15.75" thickBot="1" x14ac:dyDescent="0.3">
      <c r="D40" s="23">
        <v>1</v>
      </c>
      <c r="E40" s="24">
        <f t="shared" si="4"/>
        <v>0.8414709848078965</v>
      </c>
      <c r="F40" s="24">
        <f t="shared" si="5"/>
        <v>2.3978952727983707</v>
      </c>
      <c r="G40" s="25">
        <f t="shared" si="6"/>
        <v>23</v>
      </c>
      <c r="L40">
        <f t="shared" si="7"/>
        <v>31.232358867687815</v>
      </c>
      <c r="M40">
        <f t="shared" si="8"/>
        <v>2816.1745353478718</v>
      </c>
      <c r="N40">
        <f t="shared" si="9"/>
        <v>1789.2899999999997</v>
      </c>
      <c r="V40">
        <f t="shared" si="10"/>
        <v>115.94209555426124</v>
      </c>
    </row>
    <row r="41" spans="4:22" ht="15.75" thickTop="1" x14ac:dyDescent="0.25">
      <c r="D41" s="23">
        <v>1</v>
      </c>
      <c r="E41" s="24">
        <f t="shared" si="4"/>
        <v>-0.7568024953079282</v>
      </c>
      <c r="F41" s="24">
        <f t="shared" si="5"/>
        <v>2.7725887222397811</v>
      </c>
      <c r="G41" s="25">
        <f t="shared" si="6"/>
        <v>25</v>
      </c>
      <c r="L41">
        <f t="shared" si="7"/>
        <v>71.917842857582087</v>
      </c>
      <c r="M41">
        <f t="shared" si="8"/>
        <v>153.31781549953087</v>
      </c>
      <c r="N41">
        <f t="shared" si="9"/>
        <v>858.48999999999978</v>
      </c>
      <c r="P41" s="37"/>
      <c r="Q41" s="48" t="s">
        <v>53</v>
      </c>
      <c r="R41" s="49"/>
      <c r="V41">
        <f t="shared" si="10"/>
        <v>286.21340695384123</v>
      </c>
    </row>
    <row r="42" spans="4:22" x14ac:dyDescent="0.25">
      <c r="D42" s="23">
        <v>1</v>
      </c>
      <c r="E42" s="24">
        <f t="shared" si="4"/>
        <v>-0.27941549819892586</v>
      </c>
      <c r="F42" s="24">
        <f t="shared" si="5"/>
        <v>2.9444389791664403</v>
      </c>
      <c r="G42" s="25">
        <f t="shared" si="6"/>
        <v>26</v>
      </c>
      <c r="L42">
        <f t="shared" si="7"/>
        <v>83.100013049140884</v>
      </c>
      <c r="M42">
        <f t="shared" si="8"/>
        <v>1.4399686822321518</v>
      </c>
      <c r="N42">
        <f t="shared" si="9"/>
        <v>204.48999999999992</v>
      </c>
      <c r="P42" s="40" t="s">
        <v>33</v>
      </c>
      <c r="Q42" s="41">
        <f>J27-K27</f>
        <v>-201.03154951512099</v>
      </c>
      <c r="R42" s="42">
        <f>J27+K27</f>
        <v>-117.91530044993297</v>
      </c>
      <c r="V42">
        <f t="shared" si="10"/>
        <v>171.61034188766143</v>
      </c>
    </row>
    <row r="43" spans="4:22" x14ac:dyDescent="0.25">
      <c r="D43" s="23">
        <v>1</v>
      </c>
      <c r="E43" s="24">
        <f t="shared" si="4"/>
        <v>0.99991186010726718</v>
      </c>
      <c r="F43" s="24">
        <f t="shared" si="5"/>
        <v>4.1896547420264252</v>
      </c>
      <c r="G43" s="25">
        <f t="shared" si="6"/>
        <v>14</v>
      </c>
      <c r="L43">
        <f t="shared" si="7"/>
        <v>180.1745212982793</v>
      </c>
      <c r="M43">
        <f t="shared" si="8"/>
        <v>9191.9238341742112</v>
      </c>
      <c r="N43">
        <f t="shared" si="9"/>
        <v>10753.69</v>
      </c>
      <c r="P43" s="40" t="s">
        <v>34</v>
      </c>
      <c r="Q43" s="41">
        <f t="shared" ref="Q43:Q45" si="11">J28-K28</f>
        <v>-20.133411872066766</v>
      </c>
      <c r="R43" s="42">
        <f t="shared" ref="R43:R45" si="12">J28+K28</f>
        <v>7.7960259344611558</v>
      </c>
      <c r="V43">
        <f t="shared" si="10"/>
        <v>61.238116911084262</v>
      </c>
    </row>
    <row r="44" spans="4:22" x14ac:dyDescent="0.25">
      <c r="D44" s="23">
        <v>1</v>
      </c>
      <c r="E44" s="24">
        <f t="shared" si="4"/>
        <v>-0.42818266949615102</v>
      </c>
      <c r="F44" s="24">
        <f t="shared" si="5"/>
        <v>4.2626798770413155</v>
      </c>
      <c r="G44" s="25">
        <f t="shared" si="6"/>
        <v>16</v>
      </c>
      <c r="L44">
        <f t="shared" si="7"/>
        <v>194.77405108665488</v>
      </c>
      <c r="M44">
        <f t="shared" si="8"/>
        <v>12204.515963496833</v>
      </c>
      <c r="N44">
        <f t="shared" si="9"/>
        <v>13618.890000000001</v>
      </c>
      <c r="P44" s="40" t="s">
        <v>35</v>
      </c>
      <c r="Q44" s="41">
        <f t="shared" si="11"/>
        <v>67.866754419496473</v>
      </c>
      <c r="R44" s="42">
        <f t="shared" si="12"/>
        <v>98.118013013895293</v>
      </c>
      <c r="V44">
        <f t="shared" si="10"/>
        <v>38.762439871583297</v>
      </c>
    </row>
    <row r="45" spans="4:22" ht="15.75" thickBot="1" x14ac:dyDescent="0.3">
      <c r="D45" s="23">
        <v>1</v>
      </c>
      <c r="E45" s="24">
        <f t="shared" si="4"/>
        <v>-0.99177885344311578</v>
      </c>
      <c r="F45" s="24">
        <f t="shared" si="5"/>
        <v>4.290459441148391</v>
      </c>
      <c r="G45" s="25">
        <f t="shared" si="6"/>
        <v>17</v>
      </c>
      <c r="L45">
        <f t="shared" si="7"/>
        <v>200.42095668702245</v>
      </c>
      <c r="M45">
        <f t="shared" si="8"/>
        <v>13484.076581909345</v>
      </c>
      <c r="N45">
        <f t="shared" si="9"/>
        <v>13386.49</v>
      </c>
      <c r="P45" s="43" t="s">
        <v>36</v>
      </c>
      <c r="Q45" s="44">
        <f t="shared" si="11"/>
        <v>-1.562628123931467</v>
      </c>
      <c r="R45" s="45">
        <f t="shared" si="12"/>
        <v>1.2921512026373203</v>
      </c>
      <c r="V45">
        <f t="shared" si="10"/>
        <v>0.17720453234891986</v>
      </c>
    </row>
    <row r="46" spans="4:22" ht="16.5" thickTop="1" thickBot="1" x14ac:dyDescent="0.3">
      <c r="D46" s="26">
        <v>1</v>
      </c>
      <c r="E46" s="27">
        <f t="shared" si="4"/>
        <v>0.74511316047934883</v>
      </c>
      <c r="F46" s="27">
        <f t="shared" si="5"/>
        <v>4.3567088266895917</v>
      </c>
      <c r="G46" s="28">
        <f t="shared" si="6"/>
        <v>21</v>
      </c>
      <c r="L46">
        <f t="shared" si="7"/>
        <v>194.66384371641158</v>
      </c>
      <c r="M46">
        <f t="shared" si="8"/>
        <v>12180.17799986052</v>
      </c>
      <c r="N46">
        <f t="shared" si="9"/>
        <v>21228.489999999998</v>
      </c>
      <c r="V46">
        <f t="shared" si="10"/>
        <v>1248.6439408981855</v>
      </c>
    </row>
    <row r="47" spans="4:22" ht="15.75" thickTop="1" x14ac:dyDescent="0.25"/>
    <row r="48" spans="4:22" x14ac:dyDescent="0.25">
      <c r="L48" t="s">
        <v>40</v>
      </c>
      <c r="M48">
        <f>SUM(M27:M46)</f>
        <v>72084.235552323487</v>
      </c>
      <c r="N48">
        <f>SUM(N27:N46)</f>
        <v>77170.199999999983</v>
      </c>
      <c r="V48">
        <f>SUM(V27:V46)</f>
        <v>5085.9644476770627</v>
      </c>
    </row>
  </sheetData>
  <mergeCells count="11">
    <mergeCell ref="P25:T25"/>
    <mergeCell ref="M25:N25"/>
    <mergeCell ref="Q41:R41"/>
    <mergeCell ref="K22:M22"/>
    <mergeCell ref="P6:R6"/>
    <mergeCell ref="U6:X6"/>
    <mergeCell ref="P11:R11"/>
    <mergeCell ref="U16:W16"/>
    <mergeCell ref="P16:R16"/>
    <mergeCell ref="I25:K25"/>
    <mergeCell ref="I24:K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2020-03-01T12:42:18Z</dcterms:created>
  <dcterms:modified xsi:type="dcterms:W3CDTF">2020-03-01T22:50:51Z</dcterms:modified>
</cp:coreProperties>
</file>