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filterPrivacy="1"/>
  <xr:revisionPtr revIDLastSave="0" documentId="13_ncr:1_{EBDC2164-9C52-CC48-B429-011E44676531}" xr6:coauthVersionLast="47" xr6:coauthVersionMax="47" xr10:uidLastSave="{00000000-0000-0000-0000-000000000000}"/>
  <bookViews>
    <workbookView xWindow="9100" yWindow="4060" windowWidth="19340" windowHeight="16060" activeTab="4" xr2:uid="{00000000-000D-0000-FFFF-FFFF00000000}"/>
  </bookViews>
  <sheets>
    <sheet name="FCFF" sheetId="15" r:id="rId1"/>
    <sheet name="NCW" sheetId="16" r:id="rId2"/>
    <sheet name="Forecast NWC" sheetId="17" r:id="rId3"/>
    <sheet name="Assumptions" sheetId="18" r:id="rId4"/>
    <sheet name="ERP" sheetId="19" r:id="rId5"/>
    <sheet name="beta" sheetId="20" r:id="rId6"/>
    <sheet name="WACC" sheetId="21" r:id="rId7"/>
    <sheet name="MV of debt" sheetId="22" r:id="rId8"/>
    <sheet name="Fair value" sheetId="23" r:id="rId9"/>
    <sheet name="Key Stats" sheetId="1" r:id="rId10"/>
    <sheet name="Income Statement" sheetId="2" r:id="rId11"/>
    <sheet name="Balance Sheet" sheetId="3" r:id="rId12"/>
    <sheet name="Cash Flow" sheetId="4" r:id="rId13"/>
    <sheet name="Multiples" sheetId="5" r:id="rId14"/>
    <sheet name="Historical Capitalization" sheetId="6" r:id="rId15"/>
    <sheet name="Capital Structure Summary" sheetId="7" r:id="rId16"/>
    <sheet name="Capital Structure Details" sheetId="8" r:id="rId17"/>
    <sheet name="Ratios" sheetId="9" r:id="rId18"/>
    <sheet name="Supplemental" sheetId="10" r:id="rId19"/>
    <sheet name="Industry Specific" sheetId="11" r:id="rId20"/>
    <sheet name="Pension OPEB" sheetId="12" r:id="rId21"/>
    <sheet name="Segments" sheetId="13" r:id="rId22"/>
  </sheets>
  <definedNames>
    <definedName name="_xlnm.Print_Titles" localSheetId="11">'Balance Sheet'!$1:$3</definedName>
    <definedName name="_xlnm.Print_Titles" localSheetId="16">'Capital Structure Details'!$1:$3</definedName>
    <definedName name="_xlnm.Print_Titles" localSheetId="15">'Capital Structure Summary'!$1:$3</definedName>
    <definedName name="_xlnm.Print_Titles" localSheetId="12">'Cash Flow'!$1:$3</definedName>
    <definedName name="_xlnm.Print_Titles" localSheetId="14">'Historical Capitalization'!$1:$3</definedName>
    <definedName name="_xlnm.Print_Titles" localSheetId="10">'Income Statement'!$1:$3</definedName>
    <definedName name="_xlnm.Print_Titles" localSheetId="19">'Industry Specific'!$1:$3</definedName>
    <definedName name="_xlnm.Print_Titles" localSheetId="9">'Key Stats'!$1:$3</definedName>
    <definedName name="_xlnm.Print_Titles" localSheetId="13">Multiples!$1:$3</definedName>
    <definedName name="_xlnm.Print_Titles" localSheetId="20">'Pension OPEB'!$1:$3</definedName>
    <definedName name="_xlnm.Print_Titles" localSheetId="17">Ratios!$1:$3</definedName>
    <definedName name="_xlnm.Print_Titles" localSheetId="21">Segments!$1:$3</definedName>
    <definedName name="_xlnm.Print_Titles" localSheetId="18">Supplemental!$1:$3</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23" l="1"/>
  <c r="F11" i="23" s="1"/>
  <c r="F12" i="23" s="1"/>
  <c r="D10" i="21"/>
  <c r="H10" i="21"/>
  <c r="D14" i="21"/>
  <c r="K19" i="22"/>
  <c r="K20" i="22" s="1"/>
  <c r="K7" i="22"/>
  <c r="K6" i="22"/>
  <c r="H12" i="21"/>
  <c r="H30" i="21" l="1"/>
  <c r="D30" i="21"/>
  <c r="E30" i="21"/>
  <c r="F30" i="21"/>
  <c r="G30" i="21"/>
  <c r="C30" i="21"/>
  <c r="B13" i="15"/>
  <c r="J31" i="17" l="1"/>
  <c r="J30" i="17"/>
  <c r="J29" i="17"/>
  <c r="J28" i="17"/>
  <c r="J27" i="17"/>
  <c r="J26" i="17"/>
  <c r="J25" i="17"/>
  <c r="J24" i="17"/>
  <c r="J23" i="17"/>
  <c r="I23" i="17"/>
  <c r="H17" i="17"/>
  <c r="H16" i="17"/>
  <c r="H14" i="17"/>
  <c r="H13" i="17"/>
  <c r="H10" i="17"/>
  <c r="I10" i="17"/>
  <c r="H9" i="17"/>
  <c r="H7" i="17"/>
  <c r="H6" i="17"/>
  <c r="H2" i="17"/>
  <c r="B15" i="15"/>
  <c r="C14" i="15"/>
  <c r="D14" i="15"/>
  <c r="E14" i="15"/>
  <c r="F14" i="15"/>
  <c r="G14" i="15"/>
  <c r="B14" i="15"/>
  <c r="B17" i="17"/>
  <c r="B8" i="17"/>
  <c r="C11" i="15"/>
  <c r="D11" i="15"/>
  <c r="E11" i="15"/>
  <c r="F11" i="15"/>
  <c r="G11" i="15"/>
  <c r="C10" i="15"/>
  <c r="D10" i="15"/>
  <c r="E10" i="15"/>
  <c r="F10" i="15"/>
  <c r="G10" i="15"/>
  <c r="C9" i="15"/>
  <c r="D9" i="15"/>
  <c r="E9" i="15"/>
  <c r="F9" i="15"/>
  <c r="G9" i="15"/>
  <c r="F6" i="15"/>
  <c r="C4" i="15"/>
  <c r="D4" i="15"/>
  <c r="E4" i="15"/>
  <c r="E6" i="15" s="1"/>
  <c r="F4" i="15"/>
  <c r="G4" i="15"/>
  <c r="C2" i="15"/>
  <c r="C6" i="15" s="1"/>
  <c r="D2" i="15"/>
  <c r="D6" i="15" s="1"/>
  <c r="E2" i="15"/>
  <c r="F2" i="15"/>
  <c r="G2" i="15"/>
  <c r="G6" i="15" s="1"/>
  <c r="C18" i="15"/>
  <c r="C12" i="15" s="1"/>
  <c r="C8" i="15" s="1"/>
  <c r="D18" i="15"/>
  <c r="D12" i="15" s="1"/>
  <c r="E18" i="15"/>
  <c r="E12" i="15" s="1"/>
  <c r="F18" i="15"/>
  <c r="F12" i="15" s="1"/>
  <c r="G18" i="15"/>
  <c r="G12" i="15" s="1"/>
  <c r="G8" i="15" s="1"/>
  <c r="B18" i="15"/>
  <c r="B12" i="15" s="1"/>
  <c r="C6" i="17"/>
  <c r="D6" i="17"/>
  <c r="E6" i="17"/>
  <c r="F6" i="17"/>
  <c r="G6" i="17"/>
  <c r="B6" i="17"/>
  <c r="F32" i="23"/>
  <c r="F28" i="23"/>
  <c r="I13" i="23"/>
  <c r="J18" i="23"/>
  <c r="J19" i="23" s="1"/>
  <c r="J20" i="23" s="1"/>
  <c r="J16" i="23"/>
  <c r="J15" i="23" s="1"/>
  <c r="J14" i="23" s="1"/>
  <c r="O13" i="23"/>
  <c r="P13" i="23" s="1"/>
  <c r="Q13" i="23" s="1"/>
  <c r="M13" i="23"/>
  <c r="L13" i="23" s="1"/>
  <c r="K13" i="23" s="1"/>
  <c r="F4" i="18"/>
  <c r="G4" i="18" s="1"/>
  <c r="H4" i="18" s="1"/>
  <c r="I9" i="22"/>
  <c r="I10" i="22"/>
  <c r="E13" i="15" l="1"/>
  <c r="F13" i="15"/>
  <c r="G13" i="15"/>
  <c r="C13" i="15"/>
  <c r="D8" i="15"/>
  <c r="D13" i="15" s="1"/>
  <c r="F8" i="15"/>
  <c r="E8" i="15"/>
  <c r="S31" i="19"/>
  <c r="T31" i="19"/>
  <c r="U31" i="19"/>
  <c r="Q36" i="19"/>
  <c r="R27" i="19"/>
  <c r="R31" i="19" s="1"/>
  <c r="D23" i="18" l="1"/>
  <c r="C23" i="18"/>
  <c r="F15" i="18"/>
  <c r="E54" i="18"/>
  <c r="F54" i="18"/>
  <c r="C52" i="18"/>
  <c r="D52" i="18"/>
  <c r="G52" i="18"/>
  <c r="E50" i="18"/>
  <c r="F50" i="18"/>
  <c r="F22" i="18"/>
  <c r="G22" i="18" s="1"/>
  <c r="H22" i="18" s="1"/>
  <c r="I22" i="18" s="1"/>
  <c r="J22" i="18" s="1"/>
  <c r="K22" i="18" s="1"/>
  <c r="M6" i="18"/>
  <c r="M7" i="18" s="1"/>
  <c r="M8" i="18" s="1"/>
  <c r="M3" i="18"/>
  <c r="M4" i="18" s="1"/>
  <c r="M5" i="18" s="1"/>
  <c r="F29" i="21"/>
  <c r="G47" i="15"/>
  <c r="H29" i="21" s="1"/>
  <c r="F47" i="15"/>
  <c r="G29" i="21" s="1"/>
  <c r="E47" i="15"/>
  <c r="D47" i="15"/>
  <c r="E29" i="21" s="1"/>
  <c r="C47" i="15"/>
  <c r="D29" i="21" s="1"/>
  <c r="B47" i="15"/>
  <c r="P47" i="15" s="1"/>
  <c r="G43" i="15"/>
  <c r="Q43" i="15" s="1"/>
  <c r="F43" i="15"/>
  <c r="E43" i="15"/>
  <c r="D43" i="15"/>
  <c r="C43" i="15"/>
  <c r="B43" i="15"/>
  <c r="G30" i="15"/>
  <c r="Q30" i="15" s="1"/>
  <c r="F30" i="15"/>
  <c r="F65" i="18" s="1"/>
  <c r="E30" i="15"/>
  <c r="E65" i="18" s="1"/>
  <c r="D30" i="15"/>
  <c r="D65" i="18" s="1"/>
  <c r="C30" i="15"/>
  <c r="C65" i="18" s="1"/>
  <c r="B30" i="15"/>
  <c r="G26" i="15"/>
  <c r="Q26" i="15" s="1"/>
  <c r="F26" i="15"/>
  <c r="E26" i="15"/>
  <c r="D26" i="15"/>
  <c r="C26" i="15"/>
  <c r="B26" i="15"/>
  <c r="Q24" i="15"/>
  <c r="P24" i="15"/>
  <c r="O24" i="15"/>
  <c r="Q22" i="15"/>
  <c r="P22" i="15"/>
  <c r="O22" i="15"/>
  <c r="M22" i="15" s="1"/>
  <c r="K22" i="15"/>
  <c r="H22" i="15"/>
  <c r="Q20" i="15"/>
  <c r="F20" i="15"/>
  <c r="E20" i="15"/>
  <c r="D20" i="15"/>
  <c r="C20" i="15"/>
  <c r="B20" i="15"/>
  <c r="Q18" i="15"/>
  <c r="P18" i="15"/>
  <c r="O18" i="15"/>
  <c r="Q12" i="15"/>
  <c r="F68" i="18"/>
  <c r="F69" i="18" s="1"/>
  <c r="E68" i="18"/>
  <c r="D68" i="18"/>
  <c r="C68" i="18"/>
  <c r="G54" i="18"/>
  <c r="D54" i="18"/>
  <c r="C54" i="18"/>
  <c r="B11" i="15"/>
  <c r="B54" i="18" s="1"/>
  <c r="Q10" i="15"/>
  <c r="F52" i="18"/>
  <c r="E52" i="18"/>
  <c r="B10" i="15"/>
  <c r="B52" i="18" s="1"/>
  <c r="Q9" i="15"/>
  <c r="D50" i="18"/>
  <c r="C50" i="18"/>
  <c r="B9" i="15"/>
  <c r="Q4" i="15"/>
  <c r="F5" i="15"/>
  <c r="F42" i="18" s="1"/>
  <c r="E5" i="15"/>
  <c r="E42" i="18" s="1"/>
  <c r="B4" i="15"/>
  <c r="G56" i="18"/>
  <c r="G3" i="15"/>
  <c r="Q3" i="15" s="1"/>
  <c r="E56" i="18"/>
  <c r="D3" i="15"/>
  <c r="D41" i="18" s="1"/>
  <c r="C56" i="18"/>
  <c r="B2" i="15"/>
  <c r="B56" i="18" s="1"/>
  <c r="B67" i="18" s="1"/>
  <c r="L22" i="15" l="1"/>
  <c r="P30" i="15"/>
  <c r="B50" i="18"/>
  <c r="B51" i="18" s="1"/>
  <c r="B8" i="15"/>
  <c r="J22" i="15"/>
  <c r="G41" i="18"/>
  <c r="G68" i="18"/>
  <c r="E23" i="18"/>
  <c r="C51" i="18"/>
  <c r="G55" i="18"/>
  <c r="B65" i="18"/>
  <c r="D56" i="18"/>
  <c r="D51" i="18" s="1"/>
  <c r="O10" i="15"/>
  <c r="Q11" i="15"/>
  <c r="P26" i="15"/>
  <c r="C5" i="15"/>
  <c r="C42" i="18" s="1"/>
  <c r="G5" i="15"/>
  <c r="O8" i="15"/>
  <c r="Q8" i="15"/>
  <c r="P10" i="15"/>
  <c r="P12" i="15"/>
  <c r="O14" i="15"/>
  <c r="I22" i="15"/>
  <c r="P43" i="15"/>
  <c r="Q47" i="15"/>
  <c r="P4" i="15"/>
  <c r="G7" i="15"/>
  <c r="C29" i="21"/>
  <c r="G65" i="18"/>
  <c r="B6" i="15"/>
  <c r="B16" i="15" s="1"/>
  <c r="D5" i="15"/>
  <c r="D42" i="18" s="1"/>
  <c r="P9" i="15"/>
  <c r="P11" i="15"/>
  <c r="D27" i="15"/>
  <c r="G50" i="18"/>
  <c r="G51" i="18" s="1"/>
  <c r="B68" i="18"/>
  <c r="F56" i="18"/>
  <c r="F28" i="21"/>
  <c r="E7" i="15"/>
  <c r="B7" i="15"/>
  <c r="C19" i="15"/>
  <c r="C48" i="15"/>
  <c r="C23" i="15"/>
  <c r="C25" i="15"/>
  <c r="C21" i="15"/>
  <c r="G19" i="15"/>
  <c r="Q19" i="15" s="1"/>
  <c r="G48" i="15"/>
  <c r="Q48" i="15" s="1"/>
  <c r="G23" i="15"/>
  <c r="Q23" i="15" s="1"/>
  <c r="G25" i="15"/>
  <c r="Q25" i="15" s="1"/>
  <c r="P2" i="15"/>
  <c r="E3" i="15"/>
  <c r="E41" i="18" s="1"/>
  <c r="O4" i="15"/>
  <c r="C7" i="15"/>
  <c r="C44" i="15"/>
  <c r="D23" i="15"/>
  <c r="D25" i="15"/>
  <c r="D19" i="15"/>
  <c r="Q2" i="15"/>
  <c r="F3" i="15"/>
  <c r="F41" i="18" s="1"/>
  <c r="D21" i="15"/>
  <c r="F27" i="15"/>
  <c r="D44" i="15"/>
  <c r="F48" i="15"/>
  <c r="E25" i="15"/>
  <c r="E19" i="15"/>
  <c r="E48" i="15"/>
  <c r="E27" i="15"/>
  <c r="E23" i="15"/>
  <c r="C3" i="15"/>
  <c r="C41" i="18" s="1"/>
  <c r="Q6" i="15"/>
  <c r="H28" i="21"/>
  <c r="E21" i="15"/>
  <c r="C27" i="15"/>
  <c r="G27" i="15"/>
  <c r="Q27" i="15" s="1"/>
  <c r="E44" i="15"/>
  <c r="B25" i="15"/>
  <c r="B19" i="15"/>
  <c r="B23" i="15"/>
  <c r="B44" i="15"/>
  <c r="F25" i="15"/>
  <c r="F19" i="15"/>
  <c r="F23" i="15"/>
  <c r="F44" i="15"/>
  <c r="O2" i="15"/>
  <c r="B5" i="15"/>
  <c r="B42" i="18" s="1"/>
  <c r="B21" i="15"/>
  <c r="F21" i="15"/>
  <c r="D48" i="15"/>
  <c r="O9" i="15"/>
  <c r="P14" i="15"/>
  <c r="O20" i="15"/>
  <c r="O12" i="15"/>
  <c r="Q14" i="15"/>
  <c r="P20" i="15"/>
  <c r="B27" i="15"/>
  <c r="O30" i="15"/>
  <c r="O43" i="15"/>
  <c r="G44" i="15"/>
  <c r="Q44" i="15" s="1"/>
  <c r="B48" i="15"/>
  <c r="O11" i="15"/>
  <c r="H11" i="15" s="1"/>
  <c r="O26" i="15"/>
  <c r="O47" i="15"/>
  <c r="B57" i="18" l="1"/>
  <c r="G15" i="15"/>
  <c r="Q15" i="15" s="1"/>
  <c r="P6" i="15"/>
  <c r="D28" i="21"/>
  <c r="C16" i="15"/>
  <c r="C45" i="15"/>
  <c r="C49" i="15" s="1"/>
  <c r="C50" i="15" s="1"/>
  <c r="C15" i="15"/>
  <c r="P8" i="15"/>
  <c r="E15" i="15"/>
  <c r="Q5" i="15"/>
  <c r="G42" i="18"/>
  <c r="P48" i="15"/>
  <c r="O48" i="15"/>
  <c r="P21" i="15"/>
  <c r="O21" i="15"/>
  <c r="P44" i="15"/>
  <c r="O44" i="15"/>
  <c r="K47" i="15"/>
  <c r="J47" i="15"/>
  <c r="M47" i="15"/>
  <c r="I47" i="15"/>
  <c r="L47" i="15"/>
  <c r="H47" i="15"/>
  <c r="P27" i="15"/>
  <c r="O27" i="15"/>
  <c r="C17" i="15"/>
  <c r="P23" i="15"/>
  <c r="O23" i="15"/>
  <c r="P3" i="15"/>
  <c r="O3" i="15"/>
  <c r="E28" i="21"/>
  <c r="D7" i="15"/>
  <c r="K26" i="15"/>
  <c r="J26" i="15"/>
  <c r="M26" i="15"/>
  <c r="I26" i="15"/>
  <c r="L26" i="15"/>
  <c r="H26" i="15"/>
  <c r="P19" i="15"/>
  <c r="O19" i="15"/>
  <c r="O6" i="15"/>
  <c r="I11" i="15"/>
  <c r="P5" i="15"/>
  <c r="O25" i="15"/>
  <c r="P25" i="15"/>
  <c r="G16" i="15"/>
  <c r="Q13" i="15"/>
  <c r="G45" i="15"/>
  <c r="F7" i="15"/>
  <c r="B45" i="15"/>
  <c r="E45" i="15"/>
  <c r="E49" i="15" s="1"/>
  <c r="E50" i="15" s="1"/>
  <c r="E16" i="15"/>
  <c r="P13" i="15" l="1"/>
  <c r="G28" i="21"/>
  <c r="O13" i="15"/>
  <c r="C28" i="21"/>
  <c r="Q16" i="15"/>
  <c r="G17" i="15"/>
  <c r="Q17" i="15" s="1"/>
  <c r="E17" i="15"/>
  <c r="B29" i="15"/>
  <c r="B17" i="15"/>
  <c r="G49" i="15"/>
  <c r="Q45" i="15"/>
  <c r="L27" i="15"/>
  <c r="H27" i="15"/>
  <c r="K27" i="15"/>
  <c r="J27" i="15"/>
  <c r="M27" i="15"/>
  <c r="I27" i="15"/>
  <c r="M44" i="15"/>
  <c r="I44" i="15"/>
  <c r="L44" i="15"/>
  <c r="H44" i="15"/>
  <c r="K44" i="15"/>
  <c r="J44" i="15"/>
  <c r="F45" i="15"/>
  <c r="F49" i="15" s="1"/>
  <c r="F50" i="15" s="1"/>
  <c r="F16" i="15"/>
  <c r="F15" i="15"/>
  <c r="J11" i="15"/>
  <c r="K21" i="15"/>
  <c r="J21" i="15"/>
  <c r="M21" i="15"/>
  <c r="I21" i="15"/>
  <c r="L21" i="15"/>
  <c r="H21" i="15"/>
  <c r="B49" i="15"/>
  <c r="D16" i="15"/>
  <c r="D45" i="15"/>
  <c r="D49" i="15" s="1"/>
  <c r="D50" i="15" s="1"/>
  <c r="D15" i="15"/>
  <c r="P16" i="15" l="1"/>
  <c r="O45" i="15"/>
  <c r="D17" i="15"/>
  <c r="B50" i="15"/>
  <c r="P49" i="15"/>
  <c r="O49" i="15"/>
  <c r="O16" i="15"/>
  <c r="K11" i="15"/>
  <c r="P15" i="15"/>
  <c r="O15" i="15"/>
  <c r="Q49" i="15"/>
  <c r="G50" i="15"/>
  <c r="Q50" i="15" s="1"/>
  <c r="B31" i="15"/>
  <c r="P45" i="15"/>
  <c r="F17" i="15"/>
  <c r="P17" i="15" s="1"/>
  <c r="K15" i="15" l="1"/>
  <c r="J15" i="15"/>
  <c r="M15" i="15"/>
  <c r="I15" i="15"/>
  <c r="L15" i="15"/>
  <c r="H15" i="15"/>
  <c r="P50" i="15"/>
  <c r="O50" i="15"/>
  <c r="O17" i="15"/>
  <c r="L11" i="15"/>
  <c r="M11" i="15" l="1"/>
  <c r="H11" i="21" l="1"/>
  <c r="U24" i="20"/>
  <c r="I25" i="18"/>
  <c r="F18" i="23"/>
  <c r="F15" i="23"/>
  <c r="K18" i="22"/>
  <c r="K14" i="22"/>
  <c r="K5" i="22"/>
  <c r="F32" i="21"/>
  <c r="C21" i="21"/>
  <c r="U26" i="20"/>
  <c r="X22" i="20"/>
  <c r="X23" i="20" s="1"/>
  <c r="U22" i="20" s="1"/>
  <c r="U18" i="20"/>
  <c r="T18" i="20"/>
  <c r="F106" i="20"/>
  <c r="H106" i="20" s="1"/>
  <c r="F105" i="20"/>
  <c r="H105" i="20" s="1"/>
  <c r="F104" i="20"/>
  <c r="H104" i="20" s="1"/>
  <c r="F103" i="20"/>
  <c r="H103" i="20" s="1"/>
  <c r="F102" i="20"/>
  <c r="H102" i="20" s="1"/>
  <c r="F101" i="20"/>
  <c r="H101" i="20" s="1"/>
  <c r="F100" i="20"/>
  <c r="H100" i="20" s="1"/>
  <c r="F99" i="20"/>
  <c r="H99" i="20" s="1"/>
  <c r="F98" i="20"/>
  <c r="H98" i="20"/>
  <c r="H97" i="20"/>
  <c r="F97" i="20"/>
  <c r="F96" i="20"/>
  <c r="H96" i="20" s="1"/>
  <c r="F95" i="20"/>
  <c r="H95" i="20" s="1"/>
  <c r="F94" i="20"/>
  <c r="H94" i="20" s="1"/>
  <c r="F93" i="20"/>
  <c r="H93" i="20" s="1"/>
  <c r="F92" i="20"/>
  <c r="H92" i="20" s="1"/>
  <c r="F91" i="20"/>
  <c r="H91" i="20" s="1"/>
  <c r="F90" i="20"/>
  <c r="H90" i="20"/>
  <c r="H89" i="20"/>
  <c r="F89" i="20"/>
  <c r="F88" i="20"/>
  <c r="H88" i="20" s="1"/>
  <c r="F87" i="20"/>
  <c r="H87" i="20" s="1"/>
  <c r="F86" i="20"/>
  <c r="H86" i="20" s="1"/>
  <c r="F85" i="20"/>
  <c r="H85" i="20" s="1"/>
  <c r="F84" i="20"/>
  <c r="H84" i="20" s="1"/>
  <c r="F83" i="20"/>
  <c r="H83" i="20" s="1"/>
  <c r="F82" i="20"/>
  <c r="H82" i="20"/>
  <c r="H81" i="20"/>
  <c r="F81" i="20"/>
  <c r="F80" i="20"/>
  <c r="H80" i="20" s="1"/>
  <c r="F79" i="20"/>
  <c r="H79" i="20" s="1"/>
  <c r="F78" i="20"/>
  <c r="H78" i="20" s="1"/>
  <c r="F77" i="20"/>
  <c r="H77" i="20" s="1"/>
  <c r="F76" i="20"/>
  <c r="H76" i="20" s="1"/>
  <c r="F75" i="20"/>
  <c r="H75" i="20" s="1"/>
  <c r="F74" i="20"/>
  <c r="H74" i="20"/>
  <c r="H73" i="20"/>
  <c r="F73" i="20"/>
  <c r="F72" i="20"/>
  <c r="H72" i="20" s="1"/>
  <c r="F71" i="20"/>
  <c r="H71" i="20" s="1"/>
  <c r="F70" i="20"/>
  <c r="H70" i="20" s="1"/>
  <c r="F69" i="20"/>
  <c r="H69" i="20" s="1"/>
  <c r="F68" i="20"/>
  <c r="H68" i="20" s="1"/>
  <c r="F67" i="20"/>
  <c r="H67" i="20" s="1"/>
  <c r="F66" i="20"/>
  <c r="H66" i="20"/>
  <c r="H65" i="20"/>
  <c r="F65" i="20"/>
  <c r="F64" i="20"/>
  <c r="H64" i="20" s="1"/>
  <c r="F63" i="20"/>
  <c r="H63" i="20" s="1"/>
  <c r="F62" i="20"/>
  <c r="H62" i="20" s="1"/>
  <c r="F61" i="20"/>
  <c r="H61" i="20" s="1"/>
  <c r="F60" i="20"/>
  <c r="H60" i="20" s="1"/>
  <c r="F59" i="20"/>
  <c r="H59" i="20" s="1"/>
  <c r="F58" i="20"/>
  <c r="H58" i="20"/>
  <c r="H57" i="20"/>
  <c r="F57" i="20"/>
  <c r="F56" i="20"/>
  <c r="H56" i="20" s="1"/>
  <c r="F55" i="20"/>
  <c r="H55" i="20" s="1"/>
  <c r="F54" i="20"/>
  <c r="H54" i="20" s="1"/>
  <c r="F53" i="20"/>
  <c r="H53" i="20" s="1"/>
  <c r="F52" i="20"/>
  <c r="H52" i="20" s="1"/>
  <c r="F51" i="20"/>
  <c r="H51" i="20" s="1"/>
  <c r="F50" i="20"/>
  <c r="H50" i="20"/>
  <c r="H49" i="20"/>
  <c r="F49" i="20"/>
  <c r="F48" i="20"/>
  <c r="H48" i="20" s="1"/>
  <c r="F47" i="20"/>
  <c r="H47" i="20" s="1"/>
  <c r="F46" i="20"/>
  <c r="H46" i="20" s="1"/>
  <c r="F45" i="20"/>
  <c r="H45" i="20" s="1"/>
  <c r="F44" i="20"/>
  <c r="H44" i="20" s="1"/>
  <c r="F43" i="20"/>
  <c r="H43" i="20" s="1"/>
  <c r="F42" i="20"/>
  <c r="H42" i="20"/>
  <c r="H41" i="20"/>
  <c r="F41" i="20"/>
  <c r="F40" i="20"/>
  <c r="H40" i="20" s="1"/>
  <c r="F39" i="20"/>
  <c r="H39" i="20" s="1"/>
  <c r="F38" i="20"/>
  <c r="H38" i="20" s="1"/>
  <c r="F37" i="20"/>
  <c r="H37" i="20" s="1"/>
  <c r="F36" i="20"/>
  <c r="H36" i="20" s="1"/>
  <c r="F35" i="20"/>
  <c r="H35" i="20" s="1"/>
  <c r="F34" i="20"/>
  <c r="H34" i="20"/>
  <c r="H33" i="20"/>
  <c r="F33" i="20"/>
  <c r="F32" i="20"/>
  <c r="H32" i="20" s="1"/>
  <c r="F31" i="20"/>
  <c r="H31" i="20" s="1"/>
  <c r="F30" i="20"/>
  <c r="H30" i="20" s="1"/>
  <c r="F29" i="20"/>
  <c r="H29" i="20" s="1"/>
  <c r="F28" i="20"/>
  <c r="H28" i="20" s="1"/>
  <c r="F27" i="20"/>
  <c r="H27" i="20" s="1"/>
  <c r="F26" i="20"/>
  <c r="H26" i="20"/>
  <c r="H25" i="20"/>
  <c r="F25" i="20"/>
  <c r="F24" i="20"/>
  <c r="H24" i="20" s="1"/>
  <c r="F23" i="20"/>
  <c r="H23" i="20" s="1"/>
  <c r="F22" i="20"/>
  <c r="H22" i="20" s="1"/>
  <c r="F21" i="20"/>
  <c r="H21" i="20" s="1"/>
  <c r="F20" i="20"/>
  <c r="H20" i="20" s="1"/>
  <c r="F19" i="20"/>
  <c r="H19" i="20" s="1"/>
  <c r="F18" i="20"/>
  <c r="H18" i="20"/>
  <c r="F17" i="20"/>
  <c r="H17" i="20" s="1"/>
  <c r="F16" i="20"/>
  <c r="H16" i="20" s="1"/>
  <c r="F15" i="20"/>
  <c r="H15" i="20" s="1"/>
  <c r="F14" i="20"/>
  <c r="H14" i="20"/>
  <c r="H13" i="20"/>
  <c r="F13" i="20"/>
  <c r="F12" i="20"/>
  <c r="H12" i="20"/>
  <c r="F11" i="20"/>
  <c r="H11" i="20" s="1"/>
  <c r="S33" i="19"/>
  <c r="S32" i="19"/>
  <c r="R33" i="19"/>
  <c r="R32" i="19"/>
  <c r="R35" i="19"/>
  <c r="Q28" i="19"/>
  <c r="U19" i="19"/>
  <c r="T19" i="19"/>
  <c r="S19" i="19"/>
  <c r="R19" i="19"/>
  <c r="Q19" i="19"/>
  <c r="U18" i="19"/>
  <c r="T18" i="19"/>
  <c r="S18" i="19"/>
  <c r="R18" i="19"/>
  <c r="Q18" i="19"/>
  <c r="Q8" i="19"/>
  <c r="V7" i="19" s="1"/>
  <c r="R24" i="19" s="1"/>
  <c r="D193" i="19"/>
  <c r="C193" i="19"/>
  <c r="B193" i="19"/>
  <c r="D192" i="19"/>
  <c r="C192" i="19"/>
  <c r="B192" i="19"/>
  <c r="D188" i="19"/>
  <c r="C188" i="19"/>
  <c r="B188" i="19"/>
  <c r="D187" i="19"/>
  <c r="C187" i="19"/>
  <c r="B187" i="19"/>
  <c r="A179" i="19"/>
  <c r="Q29" i="19" s="1"/>
  <c r="A178" i="19"/>
  <c r="A177" i="19"/>
  <c r="A176" i="19"/>
  <c r="A175" i="19"/>
  <c r="A174" i="19"/>
  <c r="A173" i="19"/>
  <c r="Q34" i="19" s="1"/>
  <c r="A172" i="19"/>
  <c r="A171" i="19"/>
  <c r="B167" i="19"/>
  <c r="I165" i="19" s="1"/>
  <c r="I158" i="19"/>
  <c r="K145" i="19"/>
  <c r="I145" i="19"/>
  <c r="I142" i="19"/>
  <c r="J142" i="19" s="1"/>
  <c r="B140" i="19"/>
  <c r="F178" i="19" s="1"/>
  <c r="I138" i="19"/>
  <c r="L138" i="19" s="1"/>
  <c r="B137" i="19"/>
  <c r="I134" i="19" s="1"/>
  <c r="J134" i="19" s="1"/>
  <c r="I133" i="19"/>
  <c r="J126" i="19"/>
  <c r="I126" i="19"/>
  <c r="K126" i="19" s="1"/>
  <c r="B123" i="19"/>
  <c r="I111" i="19" s="1"/>
  <c r="M111" i="19" s="1"/>
  <c r="L113" i="19"/>
  <c r="I113" i="19"/>
  <c r="K113" i="19" s="1"/>
  <c r="I108" i="19"/>
  <c r="L108" i="19" s="1"/>
  <c r="I102" i="19"/>
  <c r="J102" i="19" s="1"/>
  <c r="I97" i="19"/>
  <c r="L97" i="19" s="1"/>
  <c r="B95" i="19"/>
  <c r="I92" i="19" s="1"/>
  <c r="I90" i="19"/>
  <c r="L90" i="19" s="1"/>
  <c r="I87" i="19"/>
  <c r="M87" i="19" s="1"/>
  <c r="I84" i="19"/>
  <c r="J84" i="19" s="1"/>
  <c r="I78" i="19"/>
  <c r="J78" i="19" s="1"/>
  <c r="B75" i="19"/>
  <c r="I71" i="19" s="1"/>
  <c r="L71" i="19" s="1"/>
  <c r="I68" i="19"/>
  <c r="K68" i="19" s="1"/>
  <c r="B60" i="19"/>
  <c r="B56" i="19"/>
  <c r="I54" i="19" s="1"/>
  <c r="I48" i="19"/>
  <c r="L48" i="19" s="1"/>
  <c r="I39" i="19"/>
  <c r="J39" i="19" s="1"/>
  <c r="I36" i="19"/>
  <c r="L36" i="19" s="1"/>
  <c r="B32" i="19"/>
  <c r="I22" i="19" s="1"/>
  <c r="I58" i="19"/>
  <c r="K71" i="19"/>
  <c r="M36" i="19"/>
  <c r="I57" i="19"/>
  <c r="J71" i="19"/>
  <c r="J36" i="19"/>
  <c r="M71" i="19"/>
  <c r="F174" i="19"/>
  <c r="I74" i="19"/>
  <c r="I70" i="19"/>
  <c r="I66" i="19"/>
  <c r="M66" i="19" s="1"/>
  <c r="I62" i="19"/>
  <c r="I73" i="19"/>
  <c r="I69" i="19"/>
  <c r="I65" i="19"/>
  <c r="J65" i="19" s="1"/>
  <c r="I61" i="19"/>
  <c r="I64" i="19"/>
  <c r="I72" i="19"/>
  <c r="K72" i="19" s="1"/>
  <c r="M108" i="19"/>
  <c r="M90" i="19"/>
  <c r="M97" i="19"/>
  <c r="J108" i="19"/>
  <c r="M113" i="19"/>
  <c r="J90" i="19"/>
  <c r="J97" i="19"/>
  <c r="K108" i="19"/>
  <c r="J113" i="19"/>
  <c r="M134" i="19"/>
  <c r="L134" i="19"/>
  <c r="K134" i="19"/>
  <c r="L142" i="19"/>
  <c r="K142" i="19"/>
  <c r="L158" i="19"/>
  <c r="K158" i="19"/>
  <c r="J158" i="19"/>
  <c r="M158" i="19"/>
  <c r="M133" i="19"/>
  <c r="I164" i="19"/>
  <c r="M164" i="19" s="1"/>
  <c r="F177" i="19"/>
  <c r="I161" i="19"/>
  <c r="K64" i="19"/>
  <c r="J64" i="19"/>
  <c r="M64" i="19"/>
  <c r="L64" i="19"/>
  <c r="J69" i="19"/>
  <c r="M69" i="19"/>
  <c r="L69" i="19"/>
  <c r="K69" i="19"/>
  <c r="M70" i="19"/>
  <c r="L70" i="19"/>
  <c r="K70" i="19"/>
  <c r="J70" i="19"/>
  <c r="J58" i="19"/>
  <c r="M58" i="19"/>
  <c r="L58" i="19"/>
  <c r="K58" i="19"/>
  <c r="L72" i="19"/>
  <c r="J73" i="19"/>
  <c r="M73" i="19"/>
  <c r="L73" i="19"/>
  <c r="K73" i="19"/>
  <c r="M74" i="19"/>
  <c r="L74" i="19"/>
  <c r="K74" i="19"/>
  <c r="J74" i="19"/>
  <c r="K57" i="19"/>
  <c r="J57" i="19"/>
  <c r="M57" i="19"/>
  <c r="L57" i="19"/>
  <c r="J164" i="19"/>
  <c r="J61" i="19"/>
  <c r="M61" i="19"/>
  <c r="L61" i="19"/>
  <c r="K61" i="19"/>
  <c r="M62" i="19"/>
  <c r="L62" i="19"/>
  <c r="K62" i="19"/>
  <c r="J62" i="19"/>
  <c r="I23" i="19"/>
  <c r="L23" i="19" s="1"/>
  <c r="I25" i="19"/>
  <c r="M25" i="19" s="1"/>
  <c r="M161" i="19"/>
  <c r="L161" i="19"/>
  <c r="K161" i="19"/>
  <c r="J161" i="19"/>
  <c r="K65" i="19"/>
  <c r="J66" i="19"/>
  <c r="I19" i="19"/>
  <c r="K19" i="19"/>
  <c r="I21" i="19"/>
  <c r="L21" i="19" s="1"/>
  <c r="M23" i="19"/>
  <c r="L19" i="19"/>
  <c r="B53" i="18"/>
  <c r="C34" i="18"/>
  <c r="D34" i="18"/>
  <c r="B34" i="18"/>
  <c r="J24" i="18"/>
  <c r="J26" i="18" s="1"/>
  <c r="G8" i="18"/>
  <c r="J67" i="13"/>
  <c r="K67" i="13"/>
  <c r="J66" i="13"/>
  <c r="K66" i="13"/>
  <c r="I67" i="13"/>
  <c r="I66" i="13"/>
  <c r="M67" i="13"/>
  <c r="L67" i="13"/>
  <c r="M66" i="13"/>
  <c r="L66" i="13"/>
  <c r="I13" i="18"/>
  <c r="J13" i="18" s="1"/>
  <c r="K13" i="18" s="1"/>
  <c r="D31" i="18"/>
  <c r="C31" i="18"/>
  <c r="F31" i="18" s="1"/>
  <c r="C26" i="18"/>
  <c r="D26" i="18"/>
  <c r="B26" i="18"/>
  <c r="C8" i="18"/>
  <c r="D8" i="18"/>
  <c r="B8" i="18"/>
  <c r="C17" i="18"/>
  <c r="G17" i="18"/>
  <c r="H17" i="18"/>
  <c r="B17" i="18"/>
  <c r="M15" i="18"/>
  <c r="F17" i="18"/>
  <c r="M12" i="18"/>
  <c r="D15" i="18" s="1"/>
  <c r="C17" i="17"/>
  <c r="D17" i="17"/>
  <c r="E17" i="17"/>
  <c r="F17" i="17"/>
  <c r="G17" i="17"/>
  <c r="C16" i="17"/>
  <c r="D16" i="17"/>
  <c r="E16" i="17"/>
  <c r="F16" i="17"/>
  <c r="G16" i="17"/>
  <c r="C15" i="17"/>
  <c r="C14" i="17"/>
  <c r="D14" i="17"/>
  <c r="E14" i="17"/>
  <c r="F14" i="17"/>
  <c r="C13" i="17"/>
  <c r="D13" i="17"/>
  <c r="E13" i="17"/>
  <c r="F13" i="17"/>
  <c r="G13" i="17"/>
  <c r="C9" i="17"/>
  <c r="D9" i="17"/>
  <c r="E9" i="17"/>
  <c r="F9" i="17"/>
  <c r="G9" i="17"/>
  <c r="C8" i="17"/>
  <c r="E8" i="17"/>
  <c r="F8" i="17"/>
  <c r="C7" i="17"/>
  <c r="D7" i="17"/>
  <c r="E7" i="17"/>
  <c r="F7" i="17"/>
  <c r="G7" i="17"/>
  <c r="E10" i="17"/>
  <c r="B14" i="16"/>
  <c r="B16" i="17"/>
  <c r="B15" i="17"/>
  <c r="B14" i="17"/>
  <c r="B13" i="17"/>
  <c r="B9" i="17"/>
  <c r="B7" i="17"/>
  <c r="B3" i="16"/>
  <c r="B4" i="16"/>
  <c r="A31" i="17"/>
  <c r="I15" i="17"/>
  <c r="C14" i="16"/>
  <c r="D14" i="16"/>
  <c r="E14" i="16"/>
  <c r="F14" i="16"/>
  <c r="G14" i="16"/>
  <c r="G13" i="16"/>
  <c r="F13" i="16"/>
  <c r="E13" i="16"/>
  <c r="D13" i="16"/>
  <c r="C13" i="16"/>
  <c r="B13" i="16"/>
  <c r="C12" i="16"/>
  <c r="D12" i="16"/>
  <c r="E12" i="16"/>
  <c r="F12" i="16"/>
  <c r="G12" i="16"/>
  <c r="B12" i="16"/>
  <c r="C11" i="16"/>
  <c r="D11" i="16"/>
  <c r="E11" i="16"/>
  <c r="F11" i="16"/>
  <c r="G11" i="16"/>
  <c r="B11" i="16"/>
  <c r="B15" i="16" s="1"/>
  <c r="C10" i="16"/>
  <c r="D10" i="16"/>
  <c r="E10" i="16"/>
  <c r="F10" i="16"/>
  <c r="G10" i="16"/>
  <c r="B10" i="16"/>
  <c r="C6" i="16"/>
  <c r="D6" i="16"/>
  <c r="E6" i="16"/>
  <c r="F6" i="16"/>
  <c r="G6" i="16"/>
  <c r="B6" i="16"/>
  <c r="C5" i="16"/>
  <c r="D5" i="16"/>
  <c r="E5" i="16"/>
  <c r="F5" i="16"/>
  <c r="G5" i="16"/>
  <c r="B5" i="16"/>
  <c r="C4" i="16"/>
  <c r="D4" i="16"/>
  <c r="E4" i="16"/>
  <c r="F4" i="16"/>
  <c r="G4" i="16"/>
  <c r="C3" i="16"/>
  <c r="D3" i="16"/>
  <c r="E3" i="16"/>
  <c r="F3" i="16"/>
  <c r="G3" i="16"/>
  <c r="G7" i="16" s="1"/>
  <c r="C1" i="16"/>
  <c r="D1" i="16" s="1"/>
  <c r="E1" i="16" s="1"/>
  <c r="F1" i="16" s="1"/>
  <c r="G1" i="16" s="1"/>
  <c r="C3" i="17"/>
  <c r="D3" i="17"/>
  <c r="D24" i="17" s="1"/>
  <c r="E3" i="17"/>
  <c r="E24" i="17" s="1"/>
  <c r="F3" i="17"/>
  <c r="F24" i="17" s="1"/>
  <c r="G3" i="17"/>
  <c r="B3" i="17"/>
  <c r="C67" i="18"/>
  <c r="D2" i="17"/>
  <c r="D30" i="17" s="1"/>
  <c r="E2" i="17"/>
  <c r="E28" i="17" s="1"/>
  <c r="F2" i="17"/>
  <c r="F30" i="17" s="1"/>
  <c r="G2" i="17"/>
  <c r="G27" i="17" s="1"/>
  <c r="B2" i="17"/>
  <c r="F26" i="18"/>
  <c r="I24" i="18"/>
  <c r="K24" i="18"/>
  <c r="F8" i="18"/>
  <c r="I4" i="18"/>
  <c r="J4" i="18" s="1"/>
  <c r="M13" i="18"/>
  <c r="F30" i="18"/>
  <c r="G30" i="18" s="1"/>
  <c r="H30" i="18" s="1"/>
  <c r="I30" i="18" s="1"/>
  <c r="J30" i="18" s="1"/>
  <c r="K30" i="18" s="1"/>
  <c r="E18" i="17"/>
  <c r="I14" i="17"/>
  <c r="B10" i="17"/>
  <c r="C53" i="18"/>
  <c r="B69" i="18"/>
  <c r="C57" i="18"/>
  <c r="C55" i="18"/>
  <c r="D69" i="18"/>
  <c r="D67" i="18"/>
  <c r="D66" i="18" s="1"/>
  <c r="E69" i="18"/>
  <c r="G67" i="18"/>
  <c r="G66" i="18" s="1"/>
  <c r="F67" i="18"/>
  <c r="F66" i="18" s="1"/>
  <c r="C2" i="17"/>
  <c r="C28" i="17" s="1"/>
  <c r="E25" i="17"/>
  <c r="E27" i="17"/>
  <c r="E31" i="17"/>
  <c r="D29" i="17"/>
  <c r="D25" i="17"/>
  <c r="G31" i="17"/>
  <c r="G30" i="17"/>
  <c r="G28" i="17"/>
  <c r="G29" i="17"/>
  <c r="F26" i="17"/>
  <c r="I3" i="17"/>
  <c r="F27" i="17"/>
  <c r="F31" i="17"/>
  <c r="D10" i="17"/>
  <c r="F18" i="17"/>
  <c r="F10" i="17"/>
  <c r="I9" i="17"/>
  <c r="E29" i="17"/>
  <c r="D31" i="17"/>
  <c r="I6" i="17"/>
  <c r="H8" i="17"/>
  <c r="I13" i="17"/>
  <c r="I18" i="17" s="1"/>
  <c r="I17" i="17"/>
  <c r="F23" i="17"/>
  <c r="D26" i="17"/>
  <c r="I8" i="17"/>
  <c r="H15" i="17"/>
  <c r="I16" i="17"/>
  <c r="E26" i="17"/>
  <c r="D15" i="16"/>
  <c r="F15" i="16"/>
  <c r="F7" i="16"/>
  <c r="F17" i="16" s="1"/>
  <c r="C7" i="16"/>
  <c r="C15" i="16"/>
  <c r="G15" i="16"/>
  <c r="D7" i="16"/>
  <c r="D17" i="16" s="1"/>
  <c r="E7" i="16"/>
  <c r="D53" i="18"/>
  <c r="H8" i="18"/>
  <c r="C30" i="17"/>
  <c r="F55" i="18"/>
  <c r="B55" i="18"/>
  <c r="H55" i="18" s="1"/>
  <c r="F53" i="18"/>
  <c r="F51" i="18"/>
  <c r="H51" i="18" s="1"/>
  <c r="N51" i="18" s="1"/>
  <c r="D55" i="18"/>
  <c r="C43" i="18"/>
  <c r="C44" i="18" s="1"/>
  <c r="D43" i="18"/>
  <c r="D44" i="18" s="1"/>
  <c r="C27" i="17"/>
  <c r="B75" i="2"/>
  <c r="C25" i="17"/>
  <c r="C29" i="17"/>
  <c r="H18" i="17"/>
  <c r="F20" i="17"/>
  <c r="C17" i="16"/>
  <c r="F75" i="2"/>
  <c r="D75" i="2"/>
  <c r="G75" i="2"/>
  <c r="M51" i="18"/>
  <c r="G43" i="18"/>
  <c r="G44" i="18" s="1"/>
  <c r="C75" i="2"/>
  <c r="K51" i="18"/>
  <c r="B56" i="2"/>
  <c r="D56" i="2"/>
  <c r="F56" i="2"/>
  <c r="C56" i="2"/>
  <c r="G56" i="2"/>
  <c r="G57" i="18"/>
  <c r="F57" i="18"/>
  <c r="D57" i="18"/>
  <c r="E53" i="18"/>
  <c r="E67" i="18"/>
  <c r="E66" i="18" s="1"/>
  <c r="E43" i="18"/>
  <c r="E44" i="18" s="1"/>
  <c r="F43" i="18"/>
  <c r="F44" i="18" s="1"/>
  <c r="G26" i="18"/>
  <c r="E51" i="18"/>
  <c r="G53" i="18"/>
  <c r="J23" i="19"/>
  <c r="K25" i="19"/>
  <c r="I4" i="19"/>
  <c r="M4" i="19" s="1"/>
  <c r="I8" i="19"/>
  <c r="K8" i="19" s="1"/>
  <c r="J19" i="19"/>
  <c r="L25" i="19"/>
  <c r="K21" i="19"/>
  <c r="K23" i="19"/>
  <c r="I20" i="19"/>
  <c r="I24" i="19"/>
  <c r="M19" i="19"/>
  <c r="J21" i="19"/>
  <c r="I2" i="19"/>
  <c r="I6" i="19"/>
  <c r="K6" i="19" s="1"/>
  <c r="I5" i="19"/>
  <c r="J5" i="19" s="1"/>
  <c r="I9" i="19"/>
  <c r="M9" i="19" s="1"/>
  <c r="I10" i="19"/>
  <c r="I11" i="19"/>
  <c r="I29" i="19"/>
  <c r="K29" i="19" s="1"/>
  <c r="I30" i="19"/>
  <c r="L30" i="19" s="1"/>
  <c r="I31" i="19"/>
  <c r="I28" i="19"/>
  <c r="K28" i="19" s="1"/>
  <c r="I17" i="19"/>
  <c r="K17" i="19" s="1"/>
  <c r="J20" i="19"/>
  <c r="I26" i="19"/>
  <c r="I27" i="19"/>
  <c r="M27" i="19" s="1"/>
  <c r="I16" i="19"/>
  <c r="L16" i="19" s="1"/>
  <c r="I13" i="19"/>
  <c r="K13" i="19" s="1"/>
  <c r="F171" i="19"/>
  <c r="I14" i="19"/>
  <c r="J14" i="19" s="1"/>
  <c r="I15" i="19"/>
  <c r="L15" i="19" s="1"/>
  <c r="H26" i="18"/>
  <c r="K5" i="19"/>
  <c r="L5" i="19"/>
  <c r="M8" i="19"/>
  <c r="J8" i="19"/>
  <c r="J6" i="19"/>
  <c r="L6" i="19"/>
  <c r="M6" i="19"/>
  <c r="M24" i="19"/>
  <c r="J24" i="19"/>
  <c r="L24" i="19"/>
  <c r="K24" i="19"/>
  <c r="J4" i="19"/>
  <c r="L4" i="19"/>
  <c r="K2" i="19"/>
  <c r="L2" i="19"/>
  <c r="M2" i="19"/>
  <c r="J2" i="19"/>
  <c r="K20" i="19"/>
  <c r="L20" i="19"/>
  <c r="M20" i="19"/>
  <c r="L9" i="19"/>
  <c r="J9" i="19"/>
  <c r="K14" i="19"/>
  <c r="M14" i="19"/>
  <c r="M17" i="19"/>
  <c r="L17" i="19"/>
  <c r="J28" i="19"/>
  <c r="M28" i="19"/>
  <c r="L28" i="19"/>
  <c r="M13" i="19"/>
  <c r="L13" i="19"/>
  <c r="J27" i="19"/>
  <c r="L27" i="19"/>
  <c r="K27" i="19"/>
  <c r="M29" i="19"/>
  <c r="L29" i="19"/>
  <c r="J26" i="19"/>
  <c r="M26" i="19"/>
  <c r="L26" i="19"/>
  <c r="K26" i="19"/>
  <c r="J11" i="19"/>
  <c r="M11" i="19"/>
  <c r="L11" i="19"/>
  <c r="K11" i="19"/>
  <c r="K31" i="19"/>
  <c r="J31" i="19"/>
  <c r="M31" i="19"/>
  <c r="L31" i="19"/>
  <c r="J10" i="19"/>
  <c r="M10" i="19"/>
  <c r="L10" i="19"/>
  <c r="K10" i="19"/>
  <c r="J15" i="19"/>
  <c r="M15" i="19"/>
  <c r="J16" i="19"/>
  <c r="M16" i="19"/>
  <c r="J30" i="19"/>
  <c r="M30" i="19"/>
  <c r="I26" i="18"/>
  <c r="L22" i="19"/>
  <c r="J22" i="19"/>
  <c r="M22" i="19"/>
  <c r="K22" i="19"/>
  <c r="I3" i="19"/>
  <c r="M3" i="19" s="1"/>
  <c r="L3" i="19"/>
  <c r="C33" i="21" l="1"/>
  <c r="K54" i="19"/>
  <c r="J54" i="19"/>
  <c r="L54" i="19"/>
  <c r="M54" i="19"/>
  <c r="J165" i="19"/>
  <c r="M165" i="19"/>
  <c r="L165" i="19"/>
  <c r="K165" i="19"/>
  <c r="G17" i="16"/>
  <c r="G18" i="16" s="1"/>
  <c r="B31" i="17"/>
  <c r="B24" i="17"/>
  <c r="B29" i="17"/>
  <c r="L14" i="19"/>
  <c r="L51" i="18"/>
  <c r="E15" i="16"/>
  <c r="E17" i="16" s="1"/>
  <c r="E18" i="16" s="1"/>
  <c r="B25" i="17"/>
  <c r="B30" i="17"/>
  <c r="J71" i="13"/>
  <c r="K66" i="19"/>
  <c r="L65" i="19"/>
  <c r="M72" i="19"/>
  <c r="F175" i="19"/>
  <c r="J138" i="19"/>
  <c r="M68" i="19"/>
  <c r="L68" i="19"/>
  <c r="J68" i="19"/>
  <c r="K78" i="19"/>
  <c r="M39" i="19"/>
  <c r="I37" i="19"/>
  <c r="M37" i="19" s="1"/>
  <c r="I41" i="19"/>
  <c r="I45" i="19"/>
  <c r="J48" i="19"/>
  <c r="I52" i="19"/>
  <c r="I81" i="19"/>
  <c r="K87" i="19"/>
  <c r="I91" i="19"/>
  <c r="L126" i="19"/>
  <c r="I135" i="19"/>
  <c r="I139" i="19"/>
  <c r="I147" i="19"/>
  <c r="I163" i="19"/>
  <c r="D18" i="16"/>
  <c r="F25" i="17"/>
  <c r="B23" i="17"/>
  <c r="B28" i="17"/>
  <c r="B7" i="16"/>
  <c r="B17" i="16" s="1"/>
  <c r="B26" i="17"/>
  <c r="J72" i="13"/>
  <c r="J25" i="19"/>
  <c r="L66" i="19"/>
  <c r="M65" i="19"/>
  <c r="J72" i="19"/>
  <c r="D191" i="19"/>
  <c r="M102" i="19"/>
  <c r="K138" i="19"/>
  <c r="M78" i="19"/>
  <c r="L39" i="19"/>
  <c r="I38" i="19"/>
  <c r="J38" i="19" s="1"/>
  <c r="I46" i="19"/>
  <c r="I50" i="19"/>
  <c r="I53" i="19"/>
  <c r="I67" i="19"/>
  <c r="I76" i="19"/>
  <c r="I83" i="19"/>
  <c r="I85" i="19"/>
  <c r="I88" i="19"/>
  <c r="I99" i="19"/>
  <c r="I125" i="19"/>
  <c r="M125" i="19" s="1"/>
  <c r="I128" i="19"/>
  <c r="I136" i="19"/>
  <c r="I144" i="19"/>
  <c r="I152" i="19"/>
  <c r="H69" i="18"/>
  <c r="I7" i="17"/>
  <c r="B27" i="17"/>
  <c r="M21" i="19"/>
  <c r="M142" i="19"/>
  <c r="F172" i="19"/>
  <c r="M138" i="19"/>
  <c r="L78" i="19"/>
  <c r="K39" i="19"/>
  <c r="I12" i="19"/>
  <c r="I43" i="19"/>
  <c r="I51" i="19"/>
  <c r="J51" i="19" s="1"/>
  <c r="I93" i="19"/>
  <c r="G26" i="17"/>
  <c r="G24" i="17"/>
  <c r="C26" i="17"/>
  <c r="C24" i="17"/>
  <c r="C18" i="16"/>
  <c r="L92" i="19"/>
  <c r="M92" i="19"/>
  <c r="K92" i="19"/>
  <c r="J92" i="19"/>
  <c r="M16" i="18"/>
  <c r="M17" i="18" s="1"/>
  <c r="M18" i="18" s="1"/>
  <c r="D17" i="18"/>
  <c r="K30" i="19"/>
  <c r="K16" i="19"/>
  <c r="K15" i="19"/>
  <c r="J29" i="19"/>
  <c r="J13" i="19"/>
  <c r="J17" i="19"/>
  <c r="K9" i="19"/>
  <c r="K4" i="19"/>
  <c r="L8" i="19"/>
  <c r="M5" i="19"/>
  <c r="M12" i="19"/>
  <c r="K3" i="19"/>
  <c r="J3" i="19"/>
  <c r="F34" i="18"/>
  <c r="I7" i="19"/>
  <c r="K36" i="19"/>
  <c r="L38" i="19"/>
  <c r="M38" i="19"/>
  <c r="K38" i="19"/>
  <c r="M48" i="19"/>
  <c r="K48" i="19"/>
  <c r="L51" i="19"/>
  <c r="M51" i="19"/>
  <c r="K51" i="19"/>
  <c r="J83" i="19"/>
  <c r="L83" i="19"/>
  <c r="M88" i="19"/>
  <c r="K88" i="19"/>
  <c r="J91" i="19"/>
  <c r="L91" i="19"/>
  <c r="K97" i="19"/>
  <c r="M99" i="19"/>
  <c r="K99" i="19"/>
  <c r="F176" i="19"/>
  <c r="I117" i="19"/>
  <c r="I119" i="19"/>
  <c r="I116" i="19"/>
  <c r="I115" i="19"/>
  <c r="I114" i="19"/>
  <c r="I107" i="19"/>
  <c r="I106" i="19"/>
  <c r="I96" i="19"/>
  <c r="I122" i="19"/>
  <c r="I120" i="19"/>
  <c r="I112" i="19"/>
  <c r="I109" i="19"/>
  <c r="I104" i="19"/>
  <c r="I101" i="19"/>
  <c r="K136" i="19"/>
  <c r="K139" i="19"/>
  <c r="E140" i="19" s="1"/>
  <c r="B178" i="19" s="1"/>
  <c r="L139" i="19"/>
  <c r="F140" i="19" s="1"/>
  <c r="C178" i="19" s="1"/>
  <c r="J145" i="19"/>
  <c r="M145" i="19"/>
  <c r="L145" i="19"/>
  <c r="J152" i="19"/>
  <c r="L152" i="19"/>
  <c r="K163" i="19"/>
  <c r="C10" i="17"/>
  <c r="D18" i="17"/>
  <c r="D20" i="17" s="1"/>
  <c r="K164" i="19"/>
  <c r="L102" i="19"/>
  <c r="K102" i="19"/>
  <c r="K111" i="19"/>
  <c r="J111" i="19"/>
  <c r="J133" i="19"/>
  <c r="L133" i="19"/>
  <c r="B18" i="17"/>
  <c r="B20" i="17" s="1"/>
  <c r="G18" i="17"/>
  <c r="C18" i="17"/>
  <c r="L164" i="19"/>
  <c r="I18" i="19"/>
  <c r="J37" i="19"/>
  <c r="L37" i="19"/>
  <c r="I55" i="19"/>
  <c r="I49" i="19"/>
  <c r="I47" i="19"/>
  <c r="I42" i="19"/>
  <c r="I35" i="19"/>
  <c r="I44" i="19"/>
  <c r="I40" i="19"/>
  <c r="I34" i="19"/>
  <c r="I33" i="19"/>
  <c r="L84" i="19"/>
  <c r="M84" i="19"/>
  <c r="K84" i="19"/>
  <c r="J87" i="19"/>
  <c r="L87" i="19"/>
  <c r="K90" i="19"/>
  <c r="I98" i="19"/>
  <c r="I100" i="19"/>
  <c r="I105" i="19"/>
  <c r="L111" i="19"/>
  <c r="I121" i="19"/>
  <c r="L125" i="19"/>
  <c r="J125" i="19"/>
  <c r="K133" i="19"/>
  <c r="R34" i="19"/>
  <c r="R36" i="19" s="1"/>
  <c r="T35" i="19" s="1"/>
  <c r="V18" i="19"/>
  <c r="K37" i="19"/>
  <c r="K43" i="19"/>
  <c r="J43" i="19"/>
  <c r="M45" i="19"/>
  <c r="J45" i="19"/>
  <c r="L50" i="19"/>
  <c r="K52" i="19"/>
  <c r="J52" i="19"/>
  <c r="F173" i="19"/>
  <c r="I59" i="19"/>
  <c r="I94" i="19"/>
  <c r="I89" i="19"/>
  <c r="I77" i="19"/>
  <c r="I86" i="19"/>
  <c r="I82" i="19"/>
  <c r="I80" i="19"/>
  <c r="I79" i="19"/>
  <c r="I103" i="19"/>
  <c r="I110" i="19"/>
  <c r="I118" i="19"/>
  <c r="K125" i="19"/>
  <c r="K144" i="19"/>
  <c r="L144" i="19"/>
  <c r="L147" i="19"/>
  <c r="I162" i="19"/>
  <c r="I160" i="19"/>
  <c r="I155" i="19"/>
  <c r="I150" i="19"/>
  <c r="I149" i="19"/>
  <c r="I148" i="19"/>
  <c r="I143" i="19"/>
  <c r="F179" i="19"/>
  <c r="I166" i="19"/>
  <c r="I156" i="19"/>
  <c r="I153" i="19"/>
  <c r="I146" i="19"/>
  <c r="I159" i="19"/>
  <c r="I157" i="19"/>
  <c r="I154" i="19"/>
  <c r="I151" i="19"/>
  <c r="I141" i="19"/>
  <c r="R28" i="19"/>
  <c r="I63" i="19"/>
  <c r="I124" i="19"/>
  <c r="M126" i="19"/>
  <c r="I127" i="19"/>
  <c r="I132" i="19"/>
  <c r="V19" i="19"/>
  <c r="I131" i="19"/>
  <c r="I130" i="19"/>
  <c r="I129" i="19"/>
  <c r="R29" i="19"/>
  <c r="T42" i="19"/>
  <c r="U42" i="19" s="1"/>
  <c r="C20" i="21"/>
  <c r="Q81" i="19"/>
  <c r="E20" i="17"/>
  <c r="F21" i="17" s="1"/>
  <c r="F28" i="15" s="1"/>
  <c r="F29" i="15" s="1"/>
  <c r="F31" i="15" s="1"/>
  <c r="F29" i="17"/>
  <c r="H29" i="17" s="1"/>
  <c r="G10" i="17"/>
  <c r="G20" i="17" s="1"/>
  <c r="C20" i="17"/>
  <c r="F28" i="17"/>
  <c r="I29" i="17"/>
  <c r="C23" i="17"/>
  <c r="H3" i="17"/>
  <c r="G23" i="17"/>
  <c r="D23" i="17"/>
  <c r="D28" i="17"/>
  <c r="I2" i="17"/>
  <c r="C31" i="17"/>
  <c r="I31" i="17" s="1"/>
  <c r="E23" i="17"/>
  <c r="E30" i="17"/>
  <c r="I30" i="17" s="1"/>
  <c r="G25" i="17"/>
  <c r="H25" i="17" s="1"/>
  <c r="D27" i="17"/>
  <c r="I27" i="17" s="1"/>
  <c r="I51" i="18"/>
  <c r="J51" i="18"/>
  <c r="I25" i="17"/>
  <c r="H53" i="18"/>
  <c r="I53" i="18" s="1"/>
  <c r="L11" i="22"/>
  <c r="L9" i="22"/>
  <c r="L10" i="22"/>
  <c r="L12" i="22"/>
  <c r="L13" i="22"/>
  <c r="T43" i="19"/>
  <c r="U43" i="19" s="1"/>
  <c r="T40" i="19"/>
  <c r="U40" i="19" s="1"/>
  <c r="T48" i="19"/>
  <c r="U48" i="19" s="1"/>
  <c r="T41" i="19"/>
  <c r="U41" i="19" s="1"/>
  <c r="T49" i="19"/>
  <c r="U49" i="19" s="1"/>
  <c r="T46" i="19"/>
  <c r="U46" i="19" s="1"/>
  <c r="T44" i="19"/>
  <c r="U44" i="19" s="1"/>
  <c r="T47" i="19"/>
  <c r="U47" i="19" s="1"/>
  <c r="T45" i="19"/>
  <c r="U45" i="19" s="1"/>
  <c r="S22" i="19"/>
  <c r="V5" i="19"/>
  <c r="R22" i="19" s="1"/>
  <c r="I41" i="18"/>
  <c r="I56" i="18"/>
  <c r="H44" i="18"/>
  <c r="K44" i="18" s="1"/>
  <c r="J55" i="18"/>
  <c r="H34" i="18"/>
  <c r="K56" i="18" s="1"/>
  <c r="K26" i="18"/>
  <c r="K6" i="18"/>
  <c r="I6" i="18"/>
  <c r="I8" i="18" s="1"/>
  <c r="J6" i="18"/>
  <c r="J8" i="18" s="1"/>
  <c r="K4" i="18"/>
  <c r="K8" i="18" s="1"/>
  <c r="G34" i="18"/>
  <c r="K2" i="17" s="1"/>
  <c r="K15" i="18"/>
  <c r="K17" i="18" s="1"/>
  <c r="I15" i="18"/>
  <c r="I17" i="18" s="1"/>
  <c r="J15" i="18"/>
  <c r="J17" i="18" s="1"/>
  <c r="J2" i="17"/>
  <c r="C66" i="18"/>
  <c r="C69" i="18"/>
  <c r="I69" i="18" s="1"/>
  <c r="J69" i="18" s="1"/>
  <c r="K69" i="18" s="1"/>
  <c r="L69" i="18" s="1"/>
  <c r="M69" i="18" s="1"/>
  <c r="N69" i="18" s="1"/>
  <c r="B66" i="18"/>
  <c r="E57" i="18"/>
  <c r="E55" i="18"/>
  <c r="F31" i="23" l="1"/>
  <c r="M43" i="19"/>
  <c r="L43" i="19"/>
  <c r="M144" i="19"/>
  <c r="J144" i="19"/>
  <c r="J99" i="19"/>
  <c r="L99" i="19"/>
  <c r="K76" i="19"/>
  <c r="J76" i="19"/>
  <c r="M76" i="19"/>
  <c r="L76" i="19"/>
  <c r="M46" i="19"/>
  <c r="K46" i="19"/>
  <c r="L46" i="19"/>
  <c r="J46" i="19"/>
  <c r="M139" i="19"/>
  <c r="G140" i="19" s="1"/>
  <c r="E178" i="19" s="1"/>
  <c r="J139" i="19"/>
  <c r="D140" i="19" s="1"/>
  <c r="D178" i="19" s="1"/>
  <c r="L45" i="19"/>
  <c r="K45" i="19"/>
  <c r="R30" i="19"/>
  <c r="T29" i="19" s="1"/>
  <c r="C21" i="17"/>
  <c r="D21" i="17"/>
  <c r="D28" i="15" s="1"/>
  <c r="D29" i="15" s="1"/>
  <c r="D31" i="15" s="1"/>
  <c r="J12" i="19"/>
  <c r="L12" i="19"/>
  <c r="K12" i="19"/>
  <c r="L136" i="19"/>
  <c r="J136" i="19"/>
  <c r="M136" i="19"/>
  <c r="J88" i="19"/>
  <c r="L88" i="19"/>
  <c r="M67" i="19"/>
  <c r="L67" i="19"/>
  <c r="K67" i="19"/>
  <c r="J67" i="19"/>
  <c r="L135" i="19"/>
  <c r="K135" i="19"/>
  <c r="J135" i="19"/>
  <c r="M135" i="19"/>
  <c r="M81" i="19"/>
  <c r="L81" i="19"/>
  <c r="K81" i="19"/>
  <c r="J81" i="19"/>
  <c r="M41" i="19"/>
  <c r="J41" i="19"/>
  <c r="L41" i="19"/>
  <c r="K41" i="19"/>
  <c r="L93" i="19"/>
  <c r="J93" i="19"/>
  <c r="K93" i="19"/>
  <c r="M93" i="19"/>
  <c r="K128" i="19"/>
  <c r="L128" i="19"/>
  <c r="J128" i="19"/>
  <c r="M128" i="19"/>
  <c r="M85" i="19"/>
  <c r="K85" i="19"/>
  <c r="J85" i="19"/>
  <c r="L85" i="19"/>
  <c r="L53" i="19"/>
  <c r="K53" i="19"/>
  <c r="J53" i="19"/>
  <c r="M53" i="19"/>
  <c r="L163" i="19"/>
  <c r="M163" i="19"/>
  <c r="J163" i="19"/>
  <c r="M52" i="19"/>
  <c r="L52" i="19"/>
  <c r="K152" i="19"/>
  <c r="M152" i="19"/>
  <c r="K83" i="19"/>
  <c r="M83" i="19"/>
  <c r="M50" i="19"/>
  <c r="K50" i="19"/>
  <c r="J50" i="19"/>
  <c r="K147" i="19"/>
  <c r="M147" i="19"/>
  <c r="J147" i="19"/>
  <c r="M91" i="19"/>
  <c r="K91" i="19"/>
  <c r="F18" i="16"/>
  <c r="I26" i="17"/>
  <c r="O29" i="17"/>
  <c r="K29" i="17"/>
  <c r="I50" i="18"/>
  <c r="H9" i="15" s="1"/>
  <c r="L29" i="17"/>
  <c r="J157" i="19"/>
  <c r="K157" i="19"/>
  <c r="M157" i="19"/>
  <c r="L157" i="19"/>
  <c r="K156" i="19"/>
  <c r="J156" i="19"/>
  <c r="L156" i="19"/>
  <c r="M156" i="19"/>
  <c r="K148" i="19"/>
  <c r="J148" i="19"/>
  <c r="M148" i="19"/>
  <c r="L148" i="19"/>
  <c r="L160" i="19"/>
  <c r="K160" i="19"/>
  <c r="M160" i="19"/>
  <c r="J160" i="19"/>
  <c r="K103" i="19"/>
  <c r="J103" i="19"/>
  <c r="M103" i="19"/>
  <c r="L103" i="19"/>
  <c r="K86" i="19"/>
  <c r="J86" i="19"/>
  <c r="M86" i="19"/>
  <c r="L86" i="19"/>
  <c r="L59" i="19"/>
  <c r="F60" i="19" s="1"/>
  <c r="C173" i="19" s="1"/>
  <c r="K59" i="19"/>
  <c r="E60" i="19" s="1"/>
  <c r="B173" i="19" s="1"/>
  <c r="I60" i="19"/>
  <c r="J59" i="19"/>
  <c r="D60" i="19" s="1"/>
  <c r="D173" i="19" s="1"/>
  <c r="C185" i="19" s="1"/>
  <c r="M59" i="19"/>
  <c r="G60" i="19" s="1"/>
  <c r="E173" i="19" s="1"/>
  <c r="D185" i="19" s="1"/>
  <c r="L121" i="19"/>
  <c r="K121" i="19"/>
  <c r="M121" i="19"/>
  <c r="J121" i="19"/>
  <c r="J98" i="19"/>
  <c r="L98" i="19"/>
  <c r="K98" i="19"/>
  <c r="M98" i="19"/>
  <c r="J34" i="19"/>
  <c r="L34" i="19"/>
  <c r="K34" i="19"/>
  <c r="M34" i="19"/>
  <c r="K42" i="19"/>
  <c r="J42" i="19"/>
  <c r="M42" i="19"/>
  <c r="L42" i="19"/>
  <c r="K104" i="19"/>
  <c r="M104" i="19"/>
  <c r="L104" i="19"/>
  <c r="J104" i="19"/>
  <c r="K122" i="19"/>
  <c r="J122" i="19"/>
  <c r="M122" i="19"/>
  <c r="L122" i="19"/>
  <c r="J114" i="19"/>
  <c r="L114" i="19"/>
  <c r="M114" i="19"/>
  <c r="K114" i="19"/>
  <c r="K117" i="19"/>
  <c r="M117" i="19"/>
  <c r="J117" i="19"/>
  <c r="L117" i="19"/>
  <c r="K7" i="19"/>
  <c r="J7" i="19"/>
  <c r="D32" i="19" s="1"/>
  <c r="D171" i="19" s="1"/>
  <c r="M7" i="19"/>
  <c r="I32" i="19"/>
  <c r="L7" i="19"/>
  <c r="S23" i="19"/>
  <c r="V6" i="19"/>
  <c r="R23" i="19" s="1"/>
  <c r="L124" i="19"/>
  <c r="J124" i="19"/>
  <c r="I137" i="19"/>
  <c r="K124" i="19"/>
  <c r="M124" i="19"/>
  <c r="H66" i="18"/>
  <c r="I66" i="18" s="1"/>
  <c r="I67" i="18"/>
  <c r="T32" i="19"/>
  <c r="H28" i="17"/>
  <c r="E21" i="17"/>
  <c r="E28" i="15" s="1"/>
  <c r="E29" i="15" s="1"/>
  <c r="E31" i="15" s="1"/>
  <c r="F20" i="23"/>
  <c r="C22" i="21"/>
  <c r="K129" i="19"/>
  <c r="J129" i="19"/>
  <c r="L129" i="19"/>
  <c r="M129" i="19"/>
  <c r="L132" i="19"/>
  <c r="K132" i="19"/>
  <c r="M132" i="19"/>
  <c r="J132" i="19"/>
  <c r="K63" i="19"/>
  <c r="E75" i="19" s="1"/>
  <c r="B174" i="19" s="1"/>
  <c r="L63" i="19"/>
  <c r="J63" i="19"/>
  <c r="D75" i="19" s="1"/>
  <c r="D174" i="19" s="1"/>
  <c r="M63" i="19"/>
  <c r="G75" i="19" s="1"/>
  <c r="E174" i="19" s="1"/>
  <c r="I75" i="19"/>
  <c r="K141" i="19"/>
  <c r="J141" i="19"/>
  <c r="M141" i="19"/>
  <c r="I167" i="19"/>
  <c r="L141" i="19"/>
  <c r="K159" i="19"/>
  <c r="L159" i="19"/>
  <c r="M159" i="19"/>
  <c r="J159" i="19"/>
  <c r="L166" i="19"/>
  <c r="K166" i="19"/>
  <c r="J166" i="19"/>
  <c r="M166" i="19"/>
  <c r="K149" i="19"/>
  <c r="J149" i="19"/>
  <c r="L149" i="19"/>
  <c r="M149" i="19"/>
  <c r="L162" i="19"/>
  <c r="K162" i="19"/>
  <c r="M162" i="19"/>
  <c r="J162" i="19"/>
  <c r="K79" i="19"/>
  <c r="J79" i="19"/>
  <c r="M79" i="19"/>
  <c r="L79" i="19"/>
  <c r="L77" i="19"/>
  <c r="J77" i="19"/>
  <c r="M77" i="19"/>
  <c r="K77" i="19"/>
  <c r="I95" i="19"/>
  <c r="F180" i="19"/>
  <c r="G173" i="19" s="1"/>
  <c r="J40" i="19"/>
  <c r="M40" i="19"/>
  <c r="L40" i="19"/>
  <c r="K40" i="19"/>
  <c r="L47" i="19"/>
  <c r="M47" i="19"/>
  <c r="K47" i="19"/>
  <c r="J47" i="19"/>
  <c r="L109" i="19"/>
  <c r="J109" i="19"/>
  <c r="K109" i="19"/>
  <c r="M109" i="19"/>
  <c r="L96" i="19"/>
  <c r="I123" i="19"/>
  <c r="M96" i="19"/>
  <c r="J96" i="19"/>
  <c r="K96" i="19"/>
  <c r="K115" i="19"/>
  <c r="M115" i="19"/>
  <c r="L115" i="19"/>
  <c r="J115" i="19"/>
  <c r="G176" i="19"/>
  <c r="K130" i="19"/>
  <c r="J130" i="19"/>
  <c r="L130" i="19"/>
  <c r="M130" i="19"/>
  <c r="M127" i="19"/>
  <c r="K127" i="19"/>
  <c r="L127" i="19"/>
  <c r="J127" i="19"/>
  <c r="L151" i="19"/>
  <c r="K151" i="19"/>
  <c r="M151" i="19"/>
  <c r="J151" i="19"/>
  <c r="L146" i="19"/>
  <c r="M146" i="19"/>
  <c r="K146" i="19"/>
  <c r="J146" i="19"/>
  <c r="G179" i="19"/>
  <c r="L150" i="19"/>
  <c r="K150" i="19"/>
  <c r="J150" i="19"/>
  <c r="M150" i="19"/>
  <c r="K118" i="19"/>
  <c r="L118" i="19"/>
  <c r="J118" i="19"/>
  <c r="M118" i="19"/>
  <c r="J80" i="19"/>
  <c r="K80" i="19"/>
  <c r="M80" i="19"/>
  <c r="L80" i="19"/>
  <c r="K89" i="19"/>
  <c r="J89" i="19"/>
  <c r="M89" i="19"/>
  <c r="L89" i="19"/>
  <c r="K105" i="19"/>
  <c r="L105" i="19"/>
  <c r="M105" i="19"/>
  <c r="J105" i="19"/>
  <c r="J44" i="19"/>
  <c r="K44" i="19"/>
  <c r="L44" i="19"/>
  <c r="M44" i="19"/>
  <c r="K49" i="19"/>
  <c r="L49" i="19"/>
  <c r="J49" i="19"/>
  <c r="M49" i="19"/>
  <c r="L18" i="19"/>
  <c r="K18" i="19"/>
  <c r="E32" i="19" s="1"/>
  <c r="B171" i="19" s="1"/>
  <c r="M18" i="19"/>
  <c r="J18" i="19"/>
  <c r="L112" i="19"/>
  <c r="K112" i="19"/>
  <c r="M112" i="19"/>
  <c r="J112" i="19"/>
  <c r="J106" i="19"/>
  <c r="L106" i="19"/>
  <c r="M106" i="19"/>
  <c r="K106" i="19"/>
  <c r="L116" i="19"/>
  <c r="J116" i="19"/>
  <c r="K116" i="19"/>
  <c r="M116" i="19"/>
  <c r="I52" i="18"/>
  <c r="L131" i="19"/>
  <c r="K131" i="19"/>
  <c r="J131" i="19"/>
  <c r="M131" i="19"/>
  <c r="M154" i="19"/>
  <c r="J154" i="19"/>
  <c r="L154" i="19"/>
  <c r="K154" i="19"/>
  <c r="L153" i="19"/>
  <c r="M153" i="19"/>
  <c r="K153" i="19"/>
  <c r="J153" i="19"/>
  <c r="L143" i="19"/>
  <c r="K143" i="19"/>
  <c r="M143" i="19"/>
  <c r="J143" i="19"/>
  <c r="M155" i="19"/>
  <c r="J155" i="19"/>
  <c r="L155" i="19"/>
  <c r="K155" i="19"/>
  <c r="L110" i="19"/>
  <c r="K110" i="19"/>
  <c r="J110" i="19"/>
  <c r="M110" i="19"/>
  <c r="J82" i="19"/>
  <c r="K82" i="19"/>
  <c r="L82" i="19"/>
  <c r="M82" i="19"/>
  <c r="K94" i="19"/>
  <c r="L94" i="19"/>
  <c r="J94" i="19"/>
  <c r="M94" i="19"/>
  <c r="L100" i="19"/>
  <c r="M100" i="19"/>
  <c r="J100" i="19"/>
  <c r="K100" i="19"/>
  <c r="K33" i="19"/>
  <c r="J33" i="19"/>
  <c r="I56" i="19"/>
  <c r="M33" i="19"/>
  <c r="L33" i="19"/>
  <c r="F56" i="19" s="1"/>
  <c r="C172" i="19" s="1"/>
  <c r="M35" i="19"/>
  <c r="L35" i="19"/>
  <c r="J35" i="19"/>
  <c r="K35" i="19"/>
  <c r="L55" i="19"/>
  <c r="J55" i="19"/>
  <c r="M55" i="19"/>
  <c r="K55" i="19"/>
  <c r="L101" i="19"/>
  <c r="K101" i="19"/>
  <c r="M101" i="19"/>
  <c r="J101" i="19"/>
  <c r="K120" i="19"/>
  <c r="J120" i="19"/>
  <c r="L120" i="19"/>
  <c r="M120" i="19"/>
  <c r="L107" i="19"/>
  <c r="M107" i="19"/>
  <c r="K107" i="19"/>
  <c r="J107" i="19"/>
  <c r="L119" i="19"/>
  <c r="M119" i="19"/>
  <c r="K119" i="19"/>
  <c r="J119" i="19"/>
  <c r="G21" i="17"/>
  <c r="G28" i="15" s="1"/>
  <c r="I20" i="17"/>
  <c r="J9" i="17"/>
  <c r="O25" i="17"/>
  <c r="K25" i="17"/>
  <c r="I28" i="17"/>
  <c r="J17" i="17" s="1"/>
  <c r="H24" i="17"/>
  <c r="I24" i="17"/>
  <c r="N29" i="17"/>
  <c r="H26" i="17"/>
  <c r="O26" i="17" s="1"/>
  <c r="N25" i="17"/>
  <c r="H23" i="17"/>
  <c r="C28" i="15"/>
  <c r="I21" i="17"/>
  <c r="M29" i="17"/>
  <c r="Q28" i="15"/>
  <c r="G29" i="15"/>
  <c r="L25" i="17"/>
  <c r="H30" i="17"/>
  <c r="J15" i="17"/>
  <c r="M25" i="17"/>
  <c r="H31" i="17"/>
  <c r="K31" i="17" s="1"/>
  <c r="K7" i="17" s="1"/>
  <c r="H27" i="17"/>
  <c r="O27" i="17" s="1"/>
  <c r="H20" i="17"/>
  <c r="I34" i="18"/>
  <c r="L56" i="18" s="1"/>
  <c r="J7" i="17"/>
  <c r="L14" i="22"/>
  <c r="I14" i="22"/>
  <c r="U50" i="19"/>
  <c r="S35" i="19" s="1"/>
  <c r="U35" i="19" s="1"/>
  <c r="T33" i="19"/>
  <c r="U33" i="19" s="1"/>
  <c r="T34" i="19"/>
  <c r="U32" i="19"/>
  <c r="S24" i="19"/>
  <c r="J41" i="18"/>
  <c r="N44" i="18"/>
  <c r="M44" i="18"/>
  <c r="I44" i="18"/>
  <c r="I43" i="18" s="1"/>
  <c r="I42" i="18" s="1"/>
  <c r="J3" i="17" s="1"/>
  <c r="L44" i="18"/>
  <c r="J44" i="18"/>
  <c r="J53" i="18"/>
  <c r="N53" i="18"/>
  <c r="M53" i="18"/>
  <c r="K53" i="18"/>
  <c r="K52" i="18" s="1"/>
  <c r="J10" i="15" s="1"/>
  <c r="L53" i="18"/>
  <c r="N55" i="18"/>
  <c r="I55" i="18"/>
  <c r="M55" i="18"/>
  <c r="L55" i="18"/>
  <c r="K67" i="18"/>
  <c r="K50" i="18"/>
  <c r="J9" i="15" s="1"/>
  <c r="L2" i="17"/>
  <c r="K41" i="18"/>
  <c r="K43" i="18" s="1"/>
  <c r="J34" i="18"/>
  <c r="J56" i="18"/>
  <c r="J67" i="18" s="1"/>
  <c r="K9" i="17"/>
  <c r="I2" i="15"/>
  <c r="K15" i="17"/>
  <c r="K34" i="18"/>
  <c r="N56" i="18" s="1"/>
  <c r="L41" i="18"/>
  <c r="H2" i="15"/>
  <c r="H10" i="15"/>
  <c r="K55" i="18"/>
  <c r="K54" i="18" s="1"/>
  <c r="M26" i="17"/>
  <c r="N26" i="17"/>
  <c r="E75" i="2"/>
  <c r="K17" i="22" l="1"/>
  <c r="H4" i="15"/>
  <c r="J8" i="17"/>
  <c r="G32" i="19"/>
  <c r="E171" i="19" s="1"/>
  <c r="H21" i="17"/>
  <c r="G56" i="19"/>
  <c r="E172" i="19" s="1"/>
  <c r="T28" i="19"/>
  <c r="T30" i="19" s="1"/>
  <c r="L43" i="18"/>
  <c r="L15" i="17"/>
  <c r="M41" i="18"/>
  <c r="J66" i="18"/>
  <c r="J65" i="18" s="1"/>
  <c r="I30" i="15" s="1"/>
  <c r="J43" i="18"/>
  <c r="J42" i="18" s="1"/>
  <c r="K3" i="17" s="1"/>
  <c r="E56" i="19"/>
  <c r="B172" i="19" s="1"/>
  <c r="B191" i="19" s="1"/>
  <c r="F95" i="19"/>
  <c r="C175" i="19" s="1"/>
  <c r="D167" i="19"/>
  <c r="E137" i="19"/>
  <c r="B177" i="19" s="1"/>
  <c r="B184" i="19" s="1"/>
  <c r="E123" i="19"/>
  <c r="B176" i="19" s="1"/>
  <c r="S28" i="19" s="1"/>
  <c r="U28" i="19" s="1"/>
  <c r="F123" i="19"/>
  <c r="C176" i="19" s="1"/>
  <c r="I176" i="19" s="1"/>
  <c r="E95" i="19"/>
  <c r="B175" i="19" s="1"/>
  <c r="B186" i="19" s="1"/>
  <c r="F167" i="19"/>
  <c r="C179" i="19" s="1"/>
  <c r="I179" i="19" s="1"/>
  <c r="E167" i="19"/>
  <c r="L75" i="19"/>
  <c r="F75" i="19"/>
  <c r="C174" i="19" s="1"/>
  <c r="N28" i="17"/>
  <c r="M2" i="17"/>
  <c r="M15" i="17" s="1"/>
  <c r="N31" i="17"/>
  <c r="K179" i="19"/>
  <c r="D123" i="19"/>
  <c r="D176" i="19" s="1"/>
  <c r="J176" i="19" s="1"/>
  <c r="I173" i="19"/>
  <c r="H173" i="19"/>
  <c r="K173" i="19"/>
  <c r="J173" i="19"/>
  <c r="G95" i="19"/>
  <c r="I65" i="18"/>
  <c r="I68" i="18" s="1"/>
  <c r="H18" i="15" s="1"/>
  <c r="H12" i="15" s="1"/>
  <c r="H8" i="15" s="1"/>
  <c r="D137" i="19"/>
  <c r="D177" i="19" s="1"/>
  <c r="C184" i="19" s="1"/>
  <c r="O24" i="17"/>
  <c r="D56" i="19"/>
  <c r="D172" i="19" s="1"/>
  <c r="G123" i="19"/>
  <c r="E176" i="19" s="1"/>
  <c r="K176" i="19" s="1"/>
  <c r="G177" i="19"/>
  <c r="G172" i="19"/>
  <c r="G174" i="19"/>
  <c r="G178" i="19"/>
  <c r="G171" i="19"/>
  <c r="G175" i="19"/>
  <c r="D95" i="19"/>
  <c r="D175" i="19" s="1"/>
  <c r="G167" i="19"/>
  <c r="E179" i="19" s="1"/>
  <c r="D189" i="19" s="1"/>
  <c r="G137" i="19"/>
  <c r="E177" i="19" s="1"/>
  <c r="D184" i="19" s="1"/>
  <c r="F137" i="19"/>
  <c r="C177" i="19" s="1"/>
  <c r="F32" i="19"/>
  <c r="C171" i="19" s="1"/>
  <c r="B185" i="19"/>
  <c r="S34" i="19"/>
  <c r="U34" i="19" s="1"/>
  <c r="U36" i="19" s="1"/>
  <c r="T23" i="19" s="1"/>
  <c r="U23" i="19" s="1"/>
  <c r="M28" i="17"/>
  <c r="K26" i="17"/>
  <c r="L26" i="17"/>
  <c r="O28" i="17"/>
  <c r="L24" i="17"/>
  <c r="K28" i="17"/>
  <c r="K17" i="17" s="1"/>
  <c r="L9" i="17"/>
  <c r="N24" i="17"/>
  <c r="M24" i="17"/>
  <c r="K24" i="17"/>
  <c r="M31" i="17"/>
  <c r="L31" i="17"/>
  <c r="L7" i="17" s="1"/>
  <c r="L28" i="17"/>
  <c r="L17" i="17" s="1"/>
  <c r="H5" i="15"/>
  <c r="N27" i="17"/>
  <c r="M27" i="17"/>
  <c r="K27" i="17"/>
  <c r="K14" i="17" s="1"/>
  <c r="J14" i="17"/>
  <c r="N30" i="17"/>
  <c r="K30" i="17"/>
  <c r="K16" i="17" s="1"/>
  <c r="O30" i="17"/>
  <c r="M30" i="17"/>
  <c r="M16" i="17" s="1"/>
  <c r="J16" i="17"/>
  <c r="L30" i="17"/>
  <c r="L16" i="17" s="1"/>
  <c r="O28" i="15"/>
  <c r="P28" i="15"/>
  <c r="C29" i="15"/>
  <c r="L27" i="17"/>
  <c r="L14" i="17" s="1"/>
  <c r="M23" i="17"/>
  <c r="L23" i="17"/>
  <c r="L6" i="17" s="1"/>
  <c r="J6" i="17"/>
  <c r="K23" i="17"/>
  <c r="K6" i="17" s="1"/>
  <c r="O23" i="17"/>
  <c r="N23" i="17"/>
  <c r="O31" i="17"/>
  <c r="G31" i="15"/>
  <c r="Q31" i="15" s="1"/>
  <c r="Q29" i="15"/>
  <c r="J2" i="15"/>
  <c r="J43" i="15" s="1"/>
  <c r="U23" i="20"/>
  <c r="H14" i="21" s="1"/>
  <c r="D15" i="21" s="1"/>
  <c r="S81" i="19"/>
  <c r="R81" i="19"/>
  <c r="T36" i="19"/>
  <c r="T81" i="19"/>
  <c r="I54" i="18"/>
  <c r="I57" i="18" s="1"/>
  <c r="J52" i="18"/>
  <c r="I10" i="15" s="1"/>
  <c r="K66" i="18"/>
  <c r="K65" i="18" s="1"/>
  <c r="N66" i="18"/>
  <c r="M66" i="18"/>
  <c r="L66" i="18"/>
  <c r="M43" i="18"/>
  <c r="L54" i="18"/>
  <c r="K57" i="18"/>
  <c r="J20" i="15"/>
  <c r="J50" i="18"/>
  <c r="I9" i="15" s="1"/>
  <c r="J13" i="17"/>
  <c r="N41" i="18"/>
  <c r="N43" i="18" s="1"/>
  <c r="O2" i="17"/>
  <c r="O9" i="17" s="1"/>
  <c r="N2" i="17"/>
  <c r="M56" i="18"/>
  <c r="J54" i="18"/>
  <c r="I25" i="15"/>
  <c r="I23" i="15"/>
  <c r="I48" i="15"/>
  <c r="I20" i="15"/>
  <c r="I43" i="15"/>
  <c r="H6" i="15"/>
  <c r="L67" i="18"/>
  <c r="L50" i="18"/>
  <c r="L52" i="18"/>
  <c r="H3" i="15"/>
  <c r="I3" i="15"/>
  <c r="H23" i="15"/>
  <c r="H25" i="15"/>
  <c r="H48" i="15"/>
  <c r="H43" i="15"/>
  <c r="H20" i="15"/>
  <c r="N67" i="18"/>
  <c r="N52" i="18"/>
  <c r="N50" i="18"/>
  <c r="N54" i="18"/>
  <c r="M6" i="17" l="1"/>
  <c r="M17" i="17"/>
  <c r="H19" i="15"/>
  <c r="M7" i="17"/>
  <c r="N65" i="18"/>
  <c r="J10" i="17"/>
  <c r="K2" i="15"/>
  <c r="K43" i="15" s="1"/>
  <c r="M9" i="17"/>
  <c r="M14" i="17"/>
  <c r="J3" i="15"/>
  <c r="D190" i="19"/>
  <c r="E175" i="19"/>
  <c r="D186" i="19"/>
  <c r="B189" i="19"/>
  <c r="B179" i="19"/>
  <c r="H174" i="19"/>
  <c r="J174" i="19"/>
  <c r="K174" i="19"/>
  <c r="I174" i="19"/>
  <c r="I175" i="19"/>
  <c r="H175" i="19"/>
  <c r="J175" i="19"/>
  <c r="K175" i="19"/>
  <c r="J172" i="19"/>
  <c r="I172" i="19"/>
  <c r="H172" i="19"/>
  <c r="K172" i="19"/>
  <c r="H176" i="19"/>
  <c r="J171" i="19"/>
  <c r="H171" i="19"/>
  <c r="I171" i="19"/>
  <c r="K171" i="19"/>
  <c r="H177" i="19"/>
  <c r="I177" i="19"/>
  <c r="K177" i="19"/>
  <c r="J177" i="19"/>
  <c r="C189" i="19"/>
  <c r="D179" i="19"/>
  <c r="J179" i="19" s="1"/>
  <c r="B190" i="19"/>
  <c r="H178" i="19"/>
  <c r="I178" i="19"/>
  <c r="K178" i="19"/>
  <c r="J178" i="19"/>
  <c r="J18" i="17"/>
  <c r="J48" i="15"/>
  <c r="C31" i="15"/>
  <c r="P29" i="15"/>
  <c r="O29" i="15"/>
  <c r="J25" i="15"/>
  <c r="J23" i="15"/>
  <c r="U28" i="20"/>
  <c r="U25" i="20"/>
  <c r="U27" i="20" s="1"/>
  <c r="U19" i="20" s="1"/>
  <c r="F16" i="23"/>
  <c r="J30" i="15"/>
  <c r="K68" i="18"/>
  <c r="J18" i="15" s="1"/>
  <c r="J12" i="15" s="1"/>
  <c r="J8" i="15" s="1"/>
  <c r="H30" i="15"/>
  <c r="L65" i="18"/>
  <c r="L68" i="18" s="1"/>
  <c r="K18" i="15" s="1"/>
  <c r="K12" i="15" s="1"/>
  <c r="J68" i="18"/>
  <c r="I18" i="15" s="1"/>
  <c r="H13" i="15"/>
  <c r="H45" i="15" s="1"/>
  <c r="H49" i="15" s="1"/>
  <c r="H14" i="15" s="1"/>
  <c r="H16" i="15" s="1"/>
  <c r="H17" i="15" s="1"/>
  <c r="I4" i="15"/>
  <c r="K8" i="17"/>
  <c r="K10" i="17" s="1"/>
  <c r="K13" i="17"/>
  <c r="K18" i="17" s="1"/>
  <c r="K42" i="18"/>
  <c r="J57" i="18"/>
  <c r="O17" i="17"/>
  <c r="O7" i="17"/>
  <c r="M2" i="15"/>
  <c r="M25" i="15" s="1"/>
  <c r="O16" i="17"/>
  <c r="O14" i="17"/>
  <c r="O15" i="17"/>
  <c r="M67" i="18"/>
  <c r="M65" i="18" s="1"/>
  <c r="M54" i="18"/>
  <c r="M52" i="18"/>
  <c r="M50" i="18"/>
  <c r="O6" i="17"/>
  <c r="N15" i="17"/>
  <c r="N7" i="17"/>
  <c r="L2" i="15"/>
  <c r="N17" i="17"/>
  <c r="N9" i="17"/>
  <c r="N16" i="17"/>
  <c r="N14" i="17"/>
  <c r="N6" i="17"/>
  <c r="K10" i="15"/>
  <c r="K25" i="15"/>
  <c r="K9" i="15"/>
  <c r="L57" i="18"/>
  <c r="N57" i="18"/>
  <c r="M9" i="15"/>
  <c r="M10" i="15"/>
  <c r="M30" i="15"/>
  <c r="N68" i="18"/>
  <c r="M18" i="15" s="1"/>
  <c r="M12" i="15" s="1"/>
  <c r="J20" i="17" l="1"/>
  <c r="J21" i="17" s="1"/>
  <c r="H28" i="15" s="1"/>
  <c r="H29" i="15" s="1"/>
  <c r="H31" i="15" s="1"/>
  <c r="K48" i="15"/>
  <c r="K20" i="15"/>
  <c r="K3" i="15"/>
  <c r="K23" i="15"/>
  <c r="M8" i="15"/>
  <c r="K8" i="15"/>
  <c r="I12" i="15"/>
  <c r="I8" i="15" s="1"/>
  <c r="I19" i="15"/>
  <c r="K19" i="15"/>
  <c r="J19" i="15"/>
  <c r="D180" i="19"/>
  <c r="C194" i="19" s="1"/>
  <c r="E180" i="19"/>
  <c r="D194" i="19" s="1"/>
  <c r="C180" i="19"/>
  <c r="S29" i="19"/>
  <c r="U29" i="19" s="1"/>
  <c r="S30" i="19" s="1"/>
  <c r="U30" i="19" s="1"/>
  <c r="T22" i="19" s="1"/>
  <c r="U22" i="19" s="1"/>
  <c r="U24" i="19" s="1"/>
  <c r="D13" i="21" s="1"/>
  <c r="F30" i="23" s="1"/>
  <c r="H179" i="19"/>
  <c r="B180" i="19" s="1"/>
  <c r="B194" i="19" s="1"/>
  <c r="O31" i="15"/>
  <c r="P31" i="15"/>
  <c r="I6" i="15"/>
  <c r="I5" i="15"/>
  <c r="O5" i="15" s="1"/>
  <c r="H15" i="21"/>
  <c r="F7" i="21" s="1"/>
  <c r="U20" i="20"/>
  <c r="M19" i="15"/>
  <c r="M23" i="15"/>
  <c r="K30" i="15"/>
  <c r="M43" i="15"/>
  <c r="M48" i="15"/>
  <c r="K20" i="17"/>
  <c r="K21" i="17" s="1"/>
  <c r="I28" i="15" s="1"/>
  <c r="L42" i="18"/>
  <c r="L3" i="17"/>
  <c r="M20" i="15"/>
  <c r="L20" i="15"/>
  <c r="L23" i="15"/>
  <c r="L43" i="15"/>
  <c r="L48" i="15"/>
  <c r="L25" i="15"/>
  <c r="L9" i="15"/>
  <c r="L3" i="15"/>
  <c r="L10" i="15"/>
  <c r="M3" i="15"/>
  <c r="M57" i="18"/>
  <c r="M68" i="18"/>
  <c r="L18" i="15" s="1"/>
  <c r="L12" i="15" s="1"/>
  <c r="L30" i="15"/>
  <c r="E56" i="2"/>
  <c r="L8" i="15" l="1"/>
  <c r="D12" i="21"/>
  <c r="F29" i="23"/>
  <c r="I13" i="15"/>
  <c r="I45" i="15" s="1"/>
  <c r="I49" i="15" s="1"/>
  <c r="I14" i="15" s="1"/>
  <c r="I16" i="15" s="1"/>
  <c r="I17" i="15" s="1"/>
  <c r="L19" i="15"/>
  <c r="J4" i="15"/>
  <c r="L13" i="17"/>
  <c r="L18" i="17" s="1"/>
  <c r="L8" i="17"/>
  <c r="L10" i="17" s="1"/>
  <c r="M42" i="18"/>
  <c r="M3" i="17"/>
  <c r="I29" i="15" l="1"/>
  <c r="I31" i="15" s="1"/>
  <c r="I33" i="15" s="1"/>
  <c r="J6" i="15"/>
  <c r="J13" i="15" s="1"/>
  <c r="J45" i="15" s="1"/>
  <c r="J49" i="15" s="1"/>
  <c r="J14" i="15" s="1"/>
  <c r="J16" i="15" s="1"/>
  <c r="J17" i="15" s="1"/>
  <c r="J5" i="15"/>
  <c r="H33" i="15"/>
  <c r="L20" i="17"/>
  <c r="L21" i="17" s="1"/>
  <c r="J28" i="15" s="1"/>
  <c r="K4" i="15"/>
  <c r="M8" i="17"/>
  <c r="M10" i="17" s="1"/>
  <c r="M13" i="17"/>
  <c r="M18" i="17" s="1"/>
  <c r="N3" i="17"/>
  <c r="N42" i="18"/>
  <c r="O3" i="17" s="1"/>
  <c r="F27" i="23" l="1"/>
  <c r="J29" i="15"/>
  <c r="J31" i="15" s="1"/>
  <c r="J33" i="15" s="1"/>
  <c r="K6" i="15"/>
  <c r="K13" i="15" s="1"/>
  <c r="K45" i="15" s="1"/>
  <c r="K49" i="15" s="1"/>
  <c r="K14" i="15" s="1"/>
  <c r="K16" i="15" s="1"/>
  <c r="K17" i="15" s="1"/>
  <c r="K5" i="15"/>
  <c r="M20" i="17"/>
  <c r="M21" i="17" s="1"/>
  <c r="K28" i="15" s="1"/>
  <c r="M4" i="15"/>
  <c r="O13" i="17"/>
  <c r="O18" i="17" s="1"/>
  <c r="O8" i="17"/>
  <c r="O10" i="17" s="1"/>
  <c r="L4" i="15"/>
  <c r="N8" i="17"/>
  <c r="N10" i="17" s="1"/>
  <c r="N13" i="17"/>
  <c r="N18" i="17" s="1"/>
  <c r="K29" i="15" l="1"/>
  <c r="K31" i="15" s="1"/>
  <c r="K33" i="15" s="1"/>
  <c r="M6" i="15"/>
  <c r="M13" i="15" s="1"/>
  <c r="M45" i="15" s="1"/>
  <c r="M49" i="15" s="1"/>
  <c r="M14" i="15" s="1"/>
  <c r="M16" i="15" s="1"/>
  <c r="M17" i="15" s="1"/>
  <c r="M5" i="15"/>
  <c r="L6" i="15"/>
  <c r="L13" i="15" s="1"/>
  <c r="L45" i="15" s="1"/>
  <c r="L49" i="15" s="1"/>
  <c r="L14" i="15" s="1"/>
  <c r="L16" i="15" s="1"/>
  <c r="L17" i="15" s="1"/>
  <c r="L5" i="15"/>
  <c r="O20" i="17"/>
  <c r="N20" i="17"/>
  <c r="N21" i="17" s="1"/>
  <c r="L28" i="15" s="1"/>
  <c r="L29" i="15" l="1"/>
  <c r="L31" i="15" s="1"/>
  <c r="L33" i="15" s="1"/>
  <c r="O21" i="17"/>
  <c r="M28" i="15" s="1"/>
  <c r="M29" i="15" s="1"/>
  <c r="M31" i="15" s="1"/>
  <c r="M33" i="15" s="1"/>
  <c r="F10" i="23" l="1"/>
  <c r="F14" i="23" l="1"/>
  <c r="F19" i="23" s="1"/>
  <c r="F22" i="23" s="1"/>
  <c r="J13" i="23" s="1"/>
  <c r="E24" i="23" l="1"/>
  <c r="F24" i="23" s="1"/>
</calcChain>
</file>

<file path=xl/sharedStrings.xml><?xml version="1.0" encoding="utf-8"?>
<sst xmlns="http://schemas.openxmlformats.org/spreadsheetml/2006/main" count="3607" uniqueCount="1149">
  <si>
    <t>Mithra Pharmaceuticals SA (ENXTBR:MITRA) &gt; Financials &gt; Key Stats</t>
  </si>
  <si>
    <t>In Millions of the trading currency, except per share items.</t>
  </si>
  <si>
    <t>Currency:</t>
  </si>
  <si>
    <t>Trading Currency</t>
  </si>
  <si>
    <t> </t>
  </si>
  <si>
    <t>Conversion:</t>
  </si>
  <si>
    <t>Today's Spot Rate</t>
  </si>
  <si>
    <t>Order:</t>
  </si>
  <si>
    <t>Latest on Right</t>
  </si>
  <si>
    <t>Units:</t>
  </si>
  <si>
    <t>S&amp;P Capital IQ (Default)</t>
  </si>
  <si>
    <t>Decimals:</t>
  </si>
  <si>
    <t>Capital IQ (Default)</t>
  </si>
  <si>
    <t>Dilution:</t>
  </si>
  <si>
    <t>Basic</t>
  </si>
  <si>
    <t>Key Financials¹</t>
  </si>
  <si>
    <t xml:space="preserve">For the Fiscal Period Ending
</t>
  </si>
  <si>
    <t>12 months
Dec-31-2017A</t>
  </si>
  <si>
    <t>12 months
Dec-31-2018A</t>
  </si>
  <si>
    <t>12 months
Dec-31-2019A</t>
  </si>
  <si>
    <t>12 months
Dec-31-2020A</t>
  </si>
  <si>
    <t>12 months
Dec-31-2021A</t>
  </si>
  <si>
    <t>Press Release
12 months
Dec-31-2022A</t>
  </si>
  <si>
    <t>12 months†
Dec-31-2023E</t>
  </si>
  <si>
    <t>12 months
Dec-31-2024E</t>
  </si>
  <si>
    <t>Currency</t>
  </si>
  <si>
    <t>EUR</t>
  </si>
  <si>
    <t>Total Revenue</t>
  </si>
  <si>
    <t xml:space="preserve">  Growth Over Prior Year</t>
  </si>
  <si>
    <t>-</t>
  </si>
  <si>
    <t>Gross Profit</t>
  </si>
  <si>
    <t xml:space="preserve">  Margin %</t>
  </si>
  <si>
    <t>EBITDA</t>
  </si>
  <si>
    <t>NM</t>
  </si>
  <si>
    <t>EBIT</t>
  </si>
  <si>
    <t>Earnings from Cont. Ops.</t>
  </si>
  <si>
    <t>Net Income</t>
  </si>
  <si>
    <t>Diluted EPS Excl. Extra Items³</t>
  </si>
  <si>
    <t>NA</t>
  </si>
  <si>
    <t>¹All results are taken from the most recently filed statement for each period. When there has been more than one, earlier filings can be viewed on the individual statement pages.</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</si>
  <si>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</si>
  <si>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</si>
  <si>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Current Capitalization (Millions of EUR)</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</si>
  <si>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</si>
  <si>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</si>
  <si>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</si>
  <si>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</si>
  <si>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</si>
  <si>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</si>
  <si>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</si>
  <si>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</si>
  <si>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</si>
  <si>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</si>
  <si>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</si>
  <si>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</si>
  <si>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</si>
  <si>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</si>
  <si>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</si>
  <si>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</si>
  <si>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</si>
  <si>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12 months
Dec-31-2023E</t>
  </si>
  <si>
    <t>TEV/Total Revenue</t>
  </si>
  <si>
    <t>TEV/EBITDA</t>
  </si>
  <si>
    <t>TEV/EBIT</t>
  </si>
  <si>
    <t>P/Diluted EPS Before Extra</t>
  </si>
  <si>
    <t>P/BV</t>
  </si>
  <si>
    <t>Price/Tang BV</t>
  </si>
  <si>
    <t xml:space="preserve">
               </t>
  </si>
  <si>
    <t>Mithra Pharmaceuticals SA (ENXTBR:MITRA)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</si>
  <si>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</si>
  <si>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</si>
  <si>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</si>
  <si>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</si>
  <si>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</si>
  <si>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</si>
  <si>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</si>
  <si>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</si>
  <si>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</si>
  <si>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</si>
  <si>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</si>
  <si>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</si>
  <si>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</si>
  <si>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</si>
  <si>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</si>
  <si>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</si>
  <si>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Reclassified
12 months
Dec-31-2017</t>
  </si>
  <si>
    <t>12 months
Dec-31-2018</t>
  </si>
  <si>
    <t>12 months
Dec-31-2019</t>
  </si>
  <si>
    <t>12 months
Dec-31-2020</t>
  </si>
  <si>
    <t>12 months
Dec-31-2021</t>
  </si>
  <si>
    <t>Press Release
12 months
Dec-31-2022</t>
  </si>
  <si>
    <t xml:space="preserve"> </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</si>
  <si>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</si>
  <si>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</si>
  <si>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</si>
  <si>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</si>
  <si>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</si>
  <si>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</si>
  <si>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</si>
  <si>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</si>
  <si>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</si>
  <si>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</si>
  <si>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</si>
  <si>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</si>
  <si>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</si>
  <si>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</si>
  <si>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</si>
  <si>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</si>
  <si>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</si>
  <si>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Impairment of Goodwill</t>
  </si>
  <si>
    <t>Gain (Loss) On Sale Of Invest.</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</si>
  <si>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</si>
  <si>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</si>
  <si>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</si>
  <si>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</si>
  <si>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</si>
  <si>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</si>
  <si>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</si>
  <si>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</si>
  <si>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</si>
  <si>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</si>
  <si>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</si>
  <si>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</si>
  <si>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</si>
  <si>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</si>
  <si>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</si>
  <si>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</si>
  <si>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</si>
  <si>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</si>
  <si>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</si>
  <si>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</si>
  <si>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</si>
  <si>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</si>
  <si>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Supplemental Items</t>
  </si>
  <si>
    <t>EBITA</t>
  </si>
  <si>
    <t>EBITDAR</t>
  </si>
  <si>
    <t>Effective Tax Rate %</t>
  </si>
  <si>
    <t>Total Current Taxes</t>
  </si>
  <si>
    <t>Total Deferred Taxes</t>
  </si>
  <si>
    <t>Normalized Net Income</t>
  </si>
  <si>
    <t>Interest on Long Term Debt</t>
  </si>
  <si>
    <t>Filing Date</t>
  </si>
  <si>
    <t>Restatement Type</t>
  </si>
  <si>
    <t>RD</t>
  </si>
  <si>
    <t>NC</t>
  </si>
  <si>
    <t>O</t>
  </si>
  <si>
    <t>P</t>
  </si>
  <si>
    <t>Calculation Type</t>
  </si>
  <si>
    <t>REP</t>
  </si>
  <si>
    <t>Supplemental Operating Expense Items</t>
  </si>
  <si>
    <t>Selling and Marketing Exp.</t>
  </si>
  <si>
    <t>General and Administrative Exp.</t>
  </si>
  <si>
    <t>R&amp;D Exp.</t>
  </si>
  <si>
    <t>Net Rental Exp.</t>
  </si>
  <si>
    <t>Imputed Oper. Lease Interest Exp.</t>
  </si>
  <si>
    <t>Imputed Oper. Lease Depreciation</t>
  </si>
  <si>
    <t>Maintenance &amp; Repair Exp.</t>
  </si>
  <si>
    <t>Stock-Based Comp., Unallocated</t>
  </si>
  <si>
    <t xml:space="preserve">  Stock-Based Comp., Total</t>
  </si>
  <si>
    <t>Note: For multiple class companies, per share items are primary class equivalent, and for foreign companies listed as primary ADRs, per share items are ADR-equivalent.</t>
  </si>
  <si>
    <t>Mithra Pharmaceuticals SA (ENXTBR:MITRA)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</si>
  <si>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</si>
  <si>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</si>
  <si>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</si>
  <si>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</si>
  <si>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</si>
  <si>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</si>
  <si>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</si>
  <si>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</si>
  <si>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</si>
  <si>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</si>
  <si>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</si>
  <si>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</si>
  <si>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Dec-31-2018</t>
  </si>
  <si>
    <t>Reclassified
Dec-31-2019</t>
  </si>
  <si>
    <t>Reclassified
Dec-31-2020</t>
  </si>
  <si>
    <t>Press Release
Dec-31-2022</t>
  </si>
  <si>
    <t>ASSETS</t>
  </si>
  <si>
    <t>Cash And Equivalents</t>
  </si>
  <si>
    <t>Short Term Investments</t>
  </si>
  <si>
    <t xml:space="preserve">  Total Cash &amp; ST Investments</t>
  </si>
  <si>
    <t>Accounts Receivable</t>
  </si>
  <si>
    <t>Other Receivables</t>
  </si>
  <si>
    <t xml:space="preserve">  Total Receivables</t>
  </si>
  <si>
    <t>Inventory</t>
  </si>
  <si>
    <t>Prepaid Exp.</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</si>
  <si>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</si>
  <si>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</si>
  <si>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</si>
  <si>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</si>
  <si>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</si>
  <si>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</si>
  <si>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</si>
  <si>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</si>
  <si>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Accounts Receivable Long-Term</t>
  </si>
  <si>
    <t>Deferred Tax Assets, LT</t>
  </si>
  <si>
    <t>Deferred Charges, LT</t>
  </si>
  <si>
    <t>Other Long-Term Assets</t>
  </si>
  <si>
    <t>Total Assets</t>
  </si>
  <si>
    <t>LIABILITIES</t>
  </si>
  <si>
    <t>Accounts Payable</t>
  </si>
  <si>
    <t>Accrued Exp.</t>
  </si>
  <si>
    <t>Short-term Borrowings</t>
  </si>
  <si>
    <t>Curr. Port. of LT Debt</t>
  </si>
  <si>
    <t>Curr. Port. of Leases</t>
  </si>
  <si>
    <t>Curr. Income Taxes Payable</t>
  </si>
  <si>
    <t>Unearned Revenue, Current</t>
  </si>
  <si>
    <t>Other Current Liabilities</t>
  </si>
  <si>
    <t xml:space="preserve">  Total Current Liabilities</t>
  </si>
  <si>
    <t>Long-Term Debt</t>
  </si>
  <si>
    <t>Long-Term Leases</t>
  </si>
  <si>
    <t>Unearned Revenue, Non-Current</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</si>
  <si>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</si>
  <si>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</si>
  <si>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</si>
  <si>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</si>
  <si>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</si>
  <si>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</si>
  <si>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</si>
  <si>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</si>
  <si>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</si>
  <si>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</si>
  <si>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</si>
  <si>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</si>
  <si>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</si>
  <si>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</si>
  <si>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</si>
  <si>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</si>
  <si>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</si>
  <si>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</si>
  <si>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</si>
  <si>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Inventory Method</t>
  </si>
  <si>
    <t>FIFO</t>
  </si>
  <si>
    <t>Raw Materials Inventory</t>
  </si>
  <si>
    <t>Work in Progress Inventory</t>
  </si>
  <si>
    <t>Finished Goods Inventory</t>
  </si>
  <si>
    <t>Land</t>
  </si>
  <si>
    <t>Machinery</t>
  </si>
  <si>
    <t>Full Time Employees</t>
  </si>
  <si>
    <t>RS</t>
  </si>
  <si>
    <t>RC</t>
  </si>
  <si>
    <t>Note: For multiple class companies, total share counts are primary class equivalent, and for foreign companies listed as primary ADRs, total share counts are ADR-equivalent.</t>
  </si>
  <si>
    <t>Mithra Pharmaceuticals SA (ENXTBR:MITRA) &gt; Financials &gt; Cash Flow</t>
  </si>
  <si>
    <t>In Millions of the reported currency, except per share items.</t>
  </si>
  <si>
    <t>Template:</t>
  </si>
  <si>
    <t>Restatement:</t>
  </si>
  <si>
    <t>Period Type:</t>
  </si>
  <si>
    <t>Order:</t>
  </si>
  <si>
    <t>Currency:</t>
  </si>
  <si>
    <t>Conversion:</t>
  </si>
  <si>
    <t>Units:</t>
  </si>
  <si>
    <t>Decimals:</t>
  </si>
  <si>
    <t>Source:</t>
  </si>
  <si>
    <t>Cash Flow</t>
  </si>
  <si>
    <t>Restated
12 months
Dec-31-2017</t>
  </si>
  <si>
    <t>Amort. of Goodwill and Intangibles</t>
  </si>
  <si>
    <t>Depreciation &amp; Amort., Total</t>
  </si>
  <si>
    <t>Other Amortization</t>
  </si>
  <si>
    <t>Stock-Based Compensation</t>
  </si>
  <si>
    <t>Net Cash From Discontinued Ops.</t>
  </si>
  <si>
    <t>Other Operating Activities</t>
  </si>
  <si>
    <t>Change in Acc. Receivable</t>
  </si>
  <si>
    <t>Change In Inventories</t>
  </si>
  <si>
    <t>Change in Acc. Payable</t>
  </si>
  <si>
    <t>Change in Unearned Rev.</t>
  </si>
  <si>
    <t>Change in Inc. Taxes</t>
  </si>
  <si>
    <t>Change in Other Net Operating Assets</t>
  </si>
  <si>
    <t xml:space="preserve">  Cash from Ops.</t>
  </si>
  <si>
    <t>Capital Expenditure</t>
  </si>
  <si>
    <t>Sale of Property, Plant, and Equipment</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</si>
  <si>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</si>
  <si>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</si>
  <si>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</si>
  <si>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</si>
  <si>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</si>
  <si>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</si>
  <si>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</si>
  <si>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</si>
  <si>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</si>
  <si>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</si>
  <si>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</si>
  <si>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</si>
  <si>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</si>
  <si>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</si>
  <si>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Total Dividends Paid</t>
  </si>
  <si>
    <t>Special Dividend Paid</t>
  </si>
  <si>
    <t>Other Financing Activities</t>
  </si>
  <si>
    <t xml:space="preserve">  Cash from Financing</t>
  </si>
  <si>
    <t>Foreign Exchange Rate Adj.</t>
  </si>
  <si>
    <t>Misc. Cash Flow Adj.</t>
  </si>
  <si>
    <t xml:space="preserve">  Net Change in Cash</t>
  </si>
  <si>
    <t>Cash Interest Paid</t>
  </si>
  <si>
    <t>Cash Taxes Paid</t>
  </si>
  <si>
    <t>Levered Free Cash Flow</t>
  </si>
  <si>
    <t>Unlevered Free Cash Flow</t>
  </si>
  <si>
    <t>Change in Net Working Capital</t>
  </si>
  <si>
    <t>Net Debt Issued</t>
  </si>
  <si>
    <t>Mithra Pharmaceuticals SA (ENXTBR:MITRA)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</si>
  <si>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</si>
  <si>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</si>
  <si>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</si>
  <si>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</si>
  <si>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</si>
  <si>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</si>
  <si>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</si>
  <si>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</si>
  <si>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</si>
  <si>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</si>
  <si>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</si>
  <si>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</si>
  <si>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</si>
  <si>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</si>
  <si>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</si>
  <si>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</si>
  <si>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</si>
  <si>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</si>
  <si>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</si>
  <si>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</si>
  <si>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</si>
  <si>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</si>
  <si>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</si>
  <si>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</si>
  <si>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</si>
  <si>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</si>
  <si>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</si>
  <si>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</si>
  <si>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</si>
  <si>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Mithra Pharmaceuticals SA (ENXTBR:MITRA)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</si>
  <si>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</si>
  <si>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</si>
  <si>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</si>
  <si>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</si>
  <si>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</si>
  <si>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</si>
  <si>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</si>
  <si>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</si>
  <si>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</si>
  <si>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</si>
  <si>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</si>
  <si>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</si>
  <si>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</si>
  <si>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Mithra Pharmaceuticals SA (ENXTBR:MITRA)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</si>
  <si>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</si>
  <si>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</si>
  <si>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</si>
  <si>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</si>
  <si>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</si>
  <si>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</si>
  <si>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</si>
  <si>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</si>
  <si>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</si>
  <si>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</si>
  <si>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Dec-31-2019</t>
  </si>
  <si>
    <t xml:space="preserve"> 12 months Dec-31-2020</t>
  </si>
  <si>
    <t xml:space="preserve"> 12 months Dec-31-2021</t>
  </si>
  <si>
    <t xml:space="preserve"> Currency</t>
  </si>
  <si>
    <t xml:space="preserve"> EUR</t>
  </si>
  <si>
    <t xml:space="preserve"> Units</t>
  </si>
  <si>
    <t xml:space="preserve"> Millions</t>
  </si>
  <si>
    <t>% of Total</t>
  </si>
  <si>
    <t>Total Common Equity</t>
  </si>
  <si>
    <t xml:space="preserve">  Total Capital</t>
  </si>
  <si>
    <t>Exchange Rate</t>
  </si>
  <si>
    <t>Conversion Method</t>
  </si>
  <si>
    <t>S</t>
  </si>
  <si>
    <t>Debt Summary Data</t>
  </si>
  <si>
    <t>Total Revolving Credit</t>
  </si>
  <si>
    <t>Total Term Loans</t>
  </si>
  <si>
    <t>Total Senior Bonds and Notes</t>
  </si>
  <si>
    <t>Total Lease Liabilities</t>
  </si>
  <si>
    <t>General/Other Borrowings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</si>
  <si>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</si>
  <si>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</si>
  <si>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</si>
  <si>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</si>
  <si>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</si>
  <si>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</si>
  <si>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</si>
  <si>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</si>
  <si>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</si>
  <si>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Subordinated Debt</t>
  </si>
  <si>
    <t>Subordinated Debt</t>
  </si>
  <si>
    <t>Total Convertible Debt</t>
  </si>
  <si>
    <t>Total Short-Term Borrowings</t>
  </si>
  <si>
    <t>Curr. Port. of LT Debt/Cap. Leases</t>
  </si>
  <si>
    <t>Long-Term Debt (Incl. Cap. Leases)</t>
  </si>
  <si>
    <t>Total Bank Debt</t>
  </si>
  <si>
    <t>Total Secured Debt</t>
  </si>
  <si>
    <t>Senior Secured Loans</t>
  </si>
  <si>
    <t>Total Senior Secured Debt</t>
  </si>
  <si>
    <t>Total Unsecured Debt</t>
  </si>
  <si>
    <t>Senior Unsecured Bonds and Notes</t>
  </si>
  <si>
    <t>Fixed Rate Debt</t>
  </si>
  <si>
    <t>Variable Rate Debt</t>
  </si>
  <si>
    <t>Credit Ratios</t>
  </si>
  <si>
    <t>Net Debt/EBITDA</t>
  </si>
  <si>
    <t>Total Debt/EBITDA</t>
  </si>
  <si>
    <t>Total Senior Debt/EBITDA</t>
  </si>
  <si>
    <t>Total Senior Secured/EBITDA</t>
  </si>
  <si>
    <t>Total Sub. Debt/EBITDA</t>
  </si>
  <si>
    <t>Subordinated Debt/EBITDA</t>
  </si>
  <si>
    <t>Net Debt/(EBITDA-CAPEX)</t>
  </si>
  <si>
    <t>Total Debt/(EBITDA-CAPEX)</t>
  </si>
  <si>
    <t>Total Senior Debt/(EBITDA-CAPEX)</t>
  </si>
  <si>
    <t>Total Senior Secured/(EBITDA-CAPEX)</t>
  </si>
  <si>
    <t>Total Sub. Debt/(EBITDA-CAPEX)</t>
  </si>
  <si>
    <t>Subordinated Debt/(EBITDA-CAPEX)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</si>
  <si>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</si>
  <si>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</si>
  <si>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</si>
  <si>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</si>
  <si>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</si>
  <si>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</si>
  <si>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</si>
  <si>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</si>
  <si>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</si>
  <si>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</si>
  <si>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</si>
  <si>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</si>
  <si>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</si>
  <si>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</si>
  <si>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</si>
  <si>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</si>
  <si>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Interest Rate Data</t>
  </si>
  <si>
    <t>Mithra Pharmaceuticals SA (ENXTBR:MITRA) &gt; Financials &gt; Capital Structure Details</t>
  </si>
  <si>
    <t>Principal Due in Millions of the reported currency.</t>
  </si>
  <si>
    <t>Period Type:</t>
  </si>
  <si>
    <t>Source:</t>
  </si>
  <si>
    <t>A 2021 filed Apr-15-2022</t>
  </si>
  <si>
    <t>Currency:</t>
  </si>
  <si>
    <t>Conversion:</t>
  </si>
  <si>
    <t>Units:</t>
  </si>
  <si>
    <t>Decimals:</t>
  </si>
  <si>
    <t>FY 2021 (Dec-31-2021) Capital Structure As Reported Details</t>
  </si>
  <si>
    <t>Description</t>
  </si>
  <si>
    <t>Type</t>
  </si>
  <si>
    <t>Principal Due (EUR)</t>
  </si>
  <si>
    <t>Coupon/Base Rate</t>
  </si>
  <si>
    <t>Floating Rate</t>
  </si>
  <si>
    <t>Maturity</t>
  </si>
  <si>
    <t>Seniority</t>
  </si>
  <si>
    <t>Secured</t>
  </si>
  <si>
    <t>Convertible</t>
  </si>
  <si>
    <t>Repayment Currency</t>
  </si>
  <si>
    <t>CBC Covid - Loan</t>
  </si>
  <si>
    <t>Term Loans</t>
  </si>
  <si>
    <t>1.500%</t>
  </si>
  <si>
    <t>Senior</t>
  </si>
  <si>
    <t>No</t>
  </si>
  <si>
    <t>Convertible Bond</t>
  </si>
  <si>
    <t>Bonds and Notes</t>
  </si>
  <si>
    <t>4.250%</t>
  </si>
  <si>
    <t>Innodem Loan</t>
  </si>
  <si>
    <t>2.570%</t>
  </si>
  <si>
    <t>Lease Liabilities</t>
  </si>
  <si>
    <t>Capital Lease</t>
  </si>
  <si>
    <t>5.400%</t>
  </si>
  <si>
    <t>Yes</t>
  </si>
  <si>
    <t>3.140%</t>
  </si>
  <si>
    <t>5.750%</t>
  </si>
  <si>
    <t>3.000%</t>
  </si>
  <si>
    <t>2.000%</t>
  </si>
  <si>
    <t>1.330% - 1.440%</t>
  </si>
  <si>
    <t>0.745%</t>
  </si>
  <si>
    <t>Long Term Bank Loan - Belfius</t>
  </si>
  <si>
    <t>1.890%</t>
  </si>
  <si>
    <t>Long Term Bank Loan - Investment Loans</t>
  </si>
  <si>
    <t>Other Financial Liabilities - Estetra</t>
  </si>
  <si>
    <t>Other Borrowings</t>
  </si>
  <si>
    <t>Other Financial Liabilities - Myring</t>
  </si>
  <si>
    <t>Other Financial Liabilities - Zoreline</t>
  </si>
  <si>
    <t>Other Refundable Government Advances - Loan</t>
  </si>
  <si>
    <t>Refundable Government Advances - Loan</t>
  </si>
  <si>
    <t>Secured Subordinated Loans from CDMO Phase 1</t>
  </si>
  <si>
    <t>4.000%</t>
  </si>
  <si>
    <t>Subordinated</t>
  </si>
  <si>
    <t>Secured Subordinated Loans from CDMO Phase 2 Furnishing ­ Prefin *</t>
  </si>
  <si>
    <t>Secured Subordinated Loans from CDMO Phase 2 Property ­ Prefin *</t>
  </si>
  <si>
    <t>Short Term Bank Loans - Straight Loans Ing</t>
  </si>
  <si>
    <t>Straight Loans &amp;ING BELFIUS Credit Line</t>
  </si>
  <si>
    <t>Revolving Credit</t>
  </si>
  <si>
    <t>Unsecured Subordinated Loans from Development Brazilian Dutch Subsidiary</t>
  </si>
  <si>
    <t>4.950%</t>
  </si>
  <si>
    <t>Working Capital Funding - Facility</t>
  </si>
  <si>
    <t>5.240%</t>
  </si>
  <si>
    <t>FY 2020 (Dec-31-2020) Capital Structure As Reported Details</t>
  </si>
  <si>
    <t>Other Borrowing</t>
  </si>
  <si>
    <t>Mithra Pharmaceuticals SA (ENXTBR:MITRA) &gt; Financials &gt; Ratios</t>
  </si>
  <si>
    <t>Restatement:</t>
  </si>
  <si>
    <t>Period Type:</t>
  </si>
  <si>
    <t>Order:</t>
  </si>
  <si>
    <t>Decimals:</t>
  </si>
  <si>
    <t>Source:</t>
  </si>
  <si>
    <t>Ratios</t>
  </si>
  <si>
    <t>12 months
Dec-31-2017</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</si>
  <si>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</si>
  <si>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</si>
  <si>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</si>
  <si>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</si>
  <si>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</si>
  <si>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</si>
  <si>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</si>
  <si>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</si>
  <si>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</si>
  <si>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</si>
  <si>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</si>
  <si>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</si>
  <si>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</si>
  <si>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</si>
  <si>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</si>
  <si>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</si>
  <si>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</si>
  <si>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</si>
  <si>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</si>
  <si>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</si>
  <si>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</si>
  <si>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</si>
  <si>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</si>
  <si>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</si>
  <si>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</si>
  <si>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</si>
  <si>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</si>
  <si>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</si>
  <si>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</si>
  <si>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</si>
  <si>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</si>
  <si>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</si>
  <si>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</si>
  <si>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</si>
  <si>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</si>
  <si>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</si>
  <si>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</si>
  <si>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</si>
  <si>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</si>
  <si>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</si>
  <si>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</si>
  <si>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</si>
  <si>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</si>
  <si>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</si>
  <si>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</si>
  <si>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</si>
  <si>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</si>
  <si>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</si>
  <si>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</si>
  <si>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</si>
  <si>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</si>
  <si>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</si>
  <si>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</si>
  <si>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</si>
  <si>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</si>
  <si>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</si>
  <si>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</si>
  <si>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</si>
  <si>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</si>
  <si>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</si>
  <si>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</si>
  <si>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</si>
  <si>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</si>
  <si>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Mithra Pharmaceuticals SA (ENXTBR:MITRA) &gt; Financials &gt; Supplemental</t>
  </si>
  <si>
    <t>In Millions of the reported currency, except per share items.</t>
  </si>
  <si>
    <t>Restatement:</t>
  </si>
  <si>
    <t>Period Type:</t>
  </si>
  <si>
    <t>Currency:</t>
  </si>
  <si>
    <t>Conversion:</t>
  </si>
  <si>
    <t>Order:</t>
  </si>
  <si>
    <t>Units:</t>
  </si>
  <si>
    <t>Decimals:</t>
  </si>
  <si>
    <t>Source:</t>
  </si>
  <si>
    <t>Supplemental</t>
  </si>
  <si>
    <t>Warrants Outstanding</t>
  </si>
  <si>
    <t>Warrants Out. at the Beginning of the Period</t>
  </si>
  <si>
    <t>Warrants Issued During the Period</t>
  </si>
  <si>
    <t>Warrants Exercised During the Period</t>
  </si>
  <si>
    <t>Warrants Cancelled During the Period</t>
  </si>
  <si>
    <t>Warrants Out. at the End of the Period</t>
  </si>
  <si>
    <t>Warrants W/Avg. Strike Price of Out.</t>
  </si>
  <si>
    <t>Warrants W/Avg. Strike Price of Issued</t>
  </si>
  <si>
    <t>Warrants Outstanding - All Classes</t>
  </si>
  <si>
    <t>Stock Based Compensation</t>
  </si>
  <si>
    <t>Stock Based Comp. Exp., Before Tax</t>
  </si>
  <si>
    <t>Loss Carry Forward Related Items</t>
  </si>
  <si>
    <t>NOL C/F, After Five Years</t>
  </si>
  <si>
    <t>Total NOL C/F</t>
  </si>
  <si>
    <t>Max. Year for NOL C/F</t>
  </si>
  <si>
    <t>Fair Value Measurements</t>
  </si>
  <si>
    <t>Level 1 Assets - Quoted Prices</t>
  </si>
  <si>
    <t>Level 2 Assets - Observable Prices</t>
  </si>
  <si>
    <t>Level 3 Assets - Unobservable Prices</t>
  </si>
  <si>
    <t>Fair Value of Assets</t>
  </si>
  <si>
    <t>Level 2 Liabilities - Observable Prices</t>
  </si>
  <si>
    <t>Level 3 Liabilities - Unobservable Prices</t>
  </si>
  <si>
    <t>Fair Value of Liabilities</t>
  </si>
  <si>
    <t>Fair Value Change Included in Earnings</t>
  </si>
  <si>
    <t>Mithra Pharmaceuticals SA (ENXTBR:MITRA) &gt; Financials &gt; Industry Specific</t>
  </si>
  <si>
    <t>In Millions of the reported currency, except per share items.</t>
  </si>
  <si>
    <t>Restatement:</t>
  </si>
  <si>
    <t>Period Type:</t>
  </si>
  <si>
    <t>Currency:</t>
  </si>
  <si>
    <t>Conversion:</t>
  </si>
  <si>
    <t>Order:</t>
  </si>
  <si>
    <t>Units:</t>
  </si>
  <si>
    <t>Decimals:</t>
  </si>
  <si>
    <t>Source:</t>
  </si>
  <si>
    <t>Industry Specific</t>
  </si>
  <si>
    <t>Pharmaceutical and Biotech Items</t>
  </si>
  <si>
    <t>Number of Products in Research and Development</t>
  </si>
  <si>
    <t>Number of Products in Pre-Clinical Trials</t>
  </si>
  <si>
    <t>Number of Products in Clinical Development</t>
  </si>
  <si>
    <t>Number of Products in Phase II</t>
  </si>
  <si>
    <t>Number of Products in Phase III</t>
  </si>
  <si>
    <t>Number of Products Approved During the Period</t>
  </si>
  <si>
    <t>Number of Products Launched During the Period</t>
  </si>
  <si>
    <t>Mithra Pharmaceuticals SA (ENXTBR:MITRA)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</si>
  <si>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</si>
  <si>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</si>
  <si>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</si>
  <si>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</si>
  <si>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</si>
  <si>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</si>
  <si>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</si>
  <si>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</si>
  <si>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</si>
  <si>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</si>
  <si>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</si>
  <si>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</si>
  <si>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</si>
  <si>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</si>
  <si>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Mithra Pharmaceuticals SA (ENXTBR:MITRA) &gt; Financials &gt; Segments</t>
  </si>
  <si>
    <t>In Millions of the reported currency.</t>
  </si>
  <si>
    <t>View By:</t>
  </si>
  <si>
    <t>Line Items</t>
  </si>
  <si>
    <t>Restatement:</t>
  </si>
  <si>
    <t>Period Type:</t>
  </si>
  <si>
    <t>Order:</t>
  </si>
  <si>
    <t>Currency:</t>
  </si>
  <si>
    <t>Conversion:</t>
  </si>
  <si>
    <t>Units:</t>
  </si>
  <si>
    <t>Decimals:</t>
  </si>
  <si>
    <t>Business Segments</t>
  </si>
  <si>
    <t>Revenues</t>
  </si>
  <si>
    <t>Product Sales</t>
  </si>
  <si>
    <t>Out-Licensing</t>
  </si>
  <si>
    <t>Other</t>
  </si>
  <si>
    <t>Pharmaceuticals</t>
  </si>
  <si>
    <t xml:space="preserve">  Total Revenues</t>
  </si>
  <si>
    <t>Gross Profit Before Tax</t>
  </si>
  <si>
    <t xml:space="preserve">  Total Gross Profit Before Tax</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</si>
  <si>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</si>
  <si>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</si>
  <si>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</si>
  <si>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</si>
  <si>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</si>
  <si>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</si>
  <si>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</si>
  <si>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</si>
  <si>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</si>
  <si>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</si>
  <si>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</si>
  <si>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</si>
  <si>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</si>
  <si>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</si>
  <si>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Europe</t>
  </si>
  <si>
    <t>outside Europe</t>
  </si>
  <si>
    <t>Belgium</t>
  </si>
  <si>
    <t>Europe (Excl. Belgium)</t>
  </si>
  <si>
    <t>Brazil</t>
  </si>
  <si>
    <t>Luxembourg</t>
  </si>
  <si>
    <t>The Netherlands</t>
  </si>
  <si>
    <t>Germany</t>
  </si>
  <si>
    <t>Belgium - Discontinued Operations</t>
  </si>
  <si>
    <t>COGS</t>
  </si>
  <si>
    <t>% of revenue</t>
  </si>
  <si>
    <t>OPEX</t>
  </si>
  <si>
    <t>SG&amp;A</t>
  </si>
  <si>
    <t>R&amp;D</t>
  </si>
  <si>
    <t>D&amp;A</t>
  </si>
  <si>
    <t>Var, NWC</t>
  </si>
  <si>
    <t>CFO</t>
  </si>
  <si>
    <t>Capex</t>
  </si>
  <si>
    <t>FCFF</t>
  </si>
  <si>
    <t>DCF</t>
  </si>
  <si>
    <t>Median</t>
  </si>
  <si>
    <t>Last</t>
  </si>
  <si>
    <t>in % of sales</t>
  </si>
  <si>
    <t>Gross profit</t>
  </si>
  <si>
    <t>Other Operating Expense</t>
  </si>
  <si>
    <t>Net Non-Operating Expenses</t>
  </si>
  <si>
    <t>Non recurrent EBIT</t>
  </si>
  <si>
    <t>Net interest Expenses</t>
  </si>
  <si>
    <t>EBT</t>
  </si>
  <si>
    <t>Income tax expenses</t>
  </si>
  <si>
    <t>Effective tax rate</t>
  </si>
  <si>
    <t>Stock based compensation</t>
  </si>
  <si>
    <t>(Gain) Loss On Sale Of Invest.</t>
  </si>
  <si>
    <t>Asset Writedown &amp; Restructuring Costs</t>
  </si>
  <si>
    <t>Change in the NWC</t>
  </si>
  <si>
    <t>Current Assets</t>
  </si>
  <si>
    <t>Prepaid Exp,</t>
  </si>
  <si>
    <t>Net Current Assets</t>
  </si>
  <si>
    <t>Current Liabilities</t>
  </si>
  <si>
    <t>Accrued Exp,</t>
  </si>
  <si>
    <t>Taxes Payable</t>
  </si>
  <si>
    <t>Current portion of notes payable</t>
  </si>
  <si>
    <t>Net Current Liabilities</t>
  </si>
  <si>
    <t>NWC</t>
  </si>
  <si>
    <t>N,A,</t>
  </si>
  <si>
    <t>DSO</t>
  </si>
  <si>
    <t>DIH</t>
  </si>
  <si>
    <t>DPO</t>
  </si>
  <si>
    <t>AVERAGE</t>
  </si>
  <si>
    <t>MEDIAN</t>
  </si>
  <si>
    <t>Sales</t>
  </si>
  <si>
    <t>Currents Assets</t>
  </si>
  <si>
    <t>Other current assets</t>
  </si>
  <si>
    <t>Currents Liabilities</t>
  </si>
  <si>
    <t>Accrued Liabilites</t>
  </si>
  <si>
    <t>Mithra</t>
  </si>
  <si>
    <t>Total revenue</t>
  </si>
  <si>
    <t xml:space="preserve"> % of revenue</t>
  </si>
  <si>
    <t>Myring</t>
  </si>
  <si>
    <t xml:space="preserve">donesta </t>
  </si>
  <si>
    <t>estelle</t>
  </si>
  <si>
    <t xml:space="preserve">sales </t>
  </si>
  <si>
    <t xml:space="preserve">licence </t>
  </si>
  <si>
    <t>revenue</t>
  </si>
  <si>
    <t>total</t>
  </si>
  <si>
    <t xml:space="preserve">valeur contrat </t>
  </si>
  <si>
    <t>payement</t>
  </si>
  <si>
    <t>reste</t>
  </si>
  <si>
    <t xml:space="preserve">duré 20 ans </t>
  </si>
  <si>
    <t xml:space="preserve">duré restante </t>
  </si>
  <si>
    <t>payement 2022</t>
  </si>
  <si>
    <t xml:space="preserve">reste </t>
  </si>
  <si>
    <t>Valeur contrat KBC</t>
  </si>
  <si>
    <t>estimation</t>
  </si>
  <si>
    <t>revenu</t>
  </si>
  <si>
    <t xml:space="preserve">license </t>
  </si>
  <si>
    <t>autre</t>
  </si>
  <si>
    <t>Assumption</t>
  </si>
  <si>
    <t>Revenue (% of growth)</t>
  </si>
  <si>
    <t>COGS (% of revenue)</t>
  </si>
  <si>
    <t>% of change (COGS)</t>
  </si>
  <si>
    <t>k</t>
  </si>
  <si>
    <t>Total OPEX</t>
  </si>
  <si>
    <t>CAPEX</t>
  </si>
  <si>
    <t>% of CAPEX</t>
  </si>
  <si>
    <t>D&amp;À</t>
  </si>
  <si>
    <t>Growth</t>
  </si>
  <si>
    <t xml:space="preserve">accord payement </t>
  </si>
  <si>
    <t>contrat 20 ans</t>
  </si>
  <si>
    <t>ERP</t>
  </si>
  <si>
    <t>Country</t>
  </si>
  <si>
    <t>Africa</t>
  </si>
  <si>
    <t>Moody's rating</t>
  </si>
  <si>
    <t>Country Risk Premium</t>
  </si>
  <si>
    <t>Rating</t>
  </si>
  <si>
    <t>Default Spread</t>
  </si>
  <si>
    <t>Estelle</t>
  </si>
  <si>
    <t>Autre</t>
  </si>
  <si>
    <t>revenu total en 2022</t>
  </si>
  <si>
    <t xml:space="preserve">Le probleme ici, c'est que trouver la ventilation des revenu en fct de la regions est compliqué. </t>
  </si>
  <si>
    <t xml:space="preserve">assumption </t>
  </si>
  <si>
    <t xml:space="preserve">% du revenu en fct de la region </t>
  </si>
  <si>
    <t xml:space="preserve">europe </t>
  </si>
  <si>
    <t>hors europe</t>
  </si>
  <si>
    <t>europe</t>
  </si>
  <si>
    <t>%</t>
  </si>
  <si>
    <t>GDP (in billions)</t>
  </si>
  <si>
    <t>Adj. Default Spread</t>
  </si>
  <si>
    <t>Equity Risk Premium</t>
  </si>
  <si>
    <t>Corporate Tax Rate</t>
  </si>
  <si>
    <t>Region</t>
  </si>
  <si>
    <t>GDP Weight</t>
  </si>
  <si>
    <t>Weight*Default Spread</t>
  </si>
  <si>
    <t>Weight*ERP</t>
  </si>
  <si>
    <t>Weight*CRP</t>
  </si>
  <si>
    <t>Weight * Tax Rate</t>
  </si>
  <si>
    <t>Bangladesh</t>
  </si>
  <si>
    <t>Asia</t>
  </si>
  <si>
    <t>Cambodia</t>
  </si>
  <si>
    <t>China</t>
  </si>
  <si>
    <t>Fiji</t>
  </si>
  <si>
    <t>Hong Kong</t>
  </si>
  <si>
    <t>India</t>
  </si>
  <si>
    <t>Indonesia</t>
  </si>
  <si>
    <t>Japan</t>
  </si>
  <si>
    <t>Korea</t>
  </si>
  <si>
    <t>Laos</t>
  </si>
  <si>
    <t>Macao</t>
  </si>
  <si>
    <t>Malaysia</t>
  </si>
  <si>
    <t>Maldives</t>
  </si>
  <si>
    <t>Mongolia</t>
  </si>
  <si>
    <t>Pakistan</t>
  </si>
  <si>
    <t>Papua New Guinea</t>
  </si>
  <si>
    <t>Philippines</t>
  </si>
  <si>
    <t>Singapore</t>
  </si>
  <si>
    <t>Solomon Islands</t>
  </si>
  <si>
    <t>Sri Lanka</t>
  </si>
  <si>
    <t>Taiwan</t>
  </si>
  <si>
    <t>Thailand</t>
  </si>
  <si>
    <t>Vietnam</t>
  </si>
  <si>
    <t>Australia</t>
  </si>
  <si>
    <t>Australia &amp; New Zealand</t>
  </si>
  <si>
    <t>Cook Islands</t>
  </si>
  <si>
    <t>New Zealand</t>
  </si>
  <si>
    <t>Aruba</t>
  </si>
  <si>
    <t>Caribbean</t>
  </si>
  <si>
    <t>Bahamas</t>
  </si>
  <si>
    <t>Barbados</t>
  </si>
  <si>
    <t>Bermuda</t>
  </si>
  <si>
    <t>Cayman Islands</t>
  </si>
  <si>
    <t>Cuba</t>
  </si>
  <si>
    <t>Curacao</t>
  </si>
  <si>
    <t>Dominican Republic</t>
  </si>
  <si>
    <t>Jamaica</t>
  </si>
  <si>
    <t>Montserrat</t>
  </si>
  <si>
    <t>St. Maarten</t>
  </si>
  <si>
    <t>St. Vincent &amp; the Grenadines</t>
  </si>
  <si>
    <t>Trinidad and Tobago</t>
  </si>
  <si>
    <t>Turks and Caicos Islands</t>
  </si>
  <si>
    <t>Argentina</t>
  </si>
  <si>
    <t>Central and South America</t>
  </si>
  <si>
    <t>Belize</t>
  </si>
  <si>
    <t>Bolivia</t>
  </si>
  <si>
    <t>Chile</t>
  </si>
  <si>
    <t>Colombia</t>
  </si>
  <si>
    <t>Costa Rica</t>
  </si>
  <si>
    <t>Ecuador</t>
  </si>
  <si>
    <t>El Salvador</t>
  </si>
  <si>
    <t>Guatemala</t>
  </si>
  <si>
    <t>Honduras</t>
  </si>
  <si>
    <t>Mexico</t>
  </si>
  <si>
    <t>Nicaragua</t>
  </si>
  <si>
    <t>Panama</t>
  </si>
  <si>
    <t>Paraguay</t>
  </si>
  <si>
    <t>Peru</t>
  </si>
  <si>
    <t>Suriname</t>
  </si>
  <si>
    <t>Uruguay</t>
  </si>
  <si>
    <t>Venezuela</t>
  </si>
  <si>
    <t>Albania</t>
  </si>
  <si>
    <t>Eastern Europe &amp; Russia</t>
  </si>
  <si>
    <t>Armenia</t>
  </si>
  <si>
    <t>Azerbaijan</t>
  </si>
  <si>
    <t>Belarus</t>
  </si>
  <si>
    <t>Bosnia and Herzegovina</t>
  </si>
  <si>
    <t>Bulgaria</t>
  </si>
  <si>
    <t>Croatia</t>
  </si>
  <si>
    <t>Czech Republic</t>
  </si>
  <si>
    <t>Estonia</t>
  </si>
  <si>
    <t>Georgia</t>
  </si>
  <si>
    <t>Hungary</t>
  </si>
  <si>
    <t>Kazakhstan</t>
  </si>
  <si>
    <t>Kyrgyzstan</t>
  </si>
  <si>
    <t>Latvia</t>
  </si>
  <si>
    <t>Lithuania</t>
  </si>
  <si>
    <t>Macedonia</t>
  </si>
  <si>
    <t>Moldova</t>
  </si>
  <si>
    <t>Montenegro</t>
  </si>
  <si>
    <t>Poland</t>
  </si>
  <si>
    <t>Romania</t>
  </si>
  <si>
    <t>Russia</t>
  </si>
  <si>
    <t>Serbia</t>
  </si>
  <si>
    <t>Slovakia</t>
  </si>
  <si>
    <t>Slovenia</t>
  </si>
  <si>
    <t>Tajikistan</t>
  </si>
  <si>
    <t>Ukraine</t>
  </si>
  <si>
    <t>Uzbekistan</t>
  </si>
  <si>
    <t>Abu Dhabi</t>
  </si>
  <si>
    <t>Middle East</t>
  </si>
  <si>
    <t>Bahrain</t>
  </si>
  <si>
    <t>Iraq</t>
  </si>
  <si>
    <t>Israel</t>
  </si>
  <si>
    <t>Jordan</t>
  </si>
  <si>
    <t>Kuwait</t>
  </si>
  <si>
    <t>Lebanon</t>
  </si>
  <si>
    <t>Oman</t>
  </si>
  <si>
    <t>Qatar</t>
  </si>
  <si>
    <t>Ras Al Khaimah (Emirate of)</t>
  </si>
  <si>
    <t>Saudi Arabia</t>
  </si>
  <si>
    <t>Sharjah</t>
  </si>
  <si>
    <t>United Arab Emirates</t>
  </si>
  <si>
    <t>Canada</t>
  </si>
  <si>
    <t>North America</t>
  </si>
  <si>
    <t>United States</t>
  </si>
  <si>
    <t>Andorra (Principality of)</t>
  </si>
  <si>
    <t>Western Europe</t>
  </si>
  <si>
    <t>Austria</t>
  </si>
  <si>
    <t>Cyprus</t>
  </si>
  <si>
    <t>Denmark</t>
  </si>
  <si>
    <t>Finland</t>
  </si>
  <si>
    <t>France</t>
  </si>
  <si>
    <t>Greece</t>
  </si>
  <si>
    <t>Guernsey (States of)</t>
  </si>
  <si>
    <t>Iceland</t>
  </si>
  <si>
    <t>Ireland</t>
  </si>
  <si>
    <t>Isle of Man</t>
  </si>
  <si>
    <t>Italy</t>
  </si>
  <si>
    <t>Jersey (States of)</t>
  </si>
  <si>
    <t>Liechtenstein</t>
  </si>
  <si>
    <t>Malta</t>
  </si>
  <si>
    <t>Netherlands</t>
  </si>
  <si>
    <t>Norway</t>
  </si>
  <si>
    <t>Portugal</t>
  </si>
  <si>
    <t>Spain</t>
  </si>
  <si>
    <t>Sweden</t>
  </si>
  <si>
    <t>Switzerland</t>
  </si>
  <si>
    <t>Turkey</t>
  </si>
  <si>
    <t>United Kingdom</t>
  </si>
  <si>
    <t>Weighted Average: ERP</t>
  </si>
  <si>
    <t>Weighted Average: CRP</t>
  </si>
  <si>
    <t>Weighted Average: Default Spreads</t>
  </si>
  <si>
    <t>Tax Rate</t>
  </si>
  <si>
    <t>Total GDP</t>
  </si>
  <si>
    <t>Weight</t>
  </si>
  <si>
    <t>Weight *ERP</t>
  </si>
  <si>
    <t>Weight* Tax Rate</t>
  </si>
  <si>
    <t>Global</t>
  </si>
  <si>
    <t>For updating industry average spreadsheets</t>
  </si>
  <si>
    <t>Tax rate</t>
  </si>
  <si>
    <t>Africa &amp; Mid East</t>
  </si>
  <si>
    <t>Australia, NZ &amp; Canada</t>
  </si>
  <si>
    <t>Latin America &amp; Caribbean</t>
  </si>
  <si>
    <t>US</t>
  </si>
  <si>
    <t>Emerging Markets</t>
  </si>
  <si>
    <t>Small Asia (No India, China &amp; Japan)</t>
  </si>
  <si>
    <t xml:space="preserve">part asia </t>
  </si>
  <si>
    <t>USA</t>
  </si>
  <si>
    <t>Date updated:</t>
  </si>
  <si>
    <t>YouTube Video explaining estimation choices and process.</t>
  </si>
  <si>
    <t>Notes</t>
  </si>
  <si>
    <t>Created by:</t>
  </si>
  <si>
    <t>Aswath Damodaran, adamodar@stern.nyu.edu</t>
  </si>
  <si>
    <t>if you are looking for a pure-play beta, i.e., a beta for a  business, the unlevered beta corrected for cash is your best bet. Since even sector betas can move over time, I have also reported the average of the this sector beta across time in the last column. This number, for obvious reasons, is less likely to be volatile over time.</t>
  </si>
  <si>
    <t>What is this data?</t>
  </si>
  <si>
    <t>Beta, Unlevered beta and other risk measures</t>
  </si>
  <si>
    <t>US companies</t>
  </si>
  <si>
    <t>Home Page:</t>
  </si>
  <si>
    <t>http://www.damodaran.com</t>
  </si>
  <si>
    <t>Data website:</t>
  </si>
  <si>
    <t>https://pages.stern.nyu.edu/~adamodar/New_Home_Page/data.html</t>
  </si>
  <si>
    <t>Companies in each industry:</t>
  </si>
  <si>
    <t>https://pages.stern.nyu.edu/~adamodar/pc/datasets/indname.xls</t>
  </si>
  <si>
    <t>Variable definitions:</t>
  </si>
  <si>
    <t>https://pages.stern.nyu.edu/~adamodar/New_Home_Page/datafile/variable.htm</t>
  </si>
  <si>
    <t>Do you want to use marginal or effective tax rates in unlevering betas?</t>
  </si>
  <si>
    <t>Marginal</t>
  </si>
  <si>
    <t>If marginal tax rate, enter the marginal tax rate to use</t>
  </si>
  <si>
    <t>Unlevered beta corrected for cash - Over time</t>
  </si>
  <si>
    <t>Industry Name</t>
  </si>
  <si>
    <t>Number of firms</t>
  </si>
  <si>
    <t xml:space="preserve">Beta </t>
  </si>
  <si>
    <t>D/E Ratio</t>
  </si>
  <si>
    <t>Effective Tax rate</t>
  </si>
  <si>
    <t>Unlevered beta</t>
  </si>
  <si>
    <t>Cash/Firm value</t>
  </si>
  <si>
    <t>Unlevered beta corrected for cash</t>
  </si>
  <si>
    <t>HiLo Risk</t>
  </si>
  <si>
    <t>Standard deviation of equity</t>
  </si>
  <si>
    <t>Standard deviation in operating income (last 10 years)</t>
  </si>
  <si>
    <t>2019</t>
  </si>
  <si>
    <t>2020</t>
  </si>
  <si>
    <t>2021</t>
  </si>
  <si>
    <t>2022</t>
  </si>
  <si>
    <t>Average (2019-23)</t>
  </si>
  <si>
    <t>Advertising</t>
  </si>
  <si>
    <t>Aerospace/Defense</t>
  </si>
  <si>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</si>
  <si>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</si>
  <si>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</si>
  <si>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</si>
  <si>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</si>
  <si>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</si>
  <si>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</si>
  <si>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</si>
  <si>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</si>
  <si>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</si>
  <si>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</si>
  <si>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</si>
  <si>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</si>
  <si>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</si>
  <si>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</si>
  <si>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</si>
  <si>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</si>
  <si>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</si>
  <si>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</si>
  <si>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</si>
  <si>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</si>
  <si>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</si>
  <si>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</si>
  <si>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</si>
  <si>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</si>
  <si>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</si>
  <si>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</si>
  <si>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</si>
  <si>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</si>
  <si>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</si>
  <si>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</si>
  <si>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</si>
  <si>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</si>
  <si>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</si>
  <si>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</si>
  <si>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</si>
  <si>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</si>
  <si>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</si>
  <si>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</si>
  <si>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</si>
  <si>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</si>
  <si>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</si>
  <si>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</si>
  <si>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</si>
  <si>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</si>
  <si>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</si>
  <si>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</si>
  <si>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</si>
  <si>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</si>
  <si>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</si>
  <si>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</si>
  <si>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</si>
  <si>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</si>
  <si>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</si>
  <si>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</si>
  <si>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</si>
  <si>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</si>
  <si>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</si>
  <si>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</si>
  <si>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</si>
  <si>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</si>
  <si>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</si>
  <si>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</si>
  <si>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</si>
  <si>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</si>
  <si>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</si>
  <si>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</si>
  <si>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</si>
  <si>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</si>
  <si>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</si>
  <si>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</si>
  <si>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</si>
  <si>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</si>
  <si>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</si>
  <si>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</si>
  <si>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</si>
  <si>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</si>
  <si>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</si>
  <si>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</si>
  <si>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</si>
  <si>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</si>
  <si>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</si>
  <si>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</si>
  <si>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</si>
  <si>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</si>
  <si>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</si>
  <si>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</si>
  <si>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</si>
  <si>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</si>
  <si>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</si>
  <si>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</si>
  <si>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Total Market</t>
  </si>
  <si>
    <t>Total Market (without financials)</t>
  </si>
  <si>
    <t>Beta</t>
  </si>
  <si>
    <t>Unlevered Beta</t>
  </si>
  <si>
    <t>Levered Beta</t>
  </si>
  <si>
    <t xml:space="preserve">Market Capitalization </t>
  </si>
  <si>
    <t>EV</t>
  </si>
  <si>
    <t>Cash</t>
  </si>
  <si>
    <t>Cash/EV</t>
  </si>
  <si>
    <t>WACC</t>
  </si>
  <si>
    <t>Cost of Equity</t>
  </si>
  <si>
    <t>Cost of Debt</t>
  </si>
  <si>
    <t>Risk Free Rate</t>
  </si>
  <si>
    <t>Market Value of Equity</t>
  </si>
  <si>
    <t>Market Value of Debt</t>
  </si>
  <si>
    <t>Outstanding Shares</t>
  </si>
  <si>
    <t>Current Share Price</t>
  </si>
  <si>
    <t>Equity</t>
  </si>
  <si>
    <t>Spread</t>
  </si>
  <si>
    <t>interest Expenses</t>
  </si>
  <si>
    <t>Ebit/interest Expenses</t>
  </si>
  <si>
    <t>A3/A-</t>
  </si>
  <si>
    <t>Ba1/BB+</t>
  </si>
  <si>
    <t>A1/A+</t>
  </si>
  <si>
    <t>Debt computation</t>
  </si>
  <si>
    <t>Number of years</t>
  </si>
  <si>
    <t>Amount due</t>
  </si>
  <si>
    <t>Cost of debt</t>
  </si>
  <si>
    <t>Total debt</t>
  </si>
  <si>
    <t>Interest expense</t>
  </si>
  <si>
    <t>Rf</t>
  </si>
  <si>
    <t>Weight average maturity of debt</t>
  </si>
  <si>
    <t>Operating income</t>
  </si>
  <si>
    <t>MV of debt</t>
  </si>
  <si>
    <t xml:space="preserve">Wacc : </t>
  </si>
  <si>
    <t>Growth Rate :</t>
  </si>
  <si>
    <t>Year of forcast :</t>
  </si>
  <si>
    <t xml:space="preserve">∑ Discounted FCF :  </t>
  </si>
  <si>
    <t xml:space="preserve">Terminal Value : </t>
  </si>
  <si>
    <t xml:space="preserve">Discounted TV : </t>
  </si>
  <si>
    <t xml:space="preserve">Entreprise Value : </t>
  </si>
  <si>
    <t xml:space="preserve">Cash : </t>
  </si>
  <si>
    <t xml:space="preserve">Debt : </t>
  </si>
  <si>
    <t xml:space="preserve">Pref. Stock : </t>
  </si>
  <si>
    <t xml:space="preserve">Minority Interest : </t>
  </si>
  <si>
    <t xml:space="preserve">Market Value : </t>
  </si>
  <si>
    <t xml:space="preserve">Ourstanding shares : </t>
  </si>
  <si>
    <t xml:space="preserve">Share Price : </t>
  </si>
  <si>
    <t xml:space="preserve">Current share price : </t>
  </si>
  <si>
    <t xml:space="preserve">Gap : </t>
  </si>
  <si>
    <t xml:space="preserve">Rating </t>
  </si>
  <si>
    <t>Kbc une des banques de mithra indique les revenus de licences de 2023 à 2025</t>
  </si>
  <si>
    <t>Assumption: % of change (COGS) = k*(% of growth)</t>
  </si>
  <si>
    <t>weight</t>
  </si>
  <si>
    <t>ERP*weight</t>
  </si>
  <si>
    <t xml:space="preserve">Tax rate </t>
  </si>
  <si>
    <t>LT Growth Rate</t>
  </si>
  <si>
    <t>Angola</t>
  </si>
  <si>
    <t>Benin</t>
  </si>
  <si>
    <t>Botswana</t>
  </si>
  <si>
    <t>Burkina Faso</t>
  </si>
  <si>
    <t>Cameroon</t>
  </si>
  <si>
    <t>Cape Verde</t>
  </si>
  <si>
    <t>Congo (Democratic Republic of)</t>
  </si>
  <si>
    <t>Congo (Republic of)</t>
  </si>
  <si>
    <t>Côte d'Ivoire</t>
  </si>
  <si>
    <t>Egypt</t>
  </si>
  <si>
    <t>Ethiopia</t>
  </si>
  <si>
    <t>Gabon</t>
  </si>
  <si>
    <t>Ghana</t>
  </si>
  <si>
    <t>Kenya</t>
  </si>
  <si>
    <t>Mali</t>
  </si>
  <si>
    <t>Mauritius</t>
  </si>
  <si>
    <t>Morocco</t>
  </si>
  <si>
    <t>Mozambique</t>
  </si>
  <si>
    <t>Namibia</t>
  </si>
  <si>
    <t>Niger</t>
  </si>
  <si>
    <t>Nigeria</t>
  </si>
  <si>
    <t>Rwanda</t>
  </si>
  <si>
    <t>Senegal</t>
  </si>
  <si>
    <t>South Africa</t>
  </si>
  <si>
    <t>Swaziland</t>
  </si>
  <si>
    <t>Tanzania</t>
  </si>
  <si>
    <t>Togo</t>
  </si>
  <si>
    <t>Tunisia</t>
  </si>
  <si>
    <t>Uganda</t>
  </si>
  <si>
    <t>Zambia</t>
  </si>
  <si>
    <t>RF</t>
  </si>
  <si>
    <t>default spread</t>
  </si>
  <si>
    <t>Growth Rate</t>
  </si>
  <si>
    <t>,Inventory</t>
  </si>
  <si>
    <t>Prepaid 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</si>
</sst>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4" formatCode="_ * #,##0.00_)\ &quot;€&quot;_ ;_ * \(#,##0.00\)\ &quot;€&quot;_ ;_ * &quot;-&quot;??_)\ &quot;€&quot;_ ;_ @_ "/>
    <numFmt numFmtId="164" formatCode="_(&quot;$&quot;* #,##0.00_);_(&quot;$&quot;* \(#,##0.00\);_(&quot;$&quot;* &quot;-&quot;??_);_(@_)"/>
    <numFmt numFmtId="165" formatCode="_(* #,##0.00_);_(* \(#,##0.00\);_(* &quot;-&quot;??_);_(@_)"/>
    <numFmt numFmtId="166" formatCode="_(* #,##0.0_);_(* \(#,##0.0\)_)\ ;_(* 0_)"/>
    <numFmt numFmtId="167" formatCode="_(#,##0.0%_);_(\(#,##0.0%\)_);_(#,##0.0%_)"/>
    <numFmt numFmtId="168" formatCode="_(* #,##0.0#_);_(* \(#,##0.0#\)_)\ ;_(* 0_)"/>
    <numFmt numFmtId="169" formatCode="_(#,##0.00%_);_(\(#,##0.00%\)_);_(#,##0.00%_)"/>
    <numFmt numFmtId="170" formatCode="#,##0.0\x"/>
    <numFmt numFmtId="171" formatCode="#,##0.00\x"/>
    <numFmt numFmtId="172" formatCode="mmm\-dd\-yyyy"/>
    <numFmt numFmtId="173" formatCode="_(* #,##0_);_(* \(#,##0\)_)\ ;_(* 0_)"/>
    <numFmt numFmtId="174" formatCode="_(#,##0.00#%_);_(\(#,##0.00#%\)_);_(#,##0.00#%_)"/>
    <numFmt numFmtId="175" formatCode="_(\ #,##0.0_);_(\ \(#,##0.0\)_);_(\ &quot; - &quot;_)"/>
    <numFmt numFmtId="176" formatCode="###0"/>
    <numFmt numFmtId="177" formatCode="0_);\(0\)"/>
    <numFmt numFmtId="178" formatCode="_([$$-409]* #,##0.00_);_([$$-409]* \(#,##0.00\);_([$$-409]* &quot;-&quot;??_);_(@_)"/>
    <numFmt numFmtId="179" formatCode="0.0"/>
    <numFmt numFmtId="180" formatCode="0.0_);\(0.0\)"/>
    <numFmt numFmtId="181" formatCode="0.0%"/>
    <numFmt numFmtId="182" formatCode="0.000"/>
    <numFmt numFmtId="183" formatCode="0.0000"/>
    <numFmt numFmtId="184" formatCode="_-* #,##0.00\ [$€-40C]_-;\-* #,##0.00\ [$€-40C]_-;_-* &quot;-&quot;??\ [$€-40C]_-;_-@_-"/>
    <numFmt numFmtId="185" formatCode="_-* #,##0.00_-;\-* #,##0.00_-;_-* &quot;-&quot;??_-;_-@"/>
    <numFmt numFmtId="186" formatCode="_ * #,##0.00_)\ _€_ ;_ * \(#,##0.00\)\ _€_ ;_ * &quot;-&quot;??_)\ _€_ ;_ @_ "/>
    <numFmt numFmtId="187" formatCode="0.000%"/>
    <numFmt numFmtId="188" formatCode="#,##0.00\ &quot;€&quot;"/>
  </numFmts>
  <fonts count="83">
    <font>
      <sz val="10"/>
      <name val="Arial"/>
    </font>
    <font>
      <sz val="12"/>
      <color theme="1"/>
      <name val="Calibri"/>
      <family val="2"/>
      <scheme val="minor"/>
    </font>
    <font>
      <sz val="10"/>
      <name val="Arial"/>
      <family val="2"/>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
      <sz val="10"/>
      <name val="Arial"/>
      <family val="2"/>
    </font>
    <font>
      <sz val="10"/>
      <name val="Arial"/>
      <family val="2"/>
    </font>
    <font>
      <sz val="12"/>
      <name val="Times"/>
      <family val="1"/>
    </font>
    <font>
      <i/>
      <sz val="9"/>
      <name val="Geneva"/>
      <family val="2"/>
      <charset val="1"/>
    </font>
    <font>
      <b/>
      <i/>
      <sz val="9"/>
      <name val="Geneva"/>
      <family val="2"/>
      <charset val="1"/>
    </font>
    <font>
      <sz val="9"/>
      <name val="Geneva"/>
      <family val="2"/>
      <charset val="1"/>
    </font>
    <font>
      <i/>
      <sz val="12"/>
      <name val="Times"/>
      <family val="1"/>
    </font>
    <font>
      <i/>
      <sz val="10"/>
      <name val="Verdana"/>
      <family val="2"/>
    </font>
    <font>
      <b/>
      <sz val="12"/>
      <name val="Arial"/>
      <family val="2"/>
    </font>
    <font>
      <sz val="12"/>
      <name val="Arial"/>
      <family val="2"/>
    </font>
    <font>
      <sz val="12"/>
      <color theme="1"/>
      <name val="Calibri"/>
      <family val="2"/>
      <scheme val="minor"/>
    </font>
    <font>
      <sz val="12"/>
      <color theme="0"/>
      <name val="Calibri"/>
      <family val="2"/>
      <scheme val="minor"/>
    </font>
    <font>
      <sz val="12"/>
      <color rgb="FFFF0000"/>
      <name val="Calibri"/>
      <family val="2"/>
      <scheme val="minor"/>
    </font>
    <font>
      <u/>
      <sz val="10"/>
      <color theme="10"/>
      <name val="Arial"/>
      <family val="2"/>
    </font>
    <font>
      <b/>
      <sz val="12"/>
      <color theme="0"/>
      <name val="Calibri"/>
      <family val="2"/>
      <scheme val="minor"/>
    </font>
    <font>
      <sz val="12"/>
      <name val="Calibri"/>
      <family val="2"/>
      <scheme val="minor"/>
    </font>
    <font>
      <sz val="12"/>
      <color rgb="FF000000"/>
      <name val="Calibri"/>
      <family val="2"/>
      <scheme val="minor"/>
    </font>
    <font>
      <sz val="12"/>
      <color rgb="FF000000"/>
      <name val="Calibri"/>
      <family val="2"/>
    </font>
    <font>
      <i/>
      <sz val="12"/>
      <color theme="0"/>
      <name val="Calibri"/>
      <family val="2"/>
      <scheme val="minor"/>
    </font>
    <font>
      <i/>
      <sz val="12"/>
      <color theme="1"/>
      <name val="Calibri"/>
      <family val="2"/>
      <scheme val="minor"/>
    </font>
    <font>
      <b/>
      <sz val="11"/>
      <name val="Calibri"/>
      <family val="2"/>
      <scheme val="minor"/>
    </font>
    <font>
      <sz val="8"/>
      <name val="Calibri"/>
      <family val="2"/>
      <scheme val="minor"/>
    </font>
    <font>
      <sz val="9"/>
      <name val="Calibri"/>
      <family val="2"/>
      <scheme val="minor"/>
    </font>
    <font>
      <b/>
      <sz val="8"/>
      <name val="Calibri"/>
      <family val="2"/>
      <scheme val="minor"/>
    </font>
    <font>
      <b/>
      <sz val="16"/>
      <name val="Calibri"/>
      <family val="2"/>
      <scheme val="minor"/>
    </font>
    <font>
      <sz val="8"/>
      <color indexed="8"/>
      <name val="Calibri"/>
      <family val="2"/>
      <scheme val="minor"/>
    </font>
    <font>
      <b/>
      <sz val="10"/>
      <name val="Calibri"/>
      <family val="2"/>
      <scheme val="minor"/>
    </font>
    <font>
      <b/>
      <sz val="12"/>
      <name val="Calibri"/>
      <family val="2"/>
      <scheme val="minor"/>
    </font>
    <font>
      <b/>
      <sz val="8"/>
      <color theme="1"/>
      <name val="Calibri"/>
      <family val="2"/>
      <scheme val="minor"/>
    </font>
    <font>
      <b/>
      <sz val="12"/>
      <color theme="1"/>
      <name val="Calibri"/>
      <family val="2"/>
      <scheme val="minor"/>
    </font>
    <font>
      <sz val="8"/>
      <color theme="1"/>
      <name val="Calibri"/>
      <family val="2"/>
      <scheme val="minor"/>
    </font>
    <font>
      <sz val="10"/>
      <name val="Calibri"/>
      <family val="2"/>
      <scheme val="minor"/>
    </font>
    <font>
      <b/>
      <sz val="10"/>
      <color theme="1"/>
      <name val="Calibri"/>
      <family val="2"/>
      <scheme val="minor"/>
    </font>
    <font>
      <b/>
      <sz val="8"/>
      <color theme="0"/>
      <name val="Calibri"/>
      <family val="2"/>
      <scheme val="minor"/>
    </font>
    <font>
      <b/>
      <sz val="11"/>
      <color theme="0"/>
      <name val="Calibri"/>
      <family val="2"/>
      <scheme val="minor"/>
    </font>
    <font>
      <i/>
      <sz val="12"/>
      <name val="Calibri"/>
      <family val="2"/>
      <scheme val="minor"/>
    </font>
    <font>
      <b/>
      <sz val="12"/>
      <color rgb="FFFFFFFF"/>
      <name val="Calibri"/>
      <family val="2"/>
      <scheme val="minor"/>
    </font>
    <font>
      <b/>
      <sz val="12"/>
      <color rgb="FF000000"/>
      <name val="Calibri"/>
      <family val="2"/>
      <scheme val="minor"/>
    </font>
    <font>
      <b/>
      <sz val="12"/>
      <color rgb="FFFF0000"/>
      <name val="Calibri"/>
      <family val="2"/>
      <scheme val="minor"/>
    </font>
    <font>
      <sz val="12"/>
      <color theme="1"/>
      <name val="Calibri"/>
      <family val="2"/>
    </font>
    <font>
      <sz val="16"/>
      <name val="Calibri"/>
      <family val="2"/>
      <scheme val="minor"/>
    </font>
    <font>
      <b/>
      <sz val="16"/>
      <color theme="1"/>
      <name val="Calibri"/>
      <family val="2"/>
      <scheme val="minor"/>
    </font>
    <font>
      <b/>
      <sz val="16"/>
      <color theme="0"/>
      <name val="Calibri"/>
      <family val="2"/>
      <scheme val="minor"/>
    </font>
    <font>
      <b/>
      <i/>
      <sz val="12"/>
      <color theme="1"/>
      <name val="Calibri"/>
      <family val="2"/>
      <scheme val="minor"/>
    </font>
    <font>
      <i/>
      <sz val="12"/>
      <color rgb="FF000000"/>
      <name val="Calibri"/>
      <family val="2"/>
      <scheme val="minor"/>
    </font>
    <font>
      <u/>
      <sz val="14"/>
      <color theme="10"/>
      <name val="Calibri"/>
      <family val="2"/>
      <scheme val="minor"/>
    </font>
    <font>
      <sz val="10"/>
      <color theme="1"/>
      <name val="Arial"/>
      <family val="2"/>
    </font>
    <font>
      <b/>
      <sz val="12"/>
      <color indexed="8"/>
      <name val="Calibri"/>
      <family val="2"/>
      <scheme val="minor"/>
    </font>
    <font>
      <sz val="12"/>
      <color indexed="8"/>
      <name val="Calibri"/>
      <family val="2"/>
      <scheme val="minor"/>
    </font>
    <font>
      <b/>
      <i/>
      <sz val="12"/>
      <name val="Calibri"/>
      <family val="2"/>
      <scheme val="minor"/>
    </font>
    <font>
      <sz val="10"/>
      <color theme="0"/>
      <name val="Arial"/>
      <family val="2"/>
    </font>
    <font>
      <sz val="10"/>
      <color rgb="FFFF0000"/>
      <name val="Arial"/>
      <family val="2"/>
    </font>
    <font>
      <b/>
      <sz val="20"/>
      <color rgb="FFFF0000"/>
      <name val="Calibri"/>
      <family val="2"/>
      <scheme val="minor"/>
    </font>
    <font>
      <sz val="20"/>
      <color rgb="FFFF0000"/>
      <name val="Calibri"/>
      <family val="2"/>
      <scheme val="minor"/>
    </font>
    <font>
      <b/>
      <sz val="16"/>
      <color rgb="FFFF0000"/>
      <name val="Calibri"/>
      <family val="2"/>
      <scheme val="minor"/>
    </font>
    <font>
      <sz val="14"/>
      <color rgb="FFFF0000"/>
      <name val="Calibri"/>
      <family val="2"/>
      <scheme val="minor"/>
    </font>
    <font>
      <sz val="8"/>
      <color theme="0"/>
      <name val="Arial"/>
      <family val="2"/>
    </font>
    <font>
      <b/>
      <sz val="8"/>
      <color theme="0"/>
      <name val="Arial"/>
      <family val="2"/>
    </font>
  </fonts>
  <fills count="27">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theme="0"/>
        <bgColor indexed="64"/>
      </patternFill>
    </fill>
    <fill>
      <patternFill patternType="solid">
        <fgColor rgb="FFFFFF00"/>
        <bgColor indexed="64"/>
      </patternFill>
    </fill>
    <fill>
      <patternFill patternType="solid">
        <fgColor rgb="FFFFFFFF"/>
        <bgColor rgb="FF000000"/>
      </patternFill>
    </fill>
    <fill>
      <patternFill patternType="solid">
        <fgColor theme="0"/>
        <bgColor rgb="FFFFFFFF"/>
      </patternFill>
    </fill>
    <fill>
      <patternFill patternType="solid">
        <fgColor theme="2" tint="-9.9978637043366805E-2"/>
        <bgColor indexed="64"/>
      </patternFill>
    </fill>
    <fill>
      <patternFill patternType="solid">
        <fgColor theme="1"/>
        <bgColor indexed="64"/>
      </patternFill>
    </fill>
    <fill>
      <patternFill patternType="solid">
        <fgColor theme="2" tint="-0.249977111117893"/>
        <bgColor indexed="64"/>
      </patternFill>
    </fill>
    <fill>
      <patternFill patternType="solid">
        <fgColor rgb="FFFF0000"/>
        <bgColor indexed="64"/>
      </patternFill>
    </fill>
    <fill>
      <patternFill patternType="solid">
        <fgColor theme="1"/>
        <bgColor rgb="FFFFD579"/>
      </patternFill>
    </fill>
    <fill>
      <patternFill patternType="solid">
        <fgColor theme="2" tint="-0.249977111117893"/>
        <bgColor rgb="FFFFFFFF"/>
      </patternFill>
    </fill>
    <fill>
      <patternFill patternType="solid">
        <fgColor theme="1"/>
        <bgColor rgb="FF8496B0"/>
      </patternFill>
    </fill>
    <fill>
      <patternFill patternType="solid">
        <fgColor rgb="FFFFFFFF"/>
        <bgColor rgb="FFFFFFFF"/>
      </patternFill>
    </fill>
    <fill>
      <patternFill patternType="solid">
        <fgColor theme="1"/>
        <bgColor rgb="FFC5E0B3"/>
      </patternFill>
    </fill>
    <fill>
      <patternFill patternType="solid">
        <fgColor theme="2"/>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0.249977111117893"/>
        <bgColor indexed="64"/>
      </patternFill>
    </fill>
    <fill>
      <patternFill patternType="solid">
        <fgColor theme="9"/>
        <bgColor indexed="64"/>
      </patternFill>
    </fill>
    <fill>
      <patternFill patternType="solid">
        <fgColor theme="6"/>
        <bgColor indexed="64"/>
      </patternFill>
    </fill>
    <fill>
      <patternFill patternType="solid">
        <fgColor theme="1"/>
        <bgColor rgb="FFF0F0DC"/>
      </patternFill>
    </fill>
    <fill>
      <patternFill patternType="solid">
        <fgColor rgb="FF002060"/>
        <bgColor indexed="64"/>
      </patternFill>
    </fill>
  </fills>
  <borders count="88">
    <border>
      <left/>
      <right/>
      <top/>
      <bottom/>
      <diagonal/>
    </border>
    <border>
      <left/>
      <right/>
      <top style="thin">
        <color indexed="8"/>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style="thin">
        <color indexed="64"/>
      </left>
      <right style="medium">
        <color indexed="64"/>
      </right>
      <top/>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style="thin">
        <color theme="0"/>
      </left>
      <right style="thin">
        <color theme="0"/>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style="medium">
        <color rgb="FF000000"/>
      </left>
      <right style="thin">
        <color theme="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style="thin">
        <color rgb="FF000000"/>
      </bottom>
      <diagonal/>
    </border>
    <border>
      <left style="thin">
        <color indexed="64"/>
      </left>
      <right style="medium">
        <color indexed="64"/>
      </right>
      <top style="medium">
        <color indexed="64"/>
      </top>
      <bottom style="thin">
        <color rgb="FF000000"/>
      </bottom>
      <diagonal/>
    </border>
    <border>
      <left style="medium">
        <color indexed="64"/>
      </left>
      <right/>
      <top/>
      <bottom style="thin">
        <color rgb="FF000000"/>
      </bottom>
      <diagonal/>
    </border>
    <border>
      <left style="thin">
        <color indexed="64"/>
      </left>
      <right style="medium">
        <color indexed="64"/>
      </right>
      <top/>
      <bottom style="thin">
        <color rgb="FF000000"/>
      </bottom>
      <diagonal/>
    </border>
    <border>
      <left style="medium">
        <color indexed="64"/>
      </left>
      <right/>
      <top style="thin">
        <color rgb="FF000000"/>
      </top>
      <bottom/>
      <diagonal/>
    </border>
    <border>
      <left style="thin">
        <color indexed="64"/>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medium">
        <color indexed="64"/>
      </top>
      <bottom style="thin">
        <color rgb="FF000000"/>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20">
    <xf numFmtId="0" fontId="0" fillId="0" borderId="0"/>
    <xf numFmtId="0" fontId="16" fillId="0" borderId="0" applyAlignment="0"/>
    <xf numFmtId="0" fontId="17" fillId="0" borderId="0" applyAlignment="0"/>
    <xf numFmtId="0" fontId="9" fillId="2" borderId="0" applyAlignment="0"/>
    <xf numFmtId="0" fontId="15" fillId="0" borderId="0" applyAlignment="0"/>
    <xf numFmtId="0" fontId="38"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7" fillId="3" borderId="0" applyAlignment="0"/>
    <xf numFmtId="0" fontId="6" fillId="4" borderId="0" applyAlignment="0"/>
    <xf numFmtId="0" fontId="5" fillId="0" borderId="0" applyAlignment="0"/>
    <xf numFmtId="9" fontId="2" fillId="0" borderId="0" applyFont="0" applyFill="0" applyBorder="0" applyAlignment="0" applyProtection="0"/>
    <xf numFmtId="0" fontId="8" fillId="5" borderId="0" applyAlignment="0"/>
    <xf numFmtId="0" fontId="12" fillId="0" borderId="0" applyAlignment="0"/>
    <xf numFmtId="0" fontId="11" fillId="0" borderId="0" applyAlignment="0"/>
    <xf numFmtId="0" fontId="13" fillId="0" borderId="0" applyAlignment="0"/>
    <xf numFmtId="0" fontId="14" fillId="0" borderId="0" applyAlignment="0"/>
    <xf numFmtId="0" fontId="10" fillId="0" borderId="0" applyAlignment="0"/>
    <xf numFmtId="0" fontId="4" fillId="0" borderId="0" applyAlignment="0"/>
    <xf numFmtId="0" fontId="13" fillId="0" borderId="0" applyAlignment="0">
      <alignment wrapText="1"/>
    </xf>
  </cellStyleXfs>
  <cellXfs count="847">
    <xf numFmtId="0" fontId="3" fillId="0" borderId="0" xfId="0" applyFont="1"/>
    <xf numFmtId="0" fontId="4" fillId="0" borderId="0" xfId="0" applyFont="1"/>
    <xf numFmtId="0" fontId="18" fillId="0" borderId="0" xfId="0" applyFont="1" applyAlignment="1">
      <alignment wrapText="1"/>
    </xf>
    <xf numFmtId="0" fontId="19" fillId="0" borderId="0" xfId="0" applyFont="1"/>
    <xf numFmtId="0" fontId="10" fillId="0" borderId="0" xfId="0" applyFont="1" applyAlignment="1">
      <alignment horizontal="left" vertical="top"/>
    </xf>
    <xf numFmtId="49" fontId="3" fillId="0" borderId="0" xfId="0" applyNumberFormat="1" applyFont="1"/>
    <xf numFmtId="0" fontId="8" fillId="5" borderId="0" xfId="0" applyFont="1" applyFill="1"/>
    <xf numFmtId="0" fontId="13" fillId="2" borderId="0" xfId="0" applyFont="1" applyFill="1" applyAlignment="1">
      <alignment wrapText="1"/>
    </xf>
    <xf numFmtId="0" fontId="20" fillId="2" borderId="0" xfId="0" applyFont="1" applyFill="1" applyAlignment="1">
      <alignment wrapText="1"/>
    </xf>
    <xf numFmtId="0" fontId="13"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vertical="top" wrapText="1"/>
    </xf>
    <xf numFmtId="0" fontId="13" fillId="2" borderId="0" xfId="0" applyFont="1" applyFill="1" applyAlignment="1">
      <alignment horizontal="right" wrapText="1"/>
    </xf>
    <xf numFmtId="0" fontId="20" fillId="2" borderId="0" xfId="0" applyFont="1" applyFill="1" applyAlignment="1">
      <alignment horizontal="right" wrapText="1"/>
    </xf>
    <xf numFmtId="166" fontId="13" fillId="0" borderId="0" xfId="0" applyNumberFormat="1" applyFont="1" applyAlignment="1">
      <alignment horizontal="right" vertical="top" wrapText="1"/>
    </xf>
    <xf numFmtId="167" fontId="14" fillId="0" borderId="0" xfId="0" applyNumberFormat="1" applyFont="1" applyAlignment="1">
      <alignment horizontal="right" vertical="top" wrapText="1"/>
    </xf>
    <xf numFmtId="168" fontId="13" fillId="0" borderId="0" xfId="0" applyNumberFormat="1" applyFont="1" applyAlignment="1">
      <alignment horizontal="right" vertical="top" wrapText="1"/>
    </xf>
    <xf numFmtId="49" fontId="14" fillId="0" borderId="0" xfId="0" applyNumberFormat="1" applyFont="1" applyAlignment="1">
      <alignment horizontal="right" vertical="top" wrapText="1"/>
    </xf>
    <xf numFmtId="169" fontId="14" fillId="0" borderId="0" xfId="0" applyNumberFormat="1" applyFont="1" applyAlignment="1">
      <alignment horizontal="right" vertical="top" wrapText="1"/>
    </xf>
    <xf numFmtId="168" fontId="10" fillId="0" borderId="0" xfId="0" applyNumberFormat="1" applyFont="1" applyAlignment="1">
      <alignment horizontal="right" vertical="top" wrapText="1"/>
    </xf>
    <xf numFmtId="166" fontId="10" fillId="0" borderId="0" xfId="0" applyNumberFormat="1" applyFont="1" applyAlignment="1">
      <alignment horizontal="right" vertical="top" wrapText="1"/>
    </xf>
    <xf numFmtId="0" fontId="3" fillId="0" borderId="0" xfId="0" applyFont="1" applyAlignment="1">
      <alignment horizontal="center" vertical="top" wrapText="1"/>
    </xf>
    <xf numFmtId="170" fontId="10" fillId="0" borderId="0" xfId="0" applyNumberFormat="1" applyFont="1" applyAlignment="1">
      <alignment horizontal="right" vertical="top" wrapText="1"/>
    </xf>
    <xf numFmtId="49" fontId="10" fillId="0" borderId="0" xfId="0" applyNumberFormat="1" applyFont="1" applyAlignment="1">
      <alignment horizontal="right" vertical="top" wrapText="1"/>
    </xf>
    <xf numFmtId="171" fontId="10" fillId="0" borderId="0" xfId="0" applyNumberFormat="1" applyFont="1" applyAlignment="1">
      <alignment horizontal="right" vertical="top" wrapText="1"/>
    </xf>
    <xf numFmtId="0" fontId="10" fillId="0" borderId="0" xfId="0" applyFont="1" applyAlignment="1">
      <alignment horizontal="center" vertical="center"/>
    </xf>
    <xf numFmtId="0" fontId="10" fillId="0" borderId="0" xfId="0" applyFont="1" applyAlignment="1">
      <alignment horizontal="left" vertical="center"/>
    </xf>
    <xf numFmtId="166" fontId="13" fillId="0" borderId="1" xfId="0" applyNumberFormat="1" applyFont="1" applyBorder="1" applyAlignment="1">
      <alignment horizontal="right" vertical="top" wrapText="1"/>
    </xf>
    <xf numFmtId="166" fontId="21" fillId="0" borderId="1" xfId="0" applyNumberFormat="1" applyFont="1" applyBorder="1" applyAlignment="1">
      <alignment horizontal="right" vertical="top" wrapText="1"/>
    </xf>
    <xf numFmtId="167" fontId="10" fillId="0" borderId="0" xfId="0" applyNumberFormat="1" applyFont="1" applyAlignment="1">
      <alignment horizontal="right" vertical="top" wrapText="1"/>
    </xf>
    <xf numFmtId="172" fontId="10" fillId="0" borderId="0" xfId="0" applyNumberFormat="1" applyFont="1" applyAlignment="1">
      <alignment horizontal="right" vertical="top" wrapText="1"/>
    </xf>
    <xf numFmtId="172" fontId="13" fillId="2" borderId="0" xfId="0" applyNumberFormat="1" applyFont="1" applyFill="1" applyAlignment="1">
      <alignment horizontal="right" wrapText="1"/>
    </xf>
    <xf numFmtId="166" fontId="22" fillId="0" borderId="0" xfId="0" applyNumberFormat="1" applyFont="1" applyAlignment="1">
      <alignment horizontal="right" vertical="top" wrapText="1"/>
    </xf>
    <xf numFmtId="166" fontId="21" fillId="0" borderId="0" xfId="0" applyNumberFormat="1" applyFont="1" applyAlignment="1">
      <alignment horizontal="right" vertical="top" wrapText="1"/>
    </xf>
    <xf numFmtId="173" fontId="10" fillId="0" borderId="0" xfId="0" applyNumberFormat="1" applyFont="1" applyAlignment="1">
      <alignment horizontal="right" vertical="top" wrapText="1"/>
    </xf>
    <xf numFmtId="0" fontId="10" fillId="0" borderId="0" xfId="0" applyFont="1" applyAlignment="1">
      <alignment horizontal="center" vertical="center" wrapText="1"/>
    </xf>
    <xf numFmtId="0" fontId="23" fillId="5" borderId="0" xfId="0" applyFont="1" applyFill="1" applyAlignment="1">
      <alignment horizontal="left"/>
    </xf>
    <xf numFmtId="0" fontId="9" fillId="2" borderId="0" xfId="0" applyFont="1" applyFill="1" applyAlignment="1">
      <alignment horizontal="right"/>
    </xf>
    <xf numFmtId="0" fontId="13" fillId="0" borderId="0" xfId="0" applyFont="1" applyAlignment="1">
      <alignment horizontal="left"/>
    </xf>
    <xf numFmtId="0" fontId="13" fillId="2" borderId="0" xfId="0" applyFont="1" applyFill="1" applyAlignment="1">
      <alignment horizontal="right"/>
    </xf>
    <xf numFmtId="172" fontId="13" fillId="2" borderId="0" xfId="0" applyNumberFormat="1" applyFont="1" applyFill="1" applyAlignment="1">
      <alignment horizontal="right"/>
    </xf>
    <xf numFmtId="0" fontId="13" fillId="0" borderId="0" xfId="0" applyFont="1" applyAlignment="1">
      <alignment horizontal="right"/>
    </xf>
    <xf numFmtId="171" fontId="10" fillId="0" borderId="0" xfId="0" applyNumberFormat="1" applyFont="1" applyAlignment="1">
      <alignment horizontal="right"/>
    </xf>
    <xf numFmtId="171" fontId="3" fillId="0" borderId="0" xfId="0" applyNumberFormat="1" applyFont="1" applyAlignment="1">
      <alignment horizontal="right"/>
    </xf>
    <xf numFmtId="49" fontId="10" fillId="0" borderId="0" xfId="0" applyNumberFormat="1" applyFont="1" applyAlignment="1">
      <alignment horizontal="right"/>
    </xf>
    <xf numFmtId="49" fontId="3" fillId="0" borderId="0" xfId="0" applyNumberFormat="1" applyFont="1" applyAlignment="1">
      <alignment horizontal="right"/>
    </xf>
    <xf numFmtId="0" fontId="3" fillId="0" borderId="0" xfId="0" applyFont="1" applyAlignment="1">
      <alignment horizontal="left"/>
    </xf>
    <xf numFmtId="0" fontId="3" fillId="0" borderId="0" xfId="0" applyFont="1" applyAlignment="1">
      <alignment horizontal="right" wrapText="1"/>
    </xf>
    <xf numFmtId="0" fontId="3" fillId="0" borderId="0" xfId="0" applyFont="1" applyAlignment="1">
      <alignment wrapText="1"/>
    </xf>
    <xf numFmtId="0" fontId="10" fillId="0" borderId="0" xfId="0" applyFont="1" applyAlignment="1">
      <alignment vertical="top" wrapText="1"/>
    </xf>
    <xf numFmtId="167" fontId="20" fillId="0" borderId="0" xfId="0" applyNumberFormat="1" applyFont="1" applyAlignment="1">
      <alignment horizontal="right" vertical="top" wrapText="1"/>
    </xf>
    <xf numFmtId="174" fontId="14" fillId="0" borderId="0" xfId="0" applyNumberFormat="1" applyFont="1" applyAlignment="1">
      <alignment horizontal="right" vertical="top" wrapText="1"/>
    </xf>
    <xf numFmtId="0" fontId="24" fillId="2" borderId="0" xfId="0" applyFont="1" applyFill="1" applyAlignment="1">
      <alignment horizontal="right" wrapText="1"/>
    </xf>
    <xf numFmtId="0" fontId="19" fillId="2" borderId="0" xfId="0" applyFont="1" applyFill="1" applyAlignment="1">
      <alignment horizontal="right" wrapText="1"/>
    </xf>
    <xf numFmtId="167" fontId="18" fillId="0" borderId="0" xfId="0" applyNumberFormat="1" applyFont="1" applyAlignment="1">
      <alignment horizontal="right"/>
    </xf>
    <xf numFmtId="167" fontId="24" fillId="0" borderId="0" xfId="0" applyNumberFormat="1" applyFont="1" applyAlignment="1">
      <alignment horizontal="right"/>
    </xf>
    <xf numFmtId="174" fontId="18" fillId="0" borderId="0" xfId="0" applyNumberFormat="1" applyFont="1" applyAlignment="1">
      <alignment horizontal="right"/>
    </xf>
    <xf numFmtId="166" fontId="3" fillId="0" borderId="0" xfId="0" applyNumberFormat="1" applyFont="1" applyAlignment="1">
      <alignment horizontal="right"/>
    </xf>
    <xf numFmtId="166" fontId="19" fillId="0" borderId="0" xfId="0" applyNumberFormat="1" applyFont="1" applyAlignment="1">
      <alignment horizontal="right"/>
    </xf>
    <xf numFmtId="170" fontId="3" fillId="0" borderId="0" xfId="0" applyNumberFormat="1" applyFont="1" applyAlignment="1">
      <alignment horizontal="right"/>
    </xf>
    <xf numFmtId="172" fontId="3" fillId="0" borderId="0" xfId="0" applyNumberFormat="1" applyFont="1" applyAlignment="1">
      <alignment horizontal="right"/>
    </xf>
    <xf numFmtId="0" fontId="9" fillId="2" borderId="0" xfId="0" applyFont="1" applyFill="1" applyAlignment="1">
      <alignment horizontal="left" wrapText="1"/>
    </xf>
    <xf numFmtId="0" fontId="9" fillId="2" borderId="0" xfId="0" applyFont="1" applyFill="1" applyAlignment="1">
      <alignment wrapText="1"/>
    </xf>
    <xf numFmtId="175" fontId="10" fillId="0" borderId="0" xfId="0" applyNumberFormat="1" applyFont="1" applyAlignment="1">
      <alignment horizontal="center" vertical="top" wrapText="1"/>
    </xf>
    <xf numFmtId="0" fontId="10" fillId="0" borderId="0" xfId="0" applyFont="1" applyAlignment="1">
      <alignment horizontal="center" vertical="top" wrapText="1"/>
    </xf>
    <xf numFmtId="172" fontId="10" fillId="0" borderId="0" xfId="0" applyNumberFormat="1" applyFont="1" applyAlignment="1">
      <alignment horizontal="center" vertical="top" wrapText="1"/>
    </xf>
    <xf numFmtId="176" fontId="10" fillId="0" borderId="0" xfId="0" applyNumberFormat="1" applyFont="1" applyAlignment="1">
      <alignment horizontal="right" vertical="top" wrapText="1"/>
    </xf>
    <xf numFmtId="0" fontId="15" fillId="0" borderId="0" xfId="4" applyAlignment="1"/>
    <xf numFmtId="0" fontId="35" fillId="6" borderId="0" xfId="0" applyFont="1" applyFill="1"/>
    <xf numFmtId="0" fontId="35" fillId="0" borderId="0" xfId="0" applyFont="1"/>
    <xf numFmtId="0" fontId="35" fillId="6" borderId="2" xfId="0" applyFont="1" applyFill="1" applyBorder="1" applyAlignment="1">
      <alignment horizontal="center" vertical="center"/>
    </xf>
    <xf numFmtId="0" fontId="35" fillId="6" borderId="3" xfId="0" applyFont="1" applyFill="1" applyBorder="1" applyAlignment="1">
      <alignment horizontal="center" vertical="center"/>
    </xf>
    <xf numFmtId="0" fontId="35" fillId="6" borderId="4" xfId="0" applyFont="1" applyFill="1" applyBorder="1" applyAlignment="1">
      <alignment horizontal="center" vertical="center"/>
    </xf>
    <xf numFmtId="0" fontId="35" fillId="6" borderId="5" xfId="0" applyFont="1" applyFill="1" applyBorder="1" applyAlignment="1">
      <alignment horizontal="center" vertical="center"/>
    </xf>
    <xf numFmtId="0" fontId="35" fillId="6" borderId="6" xfId="0" applyFont="1" applyFill="1" applyBorder="1" applyAlignment="1">
      <alignment horizontal="center" vertical="center"/>
    </xf>
    <xf numFmtId="0" fontId="35" fillId="6" borderId="7" xfId="0" applyFont="1" applyFill="1" applyBorder="1" applyAlignment="1">
      <alignment horizontal="center" vertical="center"/>
    </xf>
    <xf numFmtId="0" fontId="35" fillId="6" borderId="0" xfId="0" applyFont="1" applyFill="1" applyAlignment="1">
      <alignment horizontal="center" vertical="center"/>
    </xf>
    <xf numFmtId="9" fontId="35" fillId="6" borderId="0" xfId="0" applyNumberFormat="1" applyFont="1" applyFill="1" applyAlignment="1">
      <alignment horizontal="center" vertical="center"/>
    </xf>
    <xf numFmtId="0" fontId="35" fillId="6" borderId="8" xfId="0" applyFont="1" applyFill="1" applyBorder="1" applyAlignment="1">
      <alignment horizontal="center" vertical="center"/>
    </xf>
    <xf numFmtId="0" fontId="35" fillId="6" borderId="9" xfId="0" applyFont="1" applyFill="1" applyBorder="1" applyAlignment="1">
      <alignment horizontal="center" vertical="center"/>
    </xf>
    <xf numFmtId="0" fontId="35" fillId="6" borderId="10" xfId="0" applyFont="1" applyFill="1" applyBorder="1" applyAlignment="1">
      <alignment horizontal="center" vertical="center"/>
    </xf>
    <xf numFmtId="0" fontId="40" fillId="6" borderId="0" xfId="0" applyFont="1" applyFill="1"/>
    <xf numFmtId="0" fontId="40" fillId="0" borderId="0" xfId="0" applyFont="1"/>
    <xf numFmtId="0" fontId="35" fillId="6" borderId="11" xfId="0" applyFont="1" applyFill="1" applyBorder="1" applyAlignment="1">
      <alignment horizontal="center" vertical="center"/>
    </xf>
    <xf numFmtId="2" fontId="41" fillId="6" borderId="12" xfId="0" applyNumberFormat="1" applyFont="1" applyFill="1" applyBorder="1" applyAlignment="1">
      <alignment horizontal="center" vertical="center" wrapText="1"/>
    </xf>
    <xf numFmtId="2" fontId="41" fillId="6" borderId="13" xfId="0" applyNumberFormat="1" applyFont="1" applyFill="1" applyBorder="1" applyAlignment="1">
      <alignment horizontal="center" vertical="center" wrapText="1"/>
    </xf>
    <xf numFmtId="0" fontId="39" fillId="6" borderId="14" xfId="0" applyFont="1" applyFill="1" applyBorder="1" applyAlignment="1">
      <alignment horizontal="center" vertical="center"/>
    </xf>
    <xf numFmtId="179" fontId="39" fillId="6" borderId="2" xfId="0" applyNumberFormat="1" applyFont="1" applyFill="1" applyBorder="1" applyAlignment="1">
      <alignment horizontal="center" vertical="center"/>
    </xf>
    <xf numFmtId="179" fontId="39" fillId="6" borderId="15" xfId="0" applyNumberFormat="1" applyFont="1" applyFill="1" applyBorder="1" applyAlignment="1">
      <alignment horizontal="center" vertical="center"/>
    </xf>
    <xf numFmtId="179" fontId="35" fillId="6" borderId="16" xfId="0" applyNumberFormat="1" applyFont="1" applyFill="1" applyBorder="1" applyAlignment="1">
      <alignment horizontal="center" vertical="center"/>
    </xf>
    <xf numFmtId="179" fontId="35" fillId="6" borderId="17" xfId="0" applyNumberFormat="1" applyFont="1" applyFill="1" applyBorder="1" applyAlignment="1">
      <alignment horizontal="center" vertical="center"/>
    </xf>
    <xf numFmtId="179" fontId="35" fillId="6" borderId="18" xfId="0" applyNumberFormat="1" applyFont="1" applyFill="1" applyBorder="1" applyAlignment="1">
      <alignment horizontal="center" vertical="center"/>
    </xf>
    <xf numFmtId="0" fontId="39" fillId="6" borderId="10" xfId="0" applyFont="1" applyFill="1" applyBorder="1" applyAlignment="1">
      <alignment horizontal="center" vertical="center"/>
    </xf>
    <xf numFmtId="179" fontId="39" fillId="6" borderId="4" xfId="0" applyNumberFormat="1" applyFont="1" applyFill="1" applyBorder="1" applyAlignment="1">
      <alignment horizontal="center" vertical="center"/>
    </xf>
    <xf numFmtId="179" fontId="39" fillId="6" borderId="5" xfId="0" applyNumberFormat="1" applyFont="1" applyFill="1" applyBorder="1" applyAlignment="1">
      <alignment horizontal="center" vertical="center"/>
    </xf>
    <xf numFmtId="0" fontId="35" fillId="6" borderId="19" xfId="0" applyFont="1" applyFill="1" applyBorder="1" applyAlignment="1">
      <alignment horizontal="center" vertical="center"/>
    </xf>
    <xf numFmtId="180" fontId="35" fillId="6" borderId="16" xfId="0" applyNumberFormat="1" applyFont="1" applyFill="1" applyBorder="1" applyAlignment="1">
      <alignment horizontal="center" vertical="center"/>
    </xf>
    <xf numFmtId="180" fontId="35" fillId="6" borderId="17" xfId="0" applyNumberFormat="1" applyFont="1" applyFill="1" applyBorder="1" applyAlignment="1">
      <alignment horizontal="center" vertical="center"/>
    </xf>
    <xf numFmtId="180" fontId="35" fillId="6" borderId="20" xfId="0" applyNumberFormat="1" applyFont="1" applyFill="1" applyBorder="1" applyAlignment="1">
      <alignment horizontal="center" vertical="center"/>
    </xf>
    <xf numFmtId="180" fontId="35" fillId="6" borderId="21" xfId="0" applyNumberFormat="1" applyFont="1" applyFill="1" applyBorder="1" applyAlignment="1">
      <alignment horizontal="center" vertical="center"/>
    </xf>
    <xf numFmtId="0" fontId="40" fillId="6" borderId="14" xfId="0" applyFont="1" applyFill="1" applyBorder="1" applyAlignment="1">
      <alignment horizontal="center" vertical="center"/>
    </xf>
    <xf numFmtId="0" fontId="40" fillId="6" borderId="15" xfId="0" applyFont="1" applyFill="1" applyBorder="1" applyAlignment="1">
      <alignment horizontal="center" vertical="center"/>
    </xf>
    <xf numFmtId="0" fontId="40" fillId="6" borderId="3" xfId="0" applyFont="1" applyFill="1" applyBorder="1" applyAlignment="1">
      <alignment horizontal="center" vertical="center"/>
    </xf>
    <xf numFmtId="0" fontId="40" fillId="6" borderId="4" xfId="0" applyFont="1" applyFill="1" applyBorder="1" applyAlignment="1">
      <alignment horizontal="center" vertical="center"/>
    </xf>
    <xf numFmtId="0" fontId="40" fillId="6" borderId="5" xfId="0" applyFont="1" applyFill="1" applyBorder="1" applyAlignment="1">
      <alignment horizontal="center" vertical="center"/>
    </xf>
    <xf numFmtId="177" fontId="40" fillId="6" borderId="19" xfId="0" applyNumberFormat="1" applyFont="1" applyFill="1" applyBorder="1" applyAlignment="1">
      <alignment horizontal="center" vertical="center"/>
    </xf>
    <xf numFmtId="177" fontId="40" fillId="6" borderId="23" xfId="0" applyNumberFormat="1" applyFont="1" applyFill="1" applyBorder="1" applyAlignment="1">
      <alignment horizontal="center" vertical="center"/>
    </xf>
    <xf numFmtId="177" fontId="40" fillId="6" borderId="22" xfId="0" applyNumberFormat="1" applyFont="1" applyFill="1" applyBorder="1" applyAlignment="1">
      <alignment horizontal="center" vertical="center"/>
    </xf>
    <xf numFmtId="177" fontId="40" fillId="6" borderId="24" xfId="0" applyNumberFormat="1" applyFont="1" applyFill="1" applyBorder="1" applyAlignment="1">
      <alignment horizontal="center" vertical="center"/>
    </xf>
    <xf numFmtId="177" fontId="40" fillId="6" borderId="9" xfId="0" applyNumberFormat="1" applyFont="1" applyFill="1" applyBorder="1" applyAlignment="1">
      <alignment horizontal="center" vertical="center"/>
    </xf>
    <xf numFmtId="177" fontId="40" fillId="6" borderId="21" xfId="0" applyNumberFormat="1" applyFont="1" applyFill="1" applyBorder="1" applyAlignment="1">
      <alignment horizontal="center" vertical="center"/>
    </xf>
    <xf numFmtId="177" fontId="40" fillId="6" borderId="25" xfId="0" applyNumberFormat="1" applyFont="1" applyFill="1" applyBorder="1" applyAlignment="1">
      <alignment horizontal="center" vertical="center"/>
    </xf>
    <xf numFmtId="177" fontId="40" fillId="6" borderId="6" xfId="0" applyNumberFormat="1" applyFont="1" applyFill="1" applyBorder="1" applyAlignment="1">
      <alignment horizontal="center" vertical="center"/>
    </xf>
    <xf numFmtId="177" fontId="40" fillId="6" borderId="18" xfId="0" applyNumberFormat="1" applyFont="1" applyFill="1" applyBorder="1" applyAlignment="1">
      <alignment horizontal="center" vertical="center"/>
    </xf>
    <xf numFmtId="177" fontId="40" fillId="6" borderId="7" xfId="0" applyNumberFormat="1" applyFont="1" applyFill="1" applyBorder="1" applyAlignment="1">
      <alignment horizontal="center" vertical="center"/>
    </xf>
    <xf numFmtId="177" fontId="40" fillId="6" borderId="0" xfId="0" applyNumberFormat="1" applyFont="1" applyFill="1" applyAlignment="1">
      <alignment horizontal="center" vertical="center"/>
    </xf>
    <xf numFmtId="177" fontId="40" fillId="6" borderId="11" xfId="0" applyNumberFormat="1" applyFont="1" applyFill="1" applyBorder="1" applyAlignment="1">
      <alignment horizontal="center" vertical="center"/>
    </xf>
    <xf numFmtId="177" fontId="40" fillId="6" borderId="17" xfId="0" applyNumberFormat="1" applyFont="1" applyFill="1" applyBorder="1" applyAlignment="1">
      <alignment horizontal="center" vertical="center"/>
    </xf>
    <xf numFmtId="177" fontId="40" fillId="6" borderId="12" xfId="0" applyNumberFormat="1" applyFont="1" applyFill="1" applyBorder="1" applyAlignment="1">
      <alignment horizontal="center" vertical="center"/>
    </xf>
    <xf numFmtId="177" fontId="40" fillId="6" borderId="16" xfId="0" applyNumberFormat="1" applyFont="1" applyFill="1" applyBorder="1" applyAlignment="1">
      <alignment horizontal="center" vertical="center"/>
    </xf>
    <xf numFmtId="177" fontId="40" fillId="6" borderId="26" xfId="0" applyNumberFormat="1" applyFont="1" applyFill="1" applyBorder="1" applyAlignment="1">
      <alignment horizontal="center" vertical="center"/>
    </xf>
    <xf numFmtId="177" fontId="40" fillId="6" borderId="13" xfId="0" applyNumberFormat="1" applyFont="1" applyFill="1" applyBorder="1" applyAlignment="1">
      <alignment horizontal="center" vertical="center"/>
    </xf>
    <xf numFmtId="177" fontId="40" fillId="6" borderId="27" xfId="0" applyNumberFormat="1" applyFont="1" applyFill="1" applyBorder="1" applyAlignment="1">
      <alignment horizontal="center" vertical="center"/>
    </xf>
    <xf numFmtId="177" fontId="40" fillId="6" borderId="28" xfId="0" applyNumberFormat="1" applyFont="1" applyFill="1" applyBorder="1" applyAlignment="1">
      <alignment horizontal="center" vertical="center"/>
    </xf>
    <xf numFmtId="177" fontId="40" fillId="6" borderId="29" xfId="0" applyNumberFormat="1" applyFont="1" applyFill="1" applyBorder="1" applyAlignment="1">
      <alignment horizontal="center" vertical="center"/>
    </xf>
    <xf numFmtId="177" fontId="40" fillId="6" borderId="20" xfId="0" applyNumberFormat="1" applyFont="1" applyFill="1" applyBorder="1" applyAlignment="1">
      <alignment horizontal="center" vertical="center"/>
    </xf>
    <xf numFmtId="177" fontId="40" fillId="6" borderId="30" xfId="0" applyNumberFormat="1" applyFont="1" applyFill="1" applyBorder="1" applyAlignment="1">
      <alignment horizontal="center" vertical="center"/>
    </xf>
    <xf numFmtId="177" fontId="40" fillId="6" borderId="31" xfId="0" applyNumberFormat="1" applyFont="1" applyFill="1" applyBorder="1" applyAlignment="1">
      <alignment horizontal="center" vertical="center"/>
    </xf>
    <xf numFmtId="181" fontId="40" fillId="6" borderId="11" xfId="11" applyNumberFormat="1" applyFont="1" applyFill="1" applyBorder="1" applyAlignment="1">
      <alignment horizontal="center" vertical="center"/>
    </xf>
    <xf numFmtId="181" fontId="40" fillId="6" borderId="17" xfId="11" applyNumberFormat="1" applyFont="1" applyFill="1" applyBorder="1" applyAlignment="1">
      <alignment horizontal="center" vertical="center"/>
    </xf>
    <xf numFmtId="181" fontId="40" fillId="6" borderId="12" xfId="11" applyNumberFormat="1" applyFont="1" applyFill="1" applyBorder="1" applyAlignment="1">
      <alignment horizontal="center" vertical="center"/>
    </xf>
    <xf numFmtId="181" fontId="40" fillId="6" borderId="16" xfId="11" applyNumberFormat="1" applyFont="1" applyFill="1" applyBorder="1" applyAlignment="1">
      <alignment horizontal="center" vertical="center"/>
    </xf>
    <xf numFmtId="181" fontId="40" fillId="6" borderId="9" xfId="11" applyNumberFormat="1" applyFont="1" applyFill="1" applyBorder="1" applyAlignment="1">
      <alignment horizontal="center" vertical="center"/>
    </xf>
    <xf numFmtId="181" fontId="40" fillId="6" borderId="21" xfId="11" applyNumberFormat="1" applyFont="1" applyFill="1" applyBorder="1" applyAlignment="1">
      <alignment horizontal="center" vertical="center"/>
    </xf>
    <xf numFmtId="181" fontId="40" fillId="6" borderId="29" xfId="11" applyNumberFormat="1" applyFont="1" applyFill="1" applyBorder="1" applyAlignment="1">
      <alignment horizontal="center" vertical="center"/>
    </xf>
    <xf numFmtId="181" fontId="40" fillId="6" borderId="20" xfId="11" applyNumberFormat="1" applyFont="1" applyFill="1" applyBorder="1" applyAlignment="1">
      <alignment horizontal="center" vertical="center"/>
    </xf>
    <xf numFmtId="0" fontId="40" fillId="6" borderId="22" xfId="0" applyFont="1" applyFill="1" applyBorder="1" applyAlignment="1">
      <alignment horizontal="center" vertical="center"/>
    </xf>
    <xf numFmtId="0" fontId="40" fillId="6" borderId="25" xfId="0" applyFont="1" applyFill="1" applyBorder="1" applyAlignment="1">
      <alignment horizontal="center" vertical="center"/>
    </xf>
    <xf numFmtId="0" fontId="40" fillId="6" borderId="7" xfId="0" applyFont="1" applyFill="1" applyBorder="1" applyAlignment="1">
      <alignment horizontal="center" vertical="center"/>
    </xf>
    <xf numFmtId="0" fontId="40" fillId="6" borderId="12" xfId="0" applyFont="1" applyFill="1" applyBorder="1" applyAlignment="1">
      <alignment horizontal="center" vertical="center"/>
    </xf>
    <xf numFmtId="0" fontId="40" fillId="6" borderId="13" xfId="0" applyFont="1" applyFill="1" applyBorder="1" applyAlignment="1">
      <alignment horizontal="center" vertical="center"/>
    </xf>
    <xf numFmtId="0" fontId="40" fillId="6" borderId="32" xfId="0" applyFont="1" applyFill="1" applyBorder="1" applyAlignment="1">
      <alignment horizontal="center" vertical="center"/>
    </xf>
    <xf numFmtId="177" fontId="40" fillId="6" borderId="32" xfId="0" applyNumberFormat="1" applyFont="1" applyFill="1" applyBorder="1" applyAlignment="1">
      <alignment horizontal="center" vertical="center"/>
    </xf>
    <xf numFmtId="177" fontId="40" fillId="6" borderId="2" xfId="0" applyNumberFormat="1" applyFont="1" applyFill="1" applyBorder="1" applyAlignment="1">
      <alignment horizontal="center" vertical="center"/>
    </xf>
    <xf numFmtId="177" fontId="40" fillId="6" borderId="15" xfId="0" applyNumberFormat="1" applyFont="1" applyFill="1" applyBorder="1" applyAlignment="1">
      <alignment horizontal="center" vertical="center"/>
    </xf>
    <xf numFmtId="0" fontId="43" fillId="6" borderId="0" xfId="0" applyFont="1" applyFill="1" applyAlignment="1">
      <alignment horizontal="left"/>
    </xf>
    <xf numFmtId="0" fontId="44" fillId="6" borderId="0" xfId="0" applyFont="1" applyFill="1" applyAlignment="1">
      <alignment horizontal="left"/>
    </xf>
    <xf numFmtId="0" fontId="43" fillId="0" borderId="0" xfId="0" applyFont="1" applyAlignment="1">
      <alignment horizontal="left"/>
    </xf>
    <xf numFmtId="0" fontId="40" fillId="6" borderId="29" xfId="0" applyFont="1" applyFill="1" applyBorder="1" applyAlignment="1">
      <alignment horizontal="center" vertical="center"/>
    </xf>
    <xf numFmtId="0" fontId="40" fillId="6" borderId="30" xfId="0" applyFont="1" applyFill="1" applyBorder="1" applyAlignment="1">
      <alignment horizontal="center" vertical="center"/>
    </xf>
    <xf numFmtId="180" fontId="40" fillId="6" borderId="12" xfId="0" applyNumberFormat="1" applyFont="1" applyFill="1" applyBorder="1" applyAlignment="1">
      <alignment horizontal="center" vertical="center"/>
    </xf>
    <xf numFmtId="179" fontId="35" fillId="6" borderId="0" xfId="0" applyNumberFormat="1" applyFont="1" applyFill="1" applyAlignment="1">
      <alignment horizontal="center" vertical="center"/>
    </xf>
    <xf numFmtId="9" fontId="3" fillId="0" borderId="0" xfId="11" applyFont="1"/>
    <xf numFmtId="9" fontId="3" fillId="0" borderId="0" xfId="0" applyNumberFormat="1" applyFont="1"/>
    <xf numFmtId="0" fontId="41" fillId="9" borderId="4" xfId="0" applyFont="1" applyFill="1" applyBorder="1" applyAlignment="1">
      <alignment horizontal="center" vertical="center"/>
    </xf>
    <xf numFmtId="0" fontId="41" fillId="6" borderId="4" xfId="0" applyFont="1" applyFill="1" applyBorder="1" applyAlignment="1">
      <alignment horizontal="center" vertical="center"/>
    </xf>
    <xf numFmtId="0" fontId="41" fillId="6" borderId="5" xfId="0" applyFont="1" applyFill="1" applyBorder="1" applyAlignment="1">
      <alignment horizontal="center" vertical="center"/>
    </xf>
    <xf numFmtId="10" fontId="41" fillId="6" borderId="20" xfId="0" applyNumberFormat="1" applyFont="1" applyFill="1" applyBorder="1" applyAlignment="1">
      <alignment horizontal="center" vertical="center"/>
    </xf>
    <xf numFmtId="10" fontId="41" fillId="6" borderId="21" xfId="0" applyNumberFormat="1" applyFont="1" applyFill="1" applyBorder="1" applyAlignment="1">
      <alignment horizontal="center" vertical="center"/>
    </xf>
    <xf numFmtId="0" fontId="41" fillId="9" borderId="32" xfId="0" applyFont="1" applyFill="1" applyBorder="1" applyAlignment="1">
      <alignment horizontal="center" vertical="center"/>
    </xf>
    <xf numFmtId="0" fontId="41" fillId="9" borderId="2" xfId="0" applyFont="1" applyFill="1" applyBorder="1" applyAlignment="1">
      <alignment horizontal="center" vertical="center"/>
    </xf>
    <xf numFmtId="0" fontId="41" fillId="9" borderId="15" xfId="0" applyFont="1" applyFill="1" applyBorder="1" applyAlignment="1">
      <alignment horizontal="center" vertical="center"/>
    </xf>
    <xf numFmtId="0" fontId="41" fillId="6" borderId="32" xfId="0" applyFont="1" applyFill="1" applyBorder="1" applyAlignment="1">
      <alignment horizontal="center" vertical="center"/>
    </xf>
    <xf numFmtId="0" fontId="41" fillId="6" borderId="2" xfId="0" applyFont="1" applyFill="1" applyBorder="1" applyAlignment="1">
      <alignment horizontal="center" vertical="center"/>
    </xf>
    <xf numFmtId="0" fontId="41" fillId="6" borderId="15" xfId="0" applyFont="1" applyFill="1" applyBorder="1" applyAlignment="1">
      <alignment horizontal="center" vertical="center"/>
    </xf>
    <xf numFmtId="0" fontId="35" fillId="0" borderId="29" xfId="0" applyFont="1" applyBorder="1" applyAlignment="1">
      <alignment horizontal="center" vertical="center"/>
    </xf>
    <xf numFmtId="10" fontId="35" fillId="6" borderId="29" xfId="0" applyNumberFormat="1" applyFont="1" applyFill="1" applyBorder="1" applyAlignment="1">
      <alignment horizontal="center" vertical="center"/>
    </xf>
    <xf numFmtId="10" fontId="35" fillId="6" borderId="20" xfId="0" applyNumberFormat="1" applyFont="1" applyFill="1" applyBorder="1" applyAlignment="1">
      <alignment horizontal="center" vertical="center"/>
    </xf>
    <xf numFmtId="10" fontId="35" fillId="6" borderId="21" xfId="0" applyNumberFormat="1" applyFont="1" applyFill="1" applyBorder="1" applyAlignment="1">
      <alignment horizontal="center" vertical="center"/>
    </xf>
    <xf numFmtId="10" fontId="35" fillId="0" borderId="20" xfId="0" applyNumberFormat="1" applyFont="1" applyBorder="1" applyAlignment="1">
      <alignment horizontal="center" vertical="center"/>
    </xf>
    <xf numFmtId="10" fontId="35" fillId="0" borderId="21" xfId="0" applyNumberFormat="1" applyFont="1" applyBorder="1" applyAlignment="1">
      <alignment horizontal="center" vertical="center"/>
    </xf>
    <xf numFmtId="0" fontId="45" fillId="0" borderId="32" xfId="0" applyFont="1" applyBorder="1" applyAlignment="1">
      <alignment horizontal="center" vertical="center"/>
    </xf>
    <xf numFmtId="0" fontId="45" fillId="0" borderId="2" xfId="0" applyFont="1" applyBorder="1" applyAlignment="1">
      <alignment horizontal="center" vertical="center"/>
    </xf>
    <xf numFmtId="0" fontId="45" fillId="0" borderId="15"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vertical="center"/>
    </xf>
    <xf numFmtId="9" fontId="46" fillId="0" borderId="7" xfId="11" applyFont="1" applyFill="1" applyBorder="1" applyAlignment="1">
      <alignment vertical="center"/>
    </xf>
    <xf numFmtId="9" fontId="46" fillId="0" borderId="0" xfId="11" applyFont="1" applyFill="1" applyBorder="1" applyAlignment="1">
      <alignment vertical="center"/>
    </xf>
    <xf numFmtId="9" fontId="46" fillId="0" borderId="18" xfId="11" applyFont="1" applyFill="1" applyBorder="1" applyAlignment="1">
      <alignment vertical="center"/>
    </xf>
    <xf numFmtId="9" fontId="46" fillId="0" borderId="0" xfId="11" applyFont="1" applyFill="1" applyAlignment="1">
      <alignment vertical="center"/>
    </xf>
    <xf numFmtId="9" fontId="46" fillId="0" borderId="29" xfId="11" applyFont="1" applyFill="1" applyBorder="1" applyAlignment="1">
      <alignment vertical="center"/>
    </xf>
    <xf numFmtId="9" fontId="46" fillId="0" borderId="20" xfId="11" applyFont="1" applyFill="1" applyBorder="1" applyAlignment="1">
      <alignment vertical="center"/>
    </xf>
    <xf numFmtId="9" fontId="46" fillId="0" borderId="21" xfId="11" applyFont="1" applyFill="1" applyBorder="1" applyAlignment="1">
      <alignment vertical="center"/>
    </xf>
    <xf numFmtId="10" fontId="46" fillId="0" borderId="0" xfId="11" applyNumberFormat="1" applyFont="1" applyFill="1" applyBorder="1" applyAlignment="1">
      <alignment vertical="center"/>
    </xf>
    <xf numFmtId="10" fontId="46" fillId="0" borderId="0" xfId="11" applyNumberFormat="1" applyFont="1" applyFill="1" applyAlignment="1">
      <alignment vertical="center"/>
    </xf>
    <xf numFmtId="9" fontId="47" fillId="0" borderId="29" xfId="11" applyFont="1" applyFill="1" applyBorder="1" applyAlignment="1">
      <alignment horizontal="center" vertical="center"/>
    </xf>
    <xf numFmtId="0" fontId="48" fillId="0" borderId="0" xfId="0" applyFont="1" applyAlignment="1">
      <alignment vertical="center"/>
    </xf>
    <xf numFmtId="0" fontId="49" fillId="0" borderId="32" xfId="0" applyFont="1" applyBorder="1" applyAlignment="1">
      <alignment horizontal="center" vertical="center"/>
    </xf>
    <xf numFmtId="9" fontId="50" fillId="0" borderId="20" xfId="11" applyFont="1" applyFill="1" applyBorder="1" applyAlignment="1">
      <alignment vertical="center" wrapText="1"/>
    </xf>
    <xf numFmtId="0" fontId="51" fillId="0" borderId="32" xfId="0" applyFont="1" applyBorder="1" applyAlignment="1">
      <alignment horizontal="center" vertical="center"/>
    </xf>
    <xf numFmtId="0" fontId="51" fillId="0" borderId="7" xfId="0" applyFont="1" applyBorder="1" applyAlignment="1">
      <alignment horizontal="center" vertical="center"/>
    </xf>
    <xf numFmtId="10" fontId="47" fillId="0" borderId="29" xfId="11" applyNumberFormat="1" applyFont="1" applyFill="1" applyBorder="1" applyAlignment="1">
      <alignment horizontal="center" vertical="center"/>
    </xf>
    <xf numFmtId="10" fontId="46" fillId="0" borderId="20" xfId="11" applyNumberFormat="1" applyFont="1" applyFill="1" applyBorder="1" applyAlignment="1">
      <alignment vertical="center"/>
    </xf>
    <xf numFmtId="10" fontId="46" fillId="0" borderId="21" xfId="11" applyNumberFormat="1" applyFont="1" applyFill="1" applyBorder="1" applyAlignment="1">
      <alignment vertical="center"/>
    </xf>
    <xf numFmtId="9" fontId="46" fillId="0" borderId="4" xfId="11" applyFont="1" applyFill="1" applyBorder="1" applyAlignment="1">
      <alignment vertical="center"/>
    </xf>
    <xf numFmtId="44" fontId="48" fillId="0" borderId="2" xfId="0" applyNumberFormat="1" applyFont="1" applyBorder="1" applyAlignment="1">
      <alignment vertical="center"/>
    </xf>
    <xf numFmtId="44" fontId="48" fillId="0" borderId="15" xfId="0" applyNumberFormat="1" applyFont="1" applyBorder="1" applyAlignment="1">
      <alignment vertical="center"/>
    </xf>
    <xf numFmtId="44" fontId="46" fillId="0" borderId="4" xfId="0" applyNumberFormat="1" applyFont="1" applyBorder="1" applyAlignment="1">
      <alignment vertical="center"/>
    </xf>
    <xf numFmtId="44" fontId="46" fillId="0" borderId="5" xfId="0" applyNumberFormat="1" applyFont="1" applyBorder="1" applyAlignment="1">
      <alignment vertical="center"/>
    </xf>
    <xf numFmtId="44" fontId="46" fillId="0" borderId="2" xfId="0" applyNumberFormat="1" applyFont="1" applyBorder="1" applyAlignment="1">
      <alignment vertical="center"/>
    </xf>
    <xf numFmtId="44" fontId="46" fillId="0" borderId="15" xfId="0" applyNumberFormat="1" applyFont="1" applyBorder="1" applyAlignment="1">
      <alignment vertical="center"/>
    </xf>
    <xf numFmtId="44" fontId="50" fillId="0" borderId="0" xfId="0" applyNumberFormat="1" applyFont="1" applyAlignment="1">
      <alignment vertical="center" wrapText="1"/>
    </xf>
    <xf numFmtId="44" fontId="46" fillId="0" borderId="0" xfId="0" applyNumberFormat="1" applyFont="1" applyAlignment="1">
      <alignment vertical="center"/>
    </xf>
    <xf numFmtId="44" fontId="46" fillId="0" borderId="18" xfId="0" applyNumberFormat="1" applyFont="1" applyBorder="1" applyAlignment="1">
      <alignment vertical="center"/>
    </xf>
    <xf numFmtId="44" fontId="48" fillId="0" borderId="4" xfId="0" applyNumberFormat="1" applyFont="1" applyBorder="1" applyAlignment="1">
      <alignment vertical="center"/>
    </xf>
    <xf numFmtId="44" fontId="48" fillId="0" borderId="5" xfId="0" applyNumberFormat="1" applyFont="1" applyBorder="1" applyAlignment="1">
      <alignment vertical="center"/>
    </xf>
    <xf numFmtId="44" fontId="50" fillId="0" borderId="2" xfId="0" applyNumberFormat="1" applyFont="1" applyBorder="1" applyAlignment="1">
      <alignment vertical="center" wrapText="1"/>
    </xf>
    <xf numFmtId="44" fontId="46" fillId="10" borderId="2" xfId="0" applyNumberFormat="1" applyFont="1" applyFill="1" applyBorder="1" applyAlignment="1">
      <alignment vertical="center"/>
    </xf>
    <xf numFmtId="44" fontId="46" fillId="10" borderId="15" xfId="0" applyNumberFormat="1" applyFont="1" applyFill="1" applyBorder="1" applyAlignment="1">
      <alignment vertical="center"/>
    </xf>
    <xf numFmtId="0" fontId="52" fillId="10" borderId="3" xfId="0" applyFont="1" applyFill="1" applyBorder="1" applyAlignment="1">
      <alignment horizontal="center" vertical="center"/>
    </xf>
    <xf numFmtId="44" fontId="46" fillId="10" borderId="4" xfId="0" applyNumberFormat="1" applyFont="1" applyFill="1" applyBorder="1" applyAlignment="1">
      <alignment vertical="center"/>
    </xf>
    <xf numFmtId="44" fontId="46" fillId="10" borderId="5" xfId="0" applyNumberFormat="1" applyFont="1" applyFill="1" applyBorder="1" applyAlignment="1">
      <alignment vertical="center"/>
    </xf>
    <xf numFmtId="44" fontId="48" fillId="10" borderId="4" xfId="0" applyNumberFormat="1" applyFont="1" applyFill="1" applyBorder="1" applyAlignment="1">
      <alignment vertical="center"/>
    </xf>
    <xf numFmtId="44" fontId="48" fillId="10" borderId="5" xfId="0" applyNumberFormat="1" applyFont="1" applyFill="1" applyBorder="1" applyAlignment="1">
      <alignment vertical="center"/>
    </xf>
    <xf numFmtId="44" fontId="48" fillId="10" borderId="2" xfId="0" applyNumberFormat="1" applyFont="1" applyFill="1" applyBorder="1" applyAlignment="1">
      <alignment vertical="center"/>
    </xf>
    <xf numFmtId="44" fontId="48" fillId="10" borderId="15" xfId="0" applyNumberFormat="1" applyFont="1" applyFill="1" applyBorder="1" applyAlignment="1">
      <alignment vertical="center"/>
    </xf>
    <xf numFmtId="44" fontId="53" fillId="10" borderId="2" xfId="0" applyNumberFormat="1" applyFont="1" applyFill="1" applyBorder="1" applyAlignment="1">
      <alignment vertical="center" wrapText="1"/>
    </xf>
    <xf numFmtId="0" fontId="54" fillId="10" borderId="32" xfId="0" applyFont="1" applyFill="1" applyBorder="1" applyAlignment="1">
      <alignment horizontal="center" vertical="center"/>
    </xf>
    <xf numFmtId="44" fontId="55" fillId="10" borderId="2" xfId="0" applyNumberFormat="1" applyFont="1" applyFill="1" applyBorder="1" applyAlignment="1">
      <alignment vertical="center"/>
    </xf>
    <xf numFmtId="0" fontId="54" fillId="10" borderId="3" xfId="0" applyFont="1" applyFill="1" applyBorder="1" applyAlignment="1">
      <alignment horizontal="center" vertical="center"/>
    </xf>
    <xf numFmtId="44" fontId="55" fillId="10" borderId="4" xfId="0" applyNumberFormat="1" applyFont="1" applyFill="1" applyBorder="1" applyAlignment="1">
      <alignment vertical="center"/>
    </xf>
    <xf numFmtId="44" fontId="53" fillId="10" borderId="4" xfId="0" applyNumberFormat="1" applyFont="1" applyFill="1" applyBorder="1" applyAlignment="1">
      <alignment vertical="center"/>
    </xf>
    <xf numFmtId="44" fontId="53" fillId="10" borderId="2" xfId="0" applyNumberFormat="1" applyFont="1" applyFill="1" applyBorder="1" applyAlignment="1">
      <alignment vertical="center"/>
    </xf>
    <xf numFmtId="0" fontId="54" fillId="10" borderId="32" xfId="0" applyFont="1" applyFill="1" applyBorder="1" applyAlignment="1">
      <alignment horizontal="center"/>
    </xf>
    <xf numFmtId="0" fontId="54" fillId="0" borderId="29" xfId="0" applyFont="1" applyBorder="1" applyAlignment="1">
      <alignment horizontal="center" vertical="center"/>
    </xf>
    <xf numFmtId="0" fontId="54" fillId="0" borderId="29" xfId="0" applyFont="1" applyBorder="1" applyAlignment="1">
      <alignment horizontal="center"/>
    </xf>
    <xf numFmtId="0" fontId="54" fillId="0" borderId="3" xfId="0" applyFont="1" applyBorder="1" applyAlignment="1">
      <alignment horizontal="center" vertical="center"/>
    </xf>
    <xf numFmtId="44" fontId="46" fillId="0" borderId="0" xfId="7" applyNumberFormat="1" applyFont="1" applyFill="1" applyBorder="1" applyAlignment="1">
      <alignment vertical="center"/>
    </xf>
    <xf numFmtId="9" fontId="47" fillId="0" borderId="7" xfId="11" applyFont="1" applyFill="1" applyBorder="1" applyAlignment="1">
      <alignment horizontal="center" vertical="center"/>
    </xf>
    <xf numFmtId="0" fontId="56" fillId="0" borderId="7" xfId="0" applyFont="1" applyBorder="1" applyAlignment="1">
      <alignment horizontal="center" vertical="center"/>
    </xf>
    <xf numFmtId="0" fontId="57" fillId="0" borderId="7" xfId="0" applyFont="1" applyBorder="1" applyAlignment="1">
      <alignment horizontal="center" vertical="center"/>
    </xf>
    <xf numFmtId="10" fontId="56" fillId="0" borderId="7" xfId="11" applyNumberFormat="1" applyFont="1" applyFill="1" applyBorder="1" applyAlignment="1">
      <alignment horizontal="center" vertical="center"/>
    </xf>
    <xf numFmtId="10" fontId="46" fillId="0" borderId="18" xfId="11" applyNumberFormat="1" applyFont="1" applyFill="1" applyBorder="1" applyAlignment="1">
      <alignment vertical="center"/>
    </xf>
    <xf numFmtId="44" fontId="46" fillId="0" borderId="18" xfId="7" applyNumberFormat="1" applyFont="1" applyFill="1" applyBorder="1" applyAlignment="1">
      <alignment vertical="center"/>
    </xf>
    <xf numFmtId="44" fontId="46" fillId="0" borderId="20" xfId="0" applyNumberFormat="1" applyFont="1" applyBorder="1" applyAlignment="1">
      <alignment vertical="center"/>
    </xf>
    <xf numFmtId="44" fontId="46" fillId="0" borderId="21" xfId="0" applyNumberFormat="1" applyFont="1" applyBorder="1" applyAlignment="1">
      <alignment vertical="center"/>
    </xf>
    <xf numFmtId="44" fontId="48" fillId="10" borderId="4" xfId="7" applyNumberFormat="1" applyFont="1" applyFill="1" applyBorder="1" applyAlignment="1">
      <alignment vertical="center"/>
    </xf>
    <xf numFmtId="0" fontId="39" fillId="11" borderId="3" xfId="0" applyFont="1" applyFill="1" applyBorder="1" applyAlignment="1">
      <alignment horizontal="center" vertical="center"/>
    </xf>
    <xf numFmtId="44" fontId="58" fillId="11" borderId="4" xfId="0" applyNumberFormat="1" applyFont="1" applyFill="1" applyBorder="1" applyAlignment="1">
      <alignment vertical="center"/>
    </xf>
    <xf numFmtId="44" fontId="46" fillId="0" borderId="32" xfId="0" applyNumberFormat="1" applyFont="1" applyBorder="1" applyAlignment="1">
      <alignment vertical="center"/>
    </xf>
    <xf numFmtId="44" fontId="46" fillId="0" borderId="29" xfId="0" applyNumberFormat="1" applyFont="1" applyBorder="1" applyAlignment="1">
      <alignment vertical="center"/>
    </xf>
    <xf numFmtId="10" fontId="46" fillId="0" borderId="7" xfId="11" applyNumberFormat="1" applyFont="1" applyFill="1" applyBorder="1" applyAlignment="1">
      <alignment vertical="center"/>
    </xf>
    <xf numFmtId="44" fontId="46" fillId="0" borderId="7" xfId="0" applyNumberFormat="1" applyFont="1" applyBorder="1" applyAlignment="1">
      <alignment vertical="center"/>
    </xf>
    <xf numFmtId="44" fontId="48" fillId="0" borderId="32" xfId="0" applyNumberFormat="1" applyFont="1" applyBorder="1" applyAlignment="1">
      <alignment vertical="center"/>
    </xf>
    <xf numFmtId="44" fontId="46" fillId="0" borderId="7" xfId="11" applyNumberFormat="1" applyFont="1" applyFill="1" applyBorder="1" applyAlignment="1">
      <alignment vertical="center"/>
    </xf>
    <xf numFmtId="44" fontId="48" fillId="0" borderId="29" xfId="0" applyNumberFormat="1" applyFont="1" applyBorder="1" applyAlignment="1">
      <alignment vertical="center"/>
    </xf>
    <xf numFmtId="44" fontId="48" fillId="0" borderId="20" xfId="0" applyNumberFormat="1" applyFont="1" applyBorder="1" applyAlignment="1">
      <alignment vertical="center"/>
    </xf>
    <xf numFmtId="44" fontId="48" fillId="0" borderId="21" xfId="0" applyNumberFormat="1" applyFont="1" applyBorder="1" applyAlignment="1">
      <alignment vertical="center"/>
    </xf>
    <xf numFmtId="44" fontId="46" fillId="0" borderId="3" xfId="0" applyNumberFormat="1" applyFont="1" applyBorder="1" applyAlignment="1">
      <alignment vertical="center"/>
    </xf>
    <xf numFmtId="44" fontId="48" fillId="0" borderId="3" xfId="0" applyNumberFormat="1" applyFont="1" applyBorder="1" applyAlignment="1">
      <alignment vertical="center"/>
    </xf>
    <xf numFmtId="10" fontId="46" fillId="0" borderId="29" xfId="11" applyNumberFormat="1" applyFont="1" applyFill="1" applyBorder="1" applyAlignment="1">
      <alignment vertical="center"/>
    </xf>
    <xf numFmtId="9" fontId="46" fillId="0" borderId="0" xfId="0" applyNumberFormat="1" applyFont="1" applyAlignment="1">
      <alignment vertical="center"/>
    </xf>
    <xf numFmtId="44" fontId="46" fillId="0" borderId="7" xfId="7" applyNumberFormat="1" applyFont="1" applyFill="1" applyBorder="1" applyAlignment="1">
      <alignment vertical="center"/>
    </xf>
    <xf numFmtId="9" fontId="46" fillId="0" borderId="7" xfId="0" applyNumberFormat="1" applyFont="1" applyBorder="1" applyAlignment="1">
      <alignment vertical="center"/>
    </xf>
    <xf numFmtId="9" fontId="46" fillId="0" borderId="18" xfId="0" applyNumberFormat="1" applyFont="1" applyBorder="1" applyAlignment="1">
      <alignment vertical="center"/>
    </xf>
    <xf numFmtId="0" fontId="59" fillId="11" borderId="32" xfId="0" applyFont="1" applyFill="1" applyBorder="1" applyAlignment="1">
      <alignment horizontal="center" vertical="center"/>
    </xf>
    <xf numFmtId="0" fontId="59" fillId="11" borderId="2" xfId="0" applyFont="1" applyFill="1" applyBorder="1" applyAlignment="1">
      <alignment horizontal="center" vertical="center"/>
    </xf>
    <xf numFmtId="0" fontId="59" fillId="11" borderId="15" xfId="0" applyFont="1" applyFill="1" applyBorder="1" applyAlignment="1">
      <alignment horizontal="center" vertical="center"/>
    </xf>
    <xf numFmtId="2" fontId="46" fillId="0" borderId="29" xfId="0" applyNumberFormat="1" applyFont="1" applyBorder="1" applyAlignment="1">
      <alignment vertical="center"/>
    </xf>
    <xf numFmtId="2" fontId="46" fillId="0" borderId="20" xfId="0" applyNumberFormat="1" applyFont="1" applyBorder="1" applyAlignment="1">
      <alignment vertical="center"/>
    </xf>
    <xf numFmtId="2" fontId="46" fillId="0" borderId="21" xfId="0" applyNumberFormat="1" applyFont="1" applyBorder="1" applyAlignment="1">
      <alignment vertical="center"/>
    </xf>
    <xf numFmtId="44" fontId="48" fillId="10" borderId="3" xfId="0" applyNumberFormat="1" applyFont="1" applyFill="1" applyBorder="1" applyAlignment="1">
      <alignment vertical="center"/>
    </xf>
    <xf numFmtId="44" fontId="46" fillId="10" borderId="32" xfId="0" applyNumberFormat="1" applyFont="1" applyFill="1" applyBorder="1" applyAlignment="1">
      <alignment vertical="center"/>
    </xf>
    <xf numFmtId="44" fontId="46" fillId="10" borderId="3" xfId="0" applyNumberFormat="1" applyFont="1" applyFill="1" applyBorder="1" applyAlignment="1">
      <alignment vertical="center"/>
    </xf>
    <xf numFmtId="44" fontId="46" fillId="10" borderId="32" xfId="7" applyNumberFormat="1" applyFont="1" applyFill="1" applyBorder="1" applyAlignment="1">
      <alignment vertical="center"/>
    </xf>
    <xf numFmtId="44" fontId="46" fillId="10" borderId="2" xfId="7" applyNumberFormat="1" applyFont="1" applyFill="1" applyBorder="1" applyAlignment="1">
      <alignment vertical="center"/>
    </xf>
    <xf numFmtId="44" fontId="46" fillId="10" borderId="15" xfId="7" applyNumberFormat="1" applyFont="1" applyFill="1" applyBorder="1" applyAlignment="1">
      <alignment vertical="center"/>
    </xf>
    <xf numFmtId="178" fontId="46" fillId="10" borderId="32" xfId="0" applyNumberFormat="1" applyFont="1" applyFill="1" applyBorder="1" applyAlignment="1">
      <alignment vertical="center"/>
    </xf>
    <xf numFmtId="178" fontId="46" fillId="10" borderId="2" xfId="0" applyNumberFormat="1" applyFont="1" applyFill="1" applyBorder="1" applyAlignment="1">
      <alignment vertical="center"/>
    </xf>
    <xf numFmtId="44" fontId="48" fillId="10" borderId="32" xfId="0" applyNumberFormat="1" applyFont="1" applyFill="1" applyBorder="1" applyAlignment="1">
      <alignment vertical="center"/>
    </xf>
    <xf numFmtId="44" fontId="58" fillId="11" borderId="29" xfId="0" applyNumberFormat="1" applyFont="1" applyFill="1" applyBorder="1" applyAlignment="1">
      <alignment vertical="center"/>
    </xf>
    <xf numFmtId="2" fontId="41" fillId="6" borderId="11" xfId="0" applyNumberFormat="1" applyFont="1" applyFill="1" applyBorder="1" applyAlignment="1">
      <alignment horizontal="center" vertical="center" wrapText="1"/>
    </xf>
    <xf numFmtId="2" fontId="41" fillId="6" borderId="8" xfId="0" applyNumberFormat="1" applyFont="1" applyFill="1" applyBorder="1" applyAlignment="1">
      <alignment horizontal="center" vertical="center" wrapText="1"/>
    </xf>
    <xf numFmtId="0" fontId="54" fillId="10" borderId="14" xfId="0" applyFont="1" applyFill="1" applyBorder="1" applyAlignment="1">
      <alignment horizontal="center" vertical="center"/>
    </xf>
    <xf numFmtId="0" fontId="35" fillId="10" borderId="32" xfId="0" applyFont="1" applyFill="1" applyBorder="1" applyAlignment="1">
      <alignment horizontal="center" vertical="center"/>
    </xf>
    <xf numFmtId="0" fontId="35" fillId="10" borderId="2" xfId="0" applyFont="1" applyFill="1" applyBorder="1" applyAlignment="1">
      <alignment horizontal="center" vertical="center"/>
    </xf>
    <xf numFmtId="0" fontId="35" fillId="10" borderId="15" xfId="0" applyFont="1" applyFill="1" applyBorder="1" applyAlignment="1">
      <alignment horizontal="center" vertical="center"/>
    </xf>
    <xf numFmtId="0" fontId="39" fillId="11" borderId="10" xfId="0" applyFont="1" applyFill="1" applyBorder="1" applyAlignment="1">
      <alignment horizontal="center" vertical="center"/>
    </xf>
    <xf numFmtId="179" fontId="39" fillId="11" borderId="3" xfId="0" applyNumberFormat="1" applyFont="1" applyFill="1" applyBorder="1" applyAlignment="1">
      <alignment horizontal="center" vertical="center"/>
    </xf>
    <xf numFmtId="179" fontId="39" fillId="11" borderId="4" xfId="0" applyNumberFormat="1" applyFont="1" applyFill="1" applyBorder="1" applyAlignment="1">
      <alignment horizontal="center" vertical="center"/>
    </xf>
    <xf numFmtId="179" fontId="39" fillId="11" borderId="5" xfId="0" applyNumberFormat="1" applyFont="1" applyFill="1" applyBorder="1" applyAlignment="1">
      <alignment horizontal="center" vertical="center"/>
    </xf>
    <xf numFmtId="2" fontId="39" fillId="11" borderId="10" xfId="0" applyNumberFormat="1" applyFont="1" applyFill="1" applyBorder="1" applyAlignment="1">
      <alignment horizontal="center" vertical="center"/>
    </xf>
    <xf numFmtId="180" fontId="39" fillId="11" borderId="4" xfId="0" applyNumberFormat="1" applyFont="1" applyFill="1" applyBorder="1" applyAlignment="1">
      <alignment horizontal="center" vertical="center"/>
    </xf>
    <xf numFmtId="180" fontId="39" fillId="11" borderId="5" xfId="0" applyNumberFormat="1" applyFont="1" applyFill="1" applyBorder="1" applyAlignment="1">
      <alignment horizontal="center" vertical="center"/>
    </xf>
    <xf numFmtId="177" fontId="40" fillId="6" borderId="34" xfId="0" applyNumberFormat="1" applyFont="1" applyFill="1" applyBorder="1" applyAlignment="1">
      <alignment horizontal="center" vertical="center"/>
    </xf>
    <xf numFmtId="0" fontId="54" fillId="10" borderId="30" xfId="0" applyFont="1" applyFill="1" applyBorder="1" applyAlignment="1">
      <alignment horizontal="center" vertical="center"/>
    </xf>
    <xf numFmtId="177" fontId="35" fillId="10" borderId="30" xfId="0" applyNumberFormat="1" applyFont="1" applyFill="1" applyBorder="1" applyAlignment="1">
      <alignment horizontal="center" vertical="center"/>
    </xf>
    <xf numFmtId="177" fontId="35" fillId="10" borderId="31" xfId="0" applyNumberFormat="1" applyFont="1" applyFill="1" applyBorder="1" applyAlignment="1">
      <alignment horizontal="center" vertical="center"/>
    </xf>
    <xf numFmtId="177" fontId="35" fillId="10" borderId="23" xfId="0" applyNumberFormat="1" applyFont="1" applyFill="1" applyBorder="1" applyAlignment="1">
      <alignment horizontal="center" vertical="center"/>
    </xf>
    <xf numFmtId="177" fontId="35" fillId="10" borderId="19" xfId="0" applyNumberFormat="1" applyFont="1" applyFill="1" applyBorder="1" applyAlignment="1">
      <alignment horizontal="center" vertical="center"/>
    </xf>
    <xf numFmtId="177" fontId="35" fillId="10" borderId="32" xfId="0" applyNumberFormat="1" applyFont="1" applyFill="1" applyBorder="1" applyAlignment="1">
      <alignment horizontal="center" vertical="center"/>
    </xf>
    <xf numFmtId="177" fontId="35" fillId="10" borderId="2" xfId="0" applyNumberFormat="1" applyFont="1" applyFill="1" applyBorder="1" applyAlignment="1">
      <alignment horizontal="center" vertical="center"/>
    </xf>
    <xf numFmtId="177" fontId="35" fillId="10" borderId="15" xfId="0" applyNumberFormat="1" applyFont="1" applyFill="1" applyBorder="1" applyAlignment="1">
      <alignment horizontal="center" vertical="center"/>
    </xf>
    <xf numFmtId="177" fontId="39" fillId="11" borderId="3" xfId="0" applyNumberFormat="1" applyFont="1" applyFill="1" applyBorder="1" applyAlignment="1">
      <alignment horizontal="center" vertical="center"/>
    </xf>
    <xf numFmtId="177" fontId="39" fillId="11" borderId="4" xfId="0" applyNumberFormat="1" applyFont="1" applyFill="1" applyBorder="1" applyAlignment="1">
      <alignment horizontal="center" vertical="center"/>
    </xf>
    <xf numFmtId="177" fontId="39" fillId="11" borderId="5" xfId="0" applyNumberFormat="1" applyFont="1" applyFill="1" applyBorder="1" applyAlignment="1">
      <alignment horizontal="center" vertical="center"/>
    </xf>
    <xf numFmtId="177" fontId="39" fillId="11" borderId="10" xfId="0" applyNumberFormat="1" applyFont="1" applyFill="1" applyBorder="1" applyAlignment="1">
      <alignment horizontal="center" vertical="center"/>
    </xf>
    <xf numFmtId="177" fontId="39" fillId="11" borderId="25" xfId="0" applyNumberFormat="1" applyFont="1" applyFill="1" applyBorder="1" applyAlignment="1">
      <alignment horizontal="center" vertical="center"/>
    </xf>
    <xf numFmtId="177" fontId="39" fillId="11" borderId="35" xfId="0" applyNumberFormat="1" applyFont="1" applyFill="1" applyBorder="1" applyAlignment="1">
      <alignment horizontal="center" vertical="center"/>
    </xf>
    <xf numFmtId="177" fontId="39" fillId="11" borderId="36" xfId="0" applyNumberFormat="1" applyFont="1" applyFill="1" applyBorder="1" applyAlignment="1">
      <alignment horizontal="center" vertical="center"/>
    </xf>
    <xf numFmtId="177" fontId="36" fillId="11" borderId="3" xfId="0" applyNumberFormat="1" applyFont="1" applyFill="1" applyBorder="1" applyAlignment="1">
      <alignment horizontal="center" vertical="center"/>
    </xf>
    <xf numFmtId="177" fontId="36" fillId="11" borderId="4" xfId="0" applyNumberFormat="1" applyFont="1" applyFill="1" applyBorder="1" applyAlignment="1">
      <alignment horizontal="center" vertical="center"/>
    </xf>
    <xf numFmtId="177" fontId="36" fillId="11" borderId="5" xfId="0" applyNumberFormat="1" applyFont="1" applyFill="1" applyBorder="1" applyAlignment="1">
      <alignment horizontal="center" vertical="center"/>
    </xf>
    <xf numFmtId="177" fontId="36" fillId="11" borderId="10" xfId="0" applyNumberFormat="1" applyFont="1" applyFill="1" applyBorder="1" applyAlignment="1">
      <alignment horizontal="center" vertical="center"/>
    </xf>
    <xf numFmtId="0" fontId="39" fillId="11" borderId="29" xfId="0" applyFont="1" applyFill="1" applyBorder="1" applyAlignment="1">
      <alignment horizontal="center" vertical="center"/>
    </xf>
    <xf numFmtId="177" fontId="36" fillId="11" borderId="29" xfId="0" applyNumberFormat="1" applyFont="1" applyFill="1" applyBorder="1" applyAlignment="1">
      <alignment horizontal="center" vertical="center"/>
    </xf>
    <xf numFmtId="177" fontId="36" fillId="11" borderId="20" xfId="0" applyNumberFormat="1" applyFont="1" applyFill="1" applyBorder="1" applyAlignment="1">
      <alignment horizontal="center" vertical="center"/>
    </xf>
    <xf numFmtId="177" fontId="36" fillId="11" borderId="21" xfId="0" applyNumberFormat="1" applyFont="1" applyFill="1" applyBorder="1" applyAlignment="1">
      <alignment horizontal="center" vertical="center"/>
    </xf>
    <xf numFmtId="0" fontId="40" fillId="0" borderId="0" xfId="0" applyFont="1" applyAlignment="1">
      <alignment horizontal="center" vertical="center"/>
    </xf>
    <xf numFmtId="0" fontId="40" fillId="0" borderId="37" xfId="0" applyFont="1" applyBorder="1" applyAlignment="1">
      <alignment horizontal="center" vertical="center"/>
    </xf>
    <xf numFmtId="0" fontId="40" fillId="0" borderId="38" xfId="0" applyFont="1" applyBorder="1" applyAlignment="1">
      <alignment horizontal="center" vertical="center"/>
    </xf>
    <xf numFmtId="0" fontId="40" fillId="0" borderId="4" xfId="0" applyFont="1" applyBorder="1" applyAlignment="1">
      <alignment horizontal="center" vertical="center"/>
    </xf>
    <xf numFmtId="0" fontId="40" fillId="0" borderId="39" xfId="0" applyFont="1" applyBorder="1" applyAlignment="1">
      <alignment horizontal="center" vertical="center"/>
    </xf>
    <xf numFmtId="0" fontId="40" fillId="0" borderId="40" xfId="0" applyFont="1" applyBorder="1" applyAlignment="1">
      <alignment horizontal="center" vertical="center"/>
    </xf>
    <xf numFmtId="0" fontId="40" fillId="0" borderId="32" xfId="0" applyFont="1" applyBorder="1" applyAlignment="1">
      <alignment horizontal="center" vertical="center"/>
    </xf>
    <xf numFmtId="179" fontId="40" fillId="0" borderId="15" xfId="0" applyNumberFormat="1" applyFont="1" applyBorder="1" applyAlignment="1">
      <alignment horizontal="center" vertical="center"/>
    </xf>
    <xf numFmtId="0" fontId="40" fillId="0" borderId="7" xfId="0" applyFont="1" applyBorder="1" applyAlignment="1">
      <alignment horizontal="center" vertical="center"/>
    </xf>
    <xf numFmtId="0" fontId="40" fillId="0" borderId="41" xfId="0" applyFont="1" applyBorder="1" applyAlignment="1">
      <alignment horizontal="center" vertical="center"/>
    </xf>
    <xf numFmtId="0" fontId="40" fillId="0" borderId="33" xfId="0" applyFont="1" applyBorder="1" applyAlignment="1">
      <alignment horizontal="center" vertical="center"/>
    </xf>
    <xf numFmtId="0" fontId="40" fillId="0" borderId="42" xfId="0" applyFont="1" applyBorder="1" applyAlignment="1">
      <alignment horizontal="center" vertical="center"/>
    </xf>
    <xf numFmtId="0" fontId="40" fillId="0" borderId="43" xfId="0" applyFont="1" applyBorder="1" applyAlignment="1">
      <alignment horizontal="center" vertical="center"/>
    </xf>
    <xf numFmtId="179" fontId="40" fillId="0" borderId="18" xfId="0" applyNumberFormat="1" applyFont="1" applyBorder="1" applyAlignment="1">
      <alignment horizontal="center" vertical="center"/>
    </xf>
    <xf numFmtId="0" fontId="40" fillId="0" borderId="12" xfId="0" applyFont="1" applyBorder="1" applyAlignment="1">
      <alignment horizontal="center" vertical="center"/>
    </xf>
    <xf numFmtId="0" fontId="40" fillId="0" borderId="44" xfId="0" applyFont="1" applyBorder="1" applyAlignment="1">
      <alignment horizontal="center" vertical="center"/>
    </xf>
    <xf numFmtId="0" fontId="40" fillId="0" borderId="45" xfId="0" applyFont="1" applyBorder="1" applyAlignment="1">
      <alignment horizontal="center" vertical="center"/>
    </xf>
    <xf numFmtId="179" fontId="40" fillId="0" borderId="46" xfId="0" applyNumberFormat="1" applyFont="1" applyBorder="1" applyAlignment="1">
      <alignment horizontal="center" vertical="center"/>
    </xf>
    <xf numFmtId="179" fontId="40" fillId="0" borderId="44" xfId="0" applyNumberFormat="1" applyFont="1" applyBorder="1" applyAlignment="1">
      <alignment horizontal="center" vertical="center"/>
    </xf>
    <xf numFmtId="179" fontId="40" fillId="0" borderId="47" xfId="0" applyNumberFormat="1" applyFont="1" applyBorder="1" applyAlignment="1">
      <alignment horizontal="center" vertical="center"/>
    </xf>
    <xf numFmtId="179" fontId="40" fillId="0" borderId="42" xfId="0" applyNumberFormat="1" applyFont="1" applyBorder="1" applyAlignment="1">
      <alignment horizontal="center" vertical="center"/>
    </xf>
    <xf numFmtId="179" fontId="40" fillId="0" borderId="41" xfId="0" applyNumberFormat="1" applyFont="1" applyBorder="1" applyAlignment="1">
      <alignment horizontal="center" vertical="center"/>
    </xf>
    <xf numFmtId="179" fontId="40" fillId="0" borderId="43" xfId="0" applyNumberFormat="1" applyFont="1" applyBorder="1" applyAlignment="1">
      <alignment horizontal="center" vertical="center"/>
    </xf>
    <xf numFmtId="0" fontId="52" fillId="0" borderId="0" xfId="0" applyFont="1" applyAlignment="1">
      <alignment horizontal="center" vertical="center"/>
    </xf>
    <xf numFmtId="0" fontId="52" fillId="0" borderId="7" xfId="0" applyFont="1" applyBorder="1" applyAlignment="1">
      <alignment horizontal="center" vertical="center"/>
    </xf>
    <xf numFmtId="0" fontId="36" fillId="11" borderId="3" xfId="0" applyFont="1" applyFill="1" applyBorder="1" applyAlignment="1">
      <alignment horizontal="center" vertical="center"/>
    </xf>
    <xf numFmtId="0" fontId="36" fillId="11" borderId="37" xfId="0" applyFont="1" applyFill="1" applyBorder="1" applyAlignment="1">
      <alignment horizontal="center" vertical="center"/>
    </xf>
    <xf numFmtId="0" fontId="36" fillId="11" borderId="38" xfId="0" applyFont="1" applyFill="1" applyBorder="1" applyAlignment="1">
      <alignment horizontal="center" vertical="center"/>
    </xf>
    <xf numFmtId="0" fontId="36" fillId="11" borderId="48" xfId="0" applyFont="1" applyFill="1" applyBorder="1" applyAlignment="1">
      <alignment horizontal="center" vertical="center"/>
    </xf>
    <xf numFmtId="2" fontId="36" fillId="11" borderId="39" xfId="0" applyNumberFormat="1" applyFont="1" applyFill="1" applyBorder="1" applyAlignment="1">
      <alignment horizontal="center" vertical="center"/>
    </xf>
    <xf numFmtId="2" fontId="36" fillId="11" borderId="37" xfId="0" applyNumberFormat="1" applyFont="1" applyFill="1" applyBorder="1" applyAlignment="1">
      <alignment horizontal="center" vertical="center"/>
    </xf>
    <xf numFmtId="2" fontId="36" fillId="11" borderId="40" xfId="0" applyNumberFormat="1" applyFont="1" applyFill="1" applyBorder="1" applyAlignment="1">
      <alignment horizontal="center" vertical="center"/>
    </xf>
    <xf numFmtId="0" fontId="40" fillId="0" borderId="29" xfId="0" applyFont="1" applyBorder="1" applyAlignment="1">
      <alignment horizontal="center" vertical="center"/>
    </xf>
    <xf numFmtId="0" fontId="60" fillId="0" borderId="0" xfId="0" applyFont="1" applyAlignment="1">
      <alignment horizontal="center" vertical="center"/>
    </xf>
    <xf numFmtId="0" fontId="40" fillId="0" borderId="6" xfId="0" applyFont="1" applyBorder="1" applyAlignment="1">
      <alignment horizontal="center" vertical="center"/>
    </xf>
    <xf numFmtId="9" fontId="40" fillId="0" borderId="0" xfId="11" applyFont="1" applyAlignment="1">
      <alignment horizontal="center" vertical="center"/>
    </xf>
    <xf numFmtId="0" fontId="40" fillId="0" borderId="10" xfId="0" applyFont="1" applyBorder="1" applyAlignment="1">
      <alignment horizontal="center" vertical="center"/>
    </xf>
    <xf numFmtId="0" fontId="40" fillId="0" borderId="3" xfId="0" applyFont="1" applyBorder="1" applyAlignment="1">
      <alignment horizontal="center" vertical="center"/>
    </xf>
    <xf numFmtId="0" fontId="40" fillId="0" borderId="5" xfId="0" applyFont="1" applyBorder="1" applyAlignment="1">
      <alignment horizontal="center" vertical="center"/>
    </xf>
    <xf numFmtId="0" fontId="40" fillId="0" borderId="18" xfId="0" applyFont="1" applyBorder="1" applyAlignment="1">
      <alignment horizontal="center" vertical="center"/>
    </xf>
    <xf numFmtId="179" fontId="40" fillId="0" borderId="0" xfId="0" applyNumberFormat="1" applyFont="1" applyAlignment="1">
      <alignment horizontal="center" vertical="center"/>
    </xf>
    <xf numFmtId="9" fontId="40" fillId="0" borderId="0" xfId="11" applyFont="1" applyBorder="1" applyAlignment="1">
      <alignment horizontal="center" vertical="center"/>
    </xf>
    <xf numFmtId="9" fontId="40" fillId="0" borderId="0" xfId="0" applyNumberFormat="1" applyFont="1" applyAlignment="1">
      <alignment horizontal="center" vertical="center"/>
    </xf>
    <xf numFmtId="0" fontId="40" fillId="0" borderId="2" xfId="0" applyFont="1" applyBorder="1" applyAlignment="1">
      <alignment horizontal="center" vertical="center"/>
    </xf>
    <xf numFmtId="0" fontId="61" fillId="0" borderId="0" xfId="0" applyFont="1" applyAlignment="1">
      <alignment horizontal="center" vertical="center"/>
    </xf>
    <xf numFmtId="0" fontId="40" fillId="0" borderId="20" xfId="0" applyFont="1" applyBorder="1" applyAlignment="1">
      <alignment horizontal="center" vertical="center"/>
    </xf>
    <xf numFmtId="9" fontId="40" fillId="0" borderId="20" xfId="11" applyFont="1" applyBorder="1" applyAlignment="1">
      <alignment horizontal="center" vertical="center"/>
    </xf>
    <xf numFmtId="0" fontId="40" fillId="0" borderId="21" xfId="0" applyFont="1" applyBorder="1" applyAlignment="1">
      <alignment horizontal="center" vertical="center"/>
    </xf>
    <xf numFmtId="0" fontId="40" fillId="12" borderId="3" xfId="0" applyFont="1" applyFill="1" applyBorder="1" applyAlignment="1">
      <alignment horizontal="center" vertical="center"/>
    </xf>
    <xf numFmtId="9" fontId="52" fillId="0" borderId="5" xfId="0" applyNumberFormat="1" applyFont="1" applyBorder="1" applyAlignment="1">
      <alignment horizontal="center" vertical="center"/>
    </xf>
    <xf numFmtId="0" fontId="40" fillId="0" borderId="15" xfId="0" applyFont="1" applyBorder="1" applyAlignment="1">
      <alignment horizontal="center" vertical="center"/>
    </xf>
    <xf numFmtId="179" fontId="36" fillId="11" borderId="4" xfId="0" applyNumberFormat="1" applyFont="1" applyFill="1" applyBorder="1" applyAlignment="1">
      <alignment horizontal="center" vertical="center"/>
    </xf>
    <xf numFmtId="179" fontId="40" fillId="0" borderId="16" xfId="0" applyNumberFormat="1" applyFont="1" applyBorder="1" applyAlignment="1">
      <alignment horizontal="center" vertical="center"/>
    </xf>
    <xf numFmtId="0" fontId="52" fillId="0" borderId="46" xfId="0" applyFont="1" applyBorder="1" applyAlignment="1">
      <alignment horizontal="center" vertical="center"/>
    </xf>
    <xf numFmtId="0" fontId="40" fillId="0" borderId="46" xfId="0" applyFont="1" applyBorder="1" applyAlignment="1">
      <alignment horizontal="center" vertical="center"/>
    </xf>
    <xf numFmtId="0" fontId="36" fillId="11" borderId="39" xfId="0" applyFont="1" applyFill="1" applyBorder="1" applyAlignment="1">
      <alignment horizontal="center" vertical="center"/>
    </xf>
    <xf numFmtId="179" fontId="40" fillId="0" borderId="11" xfId="0" applyNumberFormat="1" applyFont="1" applyBorder="1" applyAlignment="1">
      <alignment horizontal="center" vertical="center"/>
    </xf>
    <xf numFmtId="179" fontId="40" fillId="0" borderId="6" xfId="0" applyNumberFormat="1" applyFont="1" applyBorder="1" applyAlignment="1">
      <alignment horizontal="center" vertical="center"/>
    </xf>
    <xf numFmtId="179" fontId="36" fillId="11" borderId="10" xfId="0" applyNumberFormat="1" applyFont="1" applyFill="1" applyBorder="1" applyAlignment="1">
      <alignment horizontal="center" vertical="center"/>
    </xf>
    <xf numFmtId="9" fontId="52" fillId="0" borderId="5" xfId="11" applyFont="1" applyBorder="1" applyAlignment="1">
      <alignment horizontal="center" vertical="center"/>
    </xf>
    <xf numFmtId="0" fontId="40" fillId="0" borderId="16" xfId="0" applyFont="1" applyBorder="1" applyAlignment="1">
      <alignment horizontal="center" vertical="center"/>
    </xf>
    <xf numFmtId="0" fontId="40" fillId="0" borderId="11" xfId="0" applyFont="1" applyBorder="1" applyAlignment="1">
      <alignment horizontal="center" vertical="center"/>
    </xf>
    <xf numFmtId="2" fontId="40" fillId="0" borderId="16" xfId="0" applyNumberFormat="1" applyFont="1" applyBorder="1" applyAlignment="1">
      <alignment horizontal="center" vertical="center"/>
    </xf>
    <xf numFmtId="0" fontId="40" fillId="0" borderId="17" xfId="0" applyFont="1" applyBorder="1" applyAlignment="1">
      <alignment horizontal="center" vertical="center"/>
    </xf>
    <xf numFmtId="2" fontId="36" fillId="11" borderId="4" xfId="0" applyNumberFormat="1" applyFont="1" applyFill="1" applyBorder="1" applyAlignment="1">
      <alignment horizontal="center" vertical="center"/>
    </xf>
    <xf numFmtId="2" fontId="36" fillId="11" borderId="10" xfId="0" applyNumberFormat="1" applyFont="1" applyFill="1" applyBorder="1" applyAlignment="1">
      <alignment horizontal="center" vertical="center"/>
    </xf>
    <xf numFmtId="2" fontId="36" fillId="11" borderId="5" xfId="0" applyNumberFormat="1" applyFont="1" applyFill="1" applyBorder="1" applyAlignment="1">
      <alignment horizontal="center" vertical="center"/>
    </xf>
    <xf numFmtId="0" fontId="36" fillId="11" borderId="29" xfId="0" applyFont="1" applyFill="1" applyBorder="1" applyAlignment="1">
      <alignment horizontal="center" vertical="center"/>
    </xf>
    <xf numFmtId="0" fontId="52" fillId="12" borderId="10" xfId="0" applyFont="1" applyFill="1" applyBorder="1" applyAlignment="1">
      <alignment horizontal="center" vertical="center"/>
    </xf>
    <xf numFmtId="0" fontId="40" fillId="12" borderId="39" xfId="0" applyFont="1" applyFill="1" applyBorder="1" applyAlignment="1">
      <alignment horizontal="center" vertical="center"/>
    </xf>
    <xf numFmtId="0" fontId="40" fillId="0" borderId="14" xfId="0" applyFont="1" applyBorder="1" applyAlignment="1">
      <alignment horizontal="center" vertical="center"/>
    </xf>
    <xf numFmtId="0" fontId="60" fillId="0" borderId="9" xfId="0" applyFont="1" applyBorder="1" applyAlignment="1">
      <alignment horizontal="center" vertical="center"/>
    </xf>
    <xf numFmtId="0" fontId="40" fillId="12" borderId="14" xfId="0" applyFont="1" applyFill="1" applyBorder="1" applyAlignment="1">
      <alignment horizontal="center" vertical="center"/>
    </xf>
    <xf numFmtId="0" fontId="36" fillId="11" borderId="10" xfId="0" applyFont="1" applyFill="1" applyBorder="1" applyAlignment="1">
      <alignment horizontal="center" vertical="center"/>
    </xf>
    <xf numFmtId="0" fontId="36" fillId="11" borderId="4" xfId="0" applyFont="1" applyFill="1" applyBorder="1" applyAlignment="1">
      <alignment horizontal="center" vertical="center"/>
    </xf>
    <xf numFmtId="2" fontId="40" fillId="0" borderId="20" xfId="0" applyNumberFormat="1" applyFont="1" applyBorder="1" applyAlignment="1">
      <alignment horizontal="center" vertical="center"/>
    </xf>
    <xf numFmtId="2" fontId="40" fillId="0" borderId="9" xfId="0" applyNumberFormat="1" applyFont="1" applyBorder="1" applyAlignment="1">
      <alignment horizontal="center" vertical="center"/>
    </xf>
    <xf numFmtId="2" fontId="36" fillId="13" borderId="20" xfId="0" applyNumberFormat="1" applyFont="1" applyFill="1" applyBorder="1" applyAlignment="1">
      <alignment horizontal="center" vertical="center"/>
    </xf>
    <xf numFmtId="2" fontId="36" fillId="13" borderId="21" xfId="0" applyNumberFormat="1" applyFont="1" applyFill="1" applyBorder="1" applyAlignment="1">
      <alignment horizontal="center" vertical="center"/>
    </xf>
    <xf numFmtId="0" fontId="41" fillId="6" borderId="0" xfId="0" applyFont="1" applyFill="1" applyAlignment="1">
      <alignment horizontal="center" vertical="center"/>
    </xf>
    <xf numFmtId="0" fontId="41" fillId="0" borderId="0" xfId="0" applyFont="1" applyAlignment="1">
      <alignment horizontal="center" vertical="center"/>
    </xf>
    <xf numFmtId="10" fontId="41" fillId="6" borderId="0" xfId="0" applyNumberFormat="1" applyFont="1" applyFill="1" applyAlignment="1">
      <alignment horizontal="center" vertical="center"/>
    </xf>
    <xf numFmtId="181" fontId="40" fillId="0" borderId="0" xfId="11" applyNumberFormat="1" applyFont="1" applyBorder="1" applyAlignment="1">
      <alignment horizontal="center" vertical="center"/>
    </xf>
    <xf numFmtId="0" fontId="41" fillId="0" borderId="7" xfId="0" applyFont="1" applyBorder="1" applyAlignment="1">
      <alignment horizontal="center" vertical="center"/>
    </xf>
    <xf numFmtId="181" fontId="40" fillId="0" borderId="18" xfId="11" applyNumberFormat="1" applyFont="1" applyBorder="1" applyAlignment="1">
      <alignment horizontal="center" vertical="center"/>
    </xf>
    <xf numFmtId="10" fontId="41" fillId="6" borderId="18" xfId="0" applyNumberFormat="1" applyFont="1" applyFill="1" applyBorder="1" applyAlignment="1">
      <alignment horizontal="center" vertical="center"/>
    </xf>
    <xf numFmtId="0" fontId="41" fillId="6" borderId="20" xfId="0" applyFont="1" applyFill="1" applyBorder="1" applyAlignment="1">
      <alignment horizontal="center" vertical="center"/>
    </xf>
    <xf numFmtId="10" fontId="39" fillId="14" borderId="4" xfId="0" applyNumberFormat="1" applyFont="1" applyFill="1" applyBorder="1" applyAlignment="1">
      <alignment horizontal="center" vertical="center"/>
    </xf>
    <xf numFmtId="10" fontId="39" fillId="14" borderId="5" xfId="0" applyNumberFormat="1" applyFont="1" applyFill="1" applyBorder="1" applyAlignment="1">
      <alignment horizontal="center" vertical="center"/>
    </xf>
    <xf numFmtId="10" fontId="39" fillId="11" borderId="4" xfId="0" applyNumberFormat="1" applyFont="1" applyFill="1" applyBorder="1" applyAlignment="1">
      <alignment horizontal="center" vertical="center"/>
    </xf>
    <xf numFmtId="0" fontId="41" fillId="0" borderId="6" xfId="0" applyFont="1" applyBorder="1" applyAlignment="1">
      <alignment horizontal="center" vertical="center"/>
    </xf>
    <xf numFmtId="0" fontId="41" fillId="0" borderId="9" xfId="0" applyFont="1" applyBorder="1" applyAlignment="1">
      <alignment horizontal="center" vertical="center"/>
    </xf>
    <xf numFmtId="0" fontId="54" fillId="15" borderId="10" xfId="0" applyFont="1" applyFill="1" applyBorder="1" applyAlignment="1">
      <alignment horizontal="center" vertical="center"/>
    </xf>
    <xf numFmtId="10" fontId="41" fillId="0" borderId="0" xfId="0" applyNumberFormat="1" applyFont="1" applyAlignment="1">
      <alignment horizontal="center" vertical="center"/>
    </xf>
    <xf numFmtId="182" fontId="41" fillId="6" borderId="0" xfId="0" applyNumberFormat="1" applyFont="1" applyFill="1" applyAlignment="1">
      <alignment horizontal="center" vertical="center"/>
    </xf>
    <xf numFmtId="2" fontId="41" fillId="0" borderId="0" xfId="0" applyNumberFormat="1" applyFont="1" applyAlignment="1">
      <alignment horizontal="center" vertical="center"/>
    </xf>
    <xf numFmtId="10" fontId="41" fillId="0" borderId="18" xfId="0" applyNumberFormat="1" applyFont="1" applyBorder="1" applyAlignment="1">
      <alignment horizontal="center" vertical="center"/>
    </xf>
    <xf numFmtId="10" fontId="41" fillId="0" borderId="7" xfId="0" applyNumberFormat="1" applyFont="1" applyBorder="1" applyAlignment="1">
      <alignment horizontal="center" vertical="center"/>
    </xf>
    <xf numFmtId="2" fontId="41" fillId="0" borderId="18" xfId="0" applyNumberFormat="1" applyFont="1" applyBorder="1" applyAlignment="1">
      <alignment horizontal="center" vertical="center"/>
    </xf>
    <xf numFmtId="2" fontId="39" fillId="16" borderId="4" xfId="0" applyNumberFormat="1" applyFont="1" applyFill="1" applyBorder="1" applyAlignment="1">
      <alignment horizontal="center" vertical="center"/>
    </xf>
    <xf numFmtId="2" fontId="39" fillId="16" borderId="5" xfId="0" applyNumberFormat="1" applyFont="1" applyFill="1" applyBorder="1" applyAlignment="1">
      <alignment horizontal="center" vertical="center"/>
    </xf>
    <xf numFmtId="0" fontId="39" fillId="11" borderId="7" xfId="0" applyFont="1" applyFill="1" applyBorder="1" applyAlignment="1">
      <alignment horizontal="center" vertical="center"/>
    </xf>
    <xf numFmtId="2" fontId="39" fillId="16" borderId="0" xfId="0" applyNumberFormat="1" applyFont="1" applyFill="1" applyAlignment="1">
      <alignment horizontal="center" vertical="center"/>
    </xf>
    <xf numFmtId="2" fontId="39" fillId="16" borderId="18" xfId="0" applyNumberFormat="1" applyFont="1" applyFill="1" applyBorder="1" applyAlignment="1">
      <alignment horizontal="center" vertical="center"/>
    </xf>
    <xf numFmtId="10" fontId="39" fillId="11" borderId="7" xfId="0" applyNumberFormat="1" applyFont="1" applyFill="1" applyBorder="1" applyAlignment="1">
      <alignment horizontal="center" vertical="center"/>
    </xf>
    <xf numFmtId="2" fontId="36" fillId="11" borderId="0" xfId="0" applyNumberFormat="1" applyFont="1" applyFill="1" applyAlignment="1">
      <alignment horizontal="center" vertical="center"/>
    </xf>
    <xf numFmtId="2" fontId="36" fillId="11" borderId="18" xfId="0" applyNumberFormat="1" applyFont="1" applyFill="1" applyBorder="1" applyAlignment="1">
      <alignment horizontal="center" vertical="center"/>
    </xf>
    <xf numFmtId="2" fontId="39" fillId="11" borderId="20" xfId="0" applyNumberFormat="1" applyFont="1" applyFill="1" applyBorder="1" applyAlignment="1">
      <alignment horizontal="center" vertical="center"/>
    </xf>
    <xf numFmtId="2" fontId="39" fillId="11" borderId="21" xfId="0" applyNumberFormat="1" applyFont="1" applyFill="1" applyBorder="1" applyAlignment="1">
      <alignment horizontal="center" vertical="center"/>
    </xf>
    <xf numFmtId="0" fontId="36" fillId="0" borderId="0" xfId="0" applyFont="1" applyAlignment="1">
      <alignment horizontal="center" vertical="center"/>
    </xf>
    <xf numFmtId="182" fontId="39" fillId="11" borderId="20" xfId="0" applyNumberFormat="1" applyFont="1" applyFill="1" applyBorder="1" applyAlignment="1">
      <alignment horizontal="center" vertical="center"/>
    </xf>
    <xf numFmtId="10" fontId="41" fillId="0" borderId="6" xfId="0" applyNumberFormat="1" applyFont="1" applyBorder="1" applyAlignment="1">
      <alignment horizontal="center" vertical="center"/>
    </xf>
    <xf numFmtId="0" fontId="36" fillId="11" borderId="6" xfId="0" applyFont="1" applyFill="1" applyBorder="1" applyAlignment="1">
      <alignment horizontal="center" vertical="center"/>
    </xf>
    <xf numFmtId="10" fontId="36" fillId="11" borderId="6" xfId="0" applyNumberFormat="1" applyFont="1" applyFill="1" applyBorder="1" applyAlignment="1">
      <alignment horizontal="center" vertical="center"/>
    </xf>
    <xf numFmtId="182" fontId="36" fillId="11" borderId="9" xfId="0" applyNumberFormat="1" applyFont="1" applyFill="1" applyBorder="1" applyAlignment="1">
      <alignment horizontal="center" vertical="center"/>
    </xf>
    <xf numFmtId="10" fontId="41" fillId="6" borderId="7" xfId="0" applyNumberFormat="1" applyFont="1" applyFill="1" applyBorder="1" applyAlignment="1">
      <alignment horizontal="center" vertical="center"/>
    </xf>
    <xf numFmtId="182" fontId="39" fillId="11" borderId="7" xfId="0" applyNumberFormat="1" applyFont="1" applyFill="1" applyBorder="1" applyAlignment="1">
      <alignment horizontal="center" vertical="center"/>
    </xf>
    <xf numFmtId="182" fontId="41" fillId="6" borderId="7" xfId="0" applyNumberFormat="1" applyFont="1" applyFill="1" applyBorder="1" applyAlignment="1">
      <alignment horizontal="center" vertical="center"/>
    </xf>
    <xf numFmtId="182" fontId="39" fillId="11" borderId="29" xfId="0" applyNumberFormat="1" applyFont="1" applyFill="1" applyBorder="1" applyAlignment="1">
      <alignment horizontal="center" vertical="center"/>
    </xf>
    <xf numFmtId="44" fontId="39" fillId="11" borderId="3" xfId="0" applyNumberFormat="1" applyFont="1" applyFill="1" applyBorder="1" applyAlignment="1">
      <alignment horizontal="center" vertical="center"/>
    </xf>
    <xf numFmtId="0" fontId="54" fillId="15" borderId="3" xfId="0" applyFont="1" applyFill="1" applyBorder="1" applyAlignment="1">
      <alignment horizontal="center" vertical="center"/>
    </xf>
    <xf numFmtId="0" fontId="41" fillId="17" borderId="32" xfId="0" applyFont="1" applyFill="1" applyBorder="1" applyAlignment="1">
      <alignment horizontal="center" vertical="center"/>
    </xf>
    <xf numFmtId="182" fontId="41" fillId="6" borderId="18" xfId="0" applyNumberFormat="1" applyFont="1" applyFill="1" applyBorder="1" applyAlignment="1">
      <alignment horizontal="center" vertical="center"/>
    </xf>
    <xf numFmtId="2" fontId="41" fillId="0" borderId="7" xfId="0" applyNumberFormat="1" applyFont="1" applyBorder="1" applyAlignment="1">
      <alignment horizontal="center" vertical="center"/>
    </xf>
    <xf numFmtId="10" fontId="35" fillId="0" borderId="29" xfId="0" applyNumberFormat="1" applyFont="1" applyBorder="1" applyAlignment="1">
      <alignment horizontal="center" vertical="center"/>
    </xf>
    <xf numFmtId="2" fontId="39" fillId="18" borderId="3" xfId="0" applyNumberFormat="1" applyFont="1" applyFill="1" applyBorder="1" applyAlignment="1">
      <alignment horizontal="center" vertical="center"/>
    </xf>
    <xf numFmtId="2" fontId="39" fillId="18" borderId="4" xfId="0" applyNumberFormat="1" applyFont="1" applyFill="1" applyBorder="1" applyAlignment="1">
      <alignment horizontal="center" vertical="center"/>
    </xf>
    <xf numFmtId="2" fontId="39" fillId="18" borderId="5" xfId="0" applyNumberFormat="1" applyFont="1" applyFill="1" applyBorder="1" applyAlignment="1">
      <alignment horizontal="center" vertical="center"/>
    </xf>
    <xf numFmtId="182" fontId="39" fillId="18" borderId="3" xfId="0" applyNumberFormat="1" applyFont="1" applyFill="1" applyBorder="1" applyAlignment="1">
      <alignment horizontal="center" vertical="center"/>
    </xf>
    <xf numFmtId="182" fontId="39" fillId="18" borderId="4" xfId="0" applyNumberFormat="1" applyFont="1" applyFill="1" applyBorder="1" applyAlignment="1">
      <alignment horizontal="center" vertical="center"/>
    </xf>
    <xf numFmtId="182" fontId="39" fillId="18" borderId="5" xfId="0" applyNumberFormat="1" applyFont="1" applyFill="1" applyBorder="1" applyAlignment="1">
      <alignment horizontal="center" vertical="center"/>
    </xf>
    <xf numFmtId="0" fontId="0" fillId="0" borderId="0" xfId="0"/>
    <xf numFmtId="0" fontId="0" fillId="0" borderId="0" xfId="0" applyAlignment="1">
      <alignment horizontal="left"/>
    </xf>
    <xf numFmtId="0" fontId="29" fillId="0" borderId="0" xfId="0" applyFont="1"/>
    <xf numFmtId="0" fontId="27" fillId="0" borderId="44" xfId="0" applyFont="1" applyBorder="1" applyAlignment="1">
      <alignment horizontal="center"/>
    </xf>
    <xf numFmtId="10" fontId="27" fillId="0" borderId="44" xfId="11" applyNumberFormat="1" applyFont="1" applyBorder="1" applyAlignment="1">
      <alignment horizontal="center"/>
    </xf>
    <xf numFmtId="10" fontId="27" fillId="0" borderId="44" xfId="0" applyNumberFormat="1" applyFont="1" applyBorder="1" applyAlignment="1">
      <alignment horizontal="center"/>
    </xf>
    <xf numFmtId="10" fontId="27" fillId="0" borderId="47" xfId="0" applyNumberFormat="1" applyFont="1" applyBorder="1" applyAlignment="1">
      <alignment horizontal="center"/>
    </xf>
    <xf numFmtId="0" fontId="28" fillId="0" borderId="44" xfId="0" applyFont="1" applyBorder="1" applyAlignment="1">
      <alignment horizontal="center"/>
    </xf>
    <xf numFmtId="0" fontId="0" fillId="0" borderId="44" xfId="0" applyBorder="1" applyAlignment="1">
      <alignment horizontal="center"/>
    </xf>
    <xf numFmtId="0" fontId="0" fillId="19" borderId="0" xfId="0" applyFill="1"/>
    <xf numFmtId="0" fontId="28" fillId="0" borderId="0" xfId="0" applyFont="1" applyAlignment="1">
      <alignment horizontal="center"/>
    </xf>
    <xf numFmtId="10" fontId="35" fillId="0" borderId="44" xfId="11" applyNumberFormat="1" applyFont="1" applyBorder="1" applyAlignment="1">
      <alignment horizontal="center"/>
    </xf>
    <xf numFmtId="0" fontId="0" fillId="0" borderId="0" xfId="0" applyAlignment="1">
      <alignment horizontal="center"/>
    </xf>
    <xf numFmtId="0" fontId="26" fillId="0" borderId="6" xfId="0" applyFont="1" applyBorder="1" applyAlignment="1">
      <alignment horizontal="center" vertical="center"/>
    </xf>
    <xf numFmtId="0" fontId="26" fillId="0" borderId="0" xfId="0" applyFont="1" applyAlignment="1">
      <alignment horizontal="center" vertical="center"/>
    </xf>
    <xf numFmtId="0" fontId="0" fillId="0" borderId="0" xfId="0" applyAlignment="1">
      <alignment horizontal="center" vertical="center"/>
    </xf>
    <xf numFmtId="10" fontId="27" fillId="0" borderId="0" xfId="0" applyNumberFormat="1" applyFont="1" applyAlignment="1">
      <alignment horizontal="center"/>
    </xf>
    <xf numFmtId="9" fontId="0" fillId="0" borderId="0" xfId="11" applyFont="1" applyFill="1" applyBorder="1"/>
    <xf numFmtId="0" fontId="26" fillId="0" borderId="0" xfId="0" applyFont="1"/>
    <xf numFmtId="1" fontId="0" fillId="0" borderId="0" xfId="0" applyNumberFormat="1" applyAlignment="1">
      <alignment horizontal="center"/>
    </xf>
    <xf numFmtId="0" fontId="31" fillId="0" borderId="44" xfId="0" applyFont="1" applyBorder="1"/>
    <xf numFmtId="2" fontId="27" fillId="0" borderId="44" xfId="0" applyNumberFormat="1" applyFont="1" applyBorder="1" applyAlignment="1">
      <alignment horizontal="center"/>
    </xf>
    <xf numFmtId="0" fontId="31" fillId="0" borderId="47" xfId="0" applyFont="1" applyBorder="1" applyAlignment="1">
      <alignment horizontal="center"/>
    </xf>
    <xf numFmtId="0" fontId="60" fillId="0" borderId="0" xfId="0" applyFont="1"/>
    <xf numFmtId="0" fontId="27" fillId="0" borderId="44" xfId="0" applyFont="1" applyBorder="1"/>
    <xf numFmtId="10" fontId="27" fillId="0" borderId="44" xfId="11" applyNumberFormat="1" applyFont="1" applyBorder="1"/>
    <xf numFmtId="0" fontId="0" fillId="0" borderId="44" xfId="0" applyBorder="1"/>
    <xf numFmtId="10" fontId="40" fillId="0" borderId="0" xfId="11" applyNumberFormat="1" applyFont="1"/>
    <xf numFmtId="0" fontId="52" fillId="0" borderId="44" xfId="0" applyFont="1" applyBorder="1"/>
    <xf numFmtId="2" fontId="52" fillId="0" borderId="44" xfId="0" applyNumberFormat="1" applyFont="1" applyBorder="1" applyAlignment="1">
      <alignment horizontal="center"/>
    </xf>
    <xf numFmtId="0" fontId="52" fillId="0" borderId="44" xfId="0" applyFont="1" applyBorder="1" applyAlignment="1">
      <alignment horizontal="center"/>
    </xf>
    <xf numFmtId="10" fontId="52" fillId="0" borderId="44" xfId="11" applyNumberFormat="1" applyFont="1" applyBorder="1" applyAlignment="1">
      <alignment horizontal="center"/>
    </xf>
    <xf numFmtId="10" fontId="52" fillId="0" borderId="0" xfId="0" applyNumberFormat="1" applyFont="1"/>
    <xf numFmtId="0" fontId="52" fillId="0" borderId="0" xfId="0" applyFont="1"/>
    <xf numFmtId="10" fontId="52" fillId="0" borderId="47" xfId="0" applyNumberFormat="1" applyFont="1" applyBorder="1" applyAlignment="1">
      <alignment horizontal="center"/>
    </xf>
    <xf numFmtId="10" fontId="52" fillId="0" borderId="44" xfId="0" applyNumberFormat="1" applyFont="1" applyBorder="1" applyAlignment="1">
      <alignment horizontal="center"/>
    </xf>
    <xf numFmtId="0" fontId="28" fillId="0" borderId="44" xfId="0" applyFont="1" applyBorder="1"/>
    <xf numFmtId="0" fontId="0" fillId="20" borderId="44" xfId="0" applyFill="1" applyBorder="1" applyAlignment="1">
      <alignment horizontal="center"/>
    </xf>
    <xf numFmtId="10" fontId="0" fillId="0" borderId="44" xfId="0" applyNumberFormat="1" applyBorder="1" applyAlignment="1">
      <alignment horizontal="center"/>
    </xf>
    <xf numFmtId="10" fontId="30" fillId="20" borderId="44" xfId="11" applyNumberFormat="1" applyFont="1" applyFill="1" applyBorder="1" applyAlignment="1">
      <alignment horizontal="center"/>
    </xf>
    <xf numFmtId="10" fontId="0" fillId="0" borderId="0" xfId="11" applyNumberFormat="1" applyFont="1"/>
    <xf numFmtId="10" fontId="0" fillId="0" borderId="0" xfId="0" applyNumberFormat="1" applyAlignment="1">
      <alignment horizontal="center"/>
    </xf>
    <xf numFmtId="10" fontId="0" fillId="0" borderId="44" xfId="11" applyNumberFormat="1" applyFont="1" applyBorder="1" applyAlignment="1">
      <alignment horizontal="center"/>
    </xf>
    <xf numFmtId="0" fontId="0" fillId="0" borderId="27" xfId="0" applyBorder="1" applyAlignment="1">
      <alignment horizontal="center"/>
    </xf>
    <xf numFmtId="10" fontId="0" fillId="0" borderId="27" xfId="0" applyNumberFormat="1" applyBorder="1" applyAlignment="1">
      <alignment horizontal="center"/>
    </xf>
    <xf numFmtId="0" fontId="27" fillId="7" borderId="44" xfId="0" applyFont="1" applyFill="1" applyBorder="1"/>
    <xf numFmtId="0" fontId="31" fillId="0" borderId="0" xfId="0" applyFont="1"/>
    <xf numFmtId="0" fontId="31" fillId="0" borderId="0" xfId="0" applyFont="1" applyAlignment="1">
      <alignment horizontal="center"/>
    </xf>
    <xf numFmtId="2" fontId="0" fillId="0" borderId="0" xfId="0" applyNumberFormat="1" applyAlignment="1">
      <alignment horizontal="center"/>
    </xf>
    <xf numFmtId="0" fontId="62" fillId="21" borderId="50" xfId="0" applyFont="1" applyFill="1" applyBorder="1"/>
    <xf numFmtId="2" fontId="0" fillId="0" borderId="0" xfId="0" applyNumberFormat="1"/>
    <xf numFmtId="0" fontId="62" fillId="21" borderId="51" xfId="0" applyFont="1" applyFill="1" applyBorder="1"/>
    <xf numFmtId="0" fontId="54" fillId="0" borderId="0" xfId="0" applyFont="1"/>
    <xf numFmtId="2" fontId="54" fillId="0" borderId="0" xfId="0" applyNumberFormat="1" applyFont="1"/>
    <xf numFmtId="0" fontId="62" fillId="21" borderId="42" xfId="0" applyFont="1" applyFill="1" applyBorder="1"/>
    <xf numFmtId="0" fontId="0" fillId="7" borderId="44" xfId="0" applyFill="1" applyBorder="1" applyAlignment="1">
      <alignment horizontal="center"/>
    </xf>
    <xf numFmtId="0" fontId="63" fillId="0" borderId="0" xfId="0" applyFont="1" applyAlignment="1">
      <alignment horizontal="left"/>
    </xf>
    <xf numFmtId="10" fontId="35" fillId="0" borderId="0" xfId="11" applyNumberFormat="1" applyFont="1" applyAlignment="1">
      <alignment horizontal="center"/>
    </xf>
    <xf numFmtId="10" fontId="0" fillId="7" borderId="44" xfId="0" applyNumberFormat="1" applyFill="1" applyBorder="1" applyAlignment="1">
      <alignment horizontal="center"/>
    </xf>
    <xf numFmtId="0" fontId="32" fillId="0" borderId="44" xfId="0" applyFont="1" applyBorder="1" applyAlignment="1">
      <alignment wrapText="1"/>
    </xf>
    <xf numFmtId="0" fontId="32" fillId="0" borderId="44" xfId="0" applyFont="1" applyBorder="1" applyAlignment="1">
      <alignment horizontal="center" wrapText="1"/>
    </xf>
    <xf numFmtId="2" fontId="32" fillId="0" borderId="44" xfId="0" applyNumberFormat="1" applyFont="1" applyBorder="1" applyAlignment="1">
      <alignment horizontal="center" wrapText="1"/>
    </xf>
    <xf numFmtId="10" fontId="32" fillId="0" borderId="44" xfId="11" applyNumberFormat="1" applyFont="1" applyBorder="1" applyAlignment="1">
      <alignment horizontal="center" wrapText="1"/>
    </xf>
    <xf numFmtId="0" fontId="32" fillId="0" borderId="49" xfId="0" applyFont="1" applyBorder="1" applyAlignment="1">
      <alignment horizontal="center" wrapText="1"/>
    </xf>
    <xf numFmtId="2" fontId="32" fillId="0" borderId="49" xfId="0" applyNumberFormat="1" applyFont="1" applyBorder="1" applyAlignment="1">
      <alignment horizontal="center" wrapText="1"/>
    </xf>
    <xf numFmtId="2" fontId="0" fillId="0" borderId="44" xfId="0" applyNumberFormat="1" applyBorder="1" applyAlignment="1">
      <alignment horizontal="center"/>
    </xf>
    <xf numFmtId="183" fontId="0" fillId="0" borderId="44" xfId="0" applyNumberFormat="1" applyBorder="1" applyAlignment="1">
      <alignment horizontal="center"/>
    </xf>
    <xf numFmtId="2" fontId="54" fillId="0" borderId="44" xfId="0" applyNumberFormat="1" applyFont="1" applyBorder="1" applyAlignment="1">
      <alignment horizontal="center"/>
    </xf>
    <xf numFmtId="0" fontId="40" fillId="6" borderId="32" xfId="0" applyFont="1" applyFill="1" applyBorder="1"/>
    <xf numFmtId="0" fontId="40" fillId="6" borderId="2" xfId="0" applyFont="1" applyFill="1" applyBorder="1"/>
    <xf numFmtId="0" fontId="40" fillId="6" borderId="15" xfId="0" applyFont="1" applyFill="1" applyBorder="1"/>
    <xf numFmtId="0" fontId="40" fillId="6" borderId="0" xfId="0" applyFont="1" applyFill="1" applyAlignment="1">
      <alignment horizontal="center" vertical="center"/>
    </xf>
    <xf numFmtId="0" fontId="40" fillId="6" borderId="18" xfId="0" applyFont="1" applyFill="1" applyBorder="1" applyAlignment="1">
      <alignment horizontal="center" vertical="center"/>
    </xf>
    <xf numFmtId="2" fontId="54" fillId="6" borderId="38" xfId="0" applyNumberFormat="1" applyFont="1" applyFill="1" applyBorder="1" applyAlignment="1">
      <alignment horizontal="center" vertical="center"/>
    </xf>
    <xf numFmtId="0" fontId="37" fillId="6" borderId="18" xfId="0" applyFont="1" applyFill="1" applyBorder="1" applyAlignment="1">
      <alignment horizontal="center" vertical="center"/>
    </xf>
    <xf numFmtId="2" fontId="40" fillId="6" borderId="38" xfId="0" applyNumberFormat="1" applyFont="1" applyFill="1" applyBorder="1" applyAlignment="1">
      <alignment horizontal="center" vertical="center"/>
    </xf>
    <xf numFmtId="0" fontId="64" fillId="6" borderId="14" xfId="0" applyFont="1" applyFill="1" applyBorder="1" applyAlignment="1">
      <alignment horizontal="center" vertical="center"/>
    </xf>
    <xf numFmtId="2" fontId="64" fillId="6" borderId="15" xfId="0" applyNumberFormat="1" applyFont="1" applyFill="1" applyBorder="1" applyAlignment="1">
      <alignment horizontal="center" vertical="center"/>
    </xf>
    <xf numFmtId="0" fontId="64" fillId="6" borderId="6" xfId="0" applyFont="1" applyFill="1" applyBorder="1" applyAlignment="1">
      <alignment horizontal="center" vertical="center"/>
    </xf>
    <xf numFmtId="0" fontId="64" fillId="6" borderId="18" xfId="0" applyFont="1" applyFill="1" applyBorder="1" applyAlignment="1">
      <alignment horizontal="center" vertical="center"/>
    </xf>
    <xf numFmtId="2" fontId="64" fillId="6" borderId="18" xfId="0" applyNumberFormat="1" applyFont="1" applyFill="1" applyBorder="1" applyAlignment="1">
      <alignment horizontal="center" vertical="center"/>
    </xf>
    <xf numFmtId="0" fontId="52" fillId="6" borderId="18" xfId="0" applyFont="1" applyFill="1" applyBorder="1" applyAlignment="1">
      <alignment horizontal="center" vertical="center"/>
    </xf>
    <xf numFmtId="165" fontId="40" fillId="6" borderId="18" xfId="6" applyFont="1" applyFill="1" applyBorder="1" applyAlignment="1">
      <alignment horizontal="center" vertical="center"/>
    </xf>
    <xf numFmtId="10" fontId="64" fillId="6" borderId="18" xfId="11" applyNumberFormat="1" applyFont="1" applyFill="1" applyBorder="1" applyAlignment="1">
      <alignment horizontal="center" vertical="center"/>
    </xf>
    <xf numFmtId="0" fontId="0" fillId="6" borderId="7" xfId="0" applyFill="1" applyBorder="1" applyAlignment="1">
      <alignment horizontal="center" vertical="center"/>
    </xf>
    <xf numFmtId="0" fontId="64" fillId="6" borderId="9" xfId="0" applyFont="1" applyFill="1" applyBorder="1" applyAlignment="1">
      <alignment horizontal="center" vertical="center"/>
    </xf>
    <xf numFmtId="10" fontId="64" fillId="6" borderId="21" xfId="0" applyNumberFormat="1" applyFont="1" applyFill="1" applyBorder="1" applyAlignment="1">
      <alignment horizontal="center" vertical="center"/>
    </xf>
    <xf numFmtId="0" fontId="64" fillId="6" borderId="0" xfId="0" applyFont="1" applyFill="1" applyAlignment="1">
      <alignment horizontal="center" vertical="center"/>
    </xf>
    <xf numFmtId="0" fontId="0" fillId="6" borderId="0" xfId="0" applyFill="1" applyAlignment="1">
      <alignment horizontal="center" vertical="center"/>
    </xf>
    <xf numFmtId="0" fontId="0" fillId="6" borderId="29" xfId="0" applyFill="1" applyBorder="1" applyAlignment="1">
      <alignment horizontal="center" vertical="center"/>
    </xf>
    <xf numFmtId="0" fontId="0" fillId="6" borderId="20" xfId="0" applyFill="1" applyBorder="1" applyAlignment="1">
      <alignment horizontal="center" vertical="center"/>
    </xf>
    <xf numFmtId="0" fontId="64" fillId="6" borderId="21" xfId="0" applyFont="1" applyFill="1" applyBorder="1" applyAlignment="1">
      <alignment horizontal="center" vertical="center"/>
    </xf>
    <xf numFmtId="0" fontId="40" fillId="6" borderId="2" xfId="0" applyFont="1" applyFill="1" applyBorder="1" applyAlignment="1">
      <alignment horizontal="center" vertical="center"/>
    </xf>
    <xf numFmtId="0" fontId="40" fillId="6" borderId="7" xfId="0" applyFont="1" applyFill="1" applyBorder="1"/>
    <xf numFmtId="0" fontId="35" fillId="6" borderId="65" xfId="0" applyFont="1" applyFill="1" applyBorder="1" applyAlignment="1">
      <alignment horizontal="center" vertical="center"/>
    </xf>
    <xf numFmtId="0" fontId="35" fillId="6" borderId="66" xfId="0" applyFont="1" applyFill="1" applyBorder="1" applyAlignment="1">
      <alignment horizontal="center" vertical="center"/>
    </xf>
    <xf numFmtId="0" fontId="35" fillId="6" borderId="67" xfId="0" applyFont="1" applyFill="1" applyBorder="1" applyAlignment="1">
      <alignment horizontal="center" vertical="center"/>
    </xf>
    <xf numFmtId="0" fontId="40" fillId="6" borderId="18" xfId="0" applyFont="1" applyFill="1" applyBorder="1"/>
    <xf numFmtId="0" fontId="35" fillId="6" borderId="68" xfId="0" applyFont="1" applyFill="1" applyBorder="1" applyAlignment="1">
      <alignment horizontal="center" vertical="center"/>
    </xf>
    <xf numFmtId="0" fontId="35" fillId="6" borderId="69" xfId="0" applyFont="1" applyFill="1" applyBorder="1" applyAlignment="1">
      <alignment horizontal="center" vertical="center"/>
    </xf>
    <xf numFmtId="0" fontId="35" fillId="6" borderId="70" xfId="0" applyFont="1" applyFill="1" applyBorder="1" applyAlignment="1">
      <alignment horizontal="center" vertical="center"/>
    </xf>
    <xf numFmtId="0" fontId="35" fillId="6" borderId="71" xfId="0" applyFont="1" applyFill="1" applyBorder="1" applyAlignment="1">
      <alignment horizontal="center" vertical="center"/>
    </xf>
    <xf numFmtId="0" fontId="35" fillId="6" borderId="72" xfId="0" applyFont="1" applyFill="1" applyBorder="1" applyAlignment="1">
      <alignment horizontal="center" vertical="center"/>
    </xf>
    <xf numFmtId="0" fontId="54" fillId="6" borderId="0" xfId="0" applyFont="1" applyFill="1" applyAlignment="1">
      <alignment horizontal="center" vertical="center"/>
    </xf>
    <xf numFmtId="181" fontId="35" fillId="6" borderId="33" xfId="0" applyNumberFormat="1" applyFont="1" applyFill="1" applyBorder="1" applyAlignment="1">
      <alignment horizontal="center" vertical="center"/>
    </xf>
    <xf numFmtId="2" fontId="35" fillId="6" borderId="33" xfId="0" applyNumberFormat="1" applyFont="1" applyFill="1" applyBorder="1" applyAlignment="1">
      <alignment horizontal="center" vertical="center"/>
    </xf>
    <xf numFmtId="10" fontId="35" fillId="6" borderId="33" xfId="0" applyNumberFormat="1" applyFont="1" applyFill="1" applyBorder="1" applyAlignment="1">
      <alignment horizontal="center" vertical="center"/>
    </xf>
    <xf numFmtId="0" fontId="35" fillId="6" borderId="77" xfId="0" applyFont="1" applyFill="1" applyBorder="1" applyAlignment="1">
      <alignment horizontal="center" vertical="center"/>
    </xf>
    <xf numFmtId="10" fontId="35" fillId="6" borderId="78" xfId="0" applyNumberFormat="1" applyFont="1" applyFill="1" applyBorder="1" applyAlignment="1">
      <alignment horizontal="center" vertical="center"/>
    </xf>
    <xf numFmtId="9" fontId="35" fillId="6" borderId="78" xfId="0" applyNumberFormat="1" applyFont="1" applyFill="1" applyBorder="1" applyAlignment="1">
      <alignment horizontal="center" vertical="center"/>
    </xf>
    <xf numFmtId="185" fontId="35" fillId="6" borderId="80" xfId="0" applyNumberFormat="1" applyFont="1" applyFill="1" applyBorder="1" applyAlignment="1">
      <alignment horizontal="center" vertical="center"/>
    </xf>
    <xf numFmtId="185" fontId="35" fillId="6" borderId="0" xfId="0" applyNumberFormat="1" applyFont="1" applyFill="1" applyAlignment="1">
      <alignment horizontal="center" vertical="center"/>
    </xf>
    <xf numFmtId="186" fontId="35" fillId="6" borderId="0" xfId="0" applyNumberFormat="1" applyFont="1" applyFill="1" applyAlignment="1">
      <alignment horizontal="center" vertical="center"/>
    </xf>
    <xf numFmtId="0" fontId="35" fillId="6" borderId="81" xfId="0" applyFont="1" applyFill="1" applyBorder="1" applyAlignment="1">
      <alignment horizontal="center" vertical="center"/>
    </xf>
    <xf numFmtId="2" fontId="35" fillId="6" borderId="82" xfId="0" applyNumberFormat="1" applyFont="1" applyFill="1" applyBorder="1" applyAlignment="1">
      <alignment horizontal="center" vertical="center"/>
    </xf>
    <xf numFmtId="0" fontId="35" fillId="6" borderId="82" xfId="0" applyFont="1" applyFill="1" applyBorder="1" applyAlignment="1">
      <alignment horizontal="center" vertical="center"/>
    </xf>
    <xf numFmtId="0" fontId="40" fillId="6" borderId="6" xfId="0" applyFont="1" applyFill="1" applyBorder="1" applyAlignment="1">
      <alignment horizontal="center" vertical="center"/>
    </xf>
    <xf numFmtId="2" fontId="40" fillId="6" borderId="6" xfId="0" applyNumberFormat="1" applyFont="1" applyFill="1" applyBorder="1" applyAlignment="1">
      <alignment horizontal="center" vertical="center"/>
    </xf>
    <xf numFmtId="10" fontId="40" fillId="6" borderId="9" xfId="0" applyNumberFormat="1" applyFont="1" applyFill="1" applyBorder="1" applyAlignment="1">
      <alignment horizontal="center" vertical="center"/>
    </xf>
    <xf numFmtId="10" fontId="40" fillId="6" borderId="21" xfId="0" applyNumberFormat="1" applyFont="1" applyFill="1" applyBorder="1" applyAlignment="1">
      <alignment horizontal="center" vertical="center"/>
    </xf>
    <xf numFmtId="0" fontId="40" fillId="6" borderId="9" xfId="0" applyFont="1" applyFill="1" applyBorder="1" applyAlignment="1">
      <alignment horizontal="center" vertical="center"/>
    </xf>
    <xf numFmtId="10" fontId="35" fillId="6" borderId="0" xfId="0" applyNumberFormat="1" applyFont="1" applyFill="1"/>
    <xf numFmtId="0" fontId="54" fillId="6" borderId="0" xfId="0" applyFont="1" applyFill="1"/>
    <xf numFmtId="0" fontId="40" fillId="6" borderId="29" xfId="0" applyFont="1" applyFill="1" applyBorder="1"/>
    <xf numFmtId="0" fontId="40" fillId="6" borderId="20" xfId="0" applyFont="1" applyFill="1" applyBorder="1"/>
    <xf numFmtId="0" fontId="40" fillId="6" borderId="21" xfId="0" applyFont="1" applyFill="1" applyBorder="1"/>
    <xf numFmtId="2" fontId="35" fillId="0" borderId="0" xfId="0" applyNumberFormat="1" applyFont="1"/>
    <xf numFmtId="0" fontId="35" fillId="0" borderId="0" xfId="0" applyFont="1" applyAlignment="1">
      <alignment vertical="center"/>
    </xf>
    <xf numFmtId="0" fontId="54" fillId="0" borderId="0" xfId="0" applyFont="1" applyAlignment="1">
      <alignment horizontal="center"/>
    </xf>
    <xf numFmtId="10" fontId="35" fillId="0" borderId="0" xfId="0" applyNumberFormat="1" applyFont="1"/>
    <xf numFmtId="187" fontId="35" fillId="0" borderId="0" xfId="0" applyNumberFormat="1" applyFont="1"/>
    <xf numFmtId="44" fontId="40" fillId="6" borderId="14" xfId="0" applyNumberFormat="1" applyFont="1" applyFill="1" applyBorder="1" applyAlignment="1">
      <alignment horizontal="center" vertical="center"/>
    </xf>
    <xf numFmtId="44" fontId="40" fillId="6" borderId="6" xfId="0" applyNumberFormat="1" applyFont="1" applyFill="1" applyBorder="1" applyAlignment="1">
      <alignment horizontal="center" vertical="center"/>
    </xf>
    <xf numFmtId="165" fontId="65" fillId="6" borderId="0" xfId="6" applyFont="1" applyFill="1" applyBorder="1"/>
    <xf numFmtId="165" fontId="65" fillId="6" borderId="32" xfId="6" applyFont="1" applyFill="1" applyBorder="1" applyAlignment="1">
      <alignment horizontal="center" vertical="center"/>
    </xf>
    <xf numFmtId="165" fontId="66" fillId="6" borderId="2" xfId="6" applyFont="1" applyFill="1" applyBorder="1" applyAlignment="1">
      <alignment horizontal="center" vertical="center"/>
    </xf>
    <xf numFmtId="10" fontId="49" fillId="6" borderId="14" xfId="11" applyNumberFormat="1" applyFont="1" applyFill="1" applyBorder="1" applyAlignment="1">
      <alignment horizontal="center" vertical="center"/>
    </xf>
    <xf numFmtId="165" fontId="65" fillId="6" borderId="0" xfId="6" applyFont="1" applyFill="1" applyBorder="1" applyAlignment="1"/>
    <xf numFmtId="165" fontId="65" fillId="6" borderId="7" xfId="6" applyFont="1" applyFill="1" applyBorder="1" applyAlignment="1">
      <alignment horizontal="center" vertical="center"/>
    </xf>
    <xf numFmtId="165" fontId="49" fillId="6" borderId="0" xfId="6" applyFont="1" applyFill="1" applyBorder="1" applyAlignment="1">
      <alignment horizontal="center" vertical="center"/>
    </xf>
    <xf numFmtId="10" fontId="49" fillId="6" borderId="6" xfId="11" applyNumberFormat="1" applyFont="1" applyFill="1" applyBorder="1" applyAlignment="1">
      <alignment horizontal="center" vertical="center"/>
    </xf>
    <xf numFmtId="165" fontId="66" fillId="6" borderId="0" xfId="6" applyFont="1" applyFill="1" applyBorder="1" applyAlignment="1">
      <alignment horizontal="center" vertical="center"/>
    </xf>
    <xf numFmtId="0" fontId="49" fillId="6" borderId="6" xfId="6" applyNumberFormat="1" applyFont="1" applyFill="1" applyBorder="1" applyAlignment="1">
      <alignment horizontal="center" vertical="center"/>
    </xf>
    <xf numFmtId="165" fontId="65" fillId="6" borderId="29" xfId="6" applyFont="1" applyFill="1" applyBorder="1" applyAlignment="1">
      <alignment horizontal="center" vertical="center"/>
    </xf>
    <xf numFmtId="165" fontId="65" fillId="6" borderId="20" xfId="6" applyFont="1" applyFill="1" applyBorder="1" applyAlignment="1">
      <alignment horizontal="center" vertical="center"/>
    </xf>
    <xf numFmtId="165" fontId="49" fillId="6" borderId="9" xfId="6" applyFont="1" applyFill="1" applyBorder="1" applyAlignment="1">
      <alignment horizontal="center" vertical="center"/>
    </xf>
    <xf numFmtId="165" fontId="65" fillId="6" borderId="0" xfId="6" applyFont="1" applyFill="1" applyBorder="1" applyAlignment="1">
      <alignment horizontal="center" vertical="center"/>
    </xf>
    <xf numFmtId="44" fontId="39" fillId="11" borderId="7" xfId="0" applyNumberFormat="1" applyFont="1" applyFill="1" applyBorder="1" applyAlignment="1">
      <alignment horizontal="center" vertical="center"/>
    </xf>
    <xf numFmtId="179" fontId="64" fillId="6" borderId="18" xfId="0" applyNumberFormat="1" applyFont="1" applyFill="1" applyBorder="1" applyAlignment="1">
      <alignment horizontal="center" vertical="center"/>
    </xf>
    <xf numFmtId="0" fontId="3" fillId="0" borderId="0" xfId="0" applyFont="1" applyAlignment="1">
      <alignment horizontal="center" vertical="center"/>
    </xf>
    <xf numFmtId="0" fontId="33" fillId="0" borderId="0" xfId="0" applyFont="1" applyAlignment="1">
      <alignment horizontal="center" vertical="center"/>
    </xf>
    <xf numFmtId="0" fontId="34" fillId="0" borderId="0" xfId="0" applyFont="1" applyAlignment="1">
      <alignment horizontal="center" vertical="center"/>
    </xf>
    <xf numFmtId="0" fontId="3" fillId="0" borderId="0" xfId="0" applyFont="1" applyAlignment="1">
      <alignment vertical="center"/>
    </xf>
    <xf numFmtId="0" fontId="33" fillId="0" borderId="0" xfId="0" applyFont="1" applyAlignment="1">
      <alignment horizontal="center"/>
    </xf>
    <xf numFmtId="0" fontId="3" fillId="0" borderId="0" xfId="0" applyFont="1" applyAlignment="1">
      <alignment horizontal="center"/>
    </xf>
    <xf numFmtId="179" fontId="3" fillId="0" borderId="0" xfId="0" applyNumberFormat="1" applyFont="1" applyAlignment="1">
      <alignment horizontal="center"/>
    </xf>
    <xf numFmtId="10" fontId="3" fillId="0" borderId="0" xfId="0" applyNumberFormat="1" applyFont="1" applyAlignment="1">
      <alignment horizontal="center"/>
    </xf>
    <xf numFmtId="2" fontId="3" fillId="0" borderId="0" xfId="0" applyNumberFormat="1" applyFont="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60" fillId="0" borderId="42" xfId="0" applyFont="1" applyBorder="1" applyAlignment="1">
      <alignment horizontal="center" vertical="center"/>
    </xf>
    <xf numFmtId="2" fontId="40" fillId="0" borderId="17" xfId="0" applyNumberFormat="1" applyFont="1" applyBorder="1" applyAlignment="1">
      <alignment horizontal="center" vertical="center"/>
    </xf>
    <xf numFmtId="0" fontId="60" fillId="0" borderId="51" xfId="0" applyFont="1" applyBorder="1" applyAlignment="1">
      <alignment horizontal="center" vertical="center"/>
    </xf>
    <xf numFmtId="44" fontId="58" fillId="11" borderId="9" xfId="0" applyNumberFormat="1" applyFont="1" applyFill="1" applyBorder="1" applyAlignment="1">
      <alignment vertical="center"/>
    </xf>
    <xf numFmtId="44" fontId="40" fillId="0" borderId="0" xfId="0" applyNumberFormat="1" applyFont="1" applyAlignment="1">
      <alignment horizontal="center" vertical="center"/>
    </xf>
    <xf numFmtId="9" fontId="0" fillId="0" borderId="0" xfId="0" applyNumberFormat="1"/>
    <xf numFmtId="166" fontId="0" fillId="0" borderId="0" xfId="0" applyNumberFormat="1"/>
    <xf numFmtId="0" fontId="40" fillId="0" borderId="9" xfId="0" applyFont="1" applyBorder="1" applyAlignment="1">
      <alignment horizontal="center" vertical="center"/>
    </xf>
    <xf numFmtId="0" fontId="73" fillId="0" borderId="4" xfId="0" applyFont="1" applyBorder="1" applyAlignment="1">
      <alignment horizontal="center" vertical="center"/>
    </xf>
    <xf numFmtId="0" fontId="73" fillId="0" borderId="5" xfId="0" applyFont="1" applyBorder="1" applyAlignment="1">
      <alignment horizontal="center" vertical="center"/>
    </xf>
    <xf numFmtId="166" fontId="73" fillId="0" borderId="0" xfId="0" applyNumberFormat="1" applyFont="1" applyAlignment="1">
      <alignment horizontal="center" vertical="center" wrapText="1"/>
    </xf>
    <xf numFmtId="166" fontId="73" fillId="0" borderId="18" xfId="0" applyNumberFormat="1" applyFont="1" applyBorder="1" applyAlignment="1">
      <alignment horizontal="center" vertical="center" wrapText="1"/>
    </xf>
    <xf numFmtId="0" fontId="74" fillId="0" borderId="0" xfId="0" applyFont="1" applyAlignment="1">
      <alignment horizontal="center" vertical="center"/>
    </xf>
    <xf numFmtId="166" fontId="72" fillId="0" borderId="20" xfId="0" applyNumberFormat="1" applyFont="1" applyBorder="1" applyAlignment="1">
      <alignment horizontal="center" vertical="center" wrapText="1"/>
    </xf>
    <xf numFmtId="166" fontId="72" fillId="0" borderId="21" xfId="0" applyNumberFormat="1" applyFont="1" applyBorder="1" applyAlignment="1">
      <alignment horizontal="center" vertical="center" wrapText="1"/>
    </xf>
    <xf numFmtId="166" fontId="73" fillId="0" borderId="15" xfId="0" applyNumberFormat="1" applyFont="1" applyBorder="1" applyAlignment="1">
      <alignment horizontal="center" vertical="center" wrapText="1"/>
    </xf>
    <xf numFmtId="0" fontId="73" fillId="0" borderId="0" xfId="0" applyFont="1" applyAlignment="1">
      <alignment horizontal="center" vertical="center"/>
    </xf>
    <xf numFmtId="9" fontId="40" fillId="0" borderId="18" xfId="11" applyFont="1" applyBorder="1" applyAlignment="1">
      <alignment horizontal="center" vertical="center"/>
    </xf>
    <xf numFmtId="9" fontId="40" fillId="0" borderId="21" xfId="0" applyNumberFormat="1" applyFont="1" applyBorder="1" applyAlignment="1">
      <alignment horizontal="center" vertical="center"/>
    </xf>
    <xf numFmtId="0" fontId="72" fillId="0" borderId="10" xfId="0" applyFont="1" applyBorder="1" applyAlignment="1">
      <alignment horizontal="center" vertical="center"/>
    </xf>
    <xf numFmtId="0" fontId="73" fillId="0" borderId="6" xfId="0" applyFont="1" applyBorder="1" applyAlignment="1">
      <alignment horizontal="center" vertical="center"/>
    </xf>
    <xf numFmtId="0" fontId="72" fillId="0" borderId="9" xfId="0" applyFont="1" applyBorder="1" applyAlignment="1">
      <alignment horizontal="center" vertical="center"/>
    </xf>
    <xf numFmtId="0" fontId="73" fillId="0" borderId="32" xfId="0" applyFont="1" applyBorder="1" applyAlignment="1">
      <alignment horizontal="center" vertical="center"/>
    </xf>
    <xf numFmtId="0" fontId="73" fillId="0" borderId="15" xfId="0" applyFont="1" applyBorder="1" applyAlignment="1">
      <alignment horizontal="center" vertical="center"/>
    </xf>
    <xf numFmtId="2" fontId="0" fillId="0" borderId="2" xfId="0" applyNumberFormat="1" applyBorder="1" applyAlignment="1">
      <alignment horizontal="center" vertical="center"/>
    </xf>
    <xf numFmtId="0" fontId="25" fillId="0" borderId="2" xfId="0" applyFont="1" applyBorder="1" applyAlignment="1">
      <alignment horizontal="center" vertical="center"/>
    </xf>
    <xf numFmtId="0" fontId="0" fillId="0" borderId="2" xfId="0" applyBorder="1" applyAlignment="1">
      <alignment horizontal="center" vertical="center"/>
    </xf>
    <xf numFmtId="10" fontId="0" fillId="0" borderId="2" xfId="11" applyNumberFormat="1" applyFont="1" applyBorder="1" applyAlignment="1">
      <alignment horizontal="center" vertical="center"/>
    </xf>
    <xf numFmtId="10" fontId="0" fillId="0" borderId="15" xfId="0" applyNumberFormat="1" applyBorder="1" applyAlignment="1">
      <alignment horizontal="center" vertical="center"/>
    </xf>
    <xf numFmtId="0" fontId="0" fillId="0" borderId="20" xfId="0" applyBorder="1" applyAlignment="1">
      <alignment horizontal="center" vertical="center"/>
    </xf>
    <xf numFmtId="10" fontId="0" fillId="0" borderId="20" xfId="11" applyNumberFormat="1" applyFont="1" applyBorder="1" applyAlignment="1">
      <alignment horizontal="center" vertical="center"/>
    </xf>
    <xf numFmtId="10" fontId="0" fillId="0" borderId="21" xfId="0" applyNumberFormat="1" applyBorder="1" applyAlignment="1">
      <alignment horizontal="center" vertical="center"/>
    </xf>
    <xf numFmtId="0" fontId="25" fillId="0" borderId="9" xfId="0" applyFont="1" applyBorder="1" applyAlignment="1">
      <alignment horizontal="center" vertical="center"/>
    </xf>
    <xf numFmtId="10" fontId="0" fillId="0" borderId="20" xfId="0" applyNumberFormat="1" applyBorder="1" applyAlignment="1">
      <alignment horizontal="center" vertical="center"/>
    </xf>
    <xf numFmtId="10" fontId="0" fillId="0" borderId="2" xfId="0" applyNumberFormat="1" applyBorder="1" applyAlignment="1">
      <alignment horizontal="center" vertical="center"/>
    </xf>
    <xf numFmtId="2" fontId="0" fillId="0" borderId="0" xfId="0" applyNumberFormat="1" applyAlignment="1">
      <alignment horizontal="center" vertical="center"/>
    </xf>
    <xf numFmtId="10" fontId="0" fillId="0" borderId="0" xfId="0" applyNumberFormat="1" applyAlignment="1">
      <alignment horizontal="center" vertical="center"/>
    </xf>
    <xf numFmtId="10" fontId="0" fillId="0" borderId="0" xfId="11" applyNumberFormat="1" applyFont="1" applyBorder="1" applyAlignment="1">
      <alignment horizontal="center" vertical="center"/>
    </xf>
    <xf numFmtId="10" fontId="0" fillId="0" borderId="18" xfId="0" applyNumberFormat="1" applyBorder="1" applyAlignment="1">
      <alignment horizontal="center" vertical="center"/>
    </xf>
    <xf numFmtId="0" fontId="0" fillId="0" borderId="6" xfId="0" applyBorder="1" applyAlignment="1">
      <alignment horizontal="center" vertical="center"/>
    </xf>
    <xf numFmtId="2" fontId="27" fillId="0" borderId="57" xfId="0" applyNumberFormat="1" applyFont="1" applyBorder="1" applyAlignment="1">
      <alignment horizontal="center" vertical="center"/>
    </xf>
    <xf numFmtId="2" fontId="27" fillId="0" borderId="44" xfId="0" applyNumberFormat="1" applyFont="1" applyBorder="1" applyAlignment="1">
      <alignment horizontal="center" vertical="center"/>
    </xf>
    <xf numFmtId="10" fontId="27" fillId="0" borderId="0" xfId="11" applyNumberFormat="1" applyFont="1" applyFill="1" applyBorder="1" applyAlignment="1">
      <alignment horizontal="center" vertical="center"/>
    </xf>
    <xf numFmtId="0" fontId="25" fillId="0" borderId="15" xfId="0" applyFont="1" applyBorder="1" applyAlignment="1">
      <alignment horizontal="center" vertical="center"/>
    </xf>
    <xf numFmtId="2" fontId="0" fillId="0" borderId="18" xfId="0" applyNumberFormat="1" applyBorder="1" applyAlignment="1">
      <alignment horizontal="center" vertical="center"/>
    </xf>
    <xf numFmtId="0" fontId="27" fillId="0" borderId="9" xfId="0" applyFont="1" applyBorder="1" applyAlignment="1">
      <alignment horizontal="center" vertical="center"/>
    </xf>
    <xf numFmtId="2" fontId="0" fillId="0" borderId="20" xfId="0" applyNumberFormat="1" applyBorder="1" applyAlignment="1">
      <alignment horizontal="center" vertical="center"/>
    </xf>
    <xf numFmtId="9" fontId="0" fillId="0" borderId="21" xfId="11" applyFont="1" applyFill="1" applyBorder="1" applyAlignment="1">
      <alignment horizontal="center" vertical="center"/>
    </xf>
    <xf numFmtId="0" fontId="31" fillId="0" borderId="50" xfId="0" applyFont="1" applyBorder="1" applyAlignment="1">
      <alignment horizontal="center" vertical="center"/>
    </xf>
    <xf numFmtId="0" fontId="31" fillId="0" borderId="55" xfId="0" applyFont="1" applyBorder="1" applyAlignment="1">
      <alignment horizontal="center" vertical="center"/>
    </xf>
    <xf numFmtId="0" fontId="31" fillId="0" borderId="2" xfId="0" applyFont="1" applyBorder="1" applyAlignment="1">
      <alignment horizontal="center" vertical="center"/>
    </xf>
    <xf numFmtId="0" fontId="0" fillId="0" borderId="15" xfId="0" applyBorder="1" applyAlignment="1">
      <alignment horizontal="center" vertical="center"/>
    </xf>
    <xf numFmtId="0" fontId="27" fillId="0" borderId="46" xfId="0" applyFont="1" applyBorder="1" applyAlignment="1">
      <alignment horizontal="center" vertical="center"/>
    </xf>
    <xf numFmtId="10" fontId="27" fillId="0" borderId="47" xfId="11" applyNumberFormat="1" applyFont="1" applyFill="1" applyBorder="1" applyAlignment="1">
      <alignment horizontal="center" vertical="center"/>
    </xf>
    <xf numFmtId="0" fontId="0" fillId="0" borderId="29" xfId="0" applyBorder="1" applyAlignment="1">
      <alignment horizontal="center" vertical="center"/>
    </xf>
    <xf numFmtId="0" fontId="39" fillId="11" borderId="75" xfId="0" applyFont="1" applyFill="1" applyBorder="1" applyAlignment="1">
      <alignment horizontal="center" vertical="center"/>
    </xf>
    <xf numFmtId="181" fontId="39" fillId="11" borderId="76" xfId="11" applyNumberFormat="1" applyFont="1" applyFill="1" applyBorder="1" applyAlignment="1">
      <alignment horizontal="center" vertical="center"/>
    </xf>
    <xf numFmtId="10" fontId="39" fillId="11" borderId="52" xfId="0" applyNumberFormat="1" applyFont="1" applyFill="1" applyBorder="1" applyAlignment="1">
      <alignment horizontal="center" vertical="center"/>
    </xf>
    <xf numFmtId="10" fontId="39" fillId="11" borderId="76" xfId="0" applyNumberFormat="1" applyFont="1" applyFill="1" applyBorder="1" applyAlignment="1">
      <alignment horizontal="center" vertical="center"/>
    </xf>
    <xf numFmtId="9" fontId="39" fillId="11" borderId="29" xfId="0" applyNumberFormat="1" applyFont="1" applyFill="1" applyBorder="1" applyAlignment="1">
      <alignment horizontal="center" vertical="center"/>
    </xf>
    <xf numFmtId="0" fontId="39" fillId="25" borderId="83" xfId="0" applyFont="1" applyFill="1" applyBorder="1" applyAlignment="1">
      <alignment horizontal="center" vertical="center"/>
    </xf>
    <xf numFmtId="2" fontId="39" fillId="25" borderId="84" xfId="0" applyNumberFormat="1" applyFont="1" applyFill="1" applyBorder="1" applyAlignment="1">
      <alignment horizontal="center" vertical="center"/>
    </xf>
    <xf numFmtId="44" fontId="40" fillId="6" borderId="18" xfId="0" applyNumberFormat="1" applyFont="1" applyFill="1" applyBorder="1" applyAlignment="1">
      <alignment horizontal="center" vertical="center"/>
    </xf>
    <xf numFmtId="0" fontId="3" fillId="0" borderId="7" xfId="0" applyFont="1" applyBorder="1"/>
    <xf numFmtId="0" fontId="39" fillId="11" borderId="38" xfId="0" applyFont="1" applyFill="1" applyBorder="1" applyAlignment="1">
      <alignment horizontal="center" vertical="center"/>
    </xf>
    <xf numFmtId="0" fontId="39" fillId="11" borderId="40" xfId="0" applyFont="1" applyFill="1" applyBorder="1" applyAlignment="1">
      <alignment horizontal="center" vertical="center"/>
    </xf>
    <xf numFmtId="10" fontId="39" fillId="11" borderId="38" xfId="0" applyNumberFormat="1" applyFont="1" applyFill="1" applyBorder="1" applyAlignment="1">
      <alignment horizontal="center" vertical="center"/>
    </xf>
    <xf numFmtId="0" fontId="3" fillId="0" borderId="18" xfId="0" applyFont="1" applyBorder="1"/>
    <xf numFmtId="0" fontId="77" fillId="11" borderId="73" xfId="0" applyFont="1" applyFill="1" applyBorder="1" applyAlignment="1">
      <alignment horizontal="center" vertical="center"/>
    </xf>
    <xf numFmtId="10" fontId="78" fillId="11" borderId="74" xfId="11" applyNumberFormat="1" applyFont="1" applyFill="1" applyBorder="1" applyAlignment="1">
      <alignment horizontal="center" vertical="center"/>
    </xf>
    <xf numFmtId="2" fontId="63" fillId="11" borderId="52" xfId="6" applyNumberFormat="1" applyFont="1" applyFill="1" applyBorder="1" applyAlignment="1">
      <alignment horizontal="center" vertical="center"/>
    </xf>
    <xf numFmtId="0" fontId="37" fillId="11" borderId="29" xfId="0" applyFont="1" applyFill="1" applyBorder="1" applyAlignment="1">
      <alignment horizontal="center" vertical="center"/>
    </xf>
    <xf numFmtId="0" fontId="75" fillId="11" borderId="10" xfId="0" applyFont="1" applyFill="1" applyBorder="1" applyAlignment="1">
      <alignment horizontal="center" vertical="center"/>
    </xf>
    <xf numFmtId="166" fontId="75" fillId="11" borderId="4" xfId="0" applyNumberFormat="1" applyFont="1" applyFill="1" applyBorder="1" applyAlignment="1">
      <alignment horizontal="center" vertical="center"/>
    </xf>
    <xf numFmtId="9" fontId="75" fillId="11" borderId="4" xfId="0" applyNumberFormat="1" applyFont="1" applyFill="1" applyBorder="1" applyAlignment="1">
      <alignment horizontal="center" vertical="center"/>
    </xf>
    <xf numFmtId="0" fontId="75" fillId="11" borderId="4" xfId="0" applyFont="1" applyFill="1" applyBorder="1" applyAlignment="1">
      <alignment horizontal="center" vertical="center"/>
    </xf>
    <xf numFmtId="10" fontId="76" fillId="11" borderId="5" xfId="0" applyNumberFormat="1" applyFont="1" applyFill="1" applyBorder="1" applyAlignment="1">
      <alignment horizontal="center" vertical="center"/>
    </xf>
    <xf numFmtId="0" fontId="71" fillId="10" borderId="14" xfId="0" applyFont="1" applyFill="1" applyBorder="1" applyAlignment="1">
      <alignment horizontal="center" vertical="center"/>
    </xf>
    <xf numFmtId="0" fontId="71" fillId="10" borderId="3" xfId="0" applyFont="1" applyFill="1" applyBorder="1" applyAlignment="1">
      <alignment horizontal="center" vertical="center"/>
    </xf>
    <xf numFmtId="0" fontId="71" fillId="10" borderId="4" xfId="0" applyFont="1" applyFill="1" applyBorder="1" applyAlignment="1">
      <alignment horizontal="center" vertical="center"/>
    </xf>
    <xf numFmtId="0" fontId="71" fillId="10" borderId="5" xfId="0" applyFont="1" applyFill="1" applyBorder="1" applyAlignment="1">
      <alignment horizontal="center" vertical="center"/>
    </xf>
    <xf numFmtId="0" fontId="71" fillId="10" borderId="6" xfId="0" applyFont="1" applyFill="1" applyBorder="1" applyAlignment="1">
      <alignment horizontal="center" vertical="center"/>
    </xf>
    <xf numFmtId="166" fontId="71" fillId="10" borderId="0" xfId="0" applyNumberFormat="1" applyFont="1" applyFill="1" applyAlignment="1">
      <alignment horizontal="center" vertical="center"/>
    </xf>
    <xf numFmtId="9" fontId="71" fillId="10" borderId="0" xfId="0" applyNumberFormat="1" applyFont="1" applyFill="1" applyAlignment="1">
      <alignment horizontal="center" vertical="center"/>
    </xf>
    <xf numFmtId="10" fontId="71" fillId="10" borderId="0" xfId="0" applyNumberFormat="1" applyFont="1" applyFill="1" applyAlignment="1">
      <alignment horizontal="center" vertical="center"/>
    </xf>
    <xf numFmtId="10" fontId="71" fillId="10" borderId="18" xfId="0" applyNumberFormat="1" applyFont="1" applyFill="1" applyBorder="1" applyAlignment="1">
      <alignment horizontal="center" vertical="center"/>
    </xf>
    <xf numFmtId="179" fontId="49" fillId="6" borderId="6" xfId="6" applyNumberFormat="1" applyFont="1" applyFill="1" applyBorder="1" applyAlignment="1">
      <alignment horizontal="center" vertical="center"/>
    </xf>
    <xf numFmtId="2" fontId="49" fillId="6" borderId="10" xfId="6" applyNumberFormat="1" applyFont="1" applyFill="1" applyBorder="1" applyAlignment="1">
      <alignment horizontal="center" vertical="center"/>
    </xf>
    <xf numFmtId="2" fontId="79" fillId="11" borderId="9" xfId="6" applyNumberFormat="1" applyFont="1" applyFill="1" applyBorder="1" applyAlignment="1">
      <alignment horizontal="center" vertical="center"/>
    </xf>
    <xf numFmtId="178" fontId="80" fillId="11" borderId="2" xfId="0" applyNumberFormat="1" applyFont="1" applyFill="1" applyBorder="1" applyAlignment="1">
      <alignment vertical="center"/>
    </xf>
    <xf numFmtId="0" fontId="80" fillId="11" borderId="2" xfId="0" applyFont="1" applyFill="1" applyBorder="1" applyAlignment="1">
      <alignment vertical="center"/>
    </xf>
    <xf numFmtId="0" fontId="80" fillId="11" borderId="15" xfId="0" applyFont="1" applyFill="1" applyBorder="1" applyAlignment="1">
      <alignment vertical="center"/>
    </xf>
    <xf numFmtId="0" fontId="80" fillId="11" borderId="20" xfId="0" applyFont="1" applyFill="1" applyBorder="1" applyAlignment="1">
      <alignment vertical="center"/>
    </xf>
    <xf numFmtId="44" fontId="80" fillId="11" borderId="20" xfId="0" applyNumberFormat="1" applyFont="1" applyFill="1" applyBorder="1" applyAlignment="1">
      <alignment vertical="center"/>
    </xf>
    <xf numFmtId="44" fontId="80" fillId="11" borderId="21" xfId="0" applyNumberFormat="1" applyFont="1" applyFill="1" applyBorder="1" applyAlignment="1">
      <alignment vertical="center"/>
    </xf>
    <xf numFmtId="165" fontId="67" fillId="23" borderId="3" xfId="6" applyFont="1" applyFill="1" applyBorder="1" applyAlignment="1">
      <alignment horizontal="center" vertical="center"/>
    </xf>
    <xf numFmtId="188" fontId="67" fillId="23" borderId="10" xfId="6" applyNumberFormat="1" applyFont="1" applyFill="1" applyBorder="1" applyAlignment="1">
      <alignment horizontal="center" vertical="center"/>
    </xf>
    <xf numFmtId="188" fontId="67" fillId="23" borderId="10" xfId="7" applyNumberFormat="1" applyFont="1" applyFill="1" applyBorder="1" applyAlignment="1">
      <alignment horizontal="center" vertical="center"/>
    </xf>
    <xf numFmtId="165" fontId="67" fillId="23" borderId="10" xfId="6" applyFont="1" applyFill="1" applyBorder="1" applyAlignment="1">
      <alignment horizontal="center" vertical="center"/>
    </xf>
    <xf numFmtId="10" fontId="67" fillId="23" borderId="10" xfId="11" applyNumberFormat="1" applyFont="1" applyFill="1" applyBorder="1" applyAlignment="1">
      <alignment horizontal="center" vertical="center"/>
    </xf>
    <xf numFmtId="184" fontId="3" fillId="0" borderId="32" xfId="7" applyNumberFormat="1" applyFont="1" applyBorder="1" applyAlignment="1">
      <alignment horizontal="center" vertical="center"/>
    </xf>
    <xf numFmtId="184" fontId="3" fillId="0" borderId="2" xfId="7" applyNumberFormat="1" applyFont="1" applyBorder="1" applyAlignment="1">
      <alignment horizontal="center" vertical="center"/>
    </xf>
    <xf numFmtId="184" fontId="3" fillId="0" borderId="15" xfId="7" applyNumberFormat="1" applyFont="1" applyBorder="1" applyAlignment="1">
      <alignment horizontal="center" vertical="center"/>
    </xf>
    <xf numFmtId="184" fontId="3" fillId="0" borderId="7" xfId="7" applyNumberFormat="1" applyFont="1" applyBorder="1" applyAlignment="1">
      <alignment horizontal="center" vertical="center"/>
    </xf>
    <xf numFmtId="184" fontId="3" fillId="0" borderId="0" xfId="7" applyNumberFormat="1" applyFont="1" applyBorder="1" applyAlignment="1">
      <alignment horizontal="center" vertical="center"/>
    </xf>
    <xf numFmtId="184" fontId="3" fillId="0" borderId="18" xfId="7" applyNumberFormat="1" applyFont="1" applyBorder="1" applyAlignment="1">
      <alignment horizontal="center" vertical="center"/>
    </xf>
    <xf numFmtId="184" fontId="3" fillId="0" borderId="29" xfId="7" applyNumberFormat="1" applyFont="1" applyBorder="1" applyAlignment="1">
      <alignment horizontal="center" vertical="center"/>
    </xf>
    <xf numFmtId="184" fontId="3" fillId="0" borderId="20" xfId="7" applyNumberFormat="1" applyFont="1" applyBorder="1" applyAlignment="1">
      <alignment horizontal="center" vertical="center"/>
    </xf>
    <xf numFmtId="184" fontId="3" fillId="0" borderId="21" xfId="7" applyNumberFormat="1" applyFont="1" applyBorder="1" applyAlignment="1">
      <alignment horizontal="center" vertical="center"/>
    </xf>
    <xf numFmtId="10" fontId="81" fillId="11" borderId="4" xfId="0" applyNumberFormat="1" applyFont="1" applyFill="1" applyBorder="1"/>
    <xf numFmtId="10" fontId="81" fillId="11" borderId="5" xfId="0" applyNumberFormat="1" applyFont="1" applyFill="1" applyBorder="1"/>
    <xf numFmtId="10" fontId="81" fillId="11" borderId="6" xfId="11" applyNumberFormat="1" applyFont="1" applyFill="1" applyBorder="1"/>
    <xf numFmtId="10" fontId="81" fillId="11" borderId="9" xfId="11" applyNumberFormat="1" applyFont="1" applyFill="1" applyBorder="1"/>
    <xf numFmtId="165" fontId="81" fillId="23" borderId="3" xfId="0" applyNumberFormat="1" applyFont="1" applyFill="1" applyBorder="1"/>
    <xf numFmtId="2" fontId="81" fillId="23" borderId="5" xfId="0" applyNumberFormat="1" applyFont="1" applyFill="1" applyBorder="1"/>
    <xf numFmtId="0" fontId="3" fillId="11" borderId="32" xfId="0" applyFont="1" applyFill="1" applyBorder="1"/>
    <xf numFmtId="0" fontId="3" fillId="11" borderId="2" xfId="0" applyFont="1" applyFill="1" applyBorder="1"/>
    <xf numFmtId="188" fontId="3" fillId="0" borderId="0" xfId="0" applyNumberFormat="1" applyFont="1"/>
    <xf numFmtId="2" fontId="42" fillId="8" borderId="0" xfId="0" applyNumberFormat="1" applyFont="1" applyFill="1" applyAlignment="1">
      <alignment horizontal="center" vertical="center" wrapText="1"/>
    </xf>
    <xf numFmtId="10" fontId="36" fillId="26" borderId="58" xfId="0" applyNumberFormat="1" applyFont="1" applyFill="1" applyBorder="1" applyAlignment="1">
      <alignment horizontal="center" vertical="center"/>
    </xf>
    <xf numFmtId="181" fontId="36" fillId="26" borderId="45" xfId="11" applyNumberFormat="1" applyFont="1" applyFill="1" applyBorder="1" applyAlignment="1">
      <alignment horizontal="center" vertical="center"/>
    </xf>
    <xf numFmtId="2" fontId="36" fillId="26" borderId="45" xfId="0" applyNumberFormat="1" applyFont="1" applyFill="1" applyBorder="1" applyAlignment="1">
      <alignment horizontal="center" vertical="center"/>
    </xf>
    <xf numFmtId="10" fontId="36" fillId="26" borderId="45" xfId="0" applyNumberFormat="1" applyFont="1" applyFill="1" applyBorder="1" applyAlignment="1">
      <alignment horizontal="center" vertical="center"/>
    </xf>
    <xf numFmtId="10" fontId="36" fillId="26" borderId="62" xfId="0" applyNumberFormat="1" applyFont="1" applyFill="1" applyBorder="1" applyAlignment="1">
      <alignment horizontal="center" vertical="center"/>
    </xf>
    <xf numFmtId="0" fontId="40" fillId="0" borderId="3" xfId="0" applyFont="1" applyBorder="1" applyAlignment="1">
      <alignment vertical="center"/>
    </xf>
    <xf numFmtId="0" fontId="40" fillId="0" borderId="4" xfId="0" applyFont="1" applyBorder="1" applyAlignment="1">
      <alignment vertical="center"/>
    </xf>
    <xf numFmtId="0" fontId="40" fillId="0" borderId="5" xfId="0" applyFont="1" applyBorder="1" applyAlignment="1">
      <alignment vertical="center"/>
    </xf>
    <xf numFmtId="0" fontId="80" fillId="11" borderId="32" xfId="0" applyFont="1" applyFill="1" applyBorder="1" applyAlignment="1">
      <alignment horizontal="center" vertical="center"/>
    </xf>
    <xf numFmtId="0" fontId="80" fillId="11" borderId="29" xfId="0" applyFont="1" applyFill="1" applyBorder="1" applyAlignment="1">
      <alignment horizontal="center" vertical="center"/>
    </xf>
    <xf numFmtId="0" fontId="36" fillId="13" borderId="14" xfId="0" applyFont="1" applyFill="1" applyBorder="1" applyAlignment="1">
      <alignment horizontal="center" vertical="center"/>
    </xf>
    <xf numFmtId="0" fontId="36" fillId="13" borderId="9" xfId="0" applyFont="1" applyFill="1" applyBorder="1" applyAlignment="1">
      <alignment horizontal="center" vertical="center"/>
    </xf>
    <xf numFmtId="0" fontId="41" fillId="6" borderId="29" xfId="0" applyFont="1" applyFill="1" applyBorder="1" applyAlignment="1">
      <alignment horizontal="center" vertical="center"/>
    </xf>
    <xf numFmtId="0" fontId="41" fillId="6" borderId="20" xfId="0" applyFont="1" applyFill="1" applyBorder="1" applyAlignment="1">
      <alignment horizontal="center" vertical="center"/>
    </xf>
    <xf numFmtId="0" fontId="41" fillId="6" borderId="21" xfId="0" applyFont="1" applyFill="1" applyBorder="1" applyAlignment="1">
      <alignment horizontal="center" vertical="center"/>
    </xf>
    <xf numFmtId="0" fontId="40" fillId="0" borderId="14" xfId="0" applyFont="1" applyBorder="1" applyAlignment="1">
      <alignment horizontal="center" vertical="center"/>
    </xf>
    <xf numFmtId="0" fontId="40" fillId="0" borderId="9" xfId="0" applyFont="1" applyBorder="1" applyAlignment="1">
      <alignment horizontal="center" vertical="center"/>
    </xf>
    <xf numFmtId="0" fontId="40" fillId="0" borderId="32" xfId="0" applyFont="1" applyBorder="1" applyAlignment="1">
      <alignment horizontal="center" vertical="center" wrapText="1"/>
    </xf>
    <xf numFmtId="0" fontId="40" fillId="0" borderId="2" xfId="0" applyFont="1" applyBorder="1" applyAlignment="1">
      <alignment horizontal="center" vertical="center" wrapText="1"/>
    </xf>
    <xf numFmtId="0" fontId="40" fillId="0" borderId="15" xfId="0" applyFont="1" applyBorder="1" applyAlignment="1">
      <alignment horizontal="center" vertical="center" wrapText="1"/>
    </xf>
    <xf numFmtId="0" fontId="40" fillId="0" borderId="7" xfId="0" applyFont="1" applyBorder="1" applyAlignment="1">
      <alignment horizontal="center" vertical="center" wrapText="1"/>
    </xf>
    <xf numFmtId="0" fontId="40" fillId="0" borderId="0" xfId="0" applyFont="1" applyAlignment="1">
      <alignment horizontal="center" vertical="center" wrapText="1"/>
    </xf>
    <xf numFmtId="0" fontId="40" fillId="0" borderId="18" xfId="0" applyFont="1" applyBorder="1" applyAlignment="1">
      <alignment horizontal="center" vertical="center" wrapText="1"/>
    </xf>
    <xf numFmtId="0" fontId="40" fillId="0" borderId="29" xfId="0" applyFont="1" applyBorder="1" applyAlignment="1">
      <alignment horizontal="center" vertical="center" wrapText="1"/>
    </xf>
    <xf numFmtId="0" fontId="40" fillId="0" borderId="20" xfId="0" applyFont="1" applyBorder="1" applyAlignment="1">
      <alignment horizontal="center" vertical="center" wrapText="1"/>
    </xf>
    <xf numFmtId="0" fontId="40" fillId="0" borderId="21" xfId="0" applyFont="1" applyBorder="1" applyAlignment="1">
      <alignment horizontal="center" vertical="center" wrapText="1"/>
    </xf>
    <xf numFmtId="0" fontId="26" fillId="0" borderId="0" xfId="0" applyFont="1" applyAlignment="1">
      <alignment horizontal="center" vertical="center"/>
    </xf>
    <xf numFmtId="0" fontId="0" fillId="0" borderId="0" xfId="0" applyAlignment="1">
      <alignment horizontal="center" vertical="center"/>
    </xf>
    <xf numFmtId="0" fontId="26" fillId="0" borderId="0" xfId="0" applyFont="1" applyAlignment="1">
      <alignment horizontal="center" vertical="center" wrapText="1"/>
    </xf>
    <xf numFmtId="0" fontId="28" fillId="0" borderId="0" xfId="0" applyFont="1" applyAlignment="1">
      <alignment horizontal="center"/>
    </xf>
    <xf numFmtId="0" fontId="38" fillId="21" borderId="54" xfId="5" applyFill="1" applyBorder="1" applyAlignment="1">
      <alignment horizontal="left"/>
    </xf>
    <xf numFmtId="0" fontId="38" fillId="21" borderId="27" xfId="5" applyFill="1" applyBorder="1" applyAlignment="1">
      <alignment horizontal="left"/>
    </xf>
    <xf numFmtId="0" fontId="68" fillId="0" borderId="3" xfId="0" applyFont="1" applyBorder="1" applyAlignment="1">
      <alignment horizontal="center"/>
    </xf>
    <xf numFmtId="0" fontId="68" fillId="0" borderId="4" xfId="0" applyFont="1" applyBorder="1" applyAlignment="1">
      <alignment horizontal="center"/>
    </xf>
    <xf numFmtId="0" fontId="68" fillId="0" borderId="5" xfId="0" applyFont="1" applyBorder="1" applyAlignment="1">
      <alignment horizontal="center"/>
    </xf>
    <xf numFmtId="0" fontId="54" fillId="24" borderId="3" xfId="0" applyFont="1" applyFill="1" applyBorder="1" applyAlignment="1">
      <alignment horizontal="center" vertical="center"/>
    </xf>
    <xf numFmtId="0" fontId="54" fillId="24" borderId="5" xfId="0" applyFont="1" applyFill="1" applyBorder="1" applyAlignment="1">
      <alignment horizontal="center" vertical="center"/>
    </xf>
    <xf numFmtId="15" fontId="69" fillId="21" borderId="55" xfId="0" applyNumberFormat="1" applyFont="1" applyFill="1" applyBorder="1" applyAlignment="1">
      <alignment horizontal="left"/>
    </xf>
    <xf numFmtId="15" fontId="69" fillId="21" borderId="31" xfId="0" applyNumberFormat="1" applyFont="1" applyFill="1" applyBorder="1" applyAlignment="1">
      <alignment horizontal="left"/>
    </xf>
    <xf numFmtId="0" fontId="70" fillId="22" borderId="53" xfId="5" applyFont="1" applyFill="1" applyBorder="1" applyAlignment="1">
      <alignment horizontal="center" vertical="center" wrapText="1"/>
    </xf>
    <xf numFmtId="0" fontId="70" fillId="22" borderId="41" xfId="5" applyFont="1" applyFill="1" applyBorder="1" applyAlignment="1">
      <alignment horizontal="center" vertical="center" wrapText="1"/>
    </xf>
    <xf numFmtId="0" fontId="70" fillId="22" borderId="49" xfId="5" applyFont="1" applyFill="1" applyBorder="1" applyAlignment="1">
      <alignment horizontal="center" vertical="center" wrapText="1"/>
    </xf>
    <xf numFmtId="0" fontId="54" fillId="0" borderId="56" xfId="0" applyFont="1" applyBorder="1" applyAlignment="1">
      <alignment horizontal="center"/>
    </xf>
    <xf numFmtId="0" fontId="54" fillId="0" borderId="57" xfId="0" applyFont="1" applyBorder="1" applyAlignment="1">
      <alignment horizontal="center"/>
    </xf>
    <xf numFmtId="0" fontId="54" fillId="0" borderId="58" xfId="0" applyFont="1" applyBorder="1" applyAlignment="1">
      <alignment horizontal="center"/>
    </xf>
    <xf numFmtId="0" fontId="38" fillId="21" borderId="47" xfId="5" applyFill="1" applyBorder="1" applyAlignment="1">
      <alignment horizontal="left"/>
    </xf>
    <xf numFmtId="0" fontId="38" fillId="21" borderId="16" xfId="5" applyFill="1" applyBorder="1" applyAlignment="1">
      <alignment horizontal="left"/>
    </xf>
    <xf numFmtId="0" fontId="0" fillId="0" borderId="59"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60" xfId="0" applyBorder="1" applyAlignment="1">
      <alignment horizontal="left" vertical="top" wrapText="1"/>
    </xf>
    <xf numFmtId="0" fontId="0" fillId="0" borderId="61" xfId="0" applyBorder="1" applyAlignment="1">
      <alignment horizontal="left" vertical="top" wrapText="1"/>
    </xf>
    <xf numFmtId="0" fontId="0" fillId="0" borderId="62" xfId="0" applyBorder="1" applyAlignment="1">
      <alignment horizontal="left" vertical="top" wrapText="1"/>
    </xf>
    <xf numFmtId="0" fontId="40" fillId="21" borderId="47" xfId="0" applyFont="1" applyFill="1" applyBorder="1" applyAlignment="1">
      <alignment horizontal="left"/>
    </xf>
    <xf numFmtId="0" fontId="40" fillId="21" borderId="16" xfId="0" applyFont="1" applyFill="1" applyBorder="1" applyAlignment="1">
      <alignment horizontal="left"/>
    </xf>
    <xf numFmtId="0" fontId="40" fillId="21" borderId="59" xfId="0" applyFont="1" applyFill="1" applyBorder="1" applyAlignment="1">
      <alignment horizontal="left"/>
    </xf>
    <xf numFmtId="15" fontId="38" fillId="21" borderId="47" xfId="5" applyNumberFormat="1" applyFill="1" applyBorder="1" applyAlignment="1">
      <alignment horizontal="left"/>
    </xf>
    <xf numFmtId="15" fontId="38" fillId="21" borderId="16" xfId="5" applyNumberFormat="1" applyFill="1" applyBorder="1" applyAlignment="1">
      <alignment horizontal="left"/>
    </xf>
    <xf numFmtId="0" fontId="38" fillId="21" borderId="47" xfId="5" applyFill="1" applyBorder="1"/>
    <xf numFmtId="0" fontId="38" fillId="21" borderId="16" xfId="5" applyFill="1" applyBorder="1"/>
    <xf numFmtId="187" fontId="35" fillId="0" borderId="0" xfId="0" applyNumberFormat="1" applyFont="1" applyAlignment="1">
      <alignment horizontal="center" vertical="center"/>
    </xf>
    <xf numFmtId="0" fontId="40" fillId="0" borderId="0" xfId="0" applyFont="1"/>
    <xf numFmtId="0" fontId="35" fillId="0" borderId="0" xfId="0" applyFont="1" applyAlignment="1">
      <alignment horizontal="center" vertical="center"/>
    </xf>
    <xf numFmtId="10" fontId="35" fillId="0" borderId="0" xfId="0" applyNumberFormat="1" applyFont="1" applyAlignment="1">
      <alignment horizontal="center" vertical="center"/>
    </xf>
    <xf numFmtId="0" fontId="39" fillId="11" borderId="75" xfId="0" applyFont="1" applyFill="1" applyBorder="1" applyAlignment="1">
      <alignment horizontal="center" vertical="center"/>
    </xf>
    <xf numFmtId="0" fontId="39" fillId="11" borderId="85" xfId="0" applyFont="1" applyFill="1" applyBorder="1" applyAlignment="1">
      <alignment horizontal="center" vertical="center"/>
    </xf>
    <xf numFmtId="10" fontId="39" fillId="11" borderId="3" xfId="0" applyNumberFormat="1" applyFont="1" applyFill="1" applyBorder="1" applyAlignment="1">
      <alignment horizontal="center" vertical="center"/>
    </xf>
    <xf numFmtId="10" fontId="39" fillId="11" borderId="4" xfId="0" applyNumberFormat="1" applyFont="1" applyFill="1" applyBorder="1" applyAlignment="1">
      <alignment horizontal="center" vertical="center"/>
    </xf>
    <xf numFmtId="10" fontId="39" fillId="11" borderId="5" xfId="0" applyNumberFormat="1" applyFont="1" applyFill="1" applyBorder="1" applyAlignment="1">
      <alignment horizontal="center" vertical="center"/>
    </xf>
    <xf numFmtId="0" fontId="54" fillId="0" borderId="0" xfId="0" applyFont="1" applyAlignment="1">
      <alignment horizontal="center"/>
    </xf>
    <xf numFmtId="10" fontId="40" fillId="0" borderId="87" xfId="0" applyNumberFormat="1" applyFont="1" applyBorder="1" applyAlignment="1">
      <alignment horizontal="center" vertical="center"/>
    </xf>
    <xf numFmtId="10" fontId="40" fillId="0" borderId="36" xfId="0" applyNumberFormat="1" applyFont="1" applyBorder="1" applyAlignment="1">
      <alignment horizontal="center" vertical="center"/>
    </xf>
    <xf numFmtId="0" fontId="40" fillId="0" borderId="25" xfId="0" applyFont="1" applyBorder="1" applyAlignment="1">
      <alignment horizontal="center" vertical="center"/>
    </xf>
    <xf numFmtId="0" fontId="40" fillId="0" borderId="60" xfId="0" applyFont="1" applyBorder="1" applyAlignment="1">
      <alignment horizontal="center" vertical="center"/>
    </xf>
    <xf numFmtId="2" fontId="63" fillId="11" borderId="40" xfId="0" applyNumberFormat="1" applyFont="1" applyFill="1" applyBorder="1" applyAlignment="1">
      <alignment horizontal="center" vertical="center"/>
    </xf>
    <xf numFmtId="2" fontId="63" fillId="11" borderId="5" xfId="0" applyNumberFormat="1" applyFont="1" applyFill="1" applyBorder="1" applyAlignment="1">
      <alignment horizontal="center" vertical="center"/>
    </xf>
    <xf numFmtId="0" fontId="63" fillId="11" borderId="3" xfId="0" applyFont="1" applyFill="1" applyBorder="1" applyAlignment="1">
      <alignment horizontal="center" vertical="center"/>
    </xf>
    <xf numFmtId="0" fontId="63" fillId="11" borderId="64" xfId="0" applyFont="1" applyFill="1" applyBorder="1" applyAlignment="1">
      <alignment horizontal="center" vertical="center"/>
    </xf>
    <xf numFmtId="0" fontId="39" fillId="11" borderId="39" xfId="0" applyFont="1" applyFill="1" applyBorder="1" applyAlignment="1">
      <alignment horizontal="center" vertical="center"/>
    </xf>
    <xf numFmtId="0" fontId="39" fillId="11" borderId="37" xfId="0" applyFont="1" applyFill="1" applyBorder="1" applyAlignment="1">
      <alignment horizontal="center" vertical="center"/>
    </xf>
    <xf numFmtId="0" fontId="39" fillId="11" borderId="38" xfId="0" applyFont="1" applyFill="1" applyBorder="1" applyAlignment="1">
      <alignment horizontal="center" vertical="center"/>
    </xf>
    <xf numFmtId="0" fontId="39" fillId="11" borderId="40" xfId="0" applyFont="1" applyFill="1" applyBorder="1" applyAlignment="1">
      <alignment horizontal="center" vertical="center"/>
    </xf>
    <xf numFmtId="0" fontId="40" fillId="0" borderId="51" xfId="0" applyFont="1" applyBorder="1" applyAlignment="1">
      <alignment horizontal="center" vertical="center"/>
    </xf>
    <xf numFmtId="0" fontId="40" fillId="0" borderId="86" xfId="0" applyFont="1" applyBorder="1" applyAlignment="1">
      <alignment horizontal="center" vertical="center"/>
    </xf>
    <xf numFmtId="0" fontId="40" fillId="0" borderId="57" xfId="0" applyFont="1" applyBorder="1" applyAlignment="1">
      <alignment horizontal="center" vertical="center"/>
    </xf>
    <xf numFmtId="0" fontId="40" fillId="0" borderId="58" xfId="0" applyFont="1" applyBorder="1" applyAlignment="1">
      <alignment horizontal="center" vertical="center"/>
    </xf>
    <xf numFmtId="0" fontId="40" fillId="0" borderId="7" xfId="0" applyFont="1" applyBorder="1" applyAlignment="1">
      <alignment horizontal="center" vertical="center"/>
    </xf>
    <xf numFmtId="0" fontId="40" fillId="0" borderId="0" xfId="0" applyFont="1" applyAlignment="1">
      <alignment horizontal="center" vertical="center"/>
    </xf>
    <xf numFmtId="0" fontId="40" fillId="0" borderId="30" xfId="0" applyFont="1" applyBorder="1" applyAlignment="1">
      <alignment horizontal="center" vertical="center"/>
    </xf>
    <xf numFmtId="0" fontId="40" fillId="0" borderId="56" xfId="0" applyFont="1" applyBorder="1" applyAlignment="1">
      <alignment horizontal="center" vertical="center"/>
    </xf>
    <xf numFmtId="10" fontId="40" fillId="0" borderId="55" xfId="0" applyNumberFormat="1" applyFont="1" applyBorder="1" applyAlignment="1">
      <alignment horizontal="center" vertical="center"/>
    </xf>
    <xf numFmtId="10" fontId="40" fillId="0" borderId="23" xfId="0" applyNumberFormat="1" applyFont="1" applyBorder="1" applyAlignment="1">
      <alignment horizontal="center" vertical="center"/>
    </xf>
    <xf numFmtId="0" fontId="40" fillId="0" borderId="46" xfId="0" applyFont="1" applyBorder="1" applyAlignment="1">
      <alignment horizontal="center" vertical="center"/>
    </xf>
    <xf numFmtId="0" fontId="40" fillId="0" borderId="47" xfId="0" applyFont="1" applyBorder="1" applyAlignment="1">
      <alignment horizontal="center" vertical="center"/>
    </xf>
    <xf numFmtId="2" fontId="40" fillId="0" borderId="44" xfId="0" applyNumberFormat="1" applyFont="1" applyBorder="1" applyAlignment="1">
      <alignment horizontal="center" vertical="center"/>
    </xf>
    <xf numFmtId="2" fontId="40" fillId="0" borderId="45" xfId="0" applyNumberFormat="1" applyFont="1" applyBorder="1" applyAlignment="1">
      <alignment horizontal="center" vertical="center"/>
    </xf>
    <xf numFmtId="0" fontId="40" fillId="0" borderId="12" xfId="0" applyFont="1" applyBorder="1" applyAlignment="1">
      <alignment horizontal="center" vertical="center"/>
    </xf>
    <xf numFmtId="0" fontId="40" fillId="0" borderId="59" xfId="0" applyFont="1" applyBorder="1" applyAlignment="1">
      <alignment horizontal="center" vertical="center"/>
    </xf>
    <xf numFmtId="0" fontId="40" fillId="0" borderId="63" xfId="0" applyFont="1" applyBorder="1" applyAlignment="1">
      <alignment horizontal="center" vertical="center"/>
    </xf>
    <xf numFmtId="0" fontId="40" fillId="0" borderId="87" xfId="0" applyFont="1" applyBorder="1" applyAlignment="1">
      <alignment horizontal="center" vertical="center"/>
    </xf>
    <xf numFmtId="2" fontId="40" fillId="0" borderId="61" xfId="0" applyNumberFormat="1" applyFont="1" applyBorder="1" applyAlignment="1">
      <alignment horizontal="center" vertical="center"/>
    </xf>
    <xf numFmtId="2" fontId="40" fillId="0" borderId="62" xfId="0" applyNumberFormat="1" applyFont="1" applyBorder="1" applyAlignment="1">
      <alignment horizontal="center" vertical="center"/>
    </xf>
    <xf numFmtId="0" fontId="40" fillId="0" borderId="44" xfId="0" applyFont="1" applyBorder="1" applyAlignment="1">
      <alignment horizontal="center" vertical="center"/>
    </xf>
    <xf numFmtId="0" fontId="40" fillId="0" borderId="45" xfId="0" applyFont="1" applyBorder="1" applyAlignment="1">
      <alignment horizontal="center" vertical="center"/>
    </xf>
    <xf numFmtId="10" fontId="40" fillId="0" borderId="47" xfId="0" applyNumberFormat="1" applyFont="1" applyBorder="1" applyAlignment="1">
      <alignment horizontal="center" vertical="center"/>
    </xf>
    <xf numFmtId="10" fontId="40" fillId="0" borderId="17" xfId="0" applyNumberFormat="1" applyFont="1" applyBorder="1" applyAlignment="1">
      <alignment horizontal="center" vertical="center"/>
    </xf>
    <xf numFmtId="179" fontId="39" fillId="11" borderId="3" xfId="0" applyNumberFormat="1" applyFont="1" applyFill="1" applyBorder="1" applyAlignment="1">
      <alignment horizontal="center" vertical="center"/>
    </xf>
    <xf numFmtId="179" fontId="39" fillId="11" borderId="4" xfId="0" applyNumberFormat="1" applyFont="1" applyFill="1" applyBorder="1" applyAlignment="1">
      <alignment horizontal="center" vertical="center"/>
    </xf>
    <xf numFmtId="0" fontId="36" fillId="26" borderId="50" xfId="0" applyFont="1" applyFill="1" applyBorder="1" applyAlignment="1">
      <alignment horizontal="center" vertical="center"/>
    </xf>
    <xf numFmtId="0" fontId="36" fillId="26" borderId="57" xfId="0" applyFont="1" applyFill="1" applyBorder="1" applyAlignment="1">
      <alignment horizontal="center" vertical="center"/>
    </xf>
    <xf numFmtId="0" fontId="36" fillId="26" borderId="63" xfId="0" applyFont="1" applyFill="1" applyBorder="1" applyAlignment="1">
      <alignment horizontal="center" vertical="center"/>
    </xf>
    <xf numFmtId="0" fontId="36" fillId="26" borderId="61" xfId="0" applyFont="1" applyFill="1" applyBorder="1" applyAlignment="1">
      <alignment horizontal="center" vertical="center"/>
    </xf>
    <xf numFmtId="0" fontId="36" fillId="26" borderId="46" xfId="0" applyFont="1" applyFill="1" applyBorder="1" applyAlignment="1">
      <alignment horizontal="center" vertical="center"/>
    </xf>
    <xf numFmtId="0" fontId="36" fillId="26" borderId="44" xfId="0" applyFont="1" applyFill="1" applyBorder="1" applyAlignment="1">
      <alignment horizontal="center" vertical="center"/>
    </xf>
    <xf numFmtId="165" fontId="79" fillId="11" borderId="3" xfId="6" applyFont="1" applyFill="1" applyBorder="1" applyAlignment="1">
      <alignment horizontal="center" vertical="center"/>
    </xf>
    <xf numFmtId="165" fontId="79" fillId="11" borderId="5" xfId="6" applyFont="1" applyFill="1" applyBorder="1" applyAlignment="1">
      <alignment horizontal="center" vertical="center"/>
    </xf>
    <xf numFmtId="165" fontId="67" fillId="23" borderId="3" xfId="6" applyFont="1" applyFill="1" applyBorder="1" applyAlignment="1">
      <alignment horizontal="center" vertical="center"/>
    </xf>
    <xf numFmtId="165" fontId="67" fillId="23" borderId="5" xfId="6" applyFont="1" applyFill="1" applyBorder="1" applyAlignment="1">
      <alignment horizontal="center" vertical="center"/>
    </xf>
    <xf numFmtId="0" fontId="82" fillId="11" borderId="32" xfId="0" applyFont="1" applyFill="1" applyBorder="1" applyAlignment="1">
      <alignment horizontal="center"/>
    </xf>
    <xf numFmtId="0" fontId="82" fillId="11" borderId="2" xfId="0" applyFont="1" applyFill="1" applyBorder="1" applyAlignment="1">
      <alignment horizontal="center"/>
    </xf>
    <xf numFmtId="0" fontId="82" fillId="11" borderId="15" xfId="0" applyFont="1" applyFill="1" applyBorder="1" applyAlignment="1">
      <alignment horizontal="center"/>
    </xf>
    <xf numFmtId="0" fontId="82" fillId="11" borderId="7" xfId="0" applyFont="1" applyFill="1" applyBorder="1" applyAlignment="1">
      <alignment horizontal="center" vertical="center"/>
    </xf>
    <xf numFmtId="0" fontId="82" fillId="11" borderId="29" xfId="0" applyFont="1" applyFill="1" applyBorder="1" applyAlignment="1">
      <alignment horizontal="center" vertical="center"/>
    </xf>
    <xf numFmtId="0" fontId="13" fillId="2" borderId="0" xfId="0" applyFont="1" applyFill="1" applyAlignment="1">
      <alignment horizontal="center" wrapText="1"/>
    </xf>
    <xf numFmtId="0" fontId="10" fillId="0" borderId="0" xfId="0" applyFont="1" applyAlignment="1">
      <alignment vertical="top" wrapText="1"/>
    </xf>
    <xf numFmtId="0" fontId="3" fillId="0" borderId="0" xfId="0" applyFont="1"/>
    <xf numFmtId="0" fontId="19" fillId="2" borderId="0" xfId="0" applyFont="1" applyFill="1" applyAlignment="1">
      <alignment horizontal="center" wrapText="1"/>
    </xf>
    <xf numFmtId="0" fontId="1" fillId="6" borderId="79" xfId="0" applyFont="1" applyFill="1" applyBorder="1" applyAlignment="1">
      <alignment horizontal="center" vertical="center"/>
    </xf>
    <xf numFmtId="185" fontId="1" fillId="6" borderId="79" xfId="0" applyNumberFormat="1" applyFont="1" applyFill="1" applyBorder="1" applyAlignment="1">
      <alignment horizontal="center" vertical="center"/>
    </xf>
  </cellXfs>
  <cellStyles count="23">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Invisible" xfId="4" xr:uid="{00000000-0005-0000-0000-000006000000}"/>
    <cellStyle name="Lien hypertexte" xfId="5" builtinId="8"/>
    <cellStyle name="Milliers" xfId="6" builtinId="3"/>
    <cellStyle name="Monétaire" xfId="7" builtinId="4"/>
    <cellStyle name="NewColumnHeaderNormal" xfId="8" xr:uid="{00000000-0005-0000-0000-00000A000000}"/>
    <cellStyle name="NewSectionHeaderNormal" xfId="9" xr:uid="{00000000-0005-0000-0000-00000B000000}"/>
    <cellStyle name="NewTitleNormal" xfId="10" xr:uid="{00000000-0005-0000-0000-00000C000000}"/>
    <cellStyle name="Normal" xfId="0" builtinId="0"/>
    <cellStyle name="Pourcentage" xfId="11" builtinId="5"/>
    <cellStyle name="SectionHeaderNormal" xfId="12" xr:uid="{00000000-0005-0000-0000-00000F000000}"/>
    <cellStyle name="SubScript" xfId="13" xr:uid="{00000000-0005-0000-0000-000010000000}"/>
    <cellStyle name="SuperScript" xfId="14" xr:uid="{00000000-0005-0000-0000-000011000000}"/>
    <cellStyle name="TextBold" xfId="15" xr:uid="{00000000-0005-0000-0000-000012000000}"/>
    <cellStyle name="TextItalic" xfId="16" xr:uid="{00000000-0005-0000-0000-000013000000}"/>
    <cellStyle name="TextNormal" xfId="17" xr:uid="{00000000-0005-0000-0000-000014000000}"/>
    <cellStyle name="TitleNormal" xfId="18" xr:uid="{00000000-0005-0000-0000-000015000000}"/>
    <cellStyle name="Total" xfId="19" builtinId="25" customBuiltin="1"/>
  </cellStyles>
  <dxfs count="21">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83" formatCode="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220133</xdr:colOff>
      <xdr:row>35</xdr:row>
      <xdr:rowOff>169333</xdr:rowOff>
    </xdr:from>
    <xdr:to>
      <xdr:col>9</xdr:col>
      <xdr:colOff>685800</xdr:colOff>
      <xdr:row>50</xdr:row>
      <xdr:rowOff>88899</xdr:rowOff>
    </xdr:to>
    <xdr:pic>
      <xdr:nvPicPr>
        <xdr:cNvPr id="46085" name="Picture 1">
          <a:extLst>
            <a:ext uri="{FF2B5EF4-FFF2-40B4-BE49-F238E27FC236}">
              <a16:creationId xmlns:a16="http://schemas.microsoft.com/office/drawing/2014/main" id="{81D6F477-0148-703B-B175-4996FC4D1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6133" y="7535333"/>
          <a:ext cx="5444067" cy="29675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736600</xdr:colOff>
      <xdr:row>0</xdr:row>
      <xdr:rowOff>114300</xdr:rowOff>
    </xdr:from>
    <xdr:to>
      <xdr:col>7</xdr:col>
      <xdr:colOff>508000</xdr:colOff>
      <xdr:row>18</xdr:row>
      <xdr:rowOff>203200</xdr:rowOff>
    </xdr:to>
    <xdr:pic>
      <xdr:nvPicPr>
        <xdr:cNvPr id="48132" name="Image 1">
          <a:extLst>
            <a:ext uri="{FF2B5EF4-FFF2-40B4-BE49-F238E27FC236}">
              <a16:creationId xmlns:a16="http://schemas.microsoft.com/office/drawing/2014/main" id="{147FD6D9-76BB-2868-40AE-EE0199B3E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6600" y="114300"/>
          <a:ext cx="7772400" cy="3657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41997" name="Picture 2">
          <a:extLst>
            <a:ext uri="{FF2B5EF4-FFF2-40B4-BE49-F238E27FC236}">
              <a16:creationId xmlns:a16="http://schemas.microsoft.com/office/drawing/2014/main" id="{4D8FEA26-E58A-AD0E-7BF4-0C561A301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62</xdr:row>
      <xdr:rowOff>0</xdr:rowOff>
    </xdr:from>
    <xdr:to>
      <xdr:col>3</xdr:col>
      <xdr:colOff>660400</xdr:colOff>
      <xdr:row>62</xdr:row>
      <xdr:rowOff>1905000</xdr:rowOff>
    </xdr:to>
    <xdr:pic>
      <xdr:nvPicPr>
        <xdr:cNvPr id="41998" name="Picture 3">
          <a:extLst>
            <a:ext uri="{FF2B5EF4-FFF2-40B4-BE49-F238E27FC236}">
              <a16:creationId xmlns:a16="http://schemas.microsoft.com/office/drawing/2014/main" id="{7DE4BD22-4A3F-74E3-494A-B48BA38C4C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98933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40967" name="Picture 2">
          <a:extLst>
            <a:ext uri="{FF2B5EF4-FFF2-40B4-BE49-F238E27FC236}">
              <a16:creationId xmlns:a16="http://schemas.microsoft.com/office/drawing/2014/main" id="{6911CA3D-0A2A-6CDE-A473-1BCBAD39D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9943" name="Picture 2">
          <a:extLst>
            <a:ext uri="{FF2B5EF4-FFF2-40B4-BE49-F238E27FC236}">
              <a16:creationId xmlns:a16="http://schemas.microsoft.com/office/drawing/2014/main" id="{9E4DD723-D4F2-DBC0-1156-29A552291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8919" name="Picture 2">
          <a:extLst>
            <a:ext uri="{FF2B5EF4-FFF2-40B4-BE49-F238E27FC236}">
              <a16:creationId xmlns:a16="http://schemas.microsoft.com/office/drawing/2014/main" id="{43064765-FE04-EECC-D06A-5253C32A1D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7901" name="Picture 2">
          <a:extLst>
            <a:ext uri="{FF2B5EF4-FFF2-40B4-BE49-F238E27FC236}">
              <a16:creationId xmlns:a16="http://schemas.microsoft.com/office/drawing/2014/main" id="{4B8D1DBD-5A7B-D856-2338-50175A603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37902" name="Picture 3">
          <a:extLst>
            <a:ext uri="{FF2B5EF4-FFF2-40B4-BE49-F238E27FC236}">
              <a16:creationId xmlns:a16="http://schemas.microsoft.com/office/drawing/2014/main" id="{8755BA4C-F8C5-8E91-198C-376923FA0C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6877" name="Picture 2">
          <a:extLst>
            <a:ext uri="{FF2B5EF4-FFF2-40B4-BE49-F238E27FC236}">
              <a16:creationId xmlns:a16="http://schemas.microsoft.com/office/drawing/2014/main" id="{E65B4ECA-1432-1BCF-5747-E0075C4EA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38</xdr:row>
      <xdr:rowOff>0</xdr:rowOff>
    </xdr:from>
    <xdr:to>
      <xdr:col>1</xdr:col>
      <xdr:colOff>876300</xdr:colOff>
      <xdr:row>40</xdr:row>
      <xdr:rowOff>101600</xdr:rowOff>
    </xdr:to>
    <xdr:pic>
      <xdr:nvPicPr>
        <xdr:cNvPr id="36878" name="Picture 3">
          <a:extLst>
            <a:ext uri="{FF2B5EF4-FFF2-40B4-BE49-F238E27FC236}">
              <a16:creationId xmlns:a16="http://schemas.microsoft.com/office/drawing/2014/main" id="{B753B0CE-0612-A568-BC86-8F5AD31575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353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5847" name="Picture 2">
          <a:extLst>
            <a:ext uri="{FF2B5EF4-FFF2-40B4-BE49-F238E27FC236}">
              <a16:creationId xmlns:a16="http://schemas.microsoft.com/office/drawing/2014/main" id="{9BA97616-9F03-38E0-CC78-F3BEEF610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34823" name="Picture 2">
          <a:extLst>
            <a:ext uri="{FF2B5EF4-FFF2-40B4-BE49-F238E27FC236}">
              <a16:creationId xmlns:a16="http://schemas.microsoft.com/office/drawing/2014/main" id="{2BBCCDD8-468B-A513-5A32-B0C2CE1E54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3799" name="Picture 2">
          <a:extLst>
            <a:ext uri="{FF2B5EF4-FFF2-40B4-BE49-F238E27FC236}">
              <a16:creationId xmlns:a16="http://schemas.microsoft.com/office/drawing/2014/main" id="{74F0F88C-79F9-0341-618E-217C88F01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2775" name="Picture 2">
          <a:extLst>
            <a:ext uri="{FF2B5EF4-FFF2-40B4-BE49-F238E27FC236}">
              <a16:creationId xmlns:a16="http://schemas.microsoft.com/office/drawing/2014/main" id="{05B029A9-051C-8CA2-CD82-39009872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1751" name="Picture 2">
          <a:extLst>
            <a:ext uri="{FF2B5EF4-FFF2-40B4-BE49-F238E27FC236}">
              <a16:creationId xmlns:a16="http://schemas.microsoft.com/office/drawing/2014/main" id="{928DB301-B97C-4A22-CF5A-8EF05690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0727" name="Picture 2">
          <a:extLst>
            <a:ext uri="{FF2B5EF4-FFF2-40B4-BE49-F238E27FC236}">
              <a16:creationId xmlns:a16="http://schemas.microsoft.com/office/drawing/2014/main" id="{0656BF9D-65A9-50BE-DF5D-152E3ABA6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9703" name="Picture 2">
          <a:extLst>
            <a:ext uri="{FF2B5EF4-FFF2-40B4-BE49-F238E27FC236}">
              <a16:creationId xmlns:a16="http://schemas.microsoft.com/office/drawing/2014/main" id="{FAD97109-2142-D4D7-3AB6-82FFE0B1B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 displayName="Table1" ref="A10:P106" totalsRowShown="0" headerRowDxfId="20" dataDxfId="18" headerRowBorderDxfId="19" tableBorderDxfId="17" totalsRowBorderDxfId="16">
  <autoFilter ref="A10:P106" xr:uid="{00000000-0009-0000-0100-000003000000}"/>
  <tableColumns count="16">
    <tableColumn id="1" xr3:uid="{00000000-0010-0000-0000-000001000000}" name="Industry Name" dataDxfId="15"/>
    <tableColumn id="2" xr3:uid="{00000000-0010-0000-0000-000002000000}" name="Number of firms" dataDxfId="14"/>
    <tableColumn id="3" xr3:uid="{00000000-0010-0000-0000-000003000000}" name="Beta " dataDxfId="13"/>
    <tableColumn id="4" xr3:uid="{00000000-0010-0000-0000-000004000000}" name="D/E Ratio" dataDxfId="12"/>
    <tableColumn id="5" xr3:uid="{00000000-0010-0000-0000-000005000000}" name="Effective Tax rate" dataDxfId="11"/>
    <tableColumn id="6" xr3:uid="{00000000-0010-0000-0000-000006000000}" name="Unlevered beta" dataDxfId="10">
      <calculatedColumnFormula>IF($F$8="Effective",C11/(1+(1-E11)*D11),C11/(1+(1-$F$9)*D11))</calculatedColumnFormula>
    </tableColumn>
    <tableColumn id="7" xr3:uid="{00000000-0010-0000-0000-000007000000}" name="Cash/Firm value" dataDxfId="9"/>
    <tableColumn id="8" xr3:uid="{00000000-0010-0000-0000-000008000000}" name="Unlevered beta corrected for cash" dataDxfId="8">
      <calculatedColumnFormula>F11/(1-G11)</calculatedColumnFormula>
    </tableColumn>
    <tableColumn id="9" xr3:uid="{00000000-0010-0000-0000-000009000000}" name="HiLo Risk" dataDxfId="7"/>
    <tableColumn id="10" xr3:uid="{00000000-0010-0000-0000-00000A000000}" name="Standard deviation of equity" dataDxfId="6"/>
    <tableColumn id="11" xr3:uid="{00000000-0010-0000-0000-00000B000000}" name="Standard deviation in operating income (last 10 years)" dataDxfId="5"/>
    <tableColumn id="13" xr3:uid="{00000000-0010-0000-0000-00000D000000}" name="2019" dataDxfId="4"/>
    <tableColumn id="14" xr3:uid="{00000000-0010-0000-0000-00000E000000}" name="2020" dataDxfId="3"/>
    <tableColumn id="18" xr3:uid="{00000000-0010-0000-0000-000012000000}" name="2021" dataDxfId="2"/>
    <tableColumn id="19" xr3:uid="{00000000-0010-0000-0000-000013000000}" name="2022" dataDxfId="1"/>
    <tableColumn id="17" xr3:uid="{00000000-0010-0000-0000-000011000000}" name="Average (2019-23)" dataDxfId="0"/>
  </tableColumns>
  <tableStyleInfo name="TableStyleLight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www.stern.nyu.edu/~adamodar/New_Home_Page/data.html" TargetMode="External"/><Relationship Id="rId7" Type="http://schemas.openxmlformats.org/officeDocument/2006/relationships/table" Target="../tables/table1.xml"/><Relationship Id="rId2" Type="http://schemas.openxmlformats.org/officeDocument/2006/relationships/hyperlink" Target="http://www.damodaran.com/" TargetMode="External"/><Relationship Id="rId1" Type="http://schemas.openxmlformats.org/officeDocument/2006/relationships/hyperlink" Target="mailto:adamodar@stern.nyu.edu?subject=Data%20on%20website" TargetMode="External"/><Relationship Id="rId6" Type="http://schemas.openxmlformats.org/officeDocument/2006/relationships/hyperlink" Target="https://youtu.be/rxmttgceSjg" TargetMode="External"/><Relationship Id="rId5" Type="http://schemas.openxmlformats.org/officeDocument/2006/relationships/hyperlink" Target="http://www.stern.nyu.edu/~adamodar/New_Home_Page/datafile/variable.htm" TargetMode="External"/><Relationship Id="rId4" Type="http://schemas.openxmlformats.org/officeDocument/2006/relationships/hyperlink" Target="http://www.stern.nyu.edu/~adamodar/pc/datasets/indname.xl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showGridLines="0" zoomScale="111" zoomScaleNormal="75" workbookViewId="0">
      <pane xSplit="1" topLeftCell="B1" activePane="topRight" state="frozen"/>
      <selection pane="topRight" activeCell="B2" sqref="B2"/>
    </sheetView>
  </sheetViews>
  <sheetFormatPr baseColWidth="10" defaultRowHeight="11"/>
  <cols>
    <col min="1" max="1" width="41.5" style="174" bestFit="1" customWidth="1"/>
    <col min="2" max="2" width="13.83203125" style="175" customWidth="1"/>
    <col min="3" max="5" width="12" style="175" bestFit="1" customWidth="1"/>
    <col min="6" max="6" width="12.1640625" style="175" bestFit="1" customWidth="1"/>
    <col min="7" max="8" width="12.1640625" style="175" customWidth="1"/>
    <col min="9" max="9" width="10.83203125" style="175"/>
    <col min="10" max="10" width="10" style="175" bestFit="1" customWidth="1"/>
    <col min="11" max="11" width="11.33203125" style="175" bestFit="1" customWidth="1"/>
    <col min="12" max="13" width="10.83203125" style="175"/>
    <col min="14" max="14" width="12.5" style="175" bestFit="1" customWidth="1"/>
    <col min="15" max="16384" width="10.83203125" style="175"/>
  </cols>
  <sheetData>
    <row r="1" spans="1:17" s="174" customFormat="1" ht="22" thickBot="1">
      <c r="A1" s="187" t="s">
        <v>716</v>
      </c>
      <c r="B1" s="171">
        <v>2017</v>
      </c>
      <c r="C1" s="172">
        <v>2018</v>
      </c>
      <c r="D1" s="172">
        <v>2019</v>
      </c>
      <c r="E1" s="172">
        <v>2020</v>
      </c>
      <c r="F1" s="172">
        <v>2021</v>
      </c>
      <c r="G1" s="172">
        <v>2022</v>
      </c>
      <c r="H1" s="255">
        <v>2023</v>
      </c>
      <c r="I1" s="256">
        <v>2024</v>
      </c>
      <c r="J1" s="256">
        <v>2025</v>
      </c>
      <c r="K1" s="256">
        <v>2026</v>
      </c>
      <c r="L1" s="256">
        <v>2027</v>
      </c>
      <c r="M1" s="257">
        <v>2028</v>
      </c>
      <c r="O1" s="171" t="s">
        <v>308</v>
      </c>
      <c r="P1" s="172" t="s">
        <v>681</v>
      </c>
      <c r="Q1" s="173" t="s">
        <v>682</v>
      </c>
    </row>
    <row r="2" spans="1:17" ht="16" customHeight="1" thickBot="1">
      <c r="A2" s="223" t="s">
        <v>717</v>
      </c>
      <c r="B2" s="216">
        <f>'Income Statement'!B20</f>
        <v>32.042000000000002</v>
      </c>
      <c r="C2" s="216">
        <f>'Income Statement'!C20</f>
        <v>57.875999999999998</v>
      </c>
      <c r="D2" s="216">
        <f>'Income Statement'!D20</f>
        <v>96.52</v>
      </c>
      <c r="E2" s="216">
        <f>'Income Statement'!E20</f>
        <v>9.0299999999999994</v>
      </c>
      <c r="F2" s="216">
        <f>'Income Statement'!F20</f>
        <v>22.667999999999999</v>
      </c>
      <c r="G2" s="216">
        <f>'Income Statement'!G20</f>
        <v>66.997</v>
      </c>
      <c r="H2" s="261">
        <f>'Forecast NWC'!J2</f>
        <v>70.98646153846154</v>
      </c>
      <c r="I2" s="212">
        <f>'Forecast NWC'!K2</f>
        <v>87.292752662721881</v>
      </c>
      <c r="J2" s="212">
        <f>'Forecast NWC'!L2</f>
        <v>165.48736507601274</v>
      </c>
      <c r="K2" s="212">
        <f>'Forecast NWC'!M2</f>
        <v>120.90662765064366</v>
      </c>
      <c r="L2" s="212">
        <f>'Forecast NWC'!N2</f>
        <v>180.58969989218747</v>
      </c>
      <c r="M2" s="213">
        <f>'Forecast NWC'!O2</f>
        <v>246.69835082912795</v>
      </c>
      <c r="O2" s="243">
        <f>AVERAGE(B2:G2)</f>
        <v>47.522166666666664</v>
      </c>
      <c r="P2" s="195">
        <f>MEDIAN(B2:G2)</f>
        <v>44.959000000000003</v>
      </c>
      <c r="Q2" s="196">
        <f>G2</f>
        <v>66.997</v>
      </c>
    </row>
    <row r="3" spans="1:17" s="179" customFormat="1" ht="15" customHeight="1" thickBot="1">
      <c r="A3" s="225"/>
      <c r="B3" s="188"/>
      <c r="C3" s="188">
        <f t="shared" ref="C3:M3" si="0">(C2-B2)/B2</f>
        <v>0.80625429124274373</v>
      </c>
      <c r="D3" s="188">
        <f t="shared" si="0"/>
        <v>0.66770336581657341</v>
      </c>
      <c r="E3" s="188">
        <f t="shared" si="0"/>
        <v>-0.90644426025694158</v>
      </c>
      <c r="F3" s="188">
        <f t="shared" si="0"/>
        <v>1.5102990033222592</v>
      </c>
      <c r="G3" s="188">
        <f t="shared" si="0"/>
        <v>1.9555761425798484</v>
      </c>
      <c r="H3" s="176">
        <f t="shared" si="0"/>
        <v>5.9546868344277214E-2</v>
      </c>
      <c r="I3" s="177">
        <f t="shared" si="0"/>
        <v>0.22970987383876496</v>
      </c>
      <c r="J3" s="177">
        <f t="shared" si="0"/>
        <v>0.8957743916658919</v>
      </c>
      <c r="K3" s="177">
        <f t="shared" si="0"/>
        <v>-0.269390580996271</v>
      </c>
      <c r="L3" s="177">
        <f t="shared" si="0"/>
        <v>0.49362945110003725</v>
      </c>
      <c r="M3" s="178">
        <f t="shared" si="0"/>
        <v>0.36607099395152393</v>
      </c>
      <c r="O3" s="180">
        <f>AVERAGE(B3:G3)</f>
        <v>0.80667770854089649</v>
      </c>
      <c r="P3" s="181">
        <f>MEDIAN(B3:G3)</f>
        <v>0.80625429124274373</v>
      </c>
      <c r="Q3" s="182">
        <f>G3</f>
        <v>1.9555761425798484</v>
      </c>
    </row>
    <row r="4" spans="1:17" ht="16">
      <c r="A4" s="217" t="s">
        <v>670</v>
      </c>
      <c r="B4" s="218">
        <f>'Income Statement'!B22</f>
        <v>2.5950000000000002</v>
      </c>
      <c r="C4" s="218">
        <f>'Income Statement'!C22</f>
        <v>1.571</v>
      </c>
      <c r="D4" s="218">
        <f>'Income Statement'!D22</f>
        <v>2.4870000000000001</v>
      </c>
      <c r="E4" s="218">
        <f>'Income Statement'!E22</f>
        <v>3.4569999999999999</v>
      </c>
      <c r="F4" s="218">
        <f>'Income Statement'!F22</f>
        <v>15.724</v>
      </c>
      <c r="G4" s="218">
        <f>'Income Statement'!G22</f>
        <v>19.623000000000001</v>
      </c>
      <c r="H4" s="262">
        <f>'Forecast NWC'!J3</f>
        <v>20.400997818763976</v>
      </c>
      <c r="I4" s="207">
        <f>'Forecast NWC'!K3</f>
        <v>23.234912878227362</v>
      </c>
      <c r="J4" s="207">
        <f>'Forecast NWC'!L3</f>
        <v>30.353867671441559</v>
      </c>
      <c r="K4" s="207">
        <f>'Forecast NWC'!M3</f>
        <v>25.185726083394567</v>
      </c>
      <c r="L4" s="207">
        <f>'Forecast NWC'!N3</f>
        <v>29.383022410061344</v>
      </c>
      <c r="M4" s="208">
        <f>'Forecast NWC'!O3</f>
        <v>31.796578857784144</v>
      </c>
      <c r="O4" s="239">
        <f>AVERAGE(B4:G4)</f>
        <v>7.5761666666666665</v>
      </c>
      <c r="P4" s="199">
        <f>MEDIAN(B4:G4)</f>
        <v>3.0259999999999998</v>
      </c>
      <c r="Q4" s="200">
        <f>G4</f>
        <v>19.623000000000001</v>
      </c>
    </row>
    <row r="5" spans="1:17" s="179" customFormat="1" ht="13" thickBot="1">
      <c r="A5" s="185" t="s">
        <v>718</v>
      </c>
      <c r="B5" s="181">
        <f t="shared" ref="B5:G5" si="1">B4/B2</f>
        <v>8.0987453966668746E-2</v>
      </c>
      <c r="C5" s="181">
        <f t="shared" si="1"/>
        <v>2.7144239408390353E-2</v>
      </c>
      <c r="D5" s="181">
        <f t="shared" si="1"/>
        <v>2.5766680480729384E-2</v>
      </c>
      <c r="E5" s="181">
        <f t="shared" si="1"/>
        <v>0.38283499446290142</v>
      </c>
      <c r="F5" s="181">
        <f>F4/F2</f>
        <v>0.69366507852479264</v>
      </c>
      <c r="G5" s="181">
        <f t="shared" si="1"/>
        <v>0.29289371165873102</v>
      </c>
      <c r="H5" s="180">
        <f>H4/H2</f>
        <v>0.28739279824097735</v>
      </c>
      <c r="I5" s="181">
        <f>I4/I2</f>
        <v>0.26617230147388588</v>
      </c>
      <c r="J5" s="181">
        <f t="shared" ref="J5:M5" si="2">J4/J2</f>
        <v>0.18342105850497542</v>
      </c>
      <c r="K5" s="181">
        <f t="shared" si="2"/>
        <v>0.20830724148694332</v>
      </c>
      <c r="L5" s="181">
        <f t="shared" si="2"/>
        <v>0.16270597064839848</v>
      </c>
      <c r="M5" s="182">
        <f t="shared" si="2"/>
        <v>0.12888849378570669</v>
      </c>
      <c r="O5" s="180">
        <f>AVERAGE(B5:I5)</f>
        <v>0.25710715727713462</v>
      </c>
      <c r="P5" s="181">
        <f>MEDIAN(B5:G5)</f>
        <v>0.18694058281269987</v>
      </c>
      <c r="Q5" s="182">
        <f>G5</f>
        <v>0.29289371165873102</v>
      </c>
    </row>
    <row r="6" spans="1:17" ht="16">
      <c r="A6" s="217" t="s">
        <v>684</v>
      </c>
      <c r="B6" s="218">
        <f t="shared" ref="B6:M6" si="3">B2-B4</f>
        <v>29.447000000000003</v>
      </c>
      <c r="C6" s="218">
        <f t="shared" si="3"/>
        <v>56.305</v>
      </c>
      <c r="D6" s="218">
        <f t="shared" si="3"/>
        <v>94.033000000000001</v>
      </c>
      <c r="E6" s="218">
        <f t="shared" si="3"/>
        <v>5.5729999999999995</v>
      </c>
      <c r="F6" s="218">
        <f t="shared" si="3"/>
        <v>6.9439999999999991</v>
      </c>
      <c r="G6" s="218">
        <f t="shared" si="3"/>
        <v>47.373999999999995</v>
      </c>
      <c r="H6" s="262">
        <f>H2-H4</f>
        <v>50.585463719697564</v>
      </c>
      <c r="I6" s="207">
        <f t="shared" si="3"/>
        <v>64.057839784494519</v>
      </c>
      <c r="J6" s="207">
        <f t="shared" si="3"/>
        <v>135.13349740457119</v>
      </c>
      <c r="K6" s="207">
        <f t="shared" si="3"/>
        <v>95.720901567249086</v>
      </c>
      <c r="L6" s="207">
        <f t="shared" si="3"/>
        <v>151.20667748212611</v>
      </c>
      <c r="M6" s="208">
        <f t="shared" si="3"/>
        <v>214.90177197134381</v>
      </c>
      <c r="O6" s="239">
        <f>AVERAGE(B6:G6)</f>
        <v>39.946000000000005</v>
      </c>
      <c r="P6" s="199">
        <f>MEDIAN(B6:G6)</f>
        <v>38.410499999999999</v>
      </c>
      <c r="Q6" s="200">
        <f>G6</f>
        <v>47.373999999999995</v>
      </c>
    </row>
    <row r="7" spans="1:17" s="179" customFormat="1" ht="13" thickBot="1">
      <c r="A7" s="185"/>
      <c r="B7" s="181">
        <f t="shared" ref="B7:G7" si="4">B6/B2</f>
        <v>0.91901254603333127</v>
      </c>
      <c r="C7" s="181">
        <f t="shared" si="4"/>
        <v>0.97285576059160972</v>
      </c>
      <c r="D7" s="181">
        <f t="shared" si="4"/>
        <v>0.97423331951927072</v>
      </c>
      <c r="E7" s="181">
        <f t="shared" si="4"/>
        <v>0.61716500553709852</v>
      </c>
      <c r="F7" s="181">
        <f t="shared" si="4"/>
        <v>0.3063349214752073</v>
      </c>
      <c r="G7" s="181">
        <f t="shared" si="4"/>
        <v>0.70710628834126898</v>
      </c>
      <c r="H7" s="180"/>
      <c r="I7" s="181"/>
      <c r="J7" s="181"/>
      <c r="K7" s="181"/>
      <c r="L7" s="181"/>
      <c r="M7" s="182"/>
      <c r="O7" s="180"/>
      <c r="P7" s="181"/>
      <c r="Q7" s="182"/>
    </row>
    <row r="8" spans="1:17" ht="14" customHeight="1" thickBot="1">
      <c r="A8" s="219" t="s">
        <v>672</v>
      </c>
      <c r="B8" s="220">
        <f>SUM(B9:B12)</f>
        <v>57.658000000000001</v>
      </c>
      <c r="C8" s="220">
        <f t="shared" ref="C8:G8" si="5">SUM(C9:C12)</f>
        <v>44.775999999999996</v>
      </c>
      <c r="D8" s="220">
        <f t="shared" si="5"/>
        <v>72.519000000000005</v>
      </c>
      <c r="E8" s="220">
        <f t="shared" si="5"/>
        <v>98.468000000000004</v>
      </c>
      <c r="F8" s="220">
        <f t="shared" si="5"/>
        <v>104.17899999999999</v>
      </c>
      <c r="G8" s="220">
        <f t="shared" si="5"/>
        <v>85.555999999999997</v>
      </c>
      <c r="H8" s="263">
        <f>SUM(H9:H12)</f>
        <v>72.681338983505626</v>
      </c>
      <c r="I8" s="263">
        <f t="shared" ref="I8:M8" si="6">SUM(I9:I12)</f>
        <v>90.621222008465836</v>
      </c>
      <c r="J8" s="263">
        <f t="shared" si="6"/>
        <v>176.64950331330934</v>
      </c>
      <c r="K8" s="263">
        <f t="shared" si="6"/>
        <v>127.60259200263776</v>
      </c>
      <c r="L8" s="263">
        <f t="shared" si="6"/>
        <v>193.26481564530039</v>
      </c>
      <c r="M8" s="263">
        <f t="shared" si="6"/>
        <v>265.99634335500423</v>
      </c>
      <c r="O8" s="248">
        <f>AVERAGE(B8:G8)</f>
        <v>77.192666666666653</v>
      </c>
      <c r="P8" s="197">
        <f>MEDIAN(B8:G8)</f>
        <v>79.037499999999994</v>
      </c>
      <c r="Q8" s="198">
        <f>G8</f>
        <v>85.555999999999997</v>
      </c>
    </row>
    <row r="9" spans="1:17" ht="14">
      <c r="A9" s="189" t="s">
        <v>673</v>
      </c>
      <c r="B9" s="206">
        <f>'Income Statement'!B25</f>
        <v>10.430999999999999</v>
      </c>
      <c r="C9" s="206">
        <f>'Income Statement'!C25</f>
        <v>10.956</v>
      </c>
      <c r="D9" s="206">
        <f>'Income Statement'!D25</f>
        <v>16.312999999999999</v>
      </c>
      <c r="E9" s="206">
        <f>'Income Statement'!E25</f>
        <v>17.367000000000001</v>
      </c>
      <c r="F9" s="206">
        <f>'Income Statement'!F25</f>
        <v>14.385999999999999</v>
      </c>
      <c r="G9" s="206">
        <f>'Income Statement'!G25</f>
        <v>16.774999999999999</v>
      </c>
      <c r="H9" s="239">
        <f>Assumptions!I50</f>
        <v>22.273817145285424</v>
      </c>
      <c r="I9" s="199">
        <f>Assumptions!J50</f>
        <v>27.390332871636659</v>
      </c>
      <c r="J9" s="199">
        <f>Assumptions!K50</f>
        <v>51.925891637253265</v>
      </c>
      <c r="K9" s="199">
        <f>Assumptions!L50</f>
        <v>37.937545520344202</v>
      </c>
      <c r="L9" s="199">
        <f>Assumptions!M50</f>
        <v>56.664635291634383</v>
      </c>
      <c r="M9" s="200">
        <f>Assumptions!N50</f>
        <v>77.407914654743578</v>
      </c>
      <c r="O9" s="239">
        <f t="shared" ref="O9:O10" si="7">AVERAGE(B9:G9)</f>
        <v>14.371333333333334</v>
      </c>
      <c r="P9" s="199">
        <f t="shared" ref="P9:P10" si="8">MEDIAN(B9:G9)</f>
        <v>15.349499999999999</v>
      </c>
      <c r="Q9" s="200">
        <f t="shared" ref="Q9:Q10" si="9">G9</f>
        <v>16.774999999999999</v>
      </c>
    </row>
    <row r="10" spans="1:17" ht="14">
      <c r="A10" s="190" t="s">
        <v>674</v>
      </c>
      <c r="B10" s="201">
        <f>'Income Statement'!B26</f>
        <v>48.185000000000002</v>
      </c>
      <c r="C10" s="201">
        <f>'Income Statement'!C26</f>
        <v>35.713000000000001</v>
      </c>
      <c r="D10" s="201">
        <f>'Income Statement'!D26</f>
        <v>57.073</v>
      </c>
      <c r="E10" s="201">
        <f>'Income Statement'!E26</f>
        <v>78.457999999999998</v>
      </c>
      <c r="F10" s="201">
        <f>'Income Statement'!F26</f>
        <v>85.242999999999995</v>
      </c>
      <c r="G10" s="201">
        <f>'Income Statement'!G26</f>
        <v>64.040999999999997</v>
      </c>
      <c r="H10" s="242">
        <f>Assumptions!I52</f>
        <v>42.888888302365217</v>
      </c>
      <c r="I10" s="202">
        <f>Assumptions!J52</f>
        <v>52.740889423386406</v>
      </c>
      <c r="J10" s="202">
        <f>Assumptions!K52</f>
        <v>99.984827562538442</v>
      </c>
      <c r="K10" s="202">
        <f>Assumptions!L52</f>
        <v>73.049856774654245</v>
      </c>
      <c r="L10" s="202">
        <f>Assumptions!M52</f>
        <v>109.10941747726315</v>
      </c>
      <c r="M10" s="203">
        <f>Assumptions!N52</f>
        <v>149.05121038263664</v>
      </c>
      <c r="O10" s="242">
        <f t="shared" si="7"/>
        <v>61.45216666666667</v>
      </c>
      <c r="P10" s="202">
        <f t="shared" si="8"/>
        <v>60.557000000000002</v>
      </c>
      <c r="Q10" s="203">
        <f t="shared" si="9"/>
        <v>64.040999999999997</v>
      </c>
    </row>
    <row r="11" spans="1:17" ht="15" thickBot="1">
      <c r="A11" s="190" t="s">
        <v>685</v>
      </c>
      <c r="B11" s="202">
        <f>'Income Statement'!B28</f>
        <v>-3</v>
      </c>
      <c r="C11" s="202">
        <f>'Income Statement'!C28</f>
        <v>-4.5999999999999996</v>
      </c>
      <c r="D11" s="202">
        <f>'Income Statement'!D28</f>
        <v>-6.3</v>
      </c>
      <c r="E11" s="202">
        <f>'Income Statement'!E28</f>
        <v>-6.6</v>
      </c>
      <c r="F11" s="202">
        <f>'Income Statement'!F28</f>
        <v>-4.8</v>
      </c>
      <c r="G11" s="202">
        <f>'Income Statement'!G28</f>
        <v>-7.2</v>
      </c>
      <c r="H11" s="240">
        <f>O11</f>
        <v>-5.416666666666667</v>
      </c>
      <c r="I11" s="234">
        <f>H11</f>
        <v>-5.416666666666667</v>
      </c>
      <c r="J11" s="234">
        <f>I11</f>
        <v>-5.416666666666667</v>
      </c>
      <c r="K11" s="234">
        <f>J11</f>
        <v>-5.416666666666667</v>
      </c>
      <c r="L11" s="234">
        <f>K11</f>
        <v>-5.416666666666667</v>
      </c>
      <c r="M11" s="235">
        <f>L11</f>
        <v>-5.416666666666667</v>
      </c>
      <c r="O11" s="240">
        <f>AVERAGE(B11:G11)</f>
        <v>-5.416666666666667</v>
      </c>
      <c r="P11" s="234">
        <f>MEDIAN(B11:G11)</f>
        <v>-5.55</v>
      </c>
      <c r="Q11" s="235">
        <f t="shared" ref="Q11:Q20" si="10">G11</f>
        <v>-7.2</v>
      </c>
    </row>
    <row r="12" spans="1:17" ht="15" thickBot="1">
      <c r="A12" s="190" t="s">
        <v>675</v>
      </c>
      <c r="B12" s="202">
        <f>B18</f>
        <v>2.0419999999999998</v>
      </c>
      <c r="C12" s="202">
        <f t="shared" ref="C12:G12" si="11">C18</f>
        <v>2.7069999999999999</v>
      </c>
      <c r="D12" s="202">
        <f t="shared" si="11"/>
        <v>5.4329999999999998</v>
      </c>
      <c r="E12" s="202">
        <f t="shared" si="11"/>
        <v>9.2430000000000003</v>
      </c>
      <c r="F12" s="202">
        <f t="shared" si="11"/>
        <v>9.35</v>
      </c>
      <c r="G12" s="202">
        <f t="shared" si="11"/>
        <v>11.94</v>
      </c>
      <c r="H12" s="242">
        <f>H18</f>
        <v>12.935300202521647</v>
      </c>
      <c r="I12" s="242">
        <f t="shared" ref="I12:M12" si="12">I18</f>
        <v>15.906666380109446</v>
      </c>
      <c r="J12" s="242">
        <f t="shared" si="12"/>
        <v>30.155450780184282</v>
      </c>
      <c r="K12" s="242">
        <f t="shared" si="12"/>
        <v>22.031856374305985</v>
      </c>
      <c r="L12" s="242">
        <f t="shared" si="12"/>
        <v>32.907429543069505</v>
      </c>
      <c r="M12" s="242">
        <f t="shared" si="12"/>
        <v>44.953884984290696</v>
      </c>
      <c r="O12" s="242">
        <f>AVERAGE(B12:G12)</f>
        <v>6.7858333333333327</v>
      </c>
      <c r="P12" s="202">
        <f>MEDIAN(B12:G12)</f>
        <v>7.3380000000000001</v>
      </c>
      <c r="Q12" s="203">
        <f t="shared" si="10"/>
        <v>11.94</v>
      </c>
    </row>
    <row r="13" spans="1:17" ht="17" thickBot="1">
      <c r="A13" s="219" t="s">
        <v>34</v>
      </c>
      <c r="B13" s="221">
        <f>B6-B8</f>
        <v>-28.210999999999999</v>
      </c>
      <c r="C13" s="221">
        <f t="shared" ref="C13:G13" si="13">C6-C8</f>
        <v>11.529000000000003</v>
      </c>
      <c r="D13" s="221">
        <f t="shared" si="13"/>
        <v>21.513999999999996</v>
      </c>
      <c r="E13" s="221">
        <f t="shared" si="13"/>
        <v>-92.89500000000001</v>
      </c>
      <c r="F13" s="221">
        <f t="shared" si="13"/>
        <v>-97.234999999999985</v>
      </c>
      <c r="G13" s="221">
        <f t="shared" si="13"/>
        <v>-38.182000000000002</v>
      </c>
      <c r="H13" s="261">
        <f t="shared" ref="H13:M13" si="14">H6-H8</f>
        <v>-22.095875263808061</v>
      </c>
      <c r="I13" s="212">
        <f t="shared" si="14"/>
        <v>-26.563382223971317</v>
      </c>
      <c r="J13" s="212">
        <f t="shared" si="14"/>
        <v>-41.516005908738151</v>
      </c>
      <c r="K13" s="212">
        <f t="shared" si="14"/>
        <v>-31.881690435388677</v>
      </c>
      <c r="L13" s="212">
        <f t="shared" si="14"/>
        <v>-42.058138163174277</v>
      </c>
      <c r="M13" s="213">
        <f t="shared" si="14"/>
        <v>-51.094571383660423</v>
      </c>
      <c r="O13" s="249">
        <f>AVERAGE(B13:G13)</f>
        <v>-37.24666666666667</v>
      </c>
      <c r="P13" s="204">
        <f>MEDIAN(B13:G13)</f>
        <v>-33.1965</v>
      </c>
      <c r="Q13" s="205">
        <f t="shared" si="10"/>
        <v>-38.182000000000002</v>
      </c>
    </row>
    <row r="14" spans="1:17" ht="17" thickBot="1">
      <c r="A14" s="219" t="s">
        <v>690</v>
      </c>
      <c r="B14" s="220">
        <f>'Income Statement'!B47</f>
        <v>-13.1</v>
      </c>
      <c r="C14" s="220">
        <f>'Income Statement'!C47</f>
        <v>-9.9</v>
      </c>
      <c r="D14" s="220">
        <f>'Income Statement'!D47</f>
        <v>-4.9000000000000004</v>
      </c>
      <c r="E14" s="220">
        <f>'Income Statement'!E47</f>
        <v>-18.8</v>
      </c>
      <c r="F14" s="220">
        <f>'Income Statement'!F47</f>
        <v>-6.9</v>
      </c>
      <c r="G14" s="220">
        <f>'Income Statement'!G47</f>
        <v>48.139000000000003</v>
      </c>
      <c r="H14" s="263">
        <f t="shared" ref="H14:M14" si="15">H15*H49</f>
        <v>-20.027544161770233</v>
      </c>
      <c r="I14" s="210">
        <f t="shared" si="15"/>
        <v>-24.163442948473424</v>
      </c>
      <c r="J14" s="210">
        <f t="shared" si="15"/>
        <v>-42.522827553236517</v>
      </c>
      <c r="K14" s="210">
        <f t="shared" si="15"/>
        <v>-31.802989839971854</v>
      </c>
      <c r="L14" s="210">
        <f t="shared" si="15"/>
        <v>-45.534445815896547</v>
      </c>
      <c r="M14" s="211">
        <f t="shared" si="15"/>
        <v>-60.235069545562006</v>
      </c>
      <c r="O14" s="248">
        <f>AVERAGE(B14:G14)</f>
        <v>-0.91016666666666646</v>
      </c>
      <c r="P14" s="197">
        <f>MEDIAN(B14:G14)</f>
        <v>-8.4</v>
      </c>
      <c r="Q14" s="198">
        <f t="shared" si="10"/>
        <v>48.139000000000003</v>
      </c>
    </row>
    <row r="15" spans="1:17" ht="17" thickBot="1">
      <c r="A15" s="226" t="s">
        <v>691</v>
      </c>
      <c r="B15" s="194">
        <f>ABS(B14/B13)</f>
        <v>0.46435787458792671</v>
      </c>
      <c r="C15" s="194">
        <f t="shared" ref="C15:G15" si="16">ABS(C14/C13)</f>
        <v>0.85870413739266171</v>
      </c>
      <c r="D15" s="194">
        <f t="shared" si="16"/>
        <v>0.22775866877382175</v>
      </c>
      <c r="E15" s="194">
        <f t="shared" si="16"/>
        <v>0.20237903008773345</v>
      </c>
      <c r="F15" s="194">
        <f t="shared" si="16"/>
        <v>7.0962102123720894E-2</v>
      </c>
      <c r="G15" s="194">
        <f t="shared" si="16"/>
        <v>1.2607773296317637</v>
      </c>
      <c r="H15" s="253">
        <f>$P$15</f>
        <v>0.22775866877382175</v>
      </c>
      <c r="I15" s="251">
        <f>$P$15</f>
        <v>0.22775866877382175</v>
      </c>
      <c r="J15" s="251">
        <f t="shared" ref="J15:M15" si="17">$P$15</f>
        <v>0.22775866877382175</v>
      </c>
      <c r="K15" s="251">
        <f t="shared" si="17"/>
        <v>0.22775866877382175</v>
      </c>
      <c r="L15" s="251">
        <f t="shared" si="17"/>
        <v>0.22775866877382175</v>
      </c>
      <c r="M15" s="254">
        <f t="shared" si="17"/>
        <v>0.22775866877382175</v>
      </c>
      <c r="O15" s="176">
        <f>AVERAGE(B15:F15)</f>
        <v>0.36483236259317292</v>
      </c>
      <c r="P15" s="177">
        <f>MEDIAN(B15:F15)</f>
        <v>0.22775866877382175</v>
      </c>
      <c r="Q15" s="178">
        <f t="shared" si="10"/>
        <v>1.2607773296317637</v>
      </c>
    </row>
    <row r="16" spans="1:17" ht="17" customHeight="1">
      <c r="A16" s="217" t="s">
        <v>36</v>
      </c>
      <c r="B16" s="222">
        <f>B13-B14</f>
        <v>-15.110999999999999</v>
      </c>
      <c r="C16" s="222">
        <f t="shared" ref="C16:F16" si="18">C13-C14</f>
        <v>21.429000000000002</v>
      </c>
      <c r="D16" s="222">
        <f t="shared" si="18"/>
        <v>26.413999999999994</v>
      </c>
      <c r="E16" s="222">
        <f t="shared" si="18"/>
        <v>-74.095000000000013</v>
      </c>
      <c r="F16" s="222">
        <f t="shared" si="18"/>
        <v>-90.33499999999998</v>
      </c>
      <c r="G16" s="222">
        <f>G13-G14</f>
        <v>-86.320999999999998</v>
      </c>
      <c r="H16" s="269">
        <f>H13-H14</f>
        <v>-2.0683311020378277</v>
      </c>
      <c r="I16" s="214">
        <f>I13-I14</f>
        <v>-2.3999392754978928</v>
      </c>
      <c r="J16" s="214">
        <f t="shared" ref="J16:M16" si="19">J13-J14</f>
        <v>1.0068216444983662</v>
      </c>
      <c r="K16" s="214">
        <f t="shared" si="19"/>
        <v>-7.8700595416822949E-2</v>
      </c>
      <c r="L16" s="214">
        <f t="shared" si="19"/>
        <v>3.4763076527222694</v>
      </c>
      <c r="M16" s="215">
        <f t="shared" si="19"/>
        <v>9.1404981619015828</v>
      </c>
      <c r="O16" s="243">
        <f t="shared" ref="O16:O29" si="20">AVERAGE(B16:G16)</f>
        <v>-36.336499999999994</v>
      </c>
      <c r="P16" s="195">
        <f t="shared" ref="P16:P29" si="21">MEDIAN(B16:G16)</f>
        <v>-44.603000000000009</v>
      </c>
      <c r="Q16" s="196">
        <f t="shared" si="10"/>
        <v>-86.320999999999998</v>
      </c>
    </row>
    <row r="17" spans="1:17" s="179" customFormat="1" ht="13" thickBot="1">
      <c r="A17" s="228" t="s">
        <v>683</v>
      </c>
      <c r="B17" s="177">
        <f t="shared" ref="B17:M17" si="22">B16/B2</f>
        <v>-0.47159977529492536</v>
      </c>
      <c r="C17" s="177">
        <f t="shared" si="22"/>
        <v>0.37025710138917689</v>
      </c>
      <c r="D17" s="177">
        <f t="shared" si="22"/>
        <v>0.273663489432242</v>
      </c>
      <c r="E17" s="177">
        <f t="shared" si="22"/>
        <v>-8.2054263565891485</v>
      </c>
      <c r="F17" s="177">
        <f t="shared" si="22"/>
        <v>-3.9851332274572075</v>
      </c>
      <c r="G17" s="177">
        <f t="shared" si="22"/>
        <v>-1.2884308252608325</v>
      </c>
      <c r="H17" s="180">
        <f t="shared" si="22"/>
        <v>-2.913697988618822E-2</v>
      </c>
      <c r="I17" s="181">
        <f t="shared" si="22"/>
        <v>-2.7492995721771756E-2</v>
      </c>
      <c r="J17" s="181">
        <f t="shared" si="22"/>
        <v>6.0839789432619602E-3</v>
      </c>
      <c r="K17" s="181">
        <f t="shared" si="22"/>
        <v>-6.5092044122036171E-4</v>
      </c>
      <c r="L17" s="181">
        <f t="shared" si="22"/>
        <v>1.9249755965028096E-2</v>
      </c>
      <c r="M17" s="182">
        <f t="shared" si="22"/>
        <v>3.7051314413660663E-2</v>
      </c>
      <c r="O17" s="180">
        <f t="shared" si="20"/>
        <v>-2.2177782656301157</v>
      </c>
      <c r="P17" s="181">
        <f t="shared" si="21"/>
        <v>-0.880015300277879</v>
      </c>
      <c r="Q17" s="182">
        <f t="shared" si="10"/>
        <v>-1.2884308252608325</v>
      </c>
    </row>
    <row r="18" spans="1:17" ht="14">
      <c r="A18" s="189" t="s">
        <v>746</v>
      </c>
      <c r="B18" s="199">
        <f>'Cash Flow'!B21</f>
        <v>2.0419999999999998</v>
      </c>
      <c r="C18" s="199">
        <f>'Cash Flow'!C21</f>
        <v>2.7069999999999999</v>
      </c>
      <c r="D18" s="199">
        <f>'Cash Flow'!D21</f>
        <v>5.4329999999999998</v>
      </c>
      <c r="E18" s="199">
        <f>'Cash Flow'!E21</f>
        <v>9.2430000000000003</v>
      </c>
      <c r="F18" s="199">
        <f>'Cash Flow'!F21</f>
        <v>9.35</v>
      </c>
      <c r="G18" s="199">
        <f>'Cash Flow'!G21</f>
        <v>11.94</v>
      </c>
      <c r="H18" s="239">
        <f>Assumptions!I68</f>
        <v>12.935300202521647</v>
      </c>
      <c r="I18" s="239">
        <f>Assumptions!J68</f>
        <v>15.906666380109446</v>
      </c>
      <c r="J18" s="239">
        <f>Assumptions!K68</f>
        <v>30.155450780184282</v>
      </c>
      <c r="K18" s="239">
        <f>Assumptions!L68</f>
        <v>22.031856374305985</v>
      </c>
      <c r="L18" s="239">
        <f>Assumptions!M68</f>
        <v>32.907429543069505</v>
      </c>
      <c r="M18" s="239">
        <f>Assumptions!N68</f>
        <v>44.953884984290696</v>
      </c>
      <c r="O18" s="239">
        <f t="shared" si="20"/>
        <v>6.7858333333333327</v>
      </c>
      <c r="P18" s="199">
        <f t="shared" si="21"/>
        <v>7.3380000000000001</v>
      </c>
      <c r="Q18" s="200">
        <f t="shared" si="10"/>
        <v>11.94</v>
      </c>
    </row>
    <row r="19" spans="1:17" ht="14">
      <c r="A19" s="229" t="s">
        <v>683</v>
      </c>
      <c r="B19" s="177">
        <f t="shared" ref="B19:M19" si="23">B18/B2</f>
        <v>6.3728855876661869E-2</v>
      </c>
      <c r="C19" s="177">
        <f t="shared" si="23"/>
        <v>4.6772409979957151E-2</v>
      </c>
      <c r="D19" s="177">
        <f t="shared" si="23"/>
        <v>5.6288852051388311E-2</v>
      </c>
      <c r="E19" s="177">
        <f t="shared" si="23"/>
        <v>1.0235880398671098</v>
      </c>
      <c r="F19" s="177">
        <f t="shared" si="23"/>
        <v>0.41247573672136933</v>
      </c>
      <c r="G19" s="177">
        <f t="shared" si="23"/>
        <v>0.17821693508664566</v>
      </c>
      <c r="H19" s="176">
        <f t="shared" si="23"/>
        <v>0.18222207336694907</v>
      </c>
      <c r="I19" s="177">
        <f t="shared" si="23"/>
        <v>0.18222207336694907</v>
      </c>
      <c r="J19" s="177">
        <f t="shared" si="23"/>
        <v>0.18222207336694909</v>
      </c>
      <c r="K19" s="177">
        <f t="shared" si="23"/>
        <v>0.18222207336694909</v>
      </c>
      <c r="L19" s="177">
        <f t="shared" si="23"/>
        <v>0.18222207336694909</v>
      </c>
      <c r="M19" s="178">
        <f t="shared" si="23"/>
        <v>0.18222207336694907</v>
      </c>
      <c r="O19" s="176">
        <f t="shared" si="20"/>
        <v>0.29684513826385533</v>
      </c>
      <c r="P19" s="177">
        <f t="shared" si="21"/>
        <v>0.12097289548165377</v>
      </c>
      <c r="Q19" s="178">
        <f t="shared" si="10"/>
        <v>0.17821693508664566</v>
      </c>
    </row>
    <row r="20" spans="1:17" ht="14">
      <c r="A20" s="190" t="s">
        <v>692</v>
      </c>
      <c r="B20" s="202">
        <f>'Cash Flow'!B24</f>
        <v>1.0209999999999999</v>
      </c>
      <c r="C20" s="202">
        <f>'Cash Flow'!C24</f>
        <v>1.181</v>
      </c>
      <c r="D20" s="202">
        <f>'Cash Flow'!D24</f>
        <v>4.8979999999999997</v>
      </c>
      <c r="E20" s="202">
        <f>'Cash Flow'!E24</f>
        <v>7.2670000000000003</v>
      </c>
      <c r="F20" s="202">
        <f>'Cash Flow'!F24</f>
        <v>1.0649999999999999</v>
      </c>
      <c r="G20" s="202">
        <v>0</v>
      </c>
      <c r="H20" s="242">
        <f t="shared" ref="H20:M20" si="24">H21*H2</f>
        <v>3.3351235900150669</v>
      </c>
      <c r="I20" s="202">
        <f t="shared" si="24"/>
        <v>4.1012344091141166</v>
      </c>
      <c r="J20" s="202">
        <f t="shared" si="24"/>
        <v>7.7750151670175383</v>
      </c>
      <c r="K20" s="202">
        <f t="shared" si="24"/>
        <v>5.6804993139198645</v>
      </c>
      <c r="L20" s="202">
        <f t="shared" si="24"/>
        <v>8.484561072224265</v>
      </c>
      <c r="M20" s="203">
        <f t="shared" si="24"/>
        <v>11.59051277717581</v>
      </c>
      <c r="O20" s="242">
        <f t="shared" si="20"/>
        <v>2.5720000000000001</v>
      </c>
      <c r="P20" s="202">
        <f t="shared" si="21"/>
        <v>1.123</v>
      </c>
      <c r="Q20" s="203">
        <f t="shared" si="10"/>
        <v>0</v>
      </c>
    </row>
    <row r="21" spans="1:17" ht="14">
      <c r="A21" s="229" t="s">
        <v>683</v>
      </c>
      <c r="B21" s="177">
        <f>B20/B2</f>
        <v>3.1864427938330935E-2</v>
      </c>
      <c r="C21" s="177">
        <f>C20/C2</f>
        <v>2.0405694933996823E-2</v>
      </c>
      <c r="D21" s="177">
        <f>D20/D2</f>
        <v>5.0745959386655617E-2</v>
      </c>
      <c r="E21" s="177">
        <f>E20/E2</f>
        <v>0.8047619047619049</v>
      </c>
      <c r="F21" s="177">
        <f>F20/F2</f>
        <v>4.6982530439385918E-2</v>
      </c>
      <c r="G21" s="177"/>
      <c r="H21" s="244">
        <f t="shared" ref="H21:M21" si="25">$P$21</f>
        <v>4.6982530439385918E-2</v>
      </c>
      <c r="I21" s="202">
        <f t="shared" si="25"/>
        <v>4.6982530439385918E-2</v>
      </c>
      <c r="J21" s="202">
        <f t="shared" si="25"/>
        <v>4.6982530439385918E-2</v>
      </c>
      <c r="K21" s="202">
        <f t="shared" si="25"/>
        <v>4.6982530439385918E-2</v>
      </c>
      <c r="L21" s="202">
        <f t="shared" si="25"/>
        <v>4.6982530439385918E-2</v>
      </c>
      <c r="M21" s="203">
        <f t="shared" si="25"/>
        <v>4.6982530439385918E-2</v>
      </c>
      <c r="O21" s="242">
        <f t="shared" si="20"/>
        <v>0.19095210349205485</v>
      </c>
      <c r="P21" s="202">
        <f t="shared" si="21"/>
        <v>4.6982530439385918E-2</v>
      </c>
      <c r="Q21" s="203"/>
    </row>
    <row r="22" spans="1:17" ht="16" customHeight="1">
      <c r="A22" s="230" t="s">
        <v>693</v>
      </c>
      <c r="B22" s="227">
        <v>0</v>
      </c>
      <c r="C22" s="227">
        <v>0</v>
      </c>
      <c r="D22" s="227">
        <v>0</v>
      </c>
      <c r="E22" s="227">
        <v>0</v>
      </c>
      <c r="F22" s="227">
        <v>0</v>
      </c>
      <c r="G22" s="227">
        <v>0</v>
      </c>
      <c r="H22" s="242">
        <f t="shared" ref="H22:M22" si="26">$O$22</f>
        <v>0</v>
      </c>
      <c r="I22" s="202">
        <f t="shared" si="26"/>
        <v>0</v>
      </c>
      <c r="J22" s="202">
        <f t="shared" si="26"/>
        <v>0</v>
      </c>
      <c r="K22" s="202">
        <f t="shared" si="26"/>
        <v>0</v>
      </c>
      <c r="L22" s="202">
        <f t="shared" si="26"/>
        <v>0</v>
      </c>
      <c r="M22" s="203">
        <f t="shared" si="26"/>
        <v>0</v>
      </c>
      <c r="O22" s="242">
        <f t="shared" si="20"/>
        <v>0</v>
      </c>
      <c r="P22" s="202">
        <f t="shared" si="21"/>
        <v>0</v>
      </c>
      <c r="Q22" s="203">
        <f t="shared" ref="Q22:Q29" si="27">G22</f>
        <v>0</v>
      </c>
    </row>
    <row r="23" spans="1:17" s="184" customFormat="1" ht="16" customHeight="1">
      <c r="A23" s="231" t="s">
        <v>683</v>
      </c>
      <c r="B23" s="183">
        <f t="shared" ref="B23:M23" si="28">B22/B2</f>
        <v>0</v>
      </c>
      <c r="C23" s="183">
        <f t="shared" si="28"/>
        <v>0</v>
      </c>
      <c r="D23" s="183">
        <f t="shared" si="28"/>
        <v>0</v>
      </c>
      <c r="E23" s="183">
        <f t="shared" si="28"/>
        <v>0</v>
      </c>
      <c r="F23" s="183">
        <f t="shared" si="28"/>
        <v>0</v>
      </c>
      <c r="G23" s="183">
        <f t="shared" si="28"/>
        <v>0</v>
      </c>
      <c r="H23" s="241">
        <f t="shared" si="28"/>
        <v>0</v>
      </c>
      <c r="I23" s="183">
        <f t="shared" si="28"/>
        <v>0</v>
      </c>
      <c r="J23" s="183">
        <f t="shared" si="28"/>
        <v>0</v>
      </c>
      <c r="K23" s="183">
        <f t="shared" si="28"/>
        <v>0</v>
      </c>
      <c r="L23" s="183">
        <f t="shared" si="28"/>
        <v>0</v>
      </c>
      <c r="M23" s="232">
        <f t="shared" si="28"/>
        <v>0</v>
      </c>
      <c r="O23" s="241">
        <f t="shared" si="20"/>
        <v>0</v>
      </c>
      <c r="P23" s="183">
        <f t="shared" si="21"/>
        <v>0</v>
      </c>
      <c r="Q23" s="232">
        <f t="shared" si="27"/>
        <v>0</v>
      </c>
    </row>
    <row r="24" spans="1:17" ht="14">
      <c r="A24" s="190" t="s">
        <v>694</v>
      </c>
      <c r="B24" s="227">
        <v>0</v>
      </c>
      <c r="C24" s="227">
        <v>0</v>
      </c>
      <c r="D24" s="227">
        <v>0</v>
      </c>
      <c r="E24" s="227">
        <v>0</v>
      </c>
      <c r="F24" s="227">
        <v>0</v>
      </c>
      <c r="G24" s="227">
        <v>0</v>
      </c>
      <c r="H24" s="252">
        <v>0</v>
      </c>
      <c r="I24" s="227">
        <v>0</v>
      </c>
      <c r="J24" s="227">
        <v>0</v>
      </c>
      <c r="K24" s="227">
        <v>0</v>
      </c>
      <c r="L24" s="227">
        <v>0</v>
      </c>
      <c r="M24" s="233">
        <v>0</v>
      </c>
      <c r="O24" s="242">
        <f t="shared" si="20"/>
        <v>0</v>
      </c>
      <c r="P24" s="202">
        <f t="shared" si="21"/>
        <v>0</v>
      </c>
      <c r="Q24" s="203">
        <f t="shared" si="27"/>
        <v>0</v>
      </c>
    </row>
    <row r="25" spans="1:17" s="184" customFormat="1" ht="14">
      <c r="A25" s="231" t="s">
        <v>683</v>
      </c>
      <c r="B25" s="183">
        <f t="shared" ref="B25:M25" si="29">B24/B2</f>
        <v>0</v>
      </c>
      <c r="C25" s="183">
        <f t="shared" si="29"/>
        <v>0</v>
      </c>
      <c r="D25" s="183">
        <f t="shared" si="29"/>
        <v>0</v>
      </c>
      <c r="E25" s="183">
        <f t="shared" si="29"/>
        <v>0</v>
      </c>
      <c r="F25" s="183">
        <f t="shared" si="29"/>
        <v>0</v>
      </c>
      <c r="G25" s="183">
        <f t="shared" si="29"/>
        <v>0</v>
      </c>
      <c r="H25" s="241">
        <f t="shared" si="29"/>
        <v>0</v>
      </c>
      <c r="I25" s="183">
        <f t="shared" si="29"/>
        <v>0</v>
      </c>
      <c r="J25" s="183">
        <f t="shared" si="29"/>
        <v>0</v>
      </c>
      <c r="K25" s="183">
        <f t="shared" si="29"/>
        <v>0</v>
      </c>
      <c r="L25" s="183">
        <f t="shared" si="29"/>
        <v>0</v>
      </c>
      <c r="M25" s="232">
        <f t="shared" si="29"/>
        <v>0</v>
      </c>
      <c r="O25" s="241">
        <f t="shared" si="20"/>
        <v>0</v>
      </c>
      <c r="P25" s="183">
        <f t="shared" si="21"/>
        <v>0</v>
      </c>
      <c r="Q25" s="232">
        <f t="shared" si="27"/>
        <v>0</v>
      </c>
    </row>
    <row r="26" spans="1:17" ht="14">
      <c r="A26" s="190" t="s">
        <v>260</v>
      </c>
      <c r="B26" s="227">
        <f>'Cash Flow'!B26</f>
        <v>11.432</v>
      </c>
      <c r="C26" s="227">
        <f>'Cash Flow'!C26</f>
        <v>47.081000000000003</v>
      </c>
      <c r="D26" s="227">
        <f>'Cash Flow'!D26</f>
        <v>22.05</v>
      </c>
      <c r="E26" s="227">
        <f>'Cash Flow'!E26</f>
        <v>6.48</v>
      </c>
      <c r="F26" s="227">
        <f>'Cash Flow'!F26</f>
        <v>24.846</v>
      </c>
      <c r="G26" s="227">
        <f>'Cash Flow'!G26</f>
        <v>-9.1</v>
      </c>
      <c r="H26" s="242">
        <f t="shared" ref="H26:M26" si="30">$O26</f>
        <v>17.131500000000003</v>
      </c>
      <c r="I26" s="202">
        <f t="shared" si="30"/>
        <v>17.131500000000003</v>
      </c>
      <c r="J26" s="202">
        <f t="shared" si="30"/>
        <v>17.131500000000003</v>
      </c>
      <c r="K26" s="202">
        <f t="shared" si="30"/>
        <v>17.131500000000003</v>
      </c>
      <c r="L26" s="202">
        <f t="shared" si="30"/>
        <v>17.131500000000003</v>
      </c>
      <c r="M26" s="203">
        <f t="shared" si="30"/>
        <v>17.131500000000003</v>
      </c>
      <c r="O26" s="242">
        <f t="shared" si="20"/>
        <v>17.131500000000003</v>
      </c>
      <c r="P26" s="202">
        <f t="shared" si="21"/>
        <v>16.741</v>
      </c>
      <c r="Q26" s="203">
        <f t="shared" si="27"/>
        <v>-9.1</v>
      </c>
    </row>
    <row r="27" spans="1:17" ht="14">
      <c r="A27" s="229" t="s">
        <v>683</v>
      </c>
      <c r="B27" s="183">
        <f t="shared" ref="B27:G27" si="31">B26/B2</f>
        <v>0.35678172398726671</v>
      </c>
      <c r="C27" s="183">
        <f t="shared" si="31"/>
        <v>0.8134805446126202</v>
      </c>
      <c r="D27" s="183">
        <f t="shared" si="31"/>
        <v>0.22845006216328223</v>
      </c>
      <c r="E27" s="183">
        <f t="shared" si="31"/>
        <v>0.71760797342192706</v>
      </c>
      <c r="F27" s="183">
        <f t="shared" si="31"/>
        <v>1.0960825833774483</v>
      </c>
      <c r="G27" s="183">
        <f t="shared" si="31"/>
        <v>-0.135826977327343</v>
      </c>
      <c r="H27" s="241">
        <f t="shared" ref="H27:M27" si="32">$O$27</f>
        <v>0.51276265170586688</v>
      </c>
      <c r="I27" s="183">
        <f t="shared" si="32"/>
        <v>0.51276265170586688</v>
      </c>
      <c r="J27" s="183">
        <f t="shared" si="32"/>
        <v>0.51276265170586688</v>
      </c>
      <c r="K27" s="183">
        <f t="shared" si="32"/>
        <v>0.51276265170586688</v>
      </c>
      <c r="L27" s="183">
        <f t="shared" si="32"/>
        <v>0.51276265170586688</v>
      </c>
      <c r="M27" s="232">
        <f t="shared" si="32"/>
        <v>0.51276265170586688</v>
      </c>
      <c r="O27" s="241">
        <f t="shared" si="20"/>
        <v>0.51276265170586688</v>
      </c>
      <c r="P27" s="183">
        <f t="shared" si="21"/>
        <v>0.53719484870459688</v>
      </c>
      <c r="Q27" s="232">
        <f t="shared" si="27"/>
        <v>-0.135826977327343</v>
      </c>
    </row>
    <row r="28" spans="1:17" ht="15" thickBot="1">
      <c r="A28" s="190" t="s">
        <v>695</v>
      </c>
      <c r="B28" s="227">
        <v>0</v>
      </c>
      <c r="C28" s="227">
        <f>'Forecast NWC'!C21</f>
        <v>8.1880000000000024</v>
      </c>
      <c r="D28" s="227">
        <f>'Forecast NWC'!D21</f>
        <v>10.933999999999994</v>
      </c>
      <c r="E28" s="227">
        <f>'Forecast NWC'!E21</f>
        <v>35.311999999999998</v>
      </c>
      <c r="F28" s="227">
        <f>'Forecast NWC'!F21</f>
        <v>-58.360999999999997</v>
      </c>
      <c r="G28" s="227">
        <f>'Forecast NWC'!G21</f>
        <v>16.722000000000008</v>
      </c>
      <c r="H28" s="258">
        <f>'Forecast NWC'!J21</f>
        <v>36.278317116109818</v>
      </c>
      <c r="I28" s="259">
        <f>'Forecast NWC'!K21</f>
        <v>8.6312855927901637</v>
      </c>
      <c r="J28" s="259">
        <f>'Forecast NWC'!L21</f>
        <v>48.58812368911407</v>
      </c>
      <c r="K28" s="259">
        <f>'Forecast NWC'!M21</f>
        <v>-26.467187199667762</v>
      </c>
      <c r="L28" s="259">
        <f>'Forecast NWC'!N21</f>
        <v>38.460823923201872</v>
      </c>
      <c r="M28" s="260">
        <f>'Forecast NWC'!O21</f>
        <v>45.088476370590911</v>
      </c>
      <c r="O28" s="240">
        <f t="shared" si="20"/>
        <v>2.1325000000000016</v>
      </c>
      <c r="P28" s="234">
        <f t="shared" si="21"/>
        <v>9.5609999999999982</v>
      </c>
      <c r="Q28" s="235">
        <f t="shared" si="27"/>
        <v>16.722000000000008</v>
      </c>
    </row>
    <row r="29" spans="1:17" s="186" customFormat="1" ht="17" thickBot="1">
      <c r="A29" s="209" t="s">
        <v>677</v>
      </c>
      <c r="B29" s="236">
        <f>B16+B18+B20+B22-B28+B26</f>
        <v>-0.61599999999999788</v>
      </c>
      <c r="C29" s="236">
        <f>C16+C18+C20+C22-C28+C26+C24</f>
        <v>64.210000000000008</v>
      </c>
      <c r="D29" s="236">
        <f>D16+D18+D20+D22-D28+D26+D24</f>
        <v>47.860999999999997</v>
      </c>
      <c r="E29" s="236">
        <f>E16+E18+E20+E22-E28+E26+E24</f>
        <v>-86.417000000000016</v>
      </c>
      <c r="F29" s="236">
        <f>F16+F18+F20+F22-F28+F26+F24</f>
        <v>3.2870000000000097</v>
      </c>
      <c r="G29" s="236">
        <f>G16+G18+G20+G22-G28+G26+G24</f>
        <v>-100.203</v>
      </c>
      <c r="H29" s="261">
        <f t="shared" ref="H29:M29" si="33">H18+H20+H22+H24+H26-H28+H16</f>
        <v>-4.9447244256109251</v>
      </c>
      <c r="I29" s="212">
        <f t="shared" si="33"/>
        <v>26.108175920935508</v>
      </c>
      <c r="J29" s="212">
        <f t="shared" si="33"/>
        <v>7.4806639025861159</v>
      </c>
      <c r="K29" s="212">
        <f t="shared" si="33"/>
        <v>71.232342292476801</v>
      </c>
      <c r="L29" s="212">
        <f t="shared" si="33"/>
        <v>23.538974344814172</v>
      </c>
      <c r="M29" s="213">
        <f t="shared" si="33"/>
        <v>37.727919552777173</v>
      </c>
      <c r="O29" s="204">
        <f t="shared" si="20"/>
        <v>-11.979666666666667</v>
      </c>
      <c r="P29" s="204">
        <f t="shared" si="21"/>
        <v>1.3355000000000059</v>
      </c>
      <c r="Q29" s="205">
        <f t="shared" si="27"/>
        <v>-100.203</v>
      </c>
    </row>
    <row r="30" spans="1:17" ht="17" thickBot="1">
      <c r="A30" s="209" t="s">
        <v>678</v>
      </c>
      <c r="B30" s="210">
        <f>'Cash Flow'!B35</f>
        <v>-14.8</v>
      </c>
      <c r="C30" s="210">
        <f>'Cash Flow'!C35</f>
        <v>-10</v>
      </c>
      <c r="D30" s="210">
        <f>'Cash Flow'!D35</f>
        <v>-11.1</v>
      </c>
      <c r="E30" s="210">
        <f>'Cash Flow'!E35</f>
        <v>-10.6</v>
      </c>
      <c r="F30" s="210">
        <f>'Cash Flow'!F35</f>
        <v>-11.5</v>
      </c>
      <c r="G30" s="210">
        <f>0</f>
        <v>0</v>
      </c>
      <c r="H30" s="263">
        <f>Assumptions!I65</f>
        <v>-17.846026626081049</v>
      </c>
      <c r="I30" s="210">
        <f>Assumptions!J65</f>
        <v>-21.945435150881366</v>
      </c>
      <c r="J30" s="210">
        <f>Assumptions!K65</f>
        <v>-41.603593973005403</v>
      </c>
      <c r="K30" s="210">
        <f>Assumptions!L65</f>
        <v>-30.395977621084519</v>
      </c>
      <c r="L30" s="210">
        <f>Assumptions!M65</f>
        <v>-45.400327369829483</v>
      </c>
      <c r="M30" s="211">
        <f>Assumptions!N65</f>
        <v>-62.02007033582754</v>
      </c>
      <c r="O30" s="248">
        <f t="shared" ref="O30:O31" si="34">AVERAGE(B30:G30)</f>
        <v>-9.6666666666666661</v>
      </c>
      <c r="P30" s="197">
        <f t="shared" ref="P30:P31" si="35">MEDIAN(B30:G30)</f>
        <v>-10.85</v>
      </c>
      <c r="Q30" s="198">
        <f t="shared" ref="Q30:Q31" si="36">G30</f>
        <v>0</v>
      </c>
    </row>
    <row r="31" spans="1:17" ht="17" thickBot="1">
      <c r="A31" s="237" t="s">
        <v>679</v>
      </c>
      <c r="B31" s="238">
        <f t="shared" ref="B31:H31" si="37">B29-B30</f>
        <v>14.184000000000003</v>
      </c>
      <c r="C31" s="238">
        <f t="shared" si="37"/>
        <v>74.210000000000008</v>
      </c>
      <c r="D31" s="238">
        <f t="shared" si="37"/>
        <v>58.960999999999999</v>
      </c>
      <c r="E31" s="238">
        <f t="shared" si="37"/>
        <v>-75.817000000000021</v>
      </c>
      <c r="F31" s="238">
        <f t="shared" si="37"/>
        <v>14.78700000000001</v>
      </c>
      <c r="G31" s="238">
        <f t="shared" si="37"/>
        <v>-100.203</v>
      </c>
      <c r="H31" s="270">
        <f t="shared" si="37"/>
        <v>12.901302200470123</v>
      </c>
      <c r="I31" s="270">
        <f t="shared" ref="I31:M31" si="38">I29-I30</f>
        <v>48.053611071816874</v>
      </c>
      <c r="J31" s="270">
        <f t="shared" si="38"/>
        <v>49.084257875591518</v>
      </c>
      <c r="K31" s="270">
        <f t="shared" si="38"/>
        <v>101.62831991356131</v>
      </c>
      <c r="L31" s="270">
        <f t="shared" si="38"/>
        <v>68.939301714643648</v>
      </c>
      <c r="M31" s="602">
        <f t="shared" si="38"/>
        <v>99.747989888604707</v>
      </c>
      <c r="O31" s="245">
        <f t="shared" si="34"/>
        <v>-2.3130000000000002</v>
      </c>
      <c r="P31" s="246">
        <f t="shared" si="35"/>
        <v>14.485500000000005</v>
      </c>
      <c r="Q31" s="247">
        <f t="shared" si="36"/>
        <v>-100.203</v>
      </c>
    </row>
    <row r="32" spans="1:17" ht="11" customHeight="1">
      <c r="A32" s="726" t="s">
        <v>680</v>
      </c>
      <c r="B32" s="688"/>
      <c r="C32" s="688"/>
      <c r="D32" s="688"/>
      <c r="E32" s="688"/>
      <c r="F32" s="688"/>
      <c r="G32" s="688"/>
      <c r="H32" s="689">
        <v>1</v>
      </c>
      <c r="I32" s="689">
        <v>2</v>
      </c>
      <c r="J32" s="689">
        <v>3</v>
      </c>
      <c r="K32" s="689">
        <v>4</v>
      </c>
      <c r="L32" s="689">
        <v>5</v>
      </c>
      <c r="M32" s="690">
        <v>6</v>
      </c>
    </row>
    <row r="33" spans="1:17" ht="20" thickBot="1">
      <c r="A33" s="727"/>
      <c r="B33" s="691"/>
      <c r="C33" s="691"/>
      <c r="D33" s="691"/>
      <c r="E33" s="691"/>
      <c r="F33" s="691"/>
      <c r="G33" s="691"/>
      <c r="H33" s="692">
        <f>H31/((1+WACC!$F$7)^(FCFF!H41))</f>
        <v>12.901302200470123</v>
      </c>
      <c r="I33" s="692">
        <f>I31/((1+WACC!$F$7)^(FCFF!I41))</f>
        <v>48.053611071816874</v>
      </c>
      <c r="J33" s="692">
        <f>J31/((1+WACC!$F$7)^(FCFF!J41))</f>
        <v>49.084257875591518</v>
      </c>
      <c r="K33" s="692">
        <f>K31/((1+WACC!$F$7)^(FCFF!K41))</f>
        <v>101.62831991356131</v>
      </c>
      <c r="L33" s="692">
        <f>L31/((1+WACC!$F$7)^(FCFF!L41))</f>
        <v>68.939301714643648</v>
      </c>
      <c r="M33" s="693">
        <f>M31/((1+WACC!$F$7)^(FCFF!M41))</f>
        <v>99.747989888604707</v>
      </c>
    </row>
    <row r="42" spans="1:17" ht="12" thickBot="1"/>
    <row r="43" spans="1:17" ht="16" customHeight="1">
      <c r="A43" s="217" t="s">
        <v>686</v>
      </c>
      <c r="B43" s="218">
        <f>-SUM('Income Statement'!B38:B39,'Income Statement'!B42:B44,'Income Statement'!B50)</f>
        <v>20.335000000000001</v>
      </c>
      <c r="C43" s="218">
        <f>-SUM('Income Statement'!C38:C39,'Income Statement'!C42:C44,'Income Statement'!C50)</f>
        <v>33.057000000000002</v>
      </c>
      <c r="D43" s="218">
        <f>-SUM('Income Statement'!D38:D39,'Income Statement'!D42:D44,'Income Statement'!D50)</f>
        <v>55.037000000000006</v>
      </c>
      <c r="E43" s="218">
        <f>-SUM('Income Statement'!E38:E39,'Income Statement'!E42:E44,'Income Statement'!E50)</f>
        <v>23.658000000000001</v>
      </c>
      <c r="F43" s="218">
        <f>-SUM('Income Statement'!F38:F39,'Income Statement'!F42:F44,'Income Statement'!F50)</f>
        <v>24.139000000000003</v>
      </c>
      <c r="G43" s="218">
        <f>-SUM('Income Statement'!G38:G39,'Income Statement'!G42:G44,'Income Statement'!G50)</f>
        <v>-28.335000000000001</v>
      </c>
      <c r="H43" s="264">
        <f t="shared" ref="H43:M43" si="39">H2*H44</f>
        <v>59.603972034761611</v>
      </c>
      <c r="I43" s="265">
        <f t="shared" si="39"/>
        <v>73.29559293115598</v>
      </c>
      <c r="J43" s="265">
        <f t="shared" si="39"/>
        <v>138.95190810085305</v>
      </c>
      <c r="K43" s="265">
        <f t="shared" si="39"/>
        <v>101.5195728470238</v>
      </c>
      <c r="L43" s="265">
        <f t="shared" si="39"/>
        <v>151.63262386741039</v>
      </c>
      <c r="M43" s="266">
        <f t="shared" si="39"/>
        <v>207.14092920203089</v>
      </c>
      <c r="O43" s="239">
        <f>AVERAGE(B43:G43)</f>
        <v>21.315166666666666</v>
      </c>
      <c r="P43" s="199">
        <f>MEDIAN(B43:G43)</f>
        <v>23.898500000000002</v>
      </c>
      <c r="Q43" s="200">
        <f>G43</f>
        <v>-28.335000000000001</v>
      </c>
    </row>
    <row r="44" spans="1:17" s="179" customFormat="1" ht="15" customHeight="1" thickBot="1">
      <c r="A44" s="224"/>
      <c r="B44" s="181">
        <f t="shared" ref="B44:G44" si="40">B43/B2</f>
        <v>0.63463579052493602</v>
      </c>
      <c r="C44" s="181">
        <f t="shared" si="40"/>
        <v>0.57116939664109478</v>
      </c>
      <c r="D44" s="181">
        <f t="shared" si="40"/>
        <v>0.57021342726895985</v>
      </c>
      <c r="E44" s="181">
        <f t="shared" si="40"/>
        <v>2.6199335548172762</v>
      </c>
      <c r="F44" s="181">
        <f t="shared" si="40"/>
        <v>1.0648932415740253</v>
      </c>
      <c r="G44" s="181">
        <f t="shared" si="40"/>
        <v>-0.42292938489783127</v>
      </c>
      <c r="H44" s="180">
        <f t="shared" ref="H44:M44" si="41">$O$44</f>
        <v>0.83965267098807672</v>
      </c>
      <c r="I44" s="181">
        <f t="shared" si="41"/>
        <v>0.83965267098807672</v>
      </c>
      <c r="J44" s="181">
        <f t="shared" si="41"/>
        <v>0.83965267098807672</v>
      </c>
      <c r="K44" s="181">
        <f t="shared" si="41"/>
        <v>0.83965267098807672</v>
      </c>
      <c r="L44" s="181">
        <f t="shared" si="41"/>
        <v>0.83965267098807672</v>
      </c>
      <c r="M44" s="182">
        <f t="shared" si="41"/>
        <v>0.83965267098807672</v>
      </c>
      <c r="O44" s="176">
        <f>AVERAGE(B44:G44)</f>
        <v>0.83965267098807672</v>
      </c>
      <c r="P44" s="177">
        <f>MEDIAN(B44:G44)</f>
        <v>0.60290259358301546</v>
      </c>
      <c r="Q44" s="178">
        <f>G44</f>
        <v>-0.42292938489783127</v>
      </c>
    </row>
    <row r="45" spans="1:17" ht="16">
      <c r="A45" s="217" t="s">
        <v>687</v>
      </c>
      <c r="B45" s="218">
        <f t="shared" ref="B45:M45" si="42">B13-B43</f>
        <v>-48.545999999999999</v>
      </c>
      <c r="C45" s="218">
        <f t="shared" si="42"/>
        <v>-21.527999999999999</v>
      </c>
      <c r="D45" s="218">
        <f t="shared" si="42"/>
        <v>-33.52300000000001</v>
      </c>
      <c r="E45" s="218">
        <f t="shared" si="42"/>
        <v>-116.55300000000001</v>
      </c>
      <c r="F45" s="218">
        <f t="shared" si="42"/>
        <v>-121.374</v>
      </c>
      <c r="G45" s="218">
        <f t="shared" si="42"/>
        <v>-9.8470000000000013</v>
      </c>
      <c r="H45" s="262">
        <f t="shared" si="42"/>
        <v>-81.699847298569665</v>
      </c>
      <c r="I45" s="207">
        <f t="shared" si="42"/>
        <v>-99.858975155127297</v>
      </c>
      <c r="J45" s="207">
        <f t="shared" si="42"/>
        <v>-180.4679140095912</v>
      </c>
      <c r="K45" s="207">
        <f t="shared" si="42"/>
        <v>-133.40126328241246</v>
      </c>
      <c r="L45" s="207">
        <f t="shared" si="42"/>
        <v>-193.69076203058466</v>
      </c>
      <c r="M45" s="208">
        <f t="shared" si="42"/>
        <v>-258.23550058569128</v>
      </c>
      <c r="O45" s="239">
        <f>AVERAGE(B45:G45)</f>
        <v>-58.561833333333333</v>
      </c>
      <c r="P45" s="199">
        <f>MEDIAN(B45:G45)</f>
        <v>-41.034500000000008</v>
      </c>
      <c r="Q45" s="200">
        <f>G45</f>
        <v>-9.8470000000000013</v>
      </c>
    </row>
    <row r="46" spans="1:17" s="179" customFormat="1" ht="13" thickBot="1">
      <c r="A46" s="185" t="s">
        <v>683</v>
      </c>
      <c r="B46" s="181"/>
      <c r="C46" s="181"/>
      <c r="D46" s="181"/>
      <c r="E46" s="181"/>
      <c r="F46" s="181"/>
      <c r="G46" s="181"/>
      <c r="H46" s="180"/>
      <c r="I46" s="181"/>
      <c r="J46" s="181"/>
      <c r="K46" s="181"/>
      <c r="L46" s="181"/>
      <c r="M46" s="182"/>
      <c r="O46" s="180"/>
      <c r="P46" s="181"/>
      <c r="Q46" s="182"/>
    </row>
    <row r="47" spans="1:17" ht="16">
      <c r="A47" s="217" t="s">
        <v>688</v>
      </c>
      <c r="B47" s="218">
        <f>-'Income Statement'!B36</f>
        <v>1.7</v>
      </c>
      <c r="C47" s="218">
        <f>-'Income Statement'!C36</f>
        <v>3.5</v>
      </c>
      <c r="D47" s="218">
        <f>-'Income Statement'!D36</f>
        <v>3.3</v>
      </c>
      <c r="E47" s="218">
        <f>-'Income Statement'!E36</f>
        <v>3.5</v>
      </c>
      <c r="F47" s="218">
        <f>-'Income Statement'!F36</f>
        <v>11.8</v>
      </c>
      <c r="G47" s="218">
        <f>-'Income Statement'!G36</f>
        <v>13.6</v>
      </c>
      <c r="H47" s="267">
        <f>O47</f>
        <v>6.2333333333333334</v>
      </c>
      <c r="I47" s="268">
        <f>$O$47</f>
        <v>6.2333333333333334</v>
      </c>
      <c r="J47" s="268">
        <f>$O$47</f>
        <v>6.2333333333333334</v>
      </c>
      <c r="K47" s="268">
        <f>$O$47</f>
        <v>6.2333333333333334</v>
      </c>
      <c r="L47" s="268">
        <f>$O$47</f>
        <v>6.2333333333333334</v>
      </c>
      <c r="M47" s="268">
        <f>$O$47</f>
        <v>6.2333333333333334</v>
      </c>
      <c r="O47" s="239">
        <f>AVERAGE(B47:G47)</f>
        <v>6.2333333333333334</v>
      </c>
      <c r="P47" s="199">
        <f>MEDIAN(B47:G47)</f>
        <v>3.5</v>
      </c>
      <c r="Q47" s="200">
        <f t="shared" ref="Q47:Q50" si="43">G47</f>
        <v>13.6</v>
      </c>
    </row>
    <row r="48" spans="1:17" s="184" customFormat="1" ht="13" thickBot="1">
      <c r="A48" s="191" t="s">
        <v>683</v>
      </c>
      <c r="B48" s="192">
        <f t="shared" ref="B48:M48" si="44">B47/B2</f>
        <v>5.3055364833655826E-2</v>
      </c>
      <c r="C48" s="192">
        <f t="shared" si="44"/>
        <v>6.0474117077890667E-2</v>
      </c>
      <c r="D48" s="192">
        <f t="shared" si="44"/>
        <v>3.4189805221715705E-2</v>
      </c>
      <c r="E48" s="192">
        <f t="shared" si="44"/>
        <v>0.38759689922480622</v>
      </c>
      <c r="F48" s="192">
        <f t="shared" si="44"/>
        <v>0.52055761425798486</v>
      </c>
      <c r="G48" s="192">
        <f t="shared" si="44"/>
        <v>0.20299416391778735</v>
      </c>
      <c r="H48" s="250">
        <f t="shared" si="44"/>
        <v>8.7810171097991954E-2</v>
      </c>
      <c r="I48" s="192">
        <f t="shared" si="44"/>
        <v>7.1407226180819711E-2</v>
      </c>
      <c r="J48" s="192">
        <f t="shared" si="44"/>
        <v>3.7666521129695901E-2</v>
      </c>
      <c r="K48" s="192">
        <f t="shared" si="44"/>
        <v>5.1554935030893236E-2</v>
      </c>
      <c r="L48" s="192">
        <f t="shared" si="44"/>
        <v>3.4516549598646265E-2</v>
      </c>
      <c r="M48" s="193">
        <f t="shared" si="44"/>
        <v>2.5267024738445706E-2</v>
      </c>
      <c r="O48" s="250">
        <f>AVERAGE(B48:G48)</f>
        <v>0.20981132742230679</v>
      </c>
      <c r="P48" s="192">
        <f>MEDIAN(B48:G48)</f>
        <v>0.13173414049783902</v>
      </c>
      <c r="Q48" s="193">
        <f t="shared" si="43"/>
        <v>0.20299416391778735</v>
      </c>
    </row>
    <row r="49" spans="1:17" ht="16">
      <c r="A49" s="217" t="s">
        <v>689</v>
      </c>
      <c r="B49" s="218">
        <f>B45-B47</f>
        <v>-50.246000000000002</v>
      </c>
      <c r="C49" s="218">
        <f t="shared" ref="C49:M49" si="45">C45-C47</f>
        <v>-25.027999999999999</v>
      </c>
      <c r="D49" s="218">
        <f t="shared" si="45"/>
        <v>-36.823000000000008</v>
      </c>
      <c r="E49" s="218">
        <f t="shared" si="45"/>
        <v>-120.05300000000001</v>
      </c>
      <c r="F49" s="218">
        <f>F45-F47</f>
        <v>-133.17400000000001</v>
      </c>
      <c r="G49" s="218">
        <f t="shared" si="45"/>
        <v>-23.447000000000003</v>
      </c>
      <c r="H49" s="262">
        <f t="shared" si="45"/>
        <v>-87.933180631902999</v>
      </c>
      <c r="I49" s="207">
        <f t="shared" si="45"/>
        <v>-106.09230848846063</v>
      </c>
      <c r="J49" s="207">
        <f t="shared" si="45"/>
        <v>-186.70124734292452</v>
      </c>
      <c r="K49" s="207">
        <f t="shared" si="45"/>
        <v>-139.63459661574578</v>
      </c>
      <c r="L49" s="207">
        <f t="shared" si="45"/>
        <v>-199.92409536391798</v>
      </c>
      <c r="M49" s="208">
        <f t="shared" si="45"/>
        <v>-264.46883391902463</v>
      </c>
      <c r="O49" s="239">
        <f>AVERAGE(B49:G49)</f>
        <v>-64.795166666666674</v>
      </c>
      <c r="P49" s="199">
        <f>MEDIAN(B49:G49)</f>
        <v>-43.534500000000008</v>
      </c>
      <c r="Q49" s="200">
        <f t="shared" si="43"/>
        <v>-23.447000000000003</v>
      </c>
    </row>
    <row r="50" spans="1:17" s="179" customFormat="1" ht="13" thickBot="1">
      <c r="A50" s="185" t="s">
        <v>683</v>
      </c>
      <c r="B50" s="181">
        <f t="shared" ref="B50:G50" si="46">B49/B2</f>
        <v>-1.5681293302540416</v>
      </c>
      <c r="C50" s="181">
        <f t="shared" si="46"/>
        <v>-0.43244177206441359</v>
      </c>
      <c r="D50" s="181">
        <f t="shared" si="46"/>
        <v>-0.38150642353916298</v>
      </c>
      <c r="E50" s="181">
        <f t="shared" si="46"/>
        <v>-13.294905869324475</v>
      </c>
      <c r="F50" s="181">
        <f t="shared" si="46"/>
        <v>-5.874977942473973</v>
      </c>
      <c r="G50" s="181">
        <f t="shared" si="46"/>
        <v>-0.34997089421914418</v>
      </c>
      <c r="H50" s="180"/>
      <c r="I50" s="181"/>
      <c r="J50" s="181"/>
      <c r="K50" s="181"/>
      <c r="L50" s="181"/>
      <c r="M50" s="182"/>
      <c r="O50" s="240">
        <f>AVERAGE(B50:G50)</f>
        <v>-3.6503220386458683</v>
      </c>
      <c r="P50" s="234">
        <f>MEDIAN(B50:G50)</f>
        <v>-1.0002855511592275</v>
      </c>
      <c r="Q50" s="235">
        <f t="shared" si="43"/>
        <v>-0.34997089421914418</v>
      </c>
    </row>
  </sheetData>
  <mergeCells count="1">
    <mergeCell ref="A32: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8"/>
  <sheetViews>
    <sheetView showGridLines="0" zoomScale="75" workbookViewId="0">
      <pane xSplit="1" topLeftCell="B1" activePane="topRight" state="frozen"/>
      <selection pane="topRight" activeCell="I13" sqref="I13"/>
    </sheetView>
  </sheetViews>
  <sheetFormatPr baseColWidth="10" defaultRowHeight="16"/>
  <cols>
    <col min="1" max="1" width="34.83203125" style="82" bestFit="1" customWidth="1"/>
    <col min="2" max="2" width="9" style="82" bestFit="1" customWidth="1"/>
    <col min="3" max="7" width="9.33203125" style="82" bestFit="1" customWidth="1"/>
    <col min="8" max="16384" width="10.83203125" style="82"/>
  </cols>
  <sheetData>
    <row r="1" spans="1:25" ht="27" customHeight="1" thickBot="1">
      <c r="A1" s="80"/>
      <c r="B1" s="71">
        <v>2017</v>
      </c>
      <c r="C1" s="72">
        <f>1+B1</f>
        <v>2018</v>
      </c>
      <c r="D1" s="72">
        <f>1+C1</f>
        <v>2019</v>
      </c>
      <c r="E1" s="72">
        <f>1+D1</f>
        <v>2020</v>
      </c>
      <c r="F1" s="72">
        <f>1+E1</f>
        <v>2021</v>
      </c>
      <c r="G1" s="73">
        <f>1+F1</f>
        <v>2022</v>
      </c>
      <c r="H1" s="81"/>
      <c r="I1" s="68"/>
      <c r="J1" s="68"/>
      <c r="K1" s="68"/>
      <c r="L1" s="68"/>
      <c r="M1" s="68"/>
      <c r="N1" s="68"/>
      <c r="O1" s="68"/>
      <c r="P1" s="68"/>
      <c r="Q1" s="68"/>
      <c r="R1" s="68"/>
      <c r="S1" s="68"/>
      <c r="T1" s="68"/>
      <c r="U1" s="68"/>
      <c r="V1" s="68"/>
      <c r="W1" s="68"/>
      <c r="X1" s="68"/>
      <c r="Y1" s="68"/>
    </row>
    <row r="2" spans="1:25" ht="27" customHeight="1">
      <c r="A2" s="273" t="s">
        <v>696</v>
      </c>
      <c r="B2" s="274"/>
      <c r="C2" s="275"/>
      <c r="D2" s="275"/>
      <c r="E2" s="275"/>
      <c r="F2" s="275"/>
      <c r="G2" s="276"/>
      <c r="H2" s="81"/>
      <c r="I2" s="68"/>
      <c r="J2" s="68"/>
      <c r="K2" s="68"/>
      <c r="L2" s="68"/>
      <c r="M2" s="68"/>
      <c r="N2" s="68"/>
      <c r="O2" s="68"/>
      <c r="P2" s="68"/>
      <c r="Q2" s="68"/>
      <c r="R2" s="68"/>
      <c r="S2" s="68"/>
      <c r="T2" s="68"/>
      <c r="U2" s="68"/>
      <c r="V2" s="68"/>
      <c r="W2" s="68"/>
      <c r="X2" s="68"/>
      <c r="Y2" s="68"/>
    </row>
    <row r="3" spans="1:25" ht="27" customHeight="1">
      <c r="A3" s="83" t="s">
        <v>181</v>
      </c>
      <c r="B3" s="84">
        <f>'Balance Sheet'!B24</f>
        <v>31.699000000000002</v>
      </c>
      <c r="C3" s="84">
        <f>'Balance Sheet'!C24</f>
        <v>7.9139999999999997</v>
      </c>
      <c r="D3" s="84">
        <f>'Balance Sheet'!D24</f>
        <v>24.481999999999999</v>
      </c>
      <c r="E3" s="84">
        <f>'Balance Sheet'!E24</f>
        <v>59.146999999999998</v>
      </c>
      <c r="F3" s="84">
        <f>'Balance Sheet'!F24</f>
        <v>18.844000000000001</v>
      </c>
      <c r="G3" s="271">
        <f>'Balance Sheet'!G24</f>
        <v>67.265000000000001</v>
      </c>
      <c r="H3" s="81"/>
      <c r="I3" s="68"/>
      <c r="J3" s="68"/>
      <c r="K3" s="68"/>
      <c r="L3" s="68"/>
      <c r="M3" s="68"/>
      <c r="N3" s="68"/>
      <c r="O3" s="68"/>
      <c r="P3" s="68"/>
      <c r="Q3" s="68"/>
      <c r="R3" s="68"/>
      <c r="S3" s="68"/>
      <c r="T3" s="68"/>
      <c r="U3" s="68"/>
      <c r="V3" s="68"/>
      <c r="W3" s="68"/>
      <c r="X3" s="68"/>
      <c r="Y3" s="68"/>
    </row>
    <row r="4" spans="1:25" ht="27" customHeight="1">
      <c r="A4" s="83" t="s">
        <v>184</v>
      </c>
      <c r="B4" s="84">
        <f>'Balance Sheet'!B26</f>
        <v>4.141</v>
      </c>
      <c r="C4" s="84">
        <f>'Balance Sheet'!C26</f>
        <v>10.945</v>
      </c>
      <c r="D4" s="84">
        <f>'Balance Sheet'!D26</f>
        <v>16.277000000000001</v>
      </c>
      <c r="E4" s="84">
        <f>'Balance Sheet'!E26</f>
        <v>35.381999999999998</v>
      </c>
      <c r="F4" s="84">
        <f>'Balance Sheet'!F26</f>
        <v>43.851999999999997</v>
      </c>
      <c r="G4" s="271">
        <f>'Balance Sheet'!G26</f>
        <v>50.311999999999998</v>
      </c>
      <c r="H4" s="81"/>
      <c r="I4" s="68"/>
      <c r="J4" s="68"/>
      <c r="K4" s="68"/>
      <c r="L4" s="68"/>
      <c r="M4" s="68"/>
      <c r="N4" s="68"/>
      <c r="O4" s="68"/>
      <c r="P4" s="68"/>
      <c r="Q4" s="68"/>
      <c r="R4" s="68"/>
      <c r="S4" s="68"/>
      <c r="T4" s="68"/>
      <c r="U4" s="68"/>
      <c r="V4" s="68"/>
      <c r="W4" s="68"/>
      <c r="X4" s="68"/>
      <c r="Y4" s="68"/>
    </row>
    <row r="5" spans="1:25" ht="27" customHeight="1">
      <c r="A5" s="83" t="s">
        <v>697</v>
      </c>
      <c r="B5" s="84">
        <f>'Balance Sheet'!B27</f>
        <v>0.55800000000000005</v>
      </c>
      <c r="C5" s="84">
        <f>'Balance Sheet'!C27</f>
        <v>1E-3</v>
      </c>
      <c r="D5" s="84" t="str">
        <f>'Balance Sheet'!D27</f>
        <v>-</v>
      </c>
      <c r="E5" s="84">
        <f>'Balance Sheet'!E27</f>
        <v>1.5680000000000001</v>
      </c>
      <c r="F5" s="84">
        <f>'Balance Sheet'!F27</f>
        <v>2.3119999999999998</v>
      </c>
      <c r="G5" s="271" t="str">
        <f>'Balance Sheet'!G27</f>
        <v>-</v>
      </c>
      <c r="H5" s="81"/>
      <c r="I5" s="68"/>
      <c r="J5" s="68"/>
      <c r="K5" s="68"/>
      <c r="L5" s="68"/>
      <c r="M5" s="68"/>
      <c r="N5" s="68"/>
      <c r="O5" s="68"/>
      <c r="P5" s="68"/>
      <c r="Q5" s="68"/>
      <c r="R5" s="68"/>
      <c r="S5" s="68"/>
      <c r="T5" s="68"/>
      <c r="U5" s="68"/>
      <c r="V5" s="68"/>
      <c r="W5" s="68"/>
      <c r="X5" s="68"/>
      <c r="Y5" s="68"/>
    </row>
    <row r="6" spans="1:25" ht="27" customHeight="1" thickBot="1">
      <c r="A6" s="78" t="s">
        <v>186</v>
      </c>
      <c r="B6" s="85">
        <f>'Balance Sheet'!B28</f>
        <v>1.6240000000000001</v>
      </c>
      <c r="C6" s="85">
        <f>'Balance Sheet'!C28</f>
        <v>5.5529999999999999</v>
      </c>
      <c r="D6" s="85">
        <f>'Balance Sheet'!D28</f>
        <v>0.997</v>
      </c>
      <c r="E6" s="85">
        <f>'Balance Sheet'!E28</f>
        <v>3.6890000000000001</v>
      </c>
      <c r="F6" s="85">
        <f>'Balance Sheet'!F28</f>
        <v>1.5089999999999999</v>
      </c>
      <c r="G6" s="272">
        <f>'Balance Sheet'!G28</f>
        <v>1E-3</v>
      </c>
      <c r="H6" s="81"/>
      <c r="I6" s="68"/>
      <c r="J6" s="68"/>
      <c r="K6" s="68"/>
      <c r="L6" s="68"/>
      <c r="M6" s="68"/>
      <c r="N6" s="68"/>
      <c r="O6" s="68"/>
      <c r="P6" s="68"/>
      <c r="Q6" s="68"/>
      <c r="R6" s="68"/>
      <c r="S6" s="68"/>
      <c r="T6" s="68"/>
      <c r="U6" s="68"/>
      <c r="V6" s="68"/>
      <c r="W6" s="68"/>
      <c r="X6" s="68"/>
      <c r="Y6" s="68"/>
    </row>
    <row r="7" spans="1:25" ht="27" customHeight="1" thickBot="1">
      <c r="A7" s="277" t="s">
        <v>698</v>
      </c>
      <c r="B7" s="278">
        <f t="shared" ref="B7:G7" si="0">SUM(B3:B6)</f>
        <v>38.022000000000006</v>
      </c>
      <c r="C7" s="279">
        <f t="shared" si="0"/>
        <v>24.413000000000004</v>
      </c>
      <c r="D7" s="279">
        <f t="shared" si="0"/>
        <v>41.756</v>
      </c>
      <c r="E7" s="279">
        <f t="shared" si="0"/>
        <v>99.786000000000001</v>
      </c>
      <c r="F7" s="279">
        <f t="shared" si="0"/>
        <v>66.516999999999996</v>
      </c>
      <c r="G7" s="280">
        <f t="shared" si="0"/>
        <v>117.578</v>
      </c>
      <c r="H7" s="81"/>
      <c r="I7" s="68"/>
      <c r="J7" s="68"/>
      <c r="K7" s="68"/>
      <c r="L7" s="68"/>
      <c r="M7" s="68"/>
      <c r="N7" s="68"/>
      <c r="O7" s="68"/>
      <c r="P7" s="68"/>
      <c r="Q7" s="68"/>
      <c r="R7" s="68"/>
      <c r="S7" s="68"/>
      <c r="T7" s="68"/>
      <c r="U7" s="68"/>
      <c r="V7" s="68"/>
      <c r="W7" s="68"/>
      <c r="X7" s="68"/>
      <c r="Y7" s="68"/>
    </row>
    <row r="8" spans="1:25" ht="27" customHeight="1" thickBot="1">
      <c r="A8" s="86"/>
      <c r="B8" s="87"/>
      <c r="C8" s="87"/>
      <c r="D8" s="87"/>
      <c r="E8" s="87"/>
      <c r="F8" s="87"/>
      <c r="G8" s="88"/>
      <c r="H8" s="81"/>
      <c r="I8" s="68"/>
      <c r="J8" s="68"/>
      <c r="K8" s="68"/>
      <c r="L8" s="68"/>
      <c r="M8" s="68"/>
      <c r="N8" s="68"/>
      <c r="O8" s="68"/>
      <c r="P8" s="68"/>
      <c r="Q8" s="68"/>
      <c r="R8" s="68"/>
      <c r="S8" s="68"/>
      <c r="T8" s="68"/>
      <c r="U8" s="68"/>
      <c r="V8" s="68"/>
      <c r="W8" s="68"/>
      <c r="X8" s="68"/>
      <c r="Y8" s="68"/>
    </row>
    <row r="9" spans="1:25" ht="27" customHeight="1">
      <c r="A9" s="273" t="s">
        <v>699</v>
      </c>
      <c r="B9" s="275"/>
      <c r="C9" s="275"/>
      <c r="D9" s="275"/>
      <c r="E9" s="275"/>
      <c r="F9" s="275"/>
      <c r="G9" s="276"/>
      <c r="H9" s="81"/>
      <c r="I9" s="68"/>
      <c r="J9" s="68"/>
      <c r="K9" s="68"/>
      <c r="L9" s="68"/>
      <c r="M9" s="68"/>
      <c r="N9" s="68"/>
      <c r="O9" s="68"/>
      <c r="P9" s="68"/>
      <c r="Q9" s="68"/>
      <c r="R9" s="68"/>
      <c r="S9" s="68"/>
      <c r="T9" s="68"/>
      <c r="U9" s="68"/>
      <c r="V9" s="68"/>
      <c r="W9" s="68"/>
      <c r="X9" s="68"/>
      <c r="Y9" s="68"/>
    </row>
    <row r="10" spans="1:25" ht="27" customHeight="1">
      <c r="A10" s="83" t="s">
        <v>200</v>
      </c>
      <c r="B10" s="89">
        <f>'Balance Sheet'!B45</f>
        <v>16.140999999999998</v>
      </c>
      <c r="C10" s="89">
        <f>'Balance Sheet'!C45</f>
        <v>13.071</v>
      </c>
      <c r="D10" s="89">
        <f>'Balance Sheet'!D45</f>
        <v>19.449000000000002</v>
      </c>
      <c r="E10" s="89">
        <f>'Balance Sheet'!E45</f>
        <v>23.324999999999999</v>
      </c>
      <c r="F10" s="89">
        <f>'Balance Sheet'!F45</f>
        <v>16.914999999999999</v>
      </c>
      <c r="G10" s="90">
        <f>'Balance Sheet'!G45</f>
        <v>58.082000000000001</v>
      </c>
      <c r="H10" s="81"/>
      <c r="I10" s="68"/>
      <c r="J10" s="68"/>
      <c r="K10" s="68"/>
      <c r="L10" s="68"/>
      <c r="M10" s="68"/>
      <c r="N10" s="68"/>
      <c r="O10" s="68"/>
      <c r="P10" s="68"/>
      <c r="Q10" s="68"/>
      <c r="R10" s="68"/>
      <c r="S10" s="68"/>
      <c r="T10" s="68"/>
      <c r="U10" s="68"/>
      <c r="V10" s="68"/>
      <c r="W10" s="68"/>
      <c r="X10" s="68"/>
      <c r="Y10" s="68"/>
    </row>
    <row r="11" spans="1:25" ht="27" customHeight="1">
      <c r="A11" s="83" t="s">
        <v>700</v>
      </c>
      <c r="B11" s="89">
        <f>'Balance Sheet'!B46</f>
        <v>0.78700000000000003</v>
      </c>
      <c r="C11" s="89">
        <f>'Balance Sheet'!C46</f>
        <v>1.367</v>
      </c>
      <c r="D11" s="89">
        <f>'Balance Sheet'!D46</f>
        <v>1.325</v>
      </c>
      <c r="E11" s="89">
        <f>'Balance Sheet'!E46</f>
        <v>2.02</v>
      </c>
      <c r="F11" s="89">
        <f>'Balance Sheet'!F46</f>
        <v>1.85</v>
      </c>
      <c r="G11" s="90" t="str">
        <f>'Balance Sheet'!G46</f>
        <v>-</v>
      </c>
      <c r="H11" s="81"/>
      <c r="I11" s="68"/>
      <c r="J11" s="68"/>
      <c r="K11" s="68"/>
      <c r="L11" s="68"/>
      <c r="M11" s="68"/>
      <c r="N11" s="68"/>
      <c r="O11" s="68"/>
      <c r="P11" s="68"/>
      <c r="Q11" s="68"/>
      <c r="R11" s="68"/>
      <c r="S11" s="68"/>
      <c r="T11" s="68"/>
      <c r="U11" s="68"/>
      <c r="V11" s="68"/>
      <c r="W11" s="68"/>
      <c r="X11" s="68"/>
      <c r="Y11" s="68"/>
    </row>
    <row r="12" spans="1:25" ht="27" customHeight="1">
      <c r="A12" s="83" t="s">
        <v>701</v>
      </c>
      <c r="B12" s="89">
        <f>'Balance Sheet'!B50</f>
        <v>0</v>
      </c>
      <c r="C12" s="89">
        <f>'Balance Sheet'!C50</f>
        <v>0.33400000000000002</v>
      </c>
      <c r="D12" s="89" t="str">
        <f>'Balance Sheet'!D50</f>
        <v>-</v>
      </c>
      <c r="E12" s="89" t="str">
        <f>'Balance Sheet'!E50</f>
        <v>-</v>
      </c>
      <c r="F12" s="89" t="str">
        <f>'Balance Sheet'!F50</f>
        <v>-</v>
      </c>
      <c r="G12" s="90" t="str">
        <f>'Balance Sheet'!G50</f>
        <v>-</v>
      </c>
      <c r="H12" s="81"/>
      <c r="I12" s="68"/>
      <c r="J12" s="68"/>
      <c r="K12" s="68"/>
      <c r="L12" s="68"/>
      <c r="M12" s="68"/>
      <c r="N12" s="68"/>
      <c r="O12" s="68"/>
      <c r="P12" s="68"/>
      <c r="Q12" s="68"/>
      <c r="R12" s="68"/>
      <c r="S12" s="68"/>
      <c r="T12" s="68"/>
      <c r="U12" s="68"/>
      <c r="V12" s="68"/>
      <c r="W12" s="68"/>
      <c r="X12" s="68"/>
      <c r="Y12" s="68"/>
    </row>
    <row r="13" spans="1:25" ht="27" customHeight="1">
      <c r="A13" s="83" t="s">
        <v>702</v>
      </c>
      <c r="B13" s="89">
        <f>'Balance Sheet'!B48</f>
        <v>7.577</v>
      </c>
      <c r="C13" s="89">
        <f>'Balance Sheet'!C48</f>
        <v>8.3640000000000008</v>
      </c>
      <c r="D13" s="89">
        <f>'Balance Sheet'!D48</f>
        <v>8.8580000000000005</v>
      </c>
      <c r="E13" s="89">
        <f>'Balance Sheet'!E48</f>
        <v>32.159999999999997</v>
      </c>
      <c r="F13" s="89">
        <f>'Balance Sheet'!F48</f>
        <v>60.012999999999998</v>
      </c>
      <c r="G13" s="90">
        <f>'Balance Sheet'!G48</f>
        <v>64.608000000000004</v>
      </c>
      <c r="H13" s="81"/>
      <c r="I13" s="68"/>
      <c r="J13" s="68"/>
      <c r="K13" s="68"/>
      <c r="L13" s="68"/>
      <c r="M13" s="68"/>
      <c r="N13" s="68"/>
      <c r="O13" s="68"/>
      <c r="P13" s="68"/>
      <c r="Q13" s="68"/>
      <c r="R13" s="68"/>
      <c r="S13" s="68"/>
      <c r="T13" s="68"/>
      <c r="U13" s="68"/>
      <c r="V13" s="68"/>
      <c r="W13" s="68"/>
      <c r="X13" s="68"/>
      <c r="Y13" s="68"/>
    </row>
    <row r="14" spans="1:25" ht="27" customHeight="1" thickBot="1">
      <c r="A14" s="74" t="s">
        <v>207</v>
      </c>
      <c r="B14" s="151">
        <f>'Balance Sheet'!B47+'Balance Sheet'!B51+'Balance Sheet'!B52</f>
        <v>27.716000000000001</v>
      </c>
      <c r="C14" s="151">
        <f>'Balance Sheet'!C47+'Balance Sheet'!C51+'Balance Sheet'!C52</f>
        <v>10.837999999999999</v>
      </c>
      <c r="D14" s="151">
        <f>'Balance Sheet'!D47+'Balance Sheet'!D51+'Balance Sheet'!D52</f>
        <v>11.422000000000001</v>
      </c>
      <c r="E14" s="151">
        <f>'Balance Sheet'!E47+'Balance Sheet'!E51+'Balance Sheet'!E52</f>
        <v>5.9269999999999996</v>
      </c>
      <c r="F14" s="151">
        <f>'Balance Sheet'!F47+'Balance Sheet'!F51+'Balance Sheet'!F52</f>
        <v>10.454000000000001</v>
      </c>
      <c r="G14" s="91">
        <f>'Balance Sheet'!G47+'Balance Sheet'!G51+'Balance Sheet'!G52</f>
        <v>2.5619999999999998</v>
      </c>
      <c r="H14" s="81"/>
      <c r="I14" s="68"/>
      <c r="J14" s="68"/>
      <c r="K14" s="68"/>
      <c r="L14" s="68"/>
      <c r="M14" s="68"/>
      <c r="N14" s="68"/>
      <c r="O14" s="68"/>
      <c r="P14" s="68"/>
      <c r="Q14" s="68"/>
      <c r="R14" s="68"/>
      <c r="S14" s="68"/>
      <c r="T14" s="68"/>
      <c r="U14" s="68"/>
      <c r="V14" s="68"/>
      <c r="W14" s="68"/>
      <c r="X14" s="68"/>
      <c r="Y14" s="68"/>
    </row>
    <row r="15" spans="1:25" ht="27" customHeight="1" thickBot="1">
      <c r="A15" s="277" t="s">
        <v>703</v>
      </c>
      <c r="B15" s="279">
        <f t="shared" ref="B15:G15" si="1">SUM(B10:B14)</f>
        <v>52.220999999999997</v>
      </c>
      <c r="C15" s="279">
        <f t="shared" si="1"/>
        <v>33.973999999999997</v>
      </c>
      <c r="D15" s="279">
        <f t="shared" si="1"/>
        <v>41.054000000000002</v>
      </c>
      <c r="E15" s="279">
        <f t="shared" si="1"/>
        <v>63.431999999999995</v>
      </c>
      <c r="F15" s="279">
        <f t="shared" si="1"/>
        <v>89.231999999999999</v>
      </c>
      <c r="G15" s="280">
        <f t="shared" si="1"/>
        <v>125.252</v>
      </c>
      <c r="H15" s="81"/>
      <c r="I15" s="68"/>
      <c r="J15" s="68"/>
      <c r="K15" s="68"/>
      <c r="L15" s="68"/>
      <c r="M15" s="68"/>
      <c r="N15" s="68"/>
      <c r="O15" s="68"/>
      <c r="P15" s="68"/>
      <c r="Q15" s="68"/>
      <c r="R15" s="68"/>
      <c r="S15" s="68"/>
      <c r="T15" s="68"/>
      <c r="U15" s="68"/>
      <c r="V15" s="68"/>
      <c r="W15" s="68"/>
      <c r="X15" s="68"/>
      <c r="Y15" s="68"/>
    </row>
    <row r="16" spans="1:25" ht="27" customHeight="1" thickBot="1">
      <c r="A16" s="92"/>
      <c r="B16" s="93"/>
      <c r="C16" s="93"/>
      <c r="D16" s="93"/>
      <c r="E16" s="93"/>
      <c r="F16" s="93"/>
      <c r="G16" s="94"/>
      <c r="H16" s="81"/>
      <c r="I16" s="68"/>
      <c r="J16" s="68"/>
      <c r="K16" s="68"/>
      <c r="L16" s="68"/>
      <c r="M16" s="68"/>
      <c r="N16" s="68"/>
      <c r="O16" s="68"/>
      <c r="P16" s="68"/>
      <c r="Q16" s="68"/>
      <c r="R16" s="68"/>
      <c r="S16" s="68"/>
      <c r="T16" s="68"/>
      <c r="U16" s="68"/>
      <c r="V16" s="68"/>
      <c r="W16" s="68"/>
      <c r="X16" s="68"/>
      <c r="Y16" s="68"/>
    </row>
    <row r="17" spans="1:25" ht="27" customHeight="1" thickBot="1">
      <c r="A17" s="281" t="s">
        <v>704</v>
      </c>
      <c r="B17" s="282">
        <f t="shared" ref="B17:G17" si="2">B7-B15</f>
        <v>-14.198999999999991</v>
      </c>
      <c r="C17" s="282">
        <f t="shared" si="2"/>
        <v>-9.5609999999999928</v>
      </c>
      <c r="D17" s="282">
        <f t="shared" si="2"/>
        <v>0.70199999999999818</v>
      </c>
      <c r="E17" s="282">
        <f t="shared" si="2"/>
        <v>36.354000000000006</v>
      </c>
      <c r="F17" s="282">
        <f t="shared" si="2"/>
        <v>-22.715000000000003</v>
      </c>
      <c r="G17" s="283">
        <f t="shared" si="2"/>
        <v>-7.6739999999999924</v>
      </c>
      <c r="H17" s="81"/>
      <c r="I17" s="68"/>
      <c r="J17" s="68"/>
      <c r="K17" s="68"/>
      <c r="L17" s="68"/>
      <c r="M17" s="68"/>
      <c r="N17" s="68"/>
      <c r="O17" s="68"/>
      <c r="P17" s="68"/>
      <c r="Q17" s="68"/>
      <c r="R17" s="68"/>
      <c r="S17" s="68"/>
      <c r="T17" s="68"/>
      <c r="U17" s="68"/>
      <c r="V17" s="68"/>
      <c r="W17" s="68"/>
      <c r="X17" s="68"/>
      <c r="Y17" s="68"/>
    </row>
    <row r="18" spans="1:25" ht="27" customHeight="1" thickBot="1">
      <c r="A18" s="277" t="s">
        <v>676</v>
      </c>
      <c r="B18" s="282" t="s">
        <v>705</v>
      </c>
      <c r="C18" s="282">
        <f>C17-B17</f>
        <v>4.6379999999999981</v>
      </c>
      <c r="D18" s="282">
        <f>D17-C17</f>
        <v>10.262999999999991</v>
      </c>
      <c r="E18" s="282">
        <f>E17-D17</f>
        <v>35.652000000000008</v>
      </c>
      <c r="F18" s="282">
        <f>F17-E17</f>
        <v>-59.06900000000001</v>
      </c>
      <c r="G18" s="283">
        <f>G17-F17</f>
        <v>15.041000000000011</v>
      </c>
      <c r="H18" s="81"/>
      <c r="I18" s="68"/>
      <c r="J18" s="68"/>
      <c r="K18" s="68"/>
      <c r="L18" s="68"/>
      <c r="M18" s="68"/>
      <c r="N18" s="68"/>
      <c r="O18" s="68"/>
      <c r="P18" s="68"/>
      <c r="Q18" s="68"/>
      <c r="R18" s="68"/>
      <c r="S18" s="68"/>
      <c r="T18" s="68"/>
      <c r="U18" s="68"/>
      <c r="V18" s="68"/>
      <c r="W18" s="68"/>
      <c r="X18" s="68"/>
      <c r="Y18" s="68"/>
    </row>
    <row r="19" spans="1:25" ht="27" customHeight="1">
      <c r="A19" s="95" t="s">
        <v>706</v>
      </c>
      <c r="B19" s="89"/>
      <c r="C19" s="89">
        <v>5.8490462884218192E-2</v>
      </c>
      <c r="D19" s="89">
        <v>0.20587802967468435</v>
      </c>
      <c r="E19" s="89">
        <v>0.46831070088288246</v>
      </c>
      <c r="F19" s="89">
        <v>0.14129999794564169</v>
      </c>
      <c r="G19" s="90">
        <v>0.49203825804641466</v>
      </c>
      <c r="H19" s="81"/>
      <c r="I19" s="68"/>
      <c r="J19" s="68"/>
      <c r="K19" s="68"/>
      <c r="L19" s="68"/>
      <c r="M19" s="68"/>
      <c r="N19" s="68"/>
      <c r="O19" s="68"/>
      <c r="P19" s="68"/>
      <c r="Q19" s="68"/>
      <c r="R19" s="68"/>
      <c r="S19" s="68"/>
      <c r="T19" s="68"/>
      <c r="U19" s="68"/>
      <c r="V19" s="68"/>
      <c r="W19" s="68"/>
      <c r="X19" s="68"/>
      <c r="Y19" s="68"/>
    </row>
    <row r="20" spans="1:25" ht="27" customHeight="1">
      <c r="A20" s="83" t="s">
        <v>707</v>
      </c>
      <c r="B20" s="96"/>
      <c r="C20" s="96">
        <v>0.23041440765947629</v>
      </c>
      <c r="D20" s="96">
        <v>0.44283728384019083</v>
      </c>
      <c r="E20" s="96">
        <v>0.89003652653342513</v>
      </c>
      <c r="F20" s="96">
        <v>1.1095999999999999</v>
      </c>
      <c r="G20" s="97">
        <v>1.2752694444444443</v>
      </c>
      <c r="H20" s="81"/>
      <c r="I20" s="68"/>
      <c r="J20" s="68"/>
      <c r="K20" s="68"/>
      <c r="L20" s="68"/>
      <c r="M20" s="68"/>
      <c r="N20" s="68"/>
      <c r="O20" s="68"/>
      <c r="P20" s="68"/>
      <c r="Q20" s="68"/>
      <c r="R20" s="68"/>
      <c r="S20" s="68"/>
      <c r="T20" s="68"/>
      <c r="U20" s="68"/>
      <c r="V20" s="68"/>
      <c r="W20" s="68"/>
      <c r="X20" s="68"/>
      <c r="Y20" s="68"/>
    </row>
    <row r="21" spans="1:25" ht="27" customHeight="1" thickBot="1">
      <c r="A21" s="79" t="s">
        <v>708</v>
      </c>
      <c r="B21" s="98"/>
      <c r="C21" s="98">
        <v>0.2751710116507094</v>
      </c>
      <c r="D21" s="98">
        <v>0.5291357334525939</v>
      </c>
      <c r="E21" s="98">
        <v>0.5867419021364576</v>
      </c>
      <c r="F21" s="98">
        <v>0.42800519930675907</v>
      </c>
      <c r="G21" s="99">
        <v>1.4722173611111111</v>
      </c>
      <c r="H21" s="81"/>
      <c r="I21" s="68"/>
      <c r="J21" s="68"/>
      <c r="K21" s="68"/>
      <c r="L21" s="68"/>
      <c r="M21" s="68"/>
      <c r="N21" s="68"/>
      <c r="O21" s="68"/>
      <c r="P21" s="68"/>
      <c r="Q21" s="68"/>
      <c r="R21" s="68"/>
      <c r="S21" s="68"/>
      <c r="T21" s="68"/>
      <c r="U21" s="68"/>
      <c r="V21" s="68"/>
      <c r="W21" s="68"/>
      <c r="X21" s="68"/>
      <c r="Y21" s="68"/>
    </row>
    <row r="22" spans="1:25" ht="27" customHeight="1">
      <c r="A22" s="81"/>
      <c r="B22" s="81"/>
      <c r="C22" s="81"/>
      <c r="D22" s="81"/>
      <c r="E22" s="81"/>
      <c r="F22" s="81"/>
      <c r="G22" s="81"/>
      <c r="H22" s="81"/>
      <c r="I22" s="68"/>
      <c r="J22" s="68"/>
      <c r="K22" s="68"/>
      <c r="L22" s="68"/>
      <c r="M22" s="68"/>
      <c r="N22" s="68"/>
      <c r="O22" s="68"/>
      <c r="P22" s="68"/>
      <c r="Q22" s="68"/>
      <c r="R22" s="68"/>
      <c r="S22" s="68"/>
      <c r="T22" s="68"/>
      <c r="U22" s="68"/>
      <c r="V22" s="68"/>
      <c r="W22" s="68"/>
      <c r="X22" s="68"/>
      <c r="Y22" s="68"/>
    </row>
    <row r="23" spans="1:25" ht="27" customHeight="1">
      <c r="A23" s="81"/>
      <c r="B23" s="81"/>
      <c r="C23" s="81"/>
      <c r="D23" s="81"/>
      <c r="E23" s="81"/>
      <c r="F23" s="81"/>
      <c r="G23" s="81"/>
      <c r="H23" s="81"/>
      <c r="I23" s="68"/>
      <c r="J23" s="68"/>
      <c r="K23" s="68"/>
      <c r="L23" s="68"/>
      <c r="M23" s="68"/>
      <c r="N23" s="68"/>
      <c r="O23" s="68"/>
      <c r="P23" s="68"/>
      <c r="Q23" s="68"/>
      <c r="R23" s="68"/>
      <c r="S23" s="68"/>
      <c r="T23" s="68"/>
      <c r="U23" s="68"/>
      <c r="V23" s="68"/>
      <c r="W23" s="68"/>
      <c r="X23" s="68"/>
      <c r="Y23" s="68"/>
    </row>
    <row r="24" spans="1:25" ht="27" customHeight="1">
      <c r="A24" s="81"/>
      <c r="B24" s="81"/>
      <c r="C24" s="81"/>
      <c r="D24" s="81"/>
      <c r="E24" s="81"/>
      <c r="F24" s="81"/>
      <c r="G24" s="81"/>
      <c r="H24" s="81"/>
      <c r="I24" s="68"/>
      <c r="J24" s="68"/>
      <c r="K24" s="68"/>
      <c r="L24" s="68"/>
      <c r="M24" s="68"/>
      <c r="N24" s="68"/>
      <c r="O24" s="68"/>
      <c r="P24" s="68"/>
      <c r="Q24" s="68"/>
      <c r="R24" s="68"/>
      <c r="S24" s="68"/>
      <c r="T24" s="68"/>
      <c r="U24" s="68"/>
      <c r="V24" s="68"/>
      <c r="W24" s="68"/>
      <c r="X24" s="68"/>
      <c r="Y24" s="68"/>
    </row>
    <row r="25" spans="1:25" ht="27"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row>
    <row r="26" spans="1:25" ht="27" customHeight="1">
      <c r="A26" s="68"/>
      <c r="B26" s="68"/>
      <c r="C26" s="68"/>
      <c r="D26" s="68"/>
      <c r="E26" s="68"/>
      <c r="F26" s="68"/>
      <c r="G26" s="68"/>
      <c r="H26" s="68"/>
      <c r="I26" s="68"/>
      <c r="J26" s="68"/>
      <c r="K26" s="68"/>
      <c r="L26" s="68"/>
      <c r="M26" s="68"/>
      <c r="N26" s="68"/>
      <c r="O26" s="68"/>
      <c r="P26" s="68"/>
      <c r="Q26" s="68"/>
      <c r="R26" s="68"/>
      <c r="S26" s="68"/>
      <c r="T26" s="68"/>
      <c r="U26" s="68"/>
      <c r="V26" s="68"/>
      <c r="W26" s="68"/>
      <c r="X26" s="68"/>
      <c r="Y26" s="68"/>
    </row>
    <row r="27" spans="1:25" ht="27"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row>
    <row r="28" spans="1:25" ht="27" customHeight="1">
      <c r="A28" s="68"/>
      <c r="B28" s="68"/>
      <c r="C28" s="68"/>
      <c r="D28" s="68"/>
      <c r="E28" s="68"/>
      <c r="F28" s="68"/>
      <c r="G28" s="68"/>
      <c r="H28" s="68"/>
      <c r="I28" s="68"/>
      <c r="J28" s="68"/>
      <c r="K28" s="68"/>
      <c r="L28" s="68"/>
      <c r="M28" s="68"/>
      <c r="N28" s="68"/>
      <c r="O28" s="68"/>
      <c r="P28" s="68"/>
      <c r="Q28" s="68"/>
      <c r="R28" s="68"/>
      <c r="S28" s="68"/>
      <c r="T28" s="68"/>
      <c r="U28" s="68"/>
      <c r="V28" s="68"/>
      <c r="W28" s="68"/>
      <c r="X28" s="68"/>
      <c r="Y28" s="68"/>
    </row>
    <row r="29" spans="1:25" ht="27"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row>
    <row r="30" spans="1:25" ht="27"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row>
    <row r="31" spans="1:25" ht="27" customHeight="1">
      <c r="A31" s="68"/>
      <c r="B31" s="68"/>
      <c r="C31" s="68"/>
      <c r="D31" s="68"/>
      <c r="E31" s="68"/>
      <c r="F31" s="68"/>
      <c r="G31" s="68"/>
      <c r="H31" s="68"/>
      <c r="I31" s="68"/>
      <c r="J31" s="68"/>
      <c r="K31" s="68"/>
      <c r="L31" s="68"/>
      <c r="M31" s="68"/>
      <c r="N31" s="68"/>
      <c r="O31" s="68"/>
      <c r="P31" s="68"/>
      <c r="Q31" s="68"/>
      <c r="R31" s="68"/>
      <c r="S31" s="68"/>
      <c r="T31" s="68"/>
      <c r="U31" s="68"/>
      <c r="V31" s="68"/>
      <c r="W31" s="68"/>
      <c r="X31" s="68"/>
      <c r="Y31" s="68"/>
    </row>
    <row r="32" spans="1:25" ht="27"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row>
    <row r="33" spans="1:25" ht="27"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row>
    <row r="34" spans="1:25" ht="27"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row>
    <row r="35" spans="1:25" ht="27" customHeight="1">
      <c r="A35" s="68"/>
      <c r="B35" s="68"/>
      <c r="C35" s="68"/>
      <c r="D35" s="68"/>
      <c r="E35" s="68"/>
      <c r="F35" s="68"/>
      <c r="G35" s="68"/>
      <c r="H35" s="68"/>
      <c r="I35" s="68"/>
      <c r="J35" s="68"/>
      <c r="K35" s="68"/>
      <c r="L35" s="68"/>
      <c r="M35" s="68"/>
      <c r="N35" s="69"/>
      <c r="O35" s="69"/>
      <c r="P35" s="69"/>
      <c r="Q35" s="69"/>
      <c r="R35" s="69"/>
      <c r="S35" s="69"/>
      <c r="T35" s="69"/>
      <c r="U35" s="69"/>
      <c r="V35" s="69"/>
      <c r="W35" s="69"/>
      <c r="X35" s="69"/>
      <c r="Y35" s="69"/>
    </row>
    <row r="36" spans="1:25" ht="27"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row>
    <row r="37" spans="1:25" ht="27"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row>
    <row r="38" spans="1:25" ht="27"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row>
    <row r="39" spans="1:25" ht="27"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row>
    <row r="40" spans="1:25" ht="27"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row>
    <row r="41" spans="1:25" ht="27"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row>
    <row r="42" spans="1:25" ht="27"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row>
    <row r="43" spans="1:25" ht="27"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row>
    <row r="44" spans="1:25" ht="27"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row>
    <row r="45" spans="1:25" ht="27"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row>
    <row r="46" spans="1:25" ht="27"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row>
    <row r="47" spans="1:25" ht="27"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row>
    <row r="48" spans="1:25" ht="27"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row>
    <row r="49" spans="1:25" ht="27"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row>
    <row r="50" spans="1:25" ht="27"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row>
    <row r="51" spans="1:25" ht="27"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row>
    <row r="52" spans="1:25" ht="27"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row>
    <row r="53" spans="1:25" ht="27"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row>
    <row r="54" spans="1:25" ht="27"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row>
    <row r="55" spans="1:25" ht="27"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row>
    <row r="56" spans="1:25" ht="27"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row>
    <row r="57" spans="1:25" ht="27"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row>
    <row r="58" spans="1:25" ht="27"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row>
    <row r="59" spans="1:25" ht="27"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row>
    <row r="60" spans="1:25" ht="27"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row>
    <row r="61" spans="1:25" ht="27"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row>
    <row r="62" spans="1:25" ht="27"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row>
    <row r="63" spans="1:25" ht="27"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row>
    <row r="64" spans="1:25" ht="27"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row>
    <row r="65" spans="1:25" ht="27"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row>
    <row r="66" spans="1:25" ht="27"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row>
    <row r="67" spans="1:25" ht="27"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row>
    <row r="68" spans="1:25" ht="27"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row>
    <row r="69" spans="1:25" ht="27"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row>
    <row r="70" spans="1:25" ht="27"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row>
    <row r="71" spans="1:25" ht="27"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row>
    <row r="72" spans="1:25" ht="27"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row>
    <row r="73" spans="1:25" ht="27"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row>
    <row r="74" spans="1:25" ht="27"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row>
    <row r="75" spans="1:25" ht="27"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row>
    <row r="76" spans="1:25" ht="27"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row>
    <row r="77" spans="1:25" ht="27"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row>
    <row r="78" spans="1:25" ht="27"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row>
    <row r="79" spans="1:25" ht="27"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row>
    <row r="80" spans="1:25" ht="27"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row>
    <row r="81" spans="1:25" ht="27"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row>
    <row r="82" spans="1:25" ht="27"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row>
    <row r="83" spans="1:25" ht="27"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row>
    <row r="84" spans="1:25" ht="27"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row>
    <row r="85" spans="1:25" ht="27"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row>
    <row r="86" spans="1:25" ht="27"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row>
    <row r="87" spans="1:25" ht="27"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row>
    <row r="88" spans="1:25" ht="27"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row>
    <row r="89" spans="1:25" ht="27"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row>
    <row r="90" spans="1:25" ht="27"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row>
    <row r="91" spans="1:25" ht="27"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row>
    <row r="92" spans="1:25" ht="27"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row>
    <row r="93" spans="1:25" ht="27"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row>
    <row r="94" spans="1:25" ht="27"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row>
    <row r="95" spans="1:25" ht="27"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row>
    <row r="96" spans="1:25" ht="27"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row>
    <row r="97" spans="1:25" ht="27"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row>
    <row r="98" spans="1:25" ht="27"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row>
    <row r="99" spans="1:25" ht="27"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row>
    <row r="100" spans="1:25" ht="27"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row>
    <row r="101" spans="1:25" ht="27"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row>
    <row r="102" spans="1:25" ht="27"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row>
    <row r="103" spans="1:25" ht="27"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row>
    <row r="104" spans="1:25" ht="27"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row>
    <row r="105" spans="1:25" ht="27"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row>
    <row r="106" spans="1:25" ht="27"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row>
    <row r="107" spans="1:25" ht="27"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row>
    <row r="108" spans="1:25" ht="27"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row>
    <row r="109" spans="1:25" ht="27"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row>
    <row r="110" spans="1:25" ht="27"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row>
    <row r="111" spans="1:25" ht="27"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row>
    <row r="112" spans="1:25" ht="27"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row>
    <row r="113" spans="1:25" ht="27"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row>
    <row r="114" spans="1:25" ht="27"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row>
    <row r="115" spans="1:25" ht="27"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row>
    <row r="116" spans="1:25" ht="27"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row>
    <row r="117" spans="1:25" ht="27"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row>
    <row r="118" spans="1:25" ht="27"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row>
    <row r="119" spans="1:25" ht="27"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row>
    <row r="120" spans="1:25" ht="27"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row>
    <row r="121" spans="1:25" ht="27"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row>
    <row r="122" spans="1:25" ht="27"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row>
    <row r="123" spans="1:25" ht="27"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row>
    <row r="124" spans="1:25" ht="27"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row>
    <row r="125" spans="1:25" ht="27"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row>
    <row r="126" spans="1:25" ht="27"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row>
    <row r="127" spans="1:25" ht="27"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row>
    <row r="128" spans="1:25" ht="27"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row>
    <row r="129" spans="1:25" ht="27"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row>
    <row r="130" spans="1:25" ht="27"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row>
    <row r="131" spans="1:25" ht="27"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row>
    <row r="132" spans="1:25" ht="27"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row>
    <row r="133" spans="1:25" ht="27"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row>
    <row r="134" spans="1:25" ht="27"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row>
    <row r="135" spans="1:25" ht="27"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row>
    <row r="136" spans="1:25" ht="27"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row>
    <row r="137" spans="1:25" ht="27"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row>
    <row r="138" spans="1:25" ht="27"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row>
    <row r="139" spans="1:25" ht="27"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row>
    <row r="140" spans="1:25" ht="27"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row>
    <row r="141" spans="1:25" ht="27"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row>
    <row r="142" spans="1:25" ht="27"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row>
    <row r="143" spans="1:25" ht="27"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row>
    <row r="144" spans="1:25" ht="27"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row>
    <row r="145" spans="1:25" ht="27"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row>
    <row r="146" spans="1:25" ht="27"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row>
    <row r="147" spans="1:25" ht="27"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row>
    <row r="148" spans="1:25" ht="27"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row>
    <row r="149" spans="1:25" ht="27"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row>
    <row r="150" spans="1:25" ht="27"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row>
    <row r="151" spans="1:25" ht="27"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row>
    <row r="152" spans="1:25" ht="27"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row>
    <row r="153" spans="1:25" ht="27"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row>
    <row r="154" spans="1:25" ht="27"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row>
    <row r="155" spans="1:25" ht="27"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row>
    <row r="156" spans="1:25" ht="27"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row>
    <row r="157" spans="1:25" ht="27"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row>
    <row r="158" spans="1:25" ht="27"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row>
    <row r="159" spans="1:25" ht="27"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row>
    <row r="160" spans="1:25" ht="27"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row>
    <row r="161" spans="1:25" ht="27"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row>
    <row r="162" spans="1:25" ht="27"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row>
    <row r="163" spans="1:25" ht="27"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row>
    <row r="164" spans="1:25" ht="27"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row>
    <row r="165" spans="1:25" ht="27"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row>
    <row r="166" spans="1:25" ht="27"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row>
    <row r="167" spans="1:25" ht="27"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row>
    <row r="168" spans="1:25" ht="27"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row>
    <row r="169" spans="1:25" ht="27"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row>
    <row r="170" spans="1:25" ht="27"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row>
    <row r="171" spans="1:25" ht="27"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row>
    <row r="172" spans="1:25" ht="27"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row>
    <row r="173" spans="1:25" ht="27"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row>
    <row r="174" spans="1:25" ht="27"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row>
    <row r="175" spans="1:25" ht="27"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row>
    <row r="176" spans="1:25" ht="27"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row>
    <row r="177" spans="1:25" ht="27"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row>
    <row r="178" spans="1:25" ht="27"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row>
    <row r="179" spans="1:25" ht="27"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row>
    <row r="180" spans="1:25" ht="27"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row>
    <row r="181" spans="1:25" ht="27"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row>
    <row r="182" spans="1:25" ht="27"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row>
    <row r="183" spans="1:25" ht="27"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row>
    <row r="184" spans="1:25" ht="27"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row>
    <row r="185" spans="1:25" ht="27"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row>
    <row r="186" spans="1:25" ht="27"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row>
    <row r="187" spans="1:25" ht="27"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row>
    <row r="188" spans="1:25" ht="27"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row>
    <row r="189" spans="1:25" ht="27"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row>
    <row r="190" spans="1:25" ht="27"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row>
    <row r="191" spans="1:25" ht="27"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row>
    <row r="192" spans="1:25" ht="27"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row>
    <row r="193" spans="1:25" ht="27"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row>
    <row r="194" spans="1:25" ht="27"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row>
    <row r="195" spans="1:25" ht="27"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row>
    <row r="196" spans="1:25" ht="27"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row>
    <row r="197" spans="1:25" ht="27"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row>
    <row r="198" spans="1:25" ht="27"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row>
    <row r="199" spans="1:25" ht="27"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row>
    <row r="200" spans="1:25" ht="27"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row>
    <row r="201" spans="1:25" ht="27"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row>
    <row r="202" spans="1:25" ht="27"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row>
    <row r="203" spans="1:25" ht="27"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row>
    <row r="204" spans="1:25" ht="27"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row>
    <row r="205" spans="1:25" ht="27"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row>
    <row r="206" spans="1:25" ht="27"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row>
    <row r="207" spans="1:25" ht="27"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row>
    <row r="208" spans="1:25" ht="27"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row>
    <row r="209" spans="1:25" ht="27"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row>
    <row r="210" spans="1:25" ht="27"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row>
    <row r="211" spans="1:25" ht="27"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row>
    <row r="212" spans="1:25" ht="27"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row>
    <row r="213" spans="1:25" ht="27"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row>
    <row r="214" spans="1:25" ht="27"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row>
    <row r="215" spans="1:25" ht="27"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row>
    <row r="216" spans="1:25" ht="27"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row>
    <row r="217" spans="1:25" ht="27"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row>
    <row r="218" spans="1:25" ht="27"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row>
    <row r="219" spans="1:25" ht="27"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row>
    <row r="220" spans="1:25" ht="27"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row>
    <row r="221" spans="1:25" ht="27"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row>
    <row r="222" spans="1:25" ht="27"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row>
    <row r="223" spans="1:25" ht="27"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row>
    <row r="224" spans="1:25" ht="27"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row>
    <row r="225" spans="1:25" ht="27"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row>
    <row r="226" spans="1:25" ht="27"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row>
    <row r="227" spans="1:25" ht="27"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row>
    <row r="228" spans="1:25" ht="27"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row>
    <row r="229" spans="1:25" ht="27"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row>
    <row r="230" spans="1:25" ht="27"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row>
    <row r="231" spans="1:25" ht="27"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row>
    <row r="232" spans="1:25" ht="27"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row>
    <row r="233" spans="1:25" ht="27"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row>
    <row r="234" spans="1:25" ht="27"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row>
    <row r="235" spans="1:25" ht="27"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row>
    <row r="236" spans="1:25" ht="27"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row>
    <row r="237" spans="1:25" ht="27"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row>
    <row r="238" spans="1:25" ht="27"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row>
    <row r="239" spans="1:25" ht="27"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row>
    <row r="240" spans="1:25" ht="27"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row>
    <row r="241" spans="1:25" ht="27"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row>
    <row r="242" spans="1:25" ht="27"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row>
    <row r="243" spans="1:25" ht="27"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row>
    <row r="244" spans="1:25" ht="27"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row>
    <row r="245" spans="1:25" ht="27"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row>
    <row r="246" spans="1:25" ht="27"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row>
    <row r="247" spans="1:25" ht="27"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row>
    <row r="248" spans="1:25" ht="27"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row>
    <row r="249" spans="1:25" ht="27"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row>
    <row r="250" spans="1:25" ht="27"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row>
    <row r="251" spans="1:25" ht="27"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row>
    <row r="252" spans="1:25" ht="27"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row>
    <row r="253" spans="1:25" ht="27"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row>
    <row r="254" spans="1:25" ht="27"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row>
    <row r="255" spans="1:25" ht="27"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row>
    <row r="256" spans="1:25" ht="27"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row>
    <row r="257" spans="1:25" ht="27"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row>
    <row r="258" spans="1:25" ht="27"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row>
    <row r="259" spans="1:25" ht="27"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row>
    <row r="260" spans="1:25" ht="27"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row>
    <row r="261" spans="1:25" ht="27"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row>
    <row r="262" spans="1:25" ht="27"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row>
    <row r="263" spans="1:25" ht="27"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row>
    <row r="264" spans="1:25" ht="27"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row>
    <row r="265" spans="1:25" ht="27"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row>
    <row r="266" spans="1:25" ht="27"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row>
    <row r="267" spans="1:25" ht="27"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row>
    <row r="268" spans="1:25" ht="27"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row>
    <row r="269" spans="1:25" ht="27"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row>
    <row r="270" spans="1:25" ht="27"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row>
    <row r="271" spans="1:25" ht="27"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1:25" ht="27"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1:25" ht="27"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1:25" ht="27"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1:25" ht="27"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1:25" ht="27"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1:25" ht="27"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1:25" ht="27"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row>
    <row r="279" spans="1:25" ht="27"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row>
    <row r="280" spans="1:25" ht="27"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row>
    <row r="281" spans="1:25" ht="27"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row>
    <row r="282" spans="1:25" ht="27"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row>
    <row r="283" spans="1:25" ht="27"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row>
    <row r="284" spans="1:25" ht="27"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row>
    <row r="285" spans="1:25" ht="27"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row>
    <row r="286" spans="1:25" ht="27"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row>
    <row r="287" spans="1:25" ht="27"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row>
    <row r="288" spans="1:25" ht="27"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row>
    <row r="289" spans="1:25" ht="27"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row>
    <row r="290" spans="1:25" ht="27"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row>
    <row r="291" spans="1:25" ht="27"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row>
    <row r="292" spans="1:25" ht="27"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row>
    <row r="293" spans="1:25" ht="27"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row>
    <row r="294" spans="1:25" ht="27"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row>
    <row r="295" spans="1:25" ht="27"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row>
    <row r="296" spans="1:25" ht="27"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row>
    <row r="297" spans="1:25" ht="27"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row>
    <row r="298" spans="1:25" ht="27"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row>
    <row r="299" spans="1:25" ht="27"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row>
    <row r="300" spans="1:25" ht="27"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row>
    <row r="301" spans="1:25" ht="27"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row>
    <row r="302" spans="1:25" ht="27"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row>
    <row r="303" spans="1:25" ht="27"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row>
    <row r="304" spans="1:25" ht="27"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row>
    <row r="305" spans="1:25" ht="27"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row>
    <row r="306" spans="1:25" ht="27"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row>
    <row r="307" spans="1:25" ht="27"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row>
    <row r="308" spans="1:25" ht="27"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row>
    <row r="309" spans="1:25" ht="27"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row>
    <row r="310" spans="1:25" ht="27"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row>
    <row r="311" spans="1:25" ht="27"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row>
    <row r="312" spans="1:25" ht="27"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row>
    <row r="313" spans="1:25" ht="27"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row>
    <row r="314" spans="1:25" ht="27"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row>
    <row r="315" spans="1:25" ht="27"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row>
    <row r="316" spans="1:25" ht="27"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row>
    <row r="317" spans="1:25" ht="27"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row>
    <row r="318" spans="1:25" ht="27"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row>
    <row r="319" spans="1:25" ht="27"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row>
    <row r="320" spans="1:25" ht="27"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row>
    <row r="321" spans="1:25" ht="27"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row>
    <row r="322" spans="1:25" ht="27"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row>
    <row r="323" spans="1:25" ht="27"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row>
    <row r="324" spans="1:25" ht="27"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row>
    <row r="325" spans="1:25" ht="27"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row>
    <row r="326" spans="1:25" ht="27"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row>
    <row r="327" spans="1:25" ht="27"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row>
    <row r="328" spans="1:25" ht="27"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row>
    <row r="329" spans="1:25" ht="27"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row>
    <row r="330" spans="1:25" ht="27"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row>
    <row r="331" spans="1:25" ht="27"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row>
    <row r="332" spans="1:25" ht="27"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row>
    <row r="333" spans="1:25" ht="27"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row>
    <row r="334" spans="1:25" ht="27"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row>
    <row r="335" spans="1:25" ht="27"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row>
    <row r="336" spans="1:25" ht="27"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row>
    <row r="337" spans="1:25" ht="27"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row>
    <row r="338" spans="1:25" ht="27"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row>
    <row r="339" spans="1:25" ht="27"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row>
    <row r="340" spans="1:25" ht="27"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row>
    <row r="341" spans="1:25" ht="27"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row>
    <row r="342" spans="1:25" ht="27"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row>
    <row r="343" spans="1:25" ht="27"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row>
    <row r="344" spans="1:25" ht="27"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row>
    <row r="345" spans="1:25" ht="27"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row>
    <row r="346" spans="1:25" ht="27"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row>
    <row r="347" spans="1:25" ht="27"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row>
    <row r="348" spans="1:25" ht="27"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row>
    <row r="349" spans="1:25" ht="27"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row>
    <row r="350" spans="1:25" ht="27"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row>
    <row r="351" spans="1:25" ht="27"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row>
    <row r="352" spans="1:25" ht="27"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row>
    <row r="353" spans="1:25" ht="27"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row>
    <row r="354" spans="1:25" ht="27"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row>
    <row r="355" spans="1:25" ht="27"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row>
    <row r="356" spans="1:25" ht="27"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row>
    <row r="357" spans="1:25" ht="27"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row>
    <row r="358" spans="1:25" ht="27"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row>
    <row r="359" spans="1:25" ht="27"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row>
    <row r="360" spans="1:25" ht="27"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row>
    <row r="361" spans="1:25" ht="27"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row>
    <row r="362" spans="1:25" ht="27"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row>
    <row r="363" spans="1:25" ht="27"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row>
    <row r="364" spans="1:25" ht="27"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row>
    <row r="365" spans="1:25" ht="27"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row>
    <row r="366" spans="1:25" ht="27"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row>
    <row r="367" spans="1:25" ht="27"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row>
    <row r="368" spans="1:25" ht="27"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row>
    <row r="369" spans="1:25" ht="27"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row>
    <row r="370" spans="1:25" ht="27"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row>
    <row r="371" spans="1:25" ht="27"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row>
    <row r="372" spans="1:25" ht="27"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row>
    <row r="373" spans="1:25" ht="27"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row>
    <row r="374" spans="1:25" ht="27"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row>
    <row r="375" spans="1:25" ht="27"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row>
    <row r="376" spans="1:25" ht="27"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row>
    <row r="377" spans="1:25" ht="27"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row>
    <row r="378" spans="1:25" ht="27"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row>
    <row r="379" spans="1:25" ht="27"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row>
    <row r="380" spans="1:25" ht="27"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row>
    <row r="381" spans="1:25" ht="27"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row>
    <row r="382" spans="1:25" ht="27"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row>
    <row r="383" spans="1:25" ht="27"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row>
    <row r="384" spans="1:25" ht="27"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row>
    <row r="385" spans="1:25" ht="27"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row>
    <row r="386" spans="1:25" ht="27"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row>
    <row r="387" spans="1:25" ht="27"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row>
    <row r="388" spans="1:25" ht="27"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row>
    <row r="389" spans="1:25" ht="27"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row>
    <row r="390" spans="1:25" ht="27"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row>
    <row r="391" spans="1:25" ht="27"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row>
    <row r="392" spans="1:25" ht="27"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row>
    <row r="393" spans="1:25" ht="27"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row>
    <row r="394" spans="1:25" ht="27"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row>
    <row r="395" spans="1:25" ht="27"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row>
    <row r="396" spans="1:25" ht="27"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row>
    <row r="397" spans="1:25" ht="27"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row>
    <row r="398" spans="1:25" ht="27"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row>
    <row r="399" spans="1:25" ht="27"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row>
    <row r="400" spans="1:25" ht="27"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row>
    <row r="401" spans="1:25" ht="27"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row>
    <row r="402" spans="1:25" ht="27"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row>
    <row r="403" spans="1:25" ht="27"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row>
    <row r="404" spans="1:25" ht="27"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row>
    <row r="405" spans="1:25" ht="27"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row>
    <row r="406" spans="1:25" ht="27"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row>
    <row r="407" spans="1:25" ht="27"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row>
    <row r="408" spans="1:25" ht="27"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row>
    <row r="409" spans="1:25" ht="27"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row>
    <row r="410" spans="1:25" ht="27"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row>
    <row r="411" spans="1:25" ht="27"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row>
    <row r="412" spans="1:25" ht="27"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row>
    <row r="413" spans="1:25" ht="27"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row>
    <row r="414" spans="1:25" ht="27"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row>
    <row r="415" spans="1:25" ht="27"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row>
    <row r="416" spans="1:25" ht="27"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row>
    <row r="417" spans="1:25" ht="27"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row>
    <row r="418" spans="1:25" ht="27"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row>
    <row r="419" spans="1:25" ht="27"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row>
    <row r="420" spans="1:25" ht="27"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row>
    <row r="421" spans="1:25" ht="27"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row>
    <row r="422" spans="1:25" ht="27"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row>
    <row r="423" spans="1:25" ht="27"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row>
    <row r="424" spans="1:25" ht="27"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row>
    <row r="425" spans="1:25" ht="27"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row>
    <row r="426" spans="1:25" ht="27"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row>
    <row r="427" spans="1:25" ht="27"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row>
    <row r="428" spans="1:25" ht="27"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row>
    <row r="429" spans="1:25" ht="27"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row>
    <row r="430" spans="1:25" ht="27"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row>
    <row r="431" spans="1:25" ht="27"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row>
    <row r="432" spans="1:25" ht="27"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row>
    <row r="433" spans="1:25" ht="27"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row>
    <row r="434" spans="1:25" ht="27"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row>
    <row r="435" spans="1:25" ht="27"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row>
    <row r="436" spans="1:25" ht="27"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row>
    <row r="437" spans="1:25" ht="27"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row>
    <row r="438" spans="1:25" ht="27"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row>
    <row r="439" spans="1:25" ht="27"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row>
    <row r="440" spans="1:25" ht="27"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row>
    <row r="441" spans="1:25" ht="27"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row>
    <row r="442" spans="1:25" ht="27"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row>
    <row r="443" spans="1:25" ht="27"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row>
    <row r="444" spans="1:25" ht="27"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row>
    <row r="445" spans="1:25" ht="27"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row>
    <row r="446" spans="1:25" ht="27"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row>
    <row r="447" spans="1:25" ht="27"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row>
    <row r="448" spans="1:25" ht="27"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row>
    <row r="449" spans="1:25" ht="27"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row>
    <row r="450" spans="1:25" ht="27"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row>
    <row r="451" spans="1:25" ht="27"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row>
    <row r="452" spans="1:25" ht="27"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row>
    <row r="453" spans="1:25" ht="27"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row>
    <row r="454" spans="1:25" ht="27"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row>
    <row r="455" spans="1:25" ht="27"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row>
    <row r="456" spans="1:25" ht="27"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row>
    <row r="457" spans="1:25" ht="27"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row>
    <row r="458" spans="1:25" ht="27"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row>
    <row r="459" spans="1:25" ht="27"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row>
    <row r="460" spans="1:25" ht="27"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row>
    <row r="461" spans="1:25" ht="27"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row>
    <row r="462" spans="1:25" ht="27"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row>
    <row r="463" spans="1:25" ht="27"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row>
    <row r="464" spans="1:25" ht="27"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row>
    <row r="465" spans="1:25" ht="27"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row>
    <row r="466" spans="1:25" ht="27"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row>
    <row r="467" spans="1:25" ht="27"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row>
    <row r="468" spans="1:25" ht="27"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row>
    <row r="469" spans="1:25" ht="27"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row>
    <row r="470" spans="1:25" ht="27"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row>
    <row r="471" spans="1:25" ht="27"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row>
    <row r="472" spans="1:25" ht="27"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row>
    <row r="473" spans="1:25" ht="27"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row>
    <row r="474" spans="1:25" ht="27"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row>
    <row r="475" spans="1:25" ht="27"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row>
    <row r="476" spans="1:25" ht="27"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row>
    <row r="477" spans="1:25" ht="27"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row>
    <row r="478" spans="1:25" ht="27"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row>
    <row r="479" spans="1:25" ht="27"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row>
    <row r="480" spans="1:25" ht="27"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row>
    <row r="481" spans="1:25" ht="27"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row>
    <row r="482" spans="1:25" ht="27"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row>
    <row r="483" spans="1:25" ht="27"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row>
    <row r="484" spans="1:25" ht="27"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row>
    <row r="485" spans="1:25" ht="27"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row>
    <row r="486" spans="1:25" ht="27"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row>
    <row r="487" spans="1:25" ht="27"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row>
    <row r="488" spans="1:25" ht="27"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row>
    <row r="489" spans="1:25" ht="27"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row>
    <row r="490" spans="1:25" ht="27"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row>
    <row r="491" spans="1:25" ht="27"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row>
    <row r="492" spans="1:25" ht="27"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row>
    <row r="493" spans="1:25" ht="27"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row>
    <row r="494" spans="1:25" ht="27"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row>
    <row r="495" spans="1:25" ht="27"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row>
    <row r="496" spans="1:25" ht="27"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row>
    <row r="497" spans="1:25" ht="27"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row>
    <row r="498" spans="1:25" ht="27"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row>
    <row r="499" spans="1:25" ht="27"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row>
    <row r="500" spans="1:25" ht="27"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row>
    <row r="501" spans="1:25" ht="27"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row>
    <row r="502" spans="1:25" ht="27"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row>
    <row r="503" spans="1:25" ht="27"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row>
    <row r="504" spans="1:25" ht="27"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row>
    <row r="505" spans="1:25" ht="27"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row>
    <row r="506" spans="1:25" ht="27"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row>
    <row r="507" spans="1:25" ht="27"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row>
    <row r="508" spans="1:25" ht="27"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row>
    <row r="509" spans="1:25" ht="27"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row>
    <row r="510" spans="1:25" ht="27"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row>
    <row r="511" spans="1:25" ht="27"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row>
    <row r="512" spans="1:25" ht="27"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row>
    <row r="513" spans="1:25" ht="27"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row>
    <row r="514" spans="1:25" ht="27"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row>
    <row r="515" spans="1:25" ht="27"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row>
    <row r="516" spans="1:25" ht="27"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row>
    <row r="517" spans="1:25" ht="27"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row>
    <row r="518" spans="1:25" ht="27"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row>
    <row r="519" spans="1:25" ht="27"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row>
    <row r="520" spans="1:25" ht="27"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row>
    <row r="521" spans="1:25" ht="27"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row>
    <row r="522" spans="1:25" ht="27"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row>
    <row r="523" spans="1:25" ht="27"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row>
    <row r="524" spans="1:25" ht="27"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row>
    <row r="525" spans="1:25" ht="27"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row>
    <row r="526" spans="1:25" ht="27"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row>
    <row r="527" spans="1:25" ht="27"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row>
    <row r="528" spans="1:25" ht="27"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row>
    <row r="529" spans="1:25" ht="27"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row>
    <row r="530" spans="1:25" ht="27"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row>
    <row r="531" spans="1:25" ht="27"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row>
    <row r="532" spans="1:25" ht="27"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row>
    <row r="533" spans="1:25" ht="27"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row>
    <row r="534" spans="1:25" ht="27"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row>
    <row r="535" spans="1:25" ht="27"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row>
    <row r="536" spans="1:25" ht="27"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row>
    <row r="537" spans="1:25" ht="27"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row>
    <row r="538" spans="1:25" ht="27"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row>
    <row r="539" spans="1:25" ht="27"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row>
    <row r="540" spans="1:25" ht="27"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row>
    <row r="541" spans="1:25" ht="27"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row>
    <row r="542" spans="1:25" ht="27"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row>
    <row r="543" spans="1:25" ht="27"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row>
    <row r="544" spans="1:25" ht="27"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row>
    <row r="545" spans="1:25" ht="27"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row>
    <row r="546" spans="1:25" ht="27"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row>
    <row r="547" spans="1:25" ht="27"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row>
    <row r="548" spans="1:25" ht="27"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row>
    <row r="549" spans="1:25" ht="27"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row>
    <row r="550" spans="1:25" ht="27"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row>
    <row r="551" spans="1:25" ht="27"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row>
    <row r="552" spans="1:25" ht="27"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row>
    <row r="553" spans="1:25" ht="27"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row>
    <row r="554" spans="1:25" ht="27"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row>
    <row r="555" spans="1:25" ht="27"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row>
    <row r="556" spans="1:25" ht="27"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row>
    <row r="557" spans="1:25" ht="27"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row>
    <row r="558" spans="1:25" ht="27"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row>
    <row r="559" spans="1:25" ht="27"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row>
    <row r="560" spans="1:25" ht="27"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row>
    <row r="561" spans="1:25" ht="27"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row>
    <row r="562" spans="1:25" ht="27"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row>
    <row r="563" spans="1:25" ht="27"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row>
    <row r="564" spans="1:25" ht="27"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row>
    <row r="565" spans="1:25" ht="27"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row>
    <row r="566" spans="1:25" ht="27"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row>
    <row r="567" spans="1:25" ht="27"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row>
    <row r="568" spans="1:25" ht="27"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row>
    <row r="569" spans="1:25" ht="27"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row>
    <row r="570" spans="1:25" ht="27"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row>
    <row r="571" spans="1:25" ht="27"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row>
    <row r="572" spans="1:25" ht="27"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row>
    <row r="573" spans="1:25" ht="27"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row>
    <row r="574" spans="1:25" ht="27"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row>
    <row r="575" spans="1:25" ht="27"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row>
    <row r="576" spans="1:25" ht="27"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row>
    <row r="577" spans="1:25" ht="27"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row>
    <row r="578" spans="1:25" ht="27"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row>
    <row r="579" spans="1:25" ht="27"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row>
    <row r="580" spans="1:25" ht="27"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row>
    <row r="581" spans="1:25" ht="27"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row>
    <row r="582" spans="1:25" ht="27"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row>
    <row r="583" spans="1:25" ht="27"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row>
    <row r="584" spans="1:25" ht="27"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row>
    <row r="585" spans="1:25" ht="27"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row>
    <row r="586" spans="1:25" ht="27"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row>
    <row r="587" spans="1:25" ht="27"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row>
    <row r="588" spans="1:25" ht="27"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row>
    <row r="589" spans="1:25" ht="27"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row>
    <row r="590" spans="1:25" ht="27"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row>
    <row r="591" spans="1:25" ht="27"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row>
    <row r="592" spans="1:25" ht="27"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row>
    <row r="593" spans="1:25" ht="27"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row>
    <row r="594" spans="1:25" ht="27"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row>
    <row r="595" spans="1:25" ht="27"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row>
    <row r="596" spans="1:25" ht="27"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row>
    <row r="597" spans="1:25" ht="27"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row>
    <row r="598" spans="1:25" ht="27"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row>
    <row r="599" spans="1:25" ht="27"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row>
    <row r="600" spans="1:25" ht="27"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row>
    <row r="601" spans="1:25" ht="27"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row>
    <row r="602" spans="1:25" ht="27"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row>
    <row r="603" spans="1:25" ht="27"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row>
    <row r="604" spans="1:25" ht="27"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row>
    <row r="605" spans="1:25" ht="27"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row>
    <row r="606" spans="1:25" ht="27"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row>
    <row r="607" spans="1:25" ht="27"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row>
    <row r="608" spans="1:25" ht="27"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row>
    <row r="609" spans="1:25" ht="27"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row>
    <row r="610" spans="1:25" ht="27"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row>
    <row r="611" spans="1:25" ht="27"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row>
    <row r="612" spans="1:25" ht="27"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row>
    <row r="613" spans="1:25" ht="27"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row>
    <row r="614" spans="1:25" ht="27"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row>
    <row r="615" spans="1:25" ht="27"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row>
    <row r="616" spans="1:25" ht="27"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row>
    <row r="617" spans="1:25" ht="27"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row>
    <row r="618" spans="1:25" ht="27"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row>
    <row r="619" spans="1:25" ht="27"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row>
    <row r="620" spans="1:25" ht="27"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row>
    <row r="621" spans="1:25" ht="27"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row>
    <row r="622" spans="1:25" ht="27"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row>
    <row r="623" spans="1:25" ht="27"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row>
    <row r="624" spans="1:25" ht="27"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row>
    <row r="625" spans="1:25" ht="27"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row>
    <row r="626" spans="1:25" ht="27"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row>
    <row r="627" spans="1:25" ht="27"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row>
    <row r="628" spans="1:25" ht="27"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row>
    <row r="629" spans="1:25" ht="27"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row>
    <row r="630" spans="1:25" ht="27"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row>
    <row r="631" spans="1:25" ht="27"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row>
    <row r="632" spans="1:25" ht="27"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row>
    <row r="633" spans="1:25" ht="27"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row>
    <row r="634" spans="1:25" ht="27"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row>
    <row r="635" spans="1:25" ht="27"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row>
    <row r="636" spans="1:25" ht="27"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row>
    <row r="637" spans="1:25" ht="27"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row>
    <row r="638" spans="1:25" ht="27"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row>
    <row r="639" spans="1:25" ht="27"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row>
    <row r="640" spans="1:25" ht="27"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row>
    <row r="641" spans="1:25" ht="27"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row>
    <row r="642" spans="1:25" ht="27"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row>
    <row r="643" spans="1:25" ht="27"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row>
    <row r="644" spans="1:25" ht="27"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row>
    <row r="645" spans="1:25" ht="27"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row>
    <row r="646" spans="1:25" ht="27"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row>
    <row r="647" spans="1:25" ht="27"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row>
    <row r="648" spans="1:25" ht="27"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row>
    <row r="649" spans="1:25" ht="27"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row>
    <row r="650" spans="1:25" ht="27"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row>
    <row r="651" spans="1:25" ht="27"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row>
    <row r="652" spans="1:25" ht="27"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row>
    <row r="653" spans="1:25" ht="27"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row>
    <row r="654" spans="1:25" ht="27"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row>
    <row r="655" spans="1:25" ht="27"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row>
    <row r="656" spans="1:25" ht="27"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row>
    <row r="657" spans="1:25" ht="27"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row>
    <row r="658" spans="1:25" ht="27"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row>
    <row r="659" spans="1:25" ht="27"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row>
    <row r="660" spans="1:25" ht="27"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row>
    <row r="661" spans="1:25" ht="27"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row>
    <row r="662" spans="1:25" ht="27"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row>
    <row r="663" spans="1:25" ht="27"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row>
    <row r="664" spans="1:25" ht="27"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row>
    <row r="665" spans="1:25" ht="27"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row>
    <row r="666" spans="1:25" ht="27"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row>
    <row r="667" spans="1:25" ht="27"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row>
    <row r="668" spans="1:25" ht="27"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row>
    <row r="669" spans="1:25" ht="27"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row>
    <row r="670" spans="1:25" ht="27"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row>
    <row r="671" spans="1:25" ht="27"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row>
    <row r="672" spans="1:25" ht="27"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row>
    <row r="673" spans="1:25" ht="27"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row>
    <row r="674" spans="1:25" ht="27"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row>
    <row r="675" spans="1:25" ht="27"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row>
    <row r="676" spans="1:25" ht="27"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row>
    <row r="677" spans="1:25" ht="27"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row>
    <row r="678" spans="1:25" ht="27"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row>
    <row r="679" spans="1:25" ht="27"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row>
    <row r="680" spans="1:25" ht="27"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row>
    <row r="681" spans="1:25" ht="27"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row>
    <row r="682" spans="1:25" ht="27"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row>
    <row r="683" spans="1:25" ht="27"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row>
    <row r="684" spans="1:25" ht="27"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row>
    <row r="685" spans="1:25" ht="27"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row>
    <row r="686" spans="1:25" ht="27"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row>
    <row r="687" spans="1:25" ht="27"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row>
    <row r="688" spans="1:25" ht="27"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row>
    <row r="689" spans="1:25" ht="27"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row>
    <row r="690" spans="1:25" ht="27"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row>
    <row r="691" spans="1:25" ht="27"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row>
    <row r="692" spans="1:25" ht="27"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row>
    <row r="693" spans="1:25" ht="27"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row>
    <row r="694" spans="1:25" ht="27"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row>
    <row r="695" spans="1:25" ht="27"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row>
    <row r="696" spans="1:25" ht="27"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row>
    <row r="697" spans="1:25" ht="27"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row>
    <row r="698" spans="1:25" ht="27"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row>
    <row r="699" spans="1:25" ht="27"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row>
    <row r="700" spans="1:25" ht="27"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row>
    <row r="701" spans="1:25" ht="27"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row>
    <row r="702" spans="1:25" ht="27"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row>
    <row r="703" spans="1:25" ht="27"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row>
    <row r="704" spans="1:25" ht="27"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row>
    <row r="705" spans="1:25" ht="27"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row>
    <row r="706" spans="1:25" ht="27"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row>
    <row r="707" spans="1:25" ht="27"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row>
    <row r="708" spans="1:25" ht="27"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row>
    <row r="709" spans="1:25" ht="27"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row>
    <row r="710" spans="1:25" ht="27"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row>
    <row r="711" spans="1:25" ht="27"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row>
    <row r="712" spans="1:25" ht="27"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row>
    <row r="713" spans="1:25" ht="27"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row>
    <row r="714" spans="1:25" ht="27"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row>
    <row r="715" spans="1:25" ht="27"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row>
    <row r="716" spans="1:25" ht="27"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row>
    <row r="717" spans="1:25" ht="27"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row>
    <row r="718" spans="1:25" ht="27"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row>
    <row r="719" spans="1:25" ht="27"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row>
    <row r="720" spans="1:25" ht="27"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row>
    <row r="721" spans="1:25" ht="27"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row>
    <row r="722" spans="1:25" ht="27"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row>
    <row r="723" spans="1:25" ht="27"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row>
    <row r="724" spans="1:25" ht="27"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row>
    <row r="725" spans="1:25" ht="27"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row>
    <row r="726" spans="1:25" ht="27"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row>
    <row r="727" spans="1:25" ht="27"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row>
    <row r="728" spans="1:25" ht="27"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row>
    <row r="729" spans="1:25" ht="27"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row>
    <row r="730" spans="1:25" ht="27"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row>
    <row r="731" spans="1:25" ht="27"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row>
    <row r="732" spans="1:25" ht="27"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row>
    <row r="733" spans="1:25" ht="27"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row>
    <row r="734" spans="1:25" ht="27"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row>
    <row r="735" spans="1:25" ht="27"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row>
    <row r="736" spans="1:25" ht="27"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row>
    <row r="737" spans="1:25" ht="27"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row>
    <row r="738" spans="1:25" ht="27"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row>
    <row r="739" spans="1:25" ht="27"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row>
    <row r="740" spans="1:25" ht="27"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row>
    <row r="741" spans="1:25" ht="27"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row>
    <row r="742" spans="1:25" ht="27"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row>
    <row r="743" spans="1:25" ht="27"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row>
    <row r="744" spans="1:25" ht="27"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row>
    <row r="745" spans="1:25" ht="27"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row>
    <row r="746" spans="1:25" ht="27"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row>
    <row r="747" spans="1:25" ht="27"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row>
    <row r="748" spans="1:25" ht="27"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row>
    <row r="749" spans="1:25" ht="27"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row>
    <row r="750" spans="1:25" ht="27"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row>
    <row r="751" spans="1:25" ht="27"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row>
    <row r="752" spans="1:25" ht="27"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row>
    <row r="753" spans="1:25" ht="27"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row>
    <row r="754" spans="1:25" ht="27"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row>
    <row r="755" spans="1:25" ht="27"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row>
    <row r="756" spans="1:25" ht="27"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row>
    <row r="757" spans="1:25" ht="27"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row>
    <row r="758" spans="1:25" ht="27"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row>
    <row r="759" spans="1:25" ht="27"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row>
    <row r="760" spans="1:25" ht="27"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row>
    <row r="761" spans="1:25" ht="27"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row>
    <row r="762" spans="1:25" ht="27"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row>
    <row r="763" spans="1:25" ht="27"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row>
    <row r="764" spans="1:25" ht="27"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row>
    <row r="765" spans="1:25" ht="27"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row>
    <row r="766" spans="1:25" ht="27"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row>
    <row r="767" spans="1:25" ht="27"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row>
    <row r="768" spans="1:25" ht="27"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row>
    <row r="769" spans="1:25" ht="27"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row>
    <row r="770" spans="1:25" ht="27"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row>
    <row r="771" spans="1:25" ht="27"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row>
    <row r="772" spans="1:25" ht="27"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row>
    <row r="773" spans="1:25" ht="27"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row>
    <row r="774" spans="1:25" ht="27"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row>
    <row r="775" spans="1:25" ht="27"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row>
    <row r="776" spans="1:25" ht="27"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row>
    <row r="777" spans="1:25" ht="27"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row>
    <row r="778" spans="1:25" ht="27"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row>
    <row r="779" spans="1:25" ht="27"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row>
    <row r="780" spans="1:25" ht="27"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row>
    <row r="781" spans="1:25" ht="27"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row>
    <row r="782" spans="1:25" ht="27"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row>
    <row r="783" spans="1:25" ht="27"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row>
    <row r="784" spans="1:25" ht="27"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row>
    <row r="785" spans="1:25" ht="27"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row>
    <row r="786" spans="1:25" ht="27"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row>
    <row r="787" spans="1:25" ht="27"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row>
    <row r="788" spans="1:25" ht="27"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row>
    <row r="789" spans="1:25" ht="27"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row>
    <row r="790" spans="1:25" ht="27"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row>
    <row r="791" spans="1:25" ht="27"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row>
    <row r="792" spans="1:25" ht="27"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row>
    <row r="793" spans="1:25" ht="27"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row>
    <row r="794" spans="1:25" ht="27"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row>
    <row r="795" spans="1:25" ht="27"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row>
    <row r="796" spans="1:25" ht="27"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row>
    <row r="797" spans="1:25" ht="27"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row>
    <row r="798" spans="1:25" ht="27"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row>
    <row r="799" spans="1:25" ht="27"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row>
    <row r="800" spans="1:25" ht="27"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row>
    <row r="801" spans="1:25" ht="27"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row>
    <row r="802" spans="1:25" ht="27"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row>
    <row r="803" spans="1:25" ht="27"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row>
    <row r="804" spans="1:25" ht="27"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row>
    <row r="805" spans="1:25" ht="27"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row>
    <row r="806" spans="1:25" ht="27"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row>
    <row r="807" spans="1:25" ht="27"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row>
    <row r="808" spans="1:25" ht="27"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row>
    <row r="809" spans="1:25" ht="27"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row>
    <row r="810" spans="1:25" ht="27"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row>
    <row r="811" spans="1:25" ht="27"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row>
    <row r="812" spans="1:25" ht="27"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row>
    <row r="813" spans="1:25" ht="27"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row>
    <row r="814" spans="1:25" ht="27"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row>
    <row r="815" spans="1:25" ht="27"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row>
    <row r="816" spans="1:25" ht="27"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row>
    <row r="817" spans="1:25" ht="27"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row>
    <row r="818" spans="1:25" ht="27"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row>
    <row r="819" spans="1:25" ht="27"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row>
    <row r="820" spans="1:25" ht="27"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row>
    <row r="821" spans="1:25" ht="27"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row>
    <row r="822" spans="1:25" ht="27"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row>
    <row r="823" spans="1:25" ht="27"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row>
    <row r="824" spans="1:25" ht="27"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row>
    <row r="825" spans="1:25" ht="27"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row>
    <row r="826" spans="1:25" ht="27"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row>
    <row r="827" spans="1:25" ht="27"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row>
    <row r="828" spans="1:25" ht="27"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row>
    <row r="829" spans="1:25" ht="27"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row>
    <row r="830" spans="1:25" ht="27"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row>
    <row r="831" spans="1:25" ht="27"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row>
    <row r="832" spans="1:25" ht="27"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row>
    <row r="833" spans="1:25" ht="27"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row>
    <row r="834" spans="1:25" ht="27"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row>
    <row r="835" spans="1:25" ht="27"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row>
    <row r="836" spans="1:25" ht="27"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row>
    <row r="837" spans="1:25" ht="27"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row>
    <row r="838" spans="1:25" ht="27"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row>
    <row r="839" spans="1:25" ht="27"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row>
    <row r="840" spans="1:25" ht="27"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row>
    <row r="841" spans="1:25" ht="27"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row>
    <row r="842" spans="1:25" ht="27"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row>
    <row r="843" spans="1:25" ht="27"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row>
    <row r="844" spans="1:25" ht="27"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row>
    <row r="845" spans="1:25" ht="27"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row>
    <row r="846" spans="1:25" ht="27"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row>
    <row r="847" spans="1:25" ht="27"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row>
    <row r="848" spans="1:25" ht="27"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row>
    <row r="849" spans="1:25" ht="27"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row>
    <row r="850" spans="1:25" ht="27"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row>
    <row r="851" spans="1:25" ht="27"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row>
    <row r="852" spans="1:25" ht="27"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row>
    <row r="853" spans="1:25" ht="27"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row>
    <row r="854" spans="1:25" ht="27"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row>
    <row r="855" spans="1:25" ht="27"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row>
    <row r="856" spans="1:25" ht="27"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row>
    <row r="857" spans="1:25" ht="27"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row>
    <row r="858" spans="1:25" ht="27"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row>
    <row r="859" spans="1:25" ht="27"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row>
    <row r="860" spans="1:25" ht="27"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row>
    <row r="861" spans="1:25" ht="27"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row>
    <row r="862" spans="1:25" ht="27"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row>
    <row r="863" spans="1:25" ht="27"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row>
    <row r="864" spans="1:25" ht="27"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row>
    <row r="865" spans="1:25" ht="27"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row>
    <row r="866" spans="1:25" ht="27"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row>
    <row r="867" spans="1:25" ht="27"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row>
    <row r="868" spans="1:25" ht="27"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row>
    <row r="869" spans="1:25" ht="27"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row>
    <row r="870" spans="1:25" ht="27"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row>
    <row r="871" spans="1:25" ht="27"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row>
    <row r="872" spans="1:25" ht="27"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row>
    <row r="873" spans="1:25" ht="27"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row>
    <row r="874" spans="1:25" ht="27"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row>
    <row r="875" spans="1:25" ht="27"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row>
    <row r="876" spans="1:25" ht="27"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row>
    <row r="877" spans="1:25" ht="27"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row>
    <row r="878" spans="1:25" ht="27"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row>
    <row r="879" spans="1:25" ht="27"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row>
    <row r="880" spans="1:25" ht="27"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row>
    <row r="881" spans="1:25" ht="27"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row>
    <row r="882" spans="1:25" ht="27"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row>
    <row r="883" spans="1:25" ht="27"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row>
    <row r="884" spans="1:25" ht="27"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row>
    <row r="885" spans="1:25" ht="27"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row>
    <row r="886" spans="1:25" ht="27"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row>
    <row r="887" spans="1:25" ht="27"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row>
    <row r="888" spans="1:25" ht="27"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row>
    <row r="889" spans="1:25" ht="27"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row>
    <row r="890" spans="1:25" ht="27"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row>
    <row r="891" spans="1:25" ht="27"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row>
    <row r="892" spans="1:25" ht="27"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row>
    <row r="893" spans="1:25" ht="27"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row>
    <row r="894" spans="1:25" ht="27"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row>
    <row r="895" spans="1:25" ht="27"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row>
    <row r="896" spans="1:25" ht="27"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row>
    <row r="897" spans="1:25" ht="27"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row>
    <row r="898" spans="1:25" ht="27"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row>
    <row r="899" spans="1:25" ht="27"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row>
    <row r="900" spans="1:25" ht="27"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row>
    <row r="901" spans="1:25" ht="27"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row>
    <row r="902" spans="1:25" ht="27"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row>
    <row r="903" spans="1:25" ht="27"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row>
    <row r="904" spans="1:25" ht="27"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row>
    <row r="905" spans="1:25" ht="27"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row>
    <row r="906" spans="1:25" ht="27"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row>
    <row r="907" spans="1:25" ht="27"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row>
    <row r="908" spans="1:25" ht="27"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row>
    <row r="909" spans="1:25" ht="27"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row>
    <row r="910" spans="1:25" ht="27"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row>
    <row r="911" spans="1:25" ht="27"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row>
    <row r="912" spans="1:25" ht="27"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row>
    <row r="913" spans="1:25" ht="27"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row>
    <row r="914" spans="1:25" ht="27"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row>
    <row r="915" spans="1:25" ht="27"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row>
    <row r="916" spans="1:25" ht="27"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row>
    <row r="917" spans="1:25" ht="27"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row>
    <row r="918" spans="1:25" ht="27"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row>
    <row r="919" spans="1:25" ht="27"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row>
    <row r="920" spans="1:25" ht="27"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row>
    <row r="921" spans="1:25" ht="27"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row>
    <row r="922" spans="1:25" ht="27"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row>
    <row r="923" spans="1:25" ht="27"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row>
    <row r="924" spans="1:25" ht="27"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row>
    <row r="925" spans="1:25" ht="27"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row>
    <row r="926" spans="1:25" ht="27"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row>
    <row r="927" spans="1:25" ht="27"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row>
    <row r="928" spans="1:25" ht="27"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row>
    <row r="929" spans="1:25" ht="27"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row>
    <row r="930" spans="1:25" ht="27"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row>
    <row r="931" spans="1:25" ht="27"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row>
    <row r="932" spans="1:25" ht="27"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row>
    <row r="933" spans="1:25" ht="27"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row>
    <row r="934" spans="1:25" ht="27"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row>
    <row r="935" spans="1:25" ht="27"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row>
    <row r="936" spans="1:25" ht="27"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row>
    <row r="937" spans="1:25" ht="27"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row>
    <row r="938" spans="1:25" ht="27"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row>
    <row r="939" spans="1:25" ht="27"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row>
    <row r="940" spans="1:25" ht="27"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row>
    <row r="941" spans="1:25" ht="27"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row>
    <row r="942" spans="1:25" ht="27"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row>
    <row r="943" spans="1:25" ht="27"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row>
    <row r="944" spans="1:25" ht="27"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row>
    <row r="945" spans="1:25" ht="27"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row>
    <row r="946" spans="1:25" ht="27"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row>
    <row r="947" spans="1:25" ht="27"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row>
    <row r="948" spans="1:25" ht="27"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row>
    <row r="949" spans="1:25" ht="27"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row>
    <row r="950" spans="1:25" ht="27"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row>
    <row r="951" spans="1:25" ht="27"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row>
    <row r="952" spans="1:25" ht="27"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row>
    <row r="953" spans="1:25" ht="27"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row>
    <row r="954" spans="1:25" ht="27"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row>
    <row r="955" spans="1:25" ht="27"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row>
    <row r="956" spans="1:25" ht="27"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row>
    <row r="957" spans="1:25" ht="27"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row>
    <row r="958" spans="1:25" ht="27"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row>
    <row r="959" spans="1:25" ht="27"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row>
    <row r="960" spans="1:25" ht="27"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row>
    <row r="961" spans="1:25" ht="27"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row>
    <row r="962" spans="1:25" ht="27"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row>
    <row r="963" spans="1:25" ht="27"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row>
    <row r="964" spans="1:25" ht="27"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row>
    <row r="965" spans="1:25" ht="27"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row>
    <row r="966" spans="1:25" ht="27"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row>
    <row r="967" spans="1:25" ht="27"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row>
    <row r="968" spans="1:25" ht="27"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row>
    <row r="969" spans="1:25" ht="27"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row>
    <row r="970" spans="1:25" ht="27"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row>
    <row r="971" spans="1:25" ht="27"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row>
    <row r="972" spans="1:25" ht="27"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row>
    <row r="973" spans="1:25" ht="27"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row>
    <row r="974" spans="1:25" ht="27"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row>
    <row r="975" spans="1:25" ht="27"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row>
    <row r="976" spans="1:25" ht="27"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row>
    <row r="977" spans="1:25" ht="27"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row>
    <row r="978" spans="1:25" ht="27"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row>
    <row r="979" spans="1:25" ht="27"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row>
    <row r="980" spans="1:25" ht="27"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row>
    <row r="981" spans="1:25" ht="27"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row>
    <row r="982" spans="1:25" ht="27"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row>
    <row r="983" spans="1:25" ht="27"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row>
    <row r="984" spans="1:25" ht="27"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row>
    <row r="985" spans="1:25" ht="27"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row>
    <row r="986" spans="1:25" ht="27"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row>
    <row r="987" spans="1:25" ht="27"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row>
    <row r="988" spans="1:25" ht="27"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row>
    <row r="989" spans="1:25" ht="27"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row>
    <row r="990" spans="1:25" ht="27"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row>
    <row r="991" spans="1:25" ht="27"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row>
    <row r="992" spans="1:25" ht="27"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row>
    <row r="993" spans="1:25" ht="27"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row>
    <row r="994" spans="1:25" ht="27"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row>
    <row r="995" spans="1:25" ht="27"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row>
    <row r="996" spans="1:25" ht="27"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row>
    <row r="997" spans="1:25" ht="27"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row>
    <row r="998" spans="1:25" ht="27"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
  <sheetViews>
    <sheetView showGridLines="0" topLeftCell="A14" zoomScale="91" zoomScaleNormal="93" workbookViewId="0">
      <pane xSplit="1" topLeftCell="B1" activePane="topRight" state="frozen"/>
      <selection pane="topRight" activeCell="J32" sqref="J32"/>
    </sheetView>
  </sheetViews>
  <sheetFormatPr baseColWidth="10" defaultColWidth="13.83203125" defaultRowHeight="16"/>
  <cols>
    <col min="1" max="1" width="37" style="82" bestFit="1" customWidth="1"/>
    <col min="2" max="5" width="9.6640625" style="82" bestFit="1" customWidth="1"/>
    <col min="6" max="7" width="10" style="82" bestFit="1" customWidth="1"/>
    <col min="8" max="8" width="10.1640625" style="82" bestFit="1" customWidth="1"/>
    <col min="9" max="9" width="9.5" style="82" bestFit="1" customWidth="1"/>
    <col min="10" max="15" width="10" style="82" bestFit="1" customWidth="1"/>
    <col min="16" max="16" width="8.33203125" style="82" bestFit="1" customWidth="1"/>
    <col min="17" max="19" width="8.6640625" style="82" bestFit="1" customWidth="1"/>
    <col min="20" max="30" width="14" style="82" bestFit="1" customWidth="1"/>
    <col min="31" max="16384" width="13.83203125" style="82"/>
  </cols>
  <sheetData>
    <row r="1" spans="1:24" ht="30" customHeight="1" thickBot="1">
      <c r="A1" s="219" t="s">
        <v>704</v>
      </c>
      <c r="B1" s="102">
        <v>2015</v>
      </c>
      <c r="C1" s="103">
        <v>2016</v>
      </c>
      <c r="D1" s="103">
        <v>2017</v>
      </c>
      <c r="E1" s="103">
        <v>2018</v>
      </c>
      <c r="F1" s="103">
        <v>2019</v>
      </c>
      <c r="G1" s="104">
        <v>2020</v>
      </c>
      <c r="H1" s="100" t="s">
        <v>709</v>
      </c>
      <c r="I1" s="101" t="s">
        <v>710</v>
      </c>
      <c r="J1" s="102">
        <v>2021</v>
      </c>
      <c r="K1" s="103">
        <v>2022</v>
      </c>
      <c r="L1" s="103">
        <v>2023</v>
      </c>
      <c r="M1" s="103">
        <v>2024</v>
      </c>
      <c r="N1" s="103">
        <v>2025</v>
      </c>
      <c r="O1" s="104">
        <v>2026</v>
      </c>
      <c r="P1" s="81"/>
      <c r="Q1" s="81"/>
      <c r="R1" s="81"/>
      <c r="S1" s="81"/>
      <c r="T1" s="81"/>
      <c r="U1" s="81"/>
      <c r="V1" s="81"/>
      <c r="W1" s="81"/>
      <c r="X1" s="81"/>
    </row>
    <row r="2" spans="1:24" ht="30" customHeight="1">
      <c r="A2" s="136" t="s">
        <v>711</v>
      </c>
      <c r="B2" s="107">
        <f>FCFF!B2</f>
        <v>32.042000000000002</v>
      </c>
      <c r="C2" s="107">
        <f>FCFF!C2</f>
        <v>57.875999999999998</v>
      </c>
      <c r="D2" s="107">
        <f>FCFF!D2</f>
        <v>96.52</v>
      </c>
      <c r="E2" s="107">
        <f>FCFF!E2</f>
        <v>9.0299999999999994</v>
      </c>
      <c r="F2" s="107">
        <f>FCFF!F2</f>
        <v>22.667999999999999</v>
      </c>
      <c r="G2" s="107">
        <f>FCFF!G2</f>
        <v>66.997</v>
      </c>
      <c r="H2" s="105">
        <f>AVERAGE(B2:G2)</f>
        <v>47.522166666666664</v>
      </c>
      <c r="I2" s="106">
        <f>MEDIAN(B2:G2)</f>
        <v>44.959000000000003</v>
      </c>
      <c r="J2" s="107">
        <f>Assumptions!F34</f>
        <v>70.98646153846154</v>
      </c>
      <c r="K2" s="107">
        <f>Assumptions!G34</f>
        <v>87.292752662721881</v>
      </c>
      <c r="L2" s="107">
        <f>Assumptions!H34</f>
        <v>165.48736507601274</v>
      </c>
      <c r="M2" s="107">
        <f>Assumptions!I34</f>
        <v>120.90662765064366</v>
      </c>
      <c r="N2" s="107">
        <f>Assumptions!J34</f>
        <v>180.58969989218747</v>
      </c>
      <c r="O2" s="120">
        <f>Assumptions!K34</f>
        <v>246.69835082912795</v>
      </c>
      <c r="P2" s="81"/>
      <c r="Q2" s="81"/>
      <c r="R2" s="81"/>
      <c r="S2" s="81"/>
      <c r="T2" s="81"/>
      <c r="U2" s="81"/>
      <c r="V2" s="81"/>
      <c r="W2" s="81"/>
      <c r="X2" s="81"/>
    </row>
    <row r="3" spans="1:24" ht="30" customHeight="1" thickBot="1">
      <c r="A3" s="137" t="s">
        <v>670</v>
      </c>
      <c r="B3" s="111">
        <f>FCFF!B4</f>
        <v>2.5950000000000002</v>
      </c>
      <c r="C3" s="111">
        <f>FCFF!C4</f>
        <v>1.571</v>
      </c>
      <c r="D3" s="111">
        <f>FCFF!D4</f>
        <v>2.4870000000000001</v>
      </c>
      <c r="E3" s="111">
        <f>FCFF!E4</f>
        <v>3.4569999999999999</v>
      </c>
      <c r="F3" s="111">
        <f>FCFF!F4</f>
        <v>15.724</v>
      </c>
      <c r="G3" s="111">
        <f>FCFF!G4</f>
        <v>19.623000000000001</v>
      </c>
      <c r="H3" s="109">
        <f>AVERAGE(B3:G3)</f>
        <v>7.5761666666666665</v>
      </c>
      <c r="I3" s="110">
        <f>MEDIAN(B3:G3)</f>
        <v>3.0259999999999998</v>
      </c>
      <c r="J3" s="111">
        <f>J2*Assumptions!I42</f>
        <v>20.400997818763976</v>
      </c>
      <c r="K3" s="111">
        <f>K2*Assumptions!J42</f>
        <v>23.234912878227362</v>
      </c>
      <c r="L3" s="111">
        <f>L2*Assumptions!K42</f>
        <v>30.353867671441559</v>
      </c>
      <c r="M3" s="111">
        <f>M2*Assumptions!L42</f>
        <v>25.185726083394567</v>
      </c>
      <c r="N3" s="111">
        <f>N2*Assumptions!M42</f>
        <v>29.383022410061344</v>
      </c>
      <c r="O3" s="284">
        <f>O2*Assumptions!N42</f>
        <v>31.796578857784144</v>
      </c>
      <c r="P3" s="81"/>
      <c r="Q3" s="81"/>
      <c r="R3" s="81"/>
      <c r="S3" s="81"/>
      <c r="T3" s="81"/>
      <c r="U3" s="81"/>
      <c r="V3" s="81"/>
      <c r="W3" s="81"/>
      <c r="X3" s="81"/>
    </row>
    <row r="4" spans="1:24" ht="30" customHeight="1" thickBot="1">
      <c r="A4" s="138"/>
      <c r="B4" s="114"/>
      <c r="C4" s="115"/>
      <c r="D4" s="115"/>
      <c r="E4" s="115"/>
      <c r="F4" s="115"/>
      <c r="G4" s="113"/>
      <c r="H4" s="112"/>
      <c r="I4" s="113"/>
      <c r="J4" s="114"/>
      <c r="K4" s="115"/>
      <c r="L4" s="115"/>
      <c r="M4" s="115"/>
      <c r="N4" s="115"/>
      <c r="O4" s="113"/>
      <c r="P4" s="81"/>
      <c r="Q4" s="81"/>
      <c r="R4" s="81"/>
      <c r="S4" s="81"/>
      <c r="T4" s="81"/>
      <c r="U4" s="81"/>
      <c r="V4" s="81"/>
      <c r="W4" s="81"/>
      <c r="X4" s="81"/>
    </row>
    <row r="5" spans="1:24" ht="30" customHeight="1">
      <c r="A5" s="285" t="s">
        <v>712</v>
      </c>
      <c r="B5" s="286"/>
      <c r="C5" s="287"/>
      <c r="D5" s="287"/>
      <c r="E5" s="287"/>
      <c r="F5" s="287"/>
      <c r="G5" s="288"/>
      <c r="H5" s="289"/>
      <c r="I5" s="288"/>
      <c r="J5" s="290"/>
      <c r="K5" s="291"/>
      <c r="L5" s="291"/>
      <c r="M5" s="291"/>
      <c r="N5" s="291"/>
      <c r="O5" s="292"/>
      <c r="P5" s="81"/>
      <c r="Q5" s="81"/>
      <c r="R5" s="81"/>
      <c r="S5" s="81"/>
      <c r="T5" s="81"/>
      <c r="U5" s="81"/>
      <c r="V5" s="81"/>
      <c r="W5" s="81"/>
      <c r="X5" s="81"/>
    </row>
    <row r="6" spans="1:24" ht="30" customHeight="1">
      <c r="A6" s="136" t="s">
        <v>181</v>
      </c>
      <c r="B6" s="107">
        <f>'Balance Sheet'!B22</f>
        <v>25.428999999999998</v>
      </c>
      <c r="C6" s="107">
        <f>'Balance Sheet'!C22</f>
        <v>5.194</v>
      </c>
      <c r="D6" s="107">
        <f>'Balance Sheet'!D22</f>
        <v>22.433</v>
      </c>
      <c r="E6" s="107">
        <f>'Balance Sheet'!E22</f>
        <v>56.758000000000003</v>
      </c>
      <c r="F6" s="107">
        <f>'Balance Sheet'!F22</f>
        <v>17.163</v>
      </c>
      <c r="G6" s="107">
        <f>'Balance Sheet'!G22</f>
        <v>67.265000000000001</v>
      </c>
      <c r="H6" s="116">
        <f>AVERAGE(B6:G6)</f>
        <v>32.373666666666665</v>
      </c>
      <c r="I6" s="117">
        <f>MEDIAN(B6:G6)</f>
        <v>23.930999999999997</v>
      </c>
      <c r="J6" s="118">
        <f t="shared" ref="J6:O6" si="0">(J2/365)*J23</f>
        <v>81.721387996933885</v>
      </c>
      <c r="K6" s="119">
        <f t="shared" si="0"/>
        <v>100.49359772363833</v>
      </c>
      <c r="L6" s="119">
        <f t="shared" si="0"/>
        <v>190.51318909084733</v>
      </c>
      <c r="M6" s="119">
        <f t="shared" si="0"/>
        <v>139.1907303942115</v>
      </c>
      <c r="N6" s="119">
        <f t="shared" si="0"/>
        <v>207.89937423691941</v>
      </c>
      <c r="O6" s="117">
        <f t="shared" si="0"/>
        <v>284.00530480572837</v>
      </c>
      <c r="P6" s="81"/>
      <c r="Q6" s="81"/>
      <c r="R6" s="81"/>
      <c r="S6" s="81"/>
      <c r="T6" s="81"/>
      <c r="U6" s="81"/>
      <c r="V6" s="81"/>
      <c r="W6" s="81"/>
      <c r="X6" s="81"/>
    </row>
    <row r="7" spans="1:24" ht="30" customHeight="1">
      <c r="A7" s="139" t="s">
        <v>1147</v>
      </c>
      <c r="B7" s="118">
        <f>'Balance Sheet'!B26</f>
        <v>4.141</v>
      </c>
      <c r="C7" s="118">
        <f>'Balance Sheet'!C26</f>
        <v>10.945</v>
      </c>
      <c r="D7" s="118">
        <f>'Balance Sheet'!D26</f>
        <v>16.277000000000001</v>
      </c>
      <c r="E7" s="118">
        <f>'Balance Sheet'!E26</f>
        <v>35.381999999999998</v>
      </c>
      <c r="F7" s="118">
        <f>'Balance Sheet'!F26</f>
        <v>43.851999999999997</v>
      </c>
      <c r="G7" s="118">
        <f>'Balance Sheet'!G26</f>
        <v>50.311999999999998</v>
      </c>
      <c r="H7" s="116">
        <f>AVERAGE(B7:G7)</f>
        <v>26.818166666666666</v>
      </c>
      <c r="I7" s="117">
        <f>MEDIAN(B7:G7)</f>
        <v>25.829499999999999</v>
      </c>
      <c r="J7" s="118">
        <f>J2*J31</f>
        <v>58.628675391904409</v>
      </c>
      <c r="K7" s="119">
        <f t="shared" ref="K7:O7" si="1">K2*K31</f>
        <v>72.096261019512681</v>
      </c>
      <c r="L7" s="119">
        <f t="shared" si="1"/>
        <v>136.67824537565198</v>
      </c>
      <c r="M7" s="119">
        <f t="shared" si="1"/>
        <v>99.858413444354213</v>
      </c>
      <c r="N7" s="119">
        <f t="shared" si="1"/>
        <v>149.15146726061135</v>
      </c>
      <c r="O7" s="117">
        <f t="shared" si="1"/>
        <v>203.75149313003155</v>
      </c>
      <c r="P7" s="81"/>
      <c r="Q7" s="81"/>
      <c r="R7" s="81"/>
      <c r="S7" s="81"/>
      <c r="T7" s="81"/>
      <c r="U7" s="81"/>
      <c r="V7" s="81"/>
      <c r="W7" s="81"/>
      <c r="X7" s="81"/>
    </row>
    <row r="8" spans="1:24" ht="30" customHeight="1">
      <c r="A8" s="136" t="s">
        <v>1148</v>
      </c>
      <c r="B8" s="150">
        <f>'Balance Sheet'!B27</f>
        <v>0.55800000000000005</v>
      </c>
      <c r="C8" s="150">
        <f>'Balance Sheet'!C27</f>
        <v>1E-3</v>
      </c>
      <c r="D8" s="150">
        <v>0</v>
      </c>
      <c r="E8" s="150">
        <f>'Balance Sheet'!E27</f>
        <v>1.5680000000000001</v>
      </c>
      <c r="F8" s="150">
        <f>'Balance Sheet'!F27</f>
        <v>2.3119999999999998</v>
      </c>
      <c r="G8" s="150">
        <v>0</v>
      </c>
      <c r="H8" s="116">
        <f>AVERAGE(B8:G8)</f>
        <v>0.73983333333333334</v>
      </c>
      <c r="I8" s="117">
        <f>MEDIAN(B8:G8)</f>
        <v>0.27950000000000003</v>
      </c>
      <c r="J8" s="118">
        <f>(J3/365)*J24</f>
        <v>99.788489841762896</v>
      </c>
      <c r="K8" s="119">
        <f t="shared" ref="K8:O8" si="2">(K3/365)*K24</f>
        <v>113.65016987505916</v>
      </c>
      <c r="L8" s="119">
        <f t="shared" si="2"/>
        <v>148.47149353665171</v>
      </c>
      <c r="M8" s="119">
        <f t="shared" si="2"/>
        <v>123.19228665956057</v>
      </c>
      <c r="N8" s="119">
        <f t="shared" si="2"/>
        <v>143.72274627615948</v>
      </c>
      <c r="O8" s="117">
        <f t="shared" si="2"/>
        <v>155.52830378887037</v>
      </c>
      <c r="P8" s="81"/>
      <c r="Q8" s="81"/>
      <c r="R8" s="81"/>
      <c r="S8" s="81"/>
      <c r="T8" s="81"/>
      <c r="U8" s="81"/>
      <c r="V8" s="81"/>
      <c r="W8" s="81"/>
      <c r="X8" s="81"/>
    </row>
    <row r="9" spans="1:24" ht="30" customHeight="1" thickBot="1">
      <c r="A9" s="140" t="s">
        <v>713</v>
      </c>
      <c r="B9" s="150">
        <f>'Balance Sheet'!B28</f>
        <v>1.6240000000000001</v>
      </c>
      <c r="C9" s="150">
        <f>'Balance Sheet'!C28</f>
        <v>5.5529999999999999</v>
      </c>
      <c r="D9" s="150">
        <f>'Balance Sheet'!D28</f>
        <v>0.997</v>
      </c>
      <c r="E9" s="150">
        <f>'Balance Sheet'!E28</f>
        <v>3.6890000000000001</v>
      </c>
      <c r="F9" s="150">
        <f>'Balance Sheet'!F28</f>
        <v>1.5089999999999999</v>
      </c>
      <c r="G9" s="150">
        <f>'Balance Sheet'!G28</f>
        <v>1E-3</v>
      </c>
      <c r="H9" s="109">
        <f>AVERAGE(B9:G9)</f>
        <v>2.2288333333333332</v>
      </c>
      <c r="I9" s="110">
        <f>MEDIAN(B9:G9)</f>
        <v>1.5665</v>
      </c>
      <c r="J9" s="118">
        <f t="shared" ref="J9:O9" si="3">J2*J25</f>
        <v>5.8198865441721832</v>
      </c>
      <c r="K9" s="119">
        <f t="shared" si="3"/>
        <v>7.1567719479899008</v>
      </c>
      <c r="L9" s="119">
        <f t="shared" si="3"/>
        <v>13.567624985992074</v>
      </c>
      <c r="M9" s="119">
        <f t="shared" si="3"/>
        <v>9.9126346082761447</v>
      </c>
      <c r="N9" s="119">
        <f t="shared" si="3"/>
        <v>14.805802988914731</v>
      </c>
      <c r="O9" s="117">
        <f t="shared" si="3"/>
        <v>20.225778005317192</v>
      </c>
      <c r="P9" s="81"/>
      <c r="Q9" s="81"/>
      <c r="R9" s="81"/>
      <c r="S9" s="81"/>
      <c r="T9" s="81"/>
      <c r="U9" s="81"/>
      <c r="V9" s="81"/>
      <c r="W9" s="81"/>
      <c r="X9" s="81"/>
    </row>
    <row r="10" spans="1:24" ht="30" customHeight="1" thickBot="1">
      <c r="A10" s="237" t="s">
        <v>698</v>
      </c>
      <c r="B10" s="293">
        <f t="shared" ref="B10:O10" si="4">SUM(B6:B9)</f>
        <v>31.751999999999999</v>
      </c>
      <c r="C10" s="294">
        <f t="shared" si="4"/>
        <v>21.693000000000001</v>
      </c>
      <c r="D10" s="294">
        <f t="shared" si="4"/>
        <v>39.707000000000001</v>
      </c>
      <c r="E10" s="294">
        <f t="shared" si="4"/>
        <v>97.396999999999991</v>
      </c>
      <c r="F10" s="294">
        <f t="shared" si="4"/>
        <v>64.835999999999999</v>
      </c>
      <c r="G10" s="295">
        <f t="shared" si="4"/>
        <v>117.578</v>
      </c>
      <c r="H10" s="296">
        <f>SUM(H6:H9)</f>
        <v>62.160500000000006</v>
      </c>
      <c r="I10" s="295">
        <f>SUM(I6:I9)</f>
        <v>51.60649999999999</v>
      </c>
      <c r="J10" s="297">
        <f t="shared" si="4"/>
        <v>245.95843977477338</v>
      </c>
      <c r="K10" s="298">
        <f t="shared" si="4"/>
        <v>293.39680056620011</v>
      </c>
      <c r="L10" s="298">
        <f t="shared" si="4"/>
        <v>489.23055298914312</v>
      </c>
      <c r="M10" s="298">
        <f t="shared" si="4"/>
        <v>372.15406510640247</v>
      </c>
      <c r="N10" s="298">
        <f t="shared" si="4"/>
        <v>515.57939076260493</v>
      </c>
      <c r="O10" s="299">
        <f t="shared" si="4"/>
        <v>663.51087972994753</v>
      </c>
      <c r="P10" s="81"/>
      <c r="Q10" s="81"/>
      <c r="R10" s="81"/>
      <c r="S10" s="81"/>
      <c r="T10" s="81"/>
      <c r="U10" s="81"/>
      <c r="V10" s="81"/>
      <c r="W10" s="81"/>
      <c r="X10" s="81"/>
    </row>
    <row r="11" spans="1:24" ht="30" customHeight="1" thickBot="1">
      <c r="A11" s="141"/>
      <c r="B11" s="142"/>
      <c r="C11" s="143"/>
      <c r="D11" s="143"/>
      <c r="E11" s="143"/>
      <c r="F11" s="143"/>
      <c r="G11" s="144"/>
      <c r="H11" s="112"/>
      <c r="I11" s="113"/>
      <c r="J11" s="114"/>
      <c r="K11" s="115"/>
      <c r="L11" s="115"/>
      <c r="M11" s="115"/>
      <c r="N11" s="115"/>
      <c r="O11" s="113"/>
      <c r="P11" s="81"/>
      <c r="Q11" s="81"/>
      <c r="R11" s="81"/>
      <c r="S11" s="81"/>
      <c r="T11" s="81"/>
      <c r="U11" s="81"/>
      <c r="V11" s="81"/>
      <c r="W11" s="81"/>
      <c r="X11" s="81"/>
    </row>
    <row r="12" spans="1:24" s="147" customFormat="1" ht="30" customHeight="1">
      <c r="A12" s="285" t="s">
        <v>714</v>
      </c>
      <c r="B12" s="286"/>
      <c r="C12" s="287"/>
      <c r="D12" s="287"/>
      <c r="E12" s="287"/>
      <c r="F12" s="287"/>
      <c r="G12" s="288"/>
      <c r="H12" s="289"/>
      <c r="I12" s="288"/>
      <c r="J12" s="290"/>
      <c r="K12" s="291"/>
      <c r="L12" s="291"/>
      <c r="M12" s="291"/>
      <c r="N12" s="291"/>
      <c r="O12" s="292"/>
      <c r="P12" s="145"/>
      <c r="Q12" s="146"/>
      <c r="R12" s="145"/>
      <c r="S12" s="145"/>
      <c r="T12" s="145"/>
      <c r="U12" s="145"/>
      <c r="V12" s="145"/>
      <c r="W12" s="145"/>
      <c r="X12" s="145"/>
    </row>
    <row r="13" spans="1:24" ht="30" customHeight="1">
      <c r="A13" s="136" t="s">
        <v>200</v>
      </c>
      <c r="B13" s="107">
        <f>'Balance Sheet'!B45</f>
        <v>16.140999999999998</v>
      </c>
      <c r="C13" s="107">
        <f>'Balance Sheet'!C45</f>
        <v>13.071</v>
      </c>
      <c r="D13" s="107">
        <f>'Balance Sheet'!D45</f>
        <v>19.449000000000002</v>
      </c>
      <c r="E13" s="107">
        <f>'Balance Sheet'!E45</f>
        <v>23.324999999999999</v>
      </c>
      <c r="F13" s="107">
        <f>'Balance Sheet'!F45</f>
        <v>16.914999999999999</v>
      </c>
      <c r="G13" s="107">
        <f>'Balance Sheet'!G45</f>
        <v>58.082000000000001</v>
      </c>
      <c r="H13" s="120">
        <f>AVERAGE(B13:G13)</f>
        <v>24.497166666666669</v>
      </c>
      <c r="I13" s="108">
        <f>MEDIAN(B13:G13)</f>
        <v>18.182000000000002</v>
      </c>
      <c r="J13" s="118">
        <f t="shared" ref="J13:O13" si="5">(J3/365)*J26</f>
        <v>122.48241310083333</v>
      </c>
      <c r="K13" s="119">
        <f t="shared" si="5"/>
        <v>139.49651986607279</v>
      </c>
      <c r="L13" s="119">
        <f t="shared" si="5"/>
        <v>182.23691764341282</v>
      </c>
      <c r="M13" s="119">
        <f t="shared" si="5"/>
        <v>151.20870723065761</v>
      </c>
      <c r="N13" s="119">
        <f t="shared" si="5"/>
        <v>176.40820909603048</v>
      </c>
      <c r="O13" s="117">
        <f t="shared" si="5"/>
        <v>190.89858944400868</v>
      </c>
      <c r="P13" s="81"/>
      <c r="Q13" s="145"/>
      <c r="R13" s="81"/>
      <c r="S13" s="81"/>
      <c r="T13" s="81"/>
      <c r="U13" s="81"/>
      <c r="V13" s="81"/>
      <c r="W13" s="81"/>
      <c r="X13" s="81"/>
    </row>
    <row r="14" spans="1:24" ht="30" customHeight="1">
      <c r="A14" s="139" t="s">
        <v>700</v>
      </c>
      <c r="B14" s="107">
        <f>'Balance Sheet'!B46</f>
        <v>0.78700000000000003</v>
      </c>
      <c r="C14" s="107">
        <f>'Balance Sheet'!C46</f>
        <v>1.367</v>
      </c>
      <c r="D14" s="107">
        <f>'Balance Sheet'!D46</f>
        <v>1.325</v>
      </c>
      <c r="E14" s="107">
        <f>'Balance Sheet'!E46</f>
        <v>2.02</v>
      </c>
      <c r="F14" s="107">
        <f>'Balance Sheet'!F46</f>
        <v>1.85</v>
      </c>
      <c r="G14" s="107">
        <v>0</v>
      </c>
      <c r="H14" s="116">
        <f>AVERAGE(B14:G14)</f>
        <v>1.2248333333333334</v>
      </c>
      <c r="I14" s="117">
        <f>MEDIAN(B14:G14)</f>
        <v>1.3460000000000001</v>
      </c>
      <c r="J14" s="118">
        <f t="shared" ref="J14:O14" si="6">J2*J27</f>
        <v>3.0273552135218731</v>
      </c>
      <c r="K14" s="119">
        <f t="shared" si="6"/>
        <v>3.7227685976851101</v>
      </c>
      <c r="L14" s="119">
        <f t="shared" si="6"/>
        <v>7.0575293735893752</v>
      </c>
      <c r="M14" s="119">
        <f t="shared" si="6"/>
        <v>5.1562974352398845</v>
      </c>
      <c r="N14" s="119">
        <f t="shared" si="6"/>
        <v>7.7015977079058784</v>
      </c>
      <c r="O14" s="117">
        <f t="shared" si="6"/>
        <v>10.520929235853762</v>
      </c>
      <c r="P14" s="81"/>
      <c r="Q14" s="81"/>
      <c r="R14" s="81"/>
      <c r="S14" s="81"/>
      <c r="T14" s="81"/>
      <c r="U14" s="81"/>
      <c r="V14" s="81"/>
      <c r="W14" s="81"/>
      <c r="X14" s="81"/>
    </row>
    <row r="15" spans="1:24" ht="30" customHeight="1">
      <c r="A15" s="139" t="s">
        <v>701</v>
      </c>
      <c r="B15" s="118">
        <f>'Balance Sheet'!B50</f>
        <v>0</v>
      </c>
      <c r="C15" s="118">
        <f>'Balance Sheet'!C50</f>
        <v>0.33400000000000002</v>
      </c>
      <c r="D15" s="118">
        <v>0</v>
      </c>
      <c r="E15" s="118">
        <v>0</v>
      </c>
      <c r="F15" s="118">
        <v>0</v>
      </c>
      <c r="G15" s="118">
        <v>0</v>
      </c>
      <c r="H15" s="116">
        <f>AVERAGE(B15:G15)</f>
        <v>5.566666666666667E-2</v>
      </c>
      <c r="I15" s="117">
        <f>MEDIAN(B15:G15)</f>
        <v>0</v>
      </c>
      <c r="J15" s="118">
        <f t="shared" ref="J15:O15" si="7">J2*J29</f>
        <v>3.413832756503294E-2</v>
      </c>
      <c r="K15" s="119">
        <f t="shared" si="7"/>
        <v>4.1980238483063086E-2</v>
      </c>
      <c r="L15" s="119">
        <f t="shared" si="7"/>
        <v>7.9585061072217994E-2</v>
      </c>
      <c r="M15" s="119">
        <f t="shared" si="7"/>
        <v>5.8145595231349476E-2</v>
      </c>
      <c r="N15" s="119">
        <f t="shared" si="7"/>
        <v>8.6847973489285454E-2</v>
      </c>
      <c r="O15" s="117">
        <f t="shared" si="7"/>
        <v>0.11864049746718378</v>
      </c>
      <c r="P15" s="81"/>
      <c r="Q15" s="81"/>
      <c r="R15" s="81"/>
      <c r="S15" s="81"/>
      <c r="T15" s="81"/>
      <c r="U15" s="81"/>
      <c r="V15" s="81"/>
      <c r="W15" s="81"/>
      <c r="X15" s="81"/>
    </row>
    <row r="16" spans="1:24" ht="30" customHeight="1">
      <c r="A16" s="139" t="s">
        <v>702</v>
      </c>
      <c r="B16" s="118">
        <f>'Balance Sheet'!B48</f>
        <v>7.577</v>
      </c>
      <c r="C16" s="118">
        <f>'Balance Sheet'!C48</f>
        <v>8.3640000000000008</v>
      </c>
      <c r="D16" s="118">
        <f>'Balance Sheet'!D48</f>
        <v>8.8580000000000005</v>
      </c>
      <c r="E16" s="118">
        <f>'Balance Sheet'!E48</f>
        <v>32.159999999999997</v>
      </c>
      <c r="F16" s="118">
        <f>'Balance Sheet'!F48</f>
        <v>60.012999999999998</v>
      </c>
      <c r="G16" s="118">
        <f>'Balance Sheet'!G48</f>
        <v>64.608000000000004</v>
      </c>
      <c r="H16" s="116">
        <f>AVERAGE(B16:G16)</f>
        <v>30.263333333333332</v>
      </c>
      <c r="I16" s="117">
        <f>MEDIAN(B16:G16)</f>
        <v>20.509</v>
      </c>
      <c r="J16" s="118">
        <f t="shared" ref="J16:O16" si="8">J2*J30</f>
        <v>66.540805874431797</v>
      </c>
      <c r="K16" s="119">
        <f t="shared" si="8"/>
        <v>81.825885996977263</v>
      </c>
      <c r="L16" s="119">
        <f t="shared" si="8"/>
        <v>155.12341924844219</v>
      </c>
      <c r="M16" s="119">
        <f t="shared" si="8"/>
        <v>113.33463121097623</v>
      </c>
      <c r="N16" s="119">
        <f t="shared" si="8"/>
        <v>169.27994300627557</v>
      </c>
      <c r="O16" s="117">
        <f t="shared" si="8"/>
        <v>231.24841999864017</v>
      </c>
      <c r="P16" s="81"/>
      <c r="Q16" s="81"/>
      <c r="R16" s="81"/>
      <c r="S16" s="81"/>
      <c r="T16" s="81"/>
      <c r="U16" s="81"/>
      <c r="V16" s="81"/>
      <c r="W16" s="81"/>
      <c r="X16" s="81"/>
    </row>
    <row r="17" spans="1:24" ht="30" customHeight="1" thickBot="1">
      <c r="A17" s="140" t="s">
        <v>207</v>
      </c>
      <c r="B17" s="121">
        <f>'Balance Sheet'!B47+'Balance Sheet'!B51+'Balance Sheet'!B52</f>
        <v>27.716000000000001</v>
      </c>
      <c r="C17" s="121">
        <f>'Balance Sheet'!C47+'Balance Sheet'!C51+'Balance Sheet'!C52</f>
        <v>10.837999999999999</v>
      </c>
      <c r="D17" s="121">
        <f>'Balance Sheet'!D47+'Balance Sheet'!D51+'Balance Sheet'!D52</f>
        <v>11.422000000000001</v>
      </c>
      <c r="E17" s="121">
        <f>'Balance Sheet'!E47+'Balance Sheet'!E51+'Balance Sheet'!E52</f>
        <v>5.9269999999999996</v>
      </c>
      <c r="F17" s="121">
        <f>'Balance Sheet'!F47+'Balance Sheet'!F51+'Balance Sheet'!F52</f>
        <v>10.454000000000001</v>
      </c>
      <c r="G17" s="121">
        <f>'Balance Sheet'!G47+'Balance Sheet'!G51+'Balance Sheet'!G52</f>
        <v>2.5619999999999998</v>
      </c>
      <c r="H17" s="109">
        <f>AVERAGE(B17:G17)</f>
        <v>11.486499999999999</v>
      </c>
      <c r="I17" s="110">
        <f>MEDIAN(B17:G17)</f>
        <v>10.646000000000001</v>
      </c>
      <c r="J17" s="121">
        <f t="shared" ref="J17:O17" si="9">J2*J28</f>
        <v>25.269410142311528</v>
      </c>
      <c r="K17" s="122">
        <f t="shared" si="9"/>
        <v>31.074043158081917</v>
      </c>
      <c r="L17" s="122">
        <f t="shared" si="9"/>
        <v>58.909375264612414</v>
      </c>
      <c r="M17" s="122">
        <f t="shared" si="9"/>
        <v>43.039744435951121</v>
      </c>
      <c r="N17" s="122">
        <f t="shared" si="9"/>
        <v>64.285429857355552</v>
      </c>
      <c r="O17" s="123">
        <f t="shared" si="9"/>
        <v>87.818461061838676</v>
      </c>
      <c r="P17" s="81"/>
      <c r="Q17" s="81"/>
      <c r="R17" s="81"/>
      <c r="S17" s="81"/>
      <c r="T17" s="81"/>
      <c r="U17" s="81"/>
      <c r="V17" s="81"/>
      <c r="W17" s="81"/>
      <c r="X17" s="81"/>
    </row>
    <row r="18" spans="1:24" ht="30" customHeight="1" thickBot="1">
      <c r="A18" s="237" t="s">
        <v>703</v>
      </c>
      <c r="B18" s="293">
        <f t="shared" ref="B18:G18" si="10">SUM(B13:B17)</f>
        <v>52.220999999999997</v>
      </c>
      <c r="C18" s="294">
        <f t="shared" si="10"/>
        <v>33.973999999999997</v>
      </c>
      <c r="D18" s="294">
        <f t="shared" si="10"/>
        <v>41.054000000000002</v>
      </c>
      <c r="E18" s="294">
        <f t="shared" si="10"/>
        <v>63.431999999999995</v>
      </c>
      <c r="F18" s="294">
        <f t="shared" si="10"/>
        <v>89.231999999999999</v>
      </c>
      <c r="G18" s="295">
        <f t="shared" si="10"/>
        <v>125.252</v>
      </c>
      <c r="H18" s="296">
        <f>SUM(H13:H15)</f>
        <v>25.777666666666669</v>
      </c>
      <c r="I18" s="295">
        <f>SUM(I13:I15)</f>
        <v>19.528000000000002</v>
      </c>
      <c r="J18" s="293">
        <f t="shared" ref="J18:O18" si="11">SUM(J13:J17)</f>
        <v>217.35412265866356</v>
      </c>
      <c r="K18" s="294">
        <f t="shared" si="11"/>
        <v>256.16119785730012</v>
      </c>
      <c r="L18" s="294">
        <f t="shared" si="11"/>
        <v>403.40682659112906</v>
      </c>
      <c r="M18" s="294">
        <f t="shared" si="11"/>
        <v>312.79752590805617</v>
      </c>
      <c r="N18" s="294">
        <f t="shared" si="11"/>
        <v>417.76202764105676</v>
      </c>
      <c r="O18" s="295">
        <f t="shared" si="11"/>
        <v>520.60504023780845</v>
      </c>
      <c r="P18" s="81"/>
      <c r="Q18" s="81"/>
      <c r="R18" s="81"/>
      <c r="S18" s="81"/>
      <c r="T18" s="81"/>
      <c r="U18" s="81"/>
      <c r="V18" s="81"/>
      <c r="W18" s="81"/>
      <c r="X18" s="81"/>
    </row>
    <row r="19" spans="1:24" ht="30" customHeight="1" thickBot="1">
      <c r="A19" s="148"/>
      <c r="B19" s="124"/>
      <c r="C19" s="125"/>
      <c r="D19" s="125"/>
      <c r="E19" s="125"/>
      <c r="F19" s="125"/>
      <c r="G19" s="110"/>
      <c r="H19" s="112"/>
      <c r="I19" s="113"/>
      <c r="J19" s="124"/>
      <c r="K19" s="125"/>
      <c r="L19" s="125"/>
      <c r="M19" s="125"/>
      <c r="N19" s="125"/>
      <c r="O19" s="110"/>
      <c r="P19" s="81"/>
      <c r="Q19" s="81"/>
      <c r="R19" s="81"/>
      <c r="S19" s="81"/>
      <c r="T19" s="81"/>
      <c r="U19" s="81"/>
      <c r="V19" s="81"/>
      <c r="W19" s="81"/>
      <c r="X19" s="81"/>
    </row>
    <row r="20" spans="1:24" ht="30" customHeight="1" thickBot="1">
      <c r="A20" s="237" t="s">
        <v>704</v>
      </c>
      <c r="B20" s="300">
        <f t="shared" ref="B20:G20" si="12">B10-B18</f>
        <v>-20.468999999999998</v>
      </c>
      <c r="C20" s="301">
        <f t="shared" si="12"/>
        <v>-12.280999999999995</v>
      </c>
      <c r="D20" s="301">
        <f t="shared" si="12"/>
        <v>-1.3470000000000013</v>
      </c>
      <c r="E20" s="301">
        <f t="shared" si="12"/>
        <v>33.964999999999996</v>
      </c>
      <c r="F20" s="301">
        <f t="shared" si="12"/>
        <v>-24.396000000000001</v>
      </c>
      <c r="G20" s="302">
        <f t="shared" si="12"/>
        <v>-7.6739999999999924</v>
      </c>
      <c r="H20" s="303">
        <f>AVERAGE(B20:G20)</f>
        <v>-5.3669999999999982</v>
      </c>
      <c r="I20" s="302">
        <f>MEDIAN(B20:G20)</f>
        <v>-9.9774999999999938</v>
      </c>
      <c r="J20" s="300">
        <f t="shared" ref="J20:O20" si="13">J10-J18</f>
        <v>28.604317116109826</v>
      </c>
      <c r="K20" s="301">
        <f t="shared" si="13"/>
        <v>37.235602708899989</v>
      </c>
      <c r="L20" s="301">
        <f t="shared" si="13"/>
        <v>85.82372639801406</v>
      </c>
      <c r="M20" s="301">
        <f t="shared" si="13"/>
        <v>59.356539198346297</v>
      </c>
      <c r="N20" s="301">
        <f t="shared" si="13"/>
        <v>97.817363121548169</v>
      </c>
      <c r="O20" s="302">
        <f t="shared" si="13"/>
        <v>142.90583949213908</v>
      </c>
      <c r="P20" s="81"/>
      <c r="Q20" s="81"/>
      <c r="R20" s="81"/>
      <c r="S20" s="81"/>
      <c r="T20" s="81"/>
      <c r="U20" s="81"/>
      <c r="V20" s="81"/>
      <c r="W20" s="81"/>
      <c r="X20" s="81"/>
    </row>
    <row r="21" spans="1:24" ht="30" customHeight="1" thickBot="1">
      <c r="A21" s="304" t="s">
        <v>676</v>
      </c>
      <c r="B21" s="305"/>
      <c r="C21" s="306">
        <f>C20-B20</f>
        <v>8.1880000000000024</v>
      </c>
      <c r="D21" s="306">
        <f>D20-C20</f>
        <v>10.933999999999994</v>
      </c>
      <c r="E21" s="306">
        <f>E20-D20</f>
        <v>35.311999999999998</v>
      </c>
      <c r="F21" s="306">
        <f>F20-E20</f>
        <v>-58.360999999999997</v>
      </c>
      <c r="G21" s="307">
        <f>G20-F20</f>
        <v>16.722000000000008</v>
      </c>
      <c r="H21" s="303">
        <f>AVERAGE(B21:G21)</f>
        <v>2.5590000000000019</v>
      </c>
      <c r="I21" s="302">
        <f>MEDIAN(B21:G21)</f>
        <v>10.933999999999994</v>
      </c>
      <c r="J21" s="305">
        <f>J20-G20</f>
        <v>36.278317116109818</v>
      </c>
      <c r="K21" s="306">
        <f>K20-J20</f>
        <v>8.6312855927901637</v>
      </c>
      <c r="L21" s="306">
        <f>L20-K20</f>
        <v>48.58812368911407</v>
      </c>
      <c r="M21" s="306">
        <f>M20-L20</f>
        <v>-26.467187199667762</v>
      </c>
      <c r="N21" s="306">
        <f>N20-M20</f>
        <v>38.460823923201872</v>
      </c>
      <c r="O21" s="307">
        <f>O20-N20</f>
        <v>45.088476370590911</v>
      </c>
      <c r="P21" s="81"/>
      <c r="Q21" s="81"/>
      <c r="R21" s="81"/>
      <c r="S21" s="81"/>
      <c r="T21" s="81"/>
      <c r="U21" s="81"/>
      <c r="V21" s="81"/>
      <c r="W21" s="81"/>
      <c r="X21" s="81"/>
    </row>
    <row r="22" spans="1:24" ht="30" customHeight="1" thickBot="1">
      <c r="A22" s="138"/>
      <c r="B22" s="114"/>
      <c r="C22" s="115"/>
      <c r="D22" s="115"/>
      <c r="E22" s="115"/>
      <c r="F22" s="115"/>
      <c r="G22" s="113"/>
      <c r="H22" s="112"/>
      <c r="I22" s="113"/>
      <c r="J22" s="114"/>
      <c r="K22" s="115"/>
      <c r="L22" s="115"/>
      <c r="M22" s="115"/>
      <c r="N22" s="115"/>
      <c r="O22" s="113"/>
      <c r="P22" s="81"/>
      <c r="Q22" s="81"/>
      <c r="R22" s="81"/>
      <c r="S22" s="81"/>
      <c r="T22" s="81"/>
      <c r="U22" s="81"/>
      <c r="V22" s="81"/>
      <c r="W22" s="81"/>
      <c r="X22" s="81"/>
    </row>
    <row r="23" spans="1:24" ht="30" customHeight="1">
      <c r="A23" s="149" t="s">
        <v>706</v>
      </c>
      <c r="B23" s="126">
        <f>(B6/B2)*365</f>
        <v>289.66934024093371</v>
      </c>
      <c r="C23" s="127">
        <f t="shared" ref="C23:G23" si="14">(C6/C2)*365</f>
        <v>32.756410256410255</v>
      </c>
      <c r="D23" s="127">
        <f t="shared" si="14"/>
        <v>84.832625362619154</v>
      </c>
      <c r="E23" s="127">
        <f t="shared" si="14"/>
        <v>2294.2048726467333</v>
      </c>
      <c r="F23" s="127">
        <f t="shared" si="14"/>
        <v>276.35852302805722</v>
      </c>
      <c r="G23" s="106">
        <f t="shared" si="14"/>
        <v>366.46006537606161</v>
      </c>
      <c r="H23" s="105">
        <f t="shared" ref="H23:H31" si="15">AVERAGE(B23:G23)</f>
        <v>557.38030615180253</v>
      </c>
      <c r="I23" s="106">
        <f>MEDIAN(B23:G23)</f>
        <v>283.01393163449546</v>
      </c>
      <c r="J23" s="126">
        <f>AVERAGE($H$23:$I$23)</f>
        <v>420.19711889314897</v>
      </c>
      <c r="K23" s="127">
        <f t="shared" ref="J23:O23" si="16">AVERAGE($H$23:$I$23)</f>
        <v>420.19711889314897</v>
      </c>
      <c r="L23" s="127">
        <f t="shared" si="16"/>
        <v>420.19711889314897</v>
      </c>
      <c r="M23" s="127">
        <f t="shared" si="16"/>
        <v>420.19711889314897</v>
      </c>
      <c r="N23" s="127">
        <f t="shared" si="16"/>
        <v>420.19711889314897</v>
      </c>
      <c r="O23" s="106">
        <f t="shared" si="16"/>
        <v>420.19711889314897</v>
      </c>
      <c r="P23" s="81"/>
      <c r="Q23" s="81"/>
      <c r="R23" s="81"/>
      <c r="S23" s="81"/>
      <c r="T23" s="81"/>
      <c r="U23" s="81"/>
      <c r="V23" s="81"/>
      <c r="W23" s="81"/>
      <c r="X23" s="81"/>
    </row>
    <row r="24" spans="1:24" ht="30" customHeight="1">
      <c r="A24" s="139" t="s">
        <v>707</v>
      </c>
      <c r="B24" s="118">
        <f>(B7/B3)*365</f>
        <v>582.4527938342967</v>
      </c>
      <c r="C24" s="118">
        <f t="shared" ref="C24:G24" si="17">(C7/C3)*365</f>
        <v>2542.9185232336094</v>
      </c>
      <c r="D24" s="118">
        <f t="shared" si="17"/>
        <v>2388.8640932850826</v>
      </c>
      <c r="E24" s="118">
        <f t="shared" si="17"/>
        <v>3735.7332947642462</v>
      </c>
      <c r="F24" s="118">
        <f t="shared" si="17"/>
        <v>1017.93309590435</v>
      </c>
      <c r="G24" s="118">
        <f t="shared" si="17"/>
        <v>935.83447994700077</v>
      </c>
      <c r="H24" s="116">
        <f t="shared" si="15"/>
        <v>1867.2893801614309</v>
      </c>
      <c r="I24" s="117">
        <f t="shared" ref="I23:I31" si="18">MEDIAN(B24:G24)</f>
        <v>1703.3985945947163</v>
      </c>
      <c r="J24" s="118">
        <f>AVERAGE($H$24:$I$24)</f>
        <v>1785.3439873780735</v>
      </c>
      <c r="K24" s="119">
        <f t="shared" ref="K24:O24" si="19">AVERAGE($H$24:$I$24)</f>
        <v>1785.3439873780735</v>
      </c>
      <c r="L24" s="119">
        <f t="shared" si="19"/>
        <v>1785.3439873780735</v>
      </c>
      <c r="M24" s="119">
        <f t="shared" si="19"/>
        <v>1785.3439873780735</v>
      </c>
      <c r="N24" s="119">
        <f t="shared" si="19"/>
        <v>1785.3439873780735</v>
      </c>
      <c r="O24" s="117">
        <f t="shared" si="19"/>
        <v>1785.3439873780735</v>
      </c>
      <c r="P24" s="81"/>
      <c r="Q24" s="81"/>
      <c r="R24" s="81"/>
      <c r="S24" s="81"/>
      <c r="T24" s="81"/>
      <c r="U24" s="81"/>
      <c r="V24" s="81"/>
      <c r="W24" s="81"/>
      <c r="X24" s="81"/>
    </row>
    <row r="25" spans="1:24" ht="30" customHeight="1">
      <c r="A25" s="139" t="s">
        <v>186</v>
      </c>
      <c r="B25" s="130">
        <f>B9/B2</f>
        <v>5.0683477935210039E-2</v>
      </c>
      <c r="C25" s="131">
        <f t="shared" ref="C25:G25" si="20">C9/C2</f>
        <v>9.5946506323864811E-2</v>
      </c>
      <c r="D25" s="131">
        <f t="shared" si="20"/>
        <v>1.0329465395772897E-2</v>
      </c>
      <c r="E25" s="131">
        <f t="shared" si="20"/>
        <v>0.40852713178294575</v>
      </c>
      <c r="F25" s="131">
        <f t="shared" si="20"/>
        <v>6.6569613552143983E-2</v>
      </c>
      <c r="G25" s="129">
        <f t="shared" si="20"/>
        <v>1.4926041464543188E-5</v>
      </c>
      <c r="H25" s="128">
        <f>AVERAGE(B25:G25)</f>
        <v>0.10534518683856701</v>
      </c>
      <c r="I25" s="129">
        <f>MEDIAN(B25:G25)</f>
        <v>5.8626545743677011E-2</v>
      </c>
      <c r="J25" s="130">
        <f>AVERAGE($H$25:$I$25)</f>
        <v>8.1985866291122006E-2</v>
      </c>
      <c r="K25" s="131">
        <f t="shared" ref="J25:O25" si="21">AVERAGE($H$25:$I$25)</f>
        <v>8.1985866291122006E-2</v>
      </c>
      <c r="L25" s="131">
        <f t="shared" si="21"/>
        <v>8.1985866291122006E-2</v>
      </c>
      <c r="M25" s="131">
        <f t="shared" si="21"/>
        <v>8.1985866291122006E-2</v>
      </c>
      <c r="N25" s="131">
        <f t="shared" si="21"/>
        <v>8.1985866291122006E-2</v>
      </c>
      <c r="O25" s="129">
        <f t="shared" si="21"/>
        <v>8.1985866291122006E-2</v>
      </c>
      <c r="P25" s="81"/>
      <c r="Q25" s="81"/>
      <c r="R25" s="81"/>
      <c r="S25" s="81"/>
      <c r="T25" s="81"/>
      <c r="U25" s="81"/>
      <c r="V25" s="81"/>
      <c r="W25" s="81"/>
      <c r="X25" s="81"/>
    </row>
    <row r="26" spans="1:24" ht="30" customHeight="1">
      <c r="A26" s="139" t="s">
        <v>708</v>
      </c>
      <c r="B26" s="118">
        <f>(B13/B3)*365</f>
        <v>2270.3140655105967</v>
      </c>
      <c r="C26" s="119">
        <f t="shared" ref="C26:G26" si="22">(C13/C3)*365</f>
        <v>3036.865054105665</v>
      </c>
      <c r="D26" s="119">
        <f t="shared" si="22"/>
        <v>2854.3968636911941</v>
      </c>
      <c r="E26" s="119">
        <f t="shared" si="22"/>
        <v>2462.7205669655773</v>
      </c>
      <c r="F26" s="119">
        <f t="shared" si="22"/>
        <v>392.64659119816844</v>
      </c>
      <c r="G26" s="117">
        <f t="shared" si="22"/>
        <v>1080.3613107068236</v>
      </c>
      <c r="H26" s="116">
        <f t="shared" si="15"/>
        <v>2016.2174086963375</v>
      </c>
      <c r="I26" s="117">
        <f t="shared" si="18"/>
        <v>2366.517316238087</v>
      </c>
      <c r="J26" s="118">
        <f>AVERAGE($H$26:$I$26)</f>
        <v>2191.3673624672124</v>
      </c>
      <c r="K26" s="119">
        <f t="shared" ref="J26:O26" si="23">AVERAGE($H$26:$I$26)</f>
        <v>2191.3673624672124</v>
      </c>
      <c r="L26" s="119">
        <f t="shared" si="23"/>
        <v>2191.3673624672124</v>
      </c>
      <c r="M26" s="119">
        <f t="shared" si="23"/>
        <v>2191.3673624672124</v>
      </c>
      <c r="N26" s="119">
        <f t="shared" si="23"/>
        <v>2191.3673624672124</v>
      </c>
      <c r="O26" s="117">
        <f t="shared" si="23"/>
        <v>2191.3673624672124</v>
      </c>
      <c r="P26" s="81"/>
      <c r="Q26" s="81"/>
      <c r="R26" s="81"/>
      <c r="S26" s="81"/>
      <c r="T26" s="81"/>
      <c r="U26" s="81"/>
      <c r="V26" s="81"/>
      <c r="W26" s="81"/>
      <c r="X26" s="81"/>
    </row>
    <row r="27" spans="1:24" ht="30" customHeight="1">
      <c r="A27" s="139" t="s">
        <v>715</v>
      </c>
      <c r="B27" s="130">
        <f>B14/B2</f>
        <v>2.4561513014168902E-2</v>
      </c>
      <c r="C27" s="131">
        <f t="shared" ref="C27:G27" si="24">C14/C2</f>
        <v>2.3619462298707584E-2</v>
      </c>
      <c r="D27" s="131">
        <f t="shared" si="24"/>
        <v>1.3727724823870701E-2</v>
      </c>
      <c r="E27" s="131">
        <f t="shared" si="24"/>
        <v>0.22369878183831673</v>
      </c>
      <c r="F27" s="131">
        <f t="shared" si="24"/>
        <v>8.161284630315864E-2</v>
      </c>
      <c r="G27" s="129">
        <f t="shared" si="24"/>
        <v>0</v>
      </c>
      <c r="H27" s="128">
        <f t="shared" si="15"/>
        <v>6.1203388046370426E-2</v>
      </c>
      <c r="I27" s="129">
        <f t="shared" si="18"/>
        <v>2.4090487656438245E-2</v>
      </c>
      <c r="J27" s="130">
        <f>AVERAGE($H$27:$I$27)</f>
        <v>4.2646937851404332E-2</v>
      </c>
      <c r="K27" s="131">
        <f t="shared" ref="J27:O27" si="25">AVERAGE($H$27:$I$27)</f>
        <v>4.2646937851404332E-2</v>
      </c>
      <c r="L27" s="131">
        <f t="shared" si="25"/>
        <v>4.2646937851404332E-2</v>
      </c>
      <c r="M27" s="131">
        <f t="shared" si="25"/>
        <v>4.2646937851404332E-2</v>
      </c>
      <c r="N27" s="131">
        <f t="shared" si="25"/>
        <v>4.2646937851404332E-2</v>
      </c>
      <c r="O27" s="129">
        <f t="shared" si="25"/>
        <v>4.2646937851404332E-2</v>
      </c>
      <c r="P27" s="81"/>
      <c r="Q27" s="81"/>
      <c r="R27" s="81"/>
      <c r="S27" s="81"/>
      <c r="T27" s="81"/>
      <c r="U27" s="81"/>
      <c r="V27" s="81"/>
      <c r="W27" s="81"/>
      <c r="X27" s="81"/>
    </row>
    <row r="28" spans="1:24" ht="30" customHeight="1">
      <c r="A28" s="136" t="s">
        <v>207</v>
      </c>
      <c r="B28" s="130">
        <f>B17/B2</f>
        <v>0.86498970101741468</v>
      </c>
      <c r="C28" s="131">
        <f t="shared" ref="C28:G28" si="26">C17/C2</f>
        <v>0.1872624231114797</v>
      </c>
      <c r="D28" s="131">
        <f t="shared" si="26"/>
        <v>0.11833816825528388</v>
      </c>
      <c r="E28" s="131">
        <f t="shared" si="26"/>
        <v>0.65636766334440755</v>
      </c>
      <c r="F28" s="131">
        <f t="shared" si="26"/>
        <v>0.46117875419092996</v>
      </c>
      <c r="G28" s="129">
        <f t="shared" si="26"/>
        <v>3.8240518232159647E-2</v>
      </c>
      <c r="H28" s="128">
        <f t="shared" si="15"/>
        <v>0.38772953802527921</v>
      </c>
      <c r="I28" s="129">
        <f t="shared" si="18"/>
        <v>0.32422058865120484</v>
      </c>
      <c r="J28" s="130">
        <f>AVERAGE($H$28:$I$28)</f>
        <v>0.35597506333824203</v>
      </c>
      <c r="K28" s="131">
        <f t="shared" ref="J28:O28" si="27">AVERAGE($H$28:$I$28)</f>
        <v>0.35597506333824203</v>
      </c>
      <c r="L28" s="131">
        <f t="shared" si="27"/>
        <v>0.35597506333824203</v>
      </c>
      <c r="M28" s="131">
        <f t="shared" si="27"/>
        <v>0.35597506333824203</v>
      </c>
      <c r="N28" s="131">
        <f t="shared" si="27"/>
        <v>0.35597506333824203</v>
      </c>
      <c r="O28" s="129">
        <f t="shared" si="27"/>
        <v>0.35597506333824203</v>
      </c>
      <c r="P28" s="81"/>
      <c r="Q28" s="81"/>
      <c r="R28" s="81"/>
      <c r="S28" s="81"/>
      <c r="T28" s="81"/>
      <c r="U28" s="81"/>
      <c r="V28" s="81"/>
      <c r="W28" s="81"/>
      <c r="X28" s="81"/>
    </row>
    <row r="29" spans="1:24" ht="30" customHeight="1">
      <c r="A29" s="139" t="s">
        <v>701</v>
      </c>
      <c r="B29" s="130">
        <f>B15/B2</f>
        <v>0</v>
      </c>
      <c r="C29" s="131">
        <f t="shared" ref="C29:G29" si="28">C15/C2</f>
        <v>5.7709586011472809E-3</v>
      </c>
      <c r="D29" s="131">
        <f t="shared" si="28"/>
        <v>0</v>
      </c>
      <c r="E29" s="131">
        <f t="shared" si="28"/>
        <v>0</v>
      </c>
      <c r="F29" s="131">
        <f t="shared" si="28"/>
        <v>0</v>
      </c>
      <c r="G29" s="129">
        <f t="shared" si="28"/>
        <v>0</v>
      </c>
      <c r="H29" s="128">
        <f t="shared" si="15"/>
        <v>9.6182643352454682E-4</v>
      </c>
      <c r="I29" s="129">
        <f t="shared" si="18"/>
        <v>0</v>
      </c>
      <c r="J29" s="130">
        <f>AVERAGE($H$29:$I$29)</f>
        <v>4.8091321676227341E-4</v>
      </c>
      <c r="K29" s="131">
        <f t="shared" ref="J29:O29" si="29">AVERAGE($H$29:$I$29)</f>
        <v>4.8091321676227341E-4</v>
      </c>
      <c r="L29" s="131">
        <f t="shared" si="29"/>
        <v>4.8091321676227341E-4</v>
      </c>
      <c r="M29" s="131">
        <f t="shared" si="29"/>
        <v>4.8091321676227341E-4</v>
      </c>
      <c r="N29" s="131">
        <f t="shared" si="29"/>
        <v>4.8091321676227341E-4</v>
      </c>
      <c r="O29" s="129">
        <f t="shared" si="29"/>
        <v>4.8091321676227341E-4</v>
      </c>
      <c r="P29" s="81"/>
      <c r="Q29" s="81"/>
      <c r="R29" s="81"/>
      <c r="S29" s="81"/>
      <c r="T29" s="81"/>
      <c r="U29" s="81"/>
      <c r="V29" s="81"/>
      <c r="W29" s="81"/>
      <c r="X29" s="81"/>
    </row>
    <row r="30" spans="1:24" ht="30" customHeight="1">
      <c r="A30" s="139" t="s">
        <v>702</v>
      </c>
      <c r="B30" s="130">
        <f>B16/B2</f>
        <v>0.23647088196741775</v>
      </c>
      <c r="C30" s="131">
        <f t="shared" ref="C30:G30" si="30">C16/C2</f>
        <v>0.14451586149699358</v>
      </c>
      <c r="D30" s="131">
        <f t="shared" si="30"/>
        <v>9.1773725652714466E-2</v>
      </c>
      <c r="E30" s="131">
        <f t="shared" si="30"/>
        <v>3.5614617940199333</v>
      </c>
      <c r="F30" s="131">
        <f t="shared" si="30"/>
        <v>2.6474766190224104</v>
      </c>
      <c r="G30" s="129">
        <f t="shared" si="30"/>
        <v>0.96434168694120637</v>
      </c>
      <c r="H30" s="128">
        <f t="shared" si="15"/>
        <v>1.2743400948501127</v>
      </c>
      <c r="I30" s="129">
        <f t="shared" si="18"/>
        <v>0.6004062844543121</v>
      </c>
      <c r="J30" s="130">
        <f>AVERAGE($H$30:$I$30)</f>
        <v>0.93737318965221239</v>
      </c>
      <c r="K30" s="131">
        <f t="shared" ref="J30:O30" si="31">AVERAGE($H$30:$I$30)</f>
        <v>0.93737318965221239</v>
      </c>
      <c r="L30" s="131">
        <f t="shared" si="31"/>
        <v>0.93737318965221239</v>
      </c>
      <c r="M30" s="131">
        <f t="shared" si="31"/>
        <v>0.93737318965221239</v>
      </c>
      <c r="N30" s="131">
        <f t="shared" si="31"/>
        <v>0.93737318965221239</v>
      </c>
      <c r="O30" s="129">
        <f t="shared" si="31"/>
        <v>0.93737318965221239</v>
      </c>
      <c r="P30" s="81"/>
      <c r="Q30" s="81"/>
      <c r="R30" s="81"/>
      <c r="S30" s="81"/>
      <c r="T30" s="81"/>
      <c r="U30" s="81"/>
      <c r="V30" s="81"/>
      <c r="W30" s="81"/>
      <c r="X30" s="81"/>
    </row>
    <row r="31" spans="1:24" ht="30" customHeight="1" thickBot="1">
      <c r="A31" s="148" t="str">
        <f>A7</f>
        <v>,Inventory</v>
      </c>
      <c r="B31" s="134">
        <f>B7/B2</f>
        <v>0.12923662692715809</v>
      </c>
      <c r="C31" s="135">
        <f t="shared" ref="C31:G31" si="32">C7/C2</f>
        <v>0.18911120326214667</v>
      </c>
      <c r="D31" s="135">
        <f t="shared" si="32"/>
        <v>0.16863862411935351</v>
      </c>
      <c r="E31" s="135">
        <f t="shared" si="32"/>
        <v>3.9182724252491696</v>
      </c>
      <c r="F31" s="135">
        <f t="shared" si="32"/>
        <v>1.93453326274925</v>
      </c>
      <c r="G31" s="133">
        <f t="shared" si="32"/>
        <v>0.75095899816409684</v>
      </c>
      <c r="H31" s="132">
        <f t="shared" si="15"/>
        <v>1.1817918567451959</v>
      </c>
      <c r="I31" s="133">
        <f t="shared" si="18"/>
        <v>0.47003510071312171</v>
      </c>
      <c r="J31" s="134">
        <f>AVERAGE($H$31:$I$31)</f>
        <v>0.82591347872915888</v>
      </c>
      <c r="K31" s="135">
        <f t="shared" ref="J31:O31" si="33">AVERAGE($H$31:$I$31)</f>
        <v>0.82591347872915888</v>
      </c>
      <c r="L31" s="135">
        <f t="shared" si="33"/>
        <v>0.82591347872915888</v>
      </c>
      <c r="M31" s="135">
        <f t="shared" si="33"/>
        <v>0.82591347872915888</v>
      </c>
      <c r="N31" s="135">
        <f t="shared" si="33"/>
        <v>0.82591347872915888</v>
      </c>
      <c r="O31" s="133">
        <f t="shared" si="33"/>
        <v>0.82591347872915888</v>
      </c>
      <c r="P31" s="81"/>
      <c r="Q31" s="81"/>
      <c r="R31" s="81"/>
      <c r="S31" s="81"/>
      <c r="T31" s="81"/>
      <c r="U31" s="81"/>
      <c r="V31" s="81"/>
      <c r="W31" s="81"/>
      <c r="X31" s="81"/>
    </row>
    <row r="32" spans="1:24" ht="30" customHeight="1">
      <c r="A32" s="81"/>
      <c r="B32" s="81"/>
      <c r="C32" s="81"/>
      <c r="D32" s="81"/>
      <c r="E32" s="81"/>
      <c r="F32" s="81"/>
      <c r="G32" s="81"/>
      <c r="H32" s="81"/>
      <c r="I32" s="81"/>
      <c r="J32" s="81"/>
      <c r="K32" s="81"/>
      <c r="L32" s="81"/>
      <c r="M32" s="81"/>
      <c r="N32" s="81"/>
      <c r="O32" s="81"/>
      <c r="P32" s="81"/>
      <c r="Q32" s="81"/>
      <c r="R32" s="81"/>
      <c r="S32" s="81"/>
      <c r="T32" s="81"/>
      <c r="U32" s="81"/>
      <c r="V32" s="81"/>
      <c r="W32" s="81"/>
      <c r="X32" s="81"/>
    </row>
    <row r="33" spans="1:24" ht="30" customHeight="1">
      <c r="A33" s="81"/>
      <c r="B33" s="81"/>
      <c r="C33" s="81"/>
      <c r="D33" s="81"/>
      <c r="E33" s="81"/>
      <c r="F33" s="81"/>
      <c r="G33" s="81"/>
      <c r="H33" s="81"/>
      <c r="I33" s="81"/>
      <c r="J33" s="81"/>
      <c r="K33" s="81"/>
      <c r="L33" s="81"/>
      <c r="M33" s="81"/>
      <c r="N33" s="81"/>
      <c r="O33" s="81"/>
      <c r="P33" s="81"/>
      <c r="Q33" s="81"/>
      <c r="R33" s="81"/>
      <c r="S33" s="81"/>
      <c r="T33" s="81"/>
      <c r="U33" s="81"/>
      <c r="V33" s="81"/>
      <c r="W33" s="81"/>
      <c r="X33" s="81"/>
    </row>
    <row r="34" spans="1:24" ht="30" customHeight="1">
      <c r="A34" s="81"/>
      <c r="B34" s="81"/>
      <c r="C34" s="81"/>
      <c r="D34" s="81"/>
      <c r="E34" s="81"/>
      <c r="F34" s="81"/>
      <c r="G34" s="81"/>
      <c r="H34" s="81"/>
      <c r="I34" s="81"/>
      <c r="J34" s="81"/>
      <c r="K34" s="81"/>
      <c r="L34" s="81"/>
      <c r="M34" s="81"/>
      <c r="N34" s="81"/>
      <c r="O34" s="81"/>
      <c r="P34" s="81"/>
      <c r="Q34" s="81"/>
      <c r="R34" s="81"/>
      <c r="S34" s="81"/>
      <c r="T34" s="81"/>
      <c r="U34" s="81"/>
      <c r="V34" s="81"/>
      <c r="W34" s="81"/>
      <c r="X34" s="81"/>
    </row>
    <row r="35" spans="1:24" ht="30" customHeight="1">
      <c r="A35" s="81"/>
      <c r="B35" s="81"/>
      <c r="C35" s="81"/>
      <c r="D35" s="81"/>
      <c r="E35" s="81"/>
      <c r="F35" s="81"/>
      <c r="G35" s="81"/>
      <c r="H35" s="81"/>
      <c r="I35" s="81"/>
      <c r="J35" s="81"/>
      <c r="K35" s="81"/>
      <c r="L35" s="81"/>
      <c r="M35" s="81"/>
      <c r="N35" s="81"/>
      <c r="O35" s="81"/>
      <c r="P35" s="81"/>
      <c r="Q35" s="81"/>
      <c r="R35" s="81"/>
      <c r="S35" s="81"/>
      <c r="T35" s="81"/>
      <c r="U35" s="81"/>
      <c r="V35" s="81"/>
      <c r="W35" s="81"/>
      <c r="X35" s="81"/>
    </row>
    <row r="36" spans="1:24" ht="30" customHeight="1">
      <c r="A36" s="81"/>
      <c r="B36" s="81"/>
      <c r="C36" s="81"/>
      <c r="D36" s="81"/>
      <c r="E36" s="81"/>
      <c r="F36" s="81"/>
      <c r="G36" s="81"/>
      <c r="H36" s="81"/>
      <c r="I36" s="81"/>
      <c r="J36" s="81"/>
      <c r="K36" s="81"/>
      <c r="L36" s="81"/>
      <c r="M36" s="81"/>
      <c r="N36" s="81"/>
      <c r="O36" s="81"/>
      <c r="P36" s="81"/>
      <c r="Q36" s="81"/>
      <c r="R36" s="81"/>
      <c r="S36" s="81"/>
      <c r="T36" s="81"/>
      <c r="U36" s="81"/>
      <c r="V36" s="81"/>
      <c r="W36" s="81"/>
      <c r="X36" s="81"/>
    </row>
    <row r="37" spans="1:24" ht="30" customHeight="1">
      <c r="A37" s="81"/>
      <c r="B37" s="81"/>
      <c r="C37" s="81"/>
      <c r="D37" s="81"/>
      <c r="E37" s="81"/>
      <c r="F37" s="81"/>
      <c r="G37" s="81"/>
      <c r="H37" s="81"/>
      <c r="I37" s="81"/>
      <c r="J37" s="81"/>
      <c r="K37" s="81"/>
      <c r="L37" s="81"/>
      <c r="M37" s="81"/>
      <c r="N37" s="81"/>
      <c r="O37" s="81"/>
      <c r="P37" s="81"/>
      <c r="Q37" s="81"/>
      <c r="R37" s="81"/>
      <c r="S37" s="81"/>
      <c r="T37" s="81"/>
      <c r="U37" s="81"/>
      <c r="V37" s="81"/>
      <c r="W37" s="81"/>
      <c r="X37" s="81"/>
    </row>
    <row r="38" spans="1:24" ht="30" customHeight="1">
      <c r="A38" s="81"/>
      <c r="B38" s="81"/>
      <c r="C38" s="81"/>
      <c r="D38" s="81"/>
      <c r="E38" s="81"/>
      <c r="F38" s="81"/>
      <c r="G38" s="81"/>
      <c r="H38" s="81"/>
      <c r="I38" s="81"/>
      <c r="J38" s="81"/>
      <c r="K38" s="81"/>
      <c r="L38" s="81"/>
      <c r="M38" s="81"/>
      <c r="N38" s="81"/>
      <c r="O38" s="81"/>
      <c r="P38" s="81"/>
      <c r="Q38" s="81"/>
      <c r="R38" s="81"/>
      <c r="S38" s="81"/>
      <c r="T38" s="81"/>
      <c r="U38" s="81"/>
      <c r="V38" s="81"/>
      <c r="W38" s="81"/>
      <c r="X38" s="81"/>
    </row>
    <row r="39" spans="1:24" ht="30" customHeight="1">
      <c r="A39" s="81"/>
      <c r="B39" s="81"/>
      <c r="C39" s="81"/>
      <c r="D39" s="81"/>
      <c r="E39" s="81"/>
      <c r="F39" s="81"/>
      <c r="G39" s="81"/>
      <c r="H39" s="81"/>
      <c r="I39" s="81"/>
      <c r="J39" s="81"/>
      <c r="K39" s="81"/>
      <c r="L39" s="81"/>
      <c r="M39" s="81"/>
      <c r="N39" s="81"/>
      <c r="O39" s="81"/>
      <c r="P39" s="81"/>
      <c r="Q39" s="81"/>
      <c r="R39" s="81"/>
      <c r="S39" s="81"/>
      <c r="T39" s="81"/>
      <c r="U39" s="81"/>
      <c r="V39" s="81"/>
      <c r="W39" s="81"/>
      <c r="X39" s="81"/>
    </row>
    <row r="40" spans="1:24" ht="30" customHeight="1">
      <c r="A40" s="81"/>
      <c r="B40" s="81"/>
      <c r="C40" s="81"/>
      <c r="D40" s="81"/>
      <c r="E40" s="81"/>
      <c r="F40" s="81"/>
      <c r="G40" s="81"/>
      <c r="H40" s="81"/>
      <c r="I40" s="81"/>
      <c r="J40" s="81"/>
      <c r="K40" s="81"/>
      <c r="L40" s="81"/>
      <c r="M40" s="81"/>
      <c r="N40" s="81"/>
      <c r="O40" s="81"/>
      <c r="P40" s="81"/>
      <c r="Q40" s="81"/>
      <c r="R40" s="81"/>
      <c r="S40" s="81"/>
      <c r="T40" s="81"/>
      <c r="U40" s="81"/>
      <c r="V40" s="81"/>
      <c r="W40" s="81"/>
      <c r="X40" s="81"/>
    </row>
    <row r="41" spans="1:24" ht="30" customHeight="1">
      <c r="A41" s="81"/>
      <c r="B41" s="81"/>
      <c r="C41" s="81"/>
      <c r="D41" s="81"/>
      <c r="E41" s="81"/>
      <c r="F41" s="81"/>
      <c r="G41" s="81"/>
      <c r="H41" s="81"/>
      <c r="I41" s="81"/>
      <c r="J41" s="81"/>
      <c r="K41" s="81"/>
      <c r="L41" s="81"/>
      <c r="M41" s="81"/>
      <c r="N41" s="81"/>
      <c r="O41" s="81"/>
      <c r="P41" s="81"/>
      <c r="Q41" s="81"/>
      <c r="R41" s="81"/>
      <c r="S41" s="81"/>
      <c r="T41" s="81"/>
      <c r="U41" s="81"/>
      <c r="V41" s="81"/>
      <c r="W41" s="81"/>
      <c r="X41" s="81"/>
    </row>
    <row r="42" spans="1:24" ht="30" customHeight="1">
      <c r="A42" s="81"/>
      <c r="B42" s="81"/>
      <c r="C42" s="81"/>
      <c r="D42" s="81"/>
      <c r="E42" s="81"/>
      <c r="F42" s="81"/>
      <c r="G42" s="81"/>
      <c r="H42" s="81"/>
      <c r="I42" s="81"/>
      <c r="J42" s="81"/>
      <c r="K42" s="81"/>
      <c r="L42" s="81"/>
      <c r="M42" s="81"/>
      <c r="N42" s="81"/>
      <c r="O42" s="81"/>
      <c r="P42" s="81"/>
      <c r="Q42" s="81"/>
      <c r="R42" s="81"/>
      <c r="S42" s="81"/>
      <c r="T42" s="81"/>
      <c r="U42" s="81"/>
      <c r="V42" s="81"/>
      <c r="W42" s="81"/>
      <c r="X42" s="81"/>
    </row>
    <row r="43" spans="1:24" ht="30" customHeight="1">
      <c r="A43" s="81"/>
      <c r="B43" s="81"/>
      <c r="C43" s="81"/>
      <c r="D43" s="81"/>
      <c r="E43" s="81"/>
      <c r="F43" s="81"/>
      <c r="G43" s="81"/>
      <c r="H43" s="81"/>
      <c r="I43" s="81"/>
      <c r="J43" s="81"/>
      <c r="K43" s="81"/>
      <c r="L43" s="81"/>
      <c r="M43" s="81"/>
      <c r="N43" s="81"/>
      <c r="O43" s="81"/>
      <c r="P43" s="81"/>
      <c r="Q43" s="8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69"/>
  <sheetViews>
    <sheetView showGridLines="0" topLeftCell="A26" zoomScale="109" workbookViewId="0">
      <pane xSplit="1" topLeftCell="B1" activePane="topRight" state="frozen"/>
      <selection pane="topRight" activeCell="H71" sqref="H71"/>
    </sheetView>
  </sheetViews>
  <sheetFormatPr baseColWidth="10" defaultRowHeight="16"/>
  <cols>
    <col min="1" max="1" width="31.83203125" style="308" bestFit="1" customWidth="1"/>
    <col min="2" max="2" width="9.33203125" style="308" bestFit="1" customWidth="1"/>
    <col min="3" max="10" width="10.83203125" style="308"/>
    <col min="11" max="11" width="12.33203125" style="308" bestFit="1" customWidth="1"/>
    <col min="12" max="12" width="16.83203125" style="308" bestFit="1" customWidth="1"/>
    <col min="13" max="16384" width="10.83203125" style="308"/>
  </cols>
  <sheetData>
    <row r="1" spans="1:20" ht="17" thickBot="1"/>
    <row r="2" spans="1:20" ht="17" thickBot="1">
      <c r="A2" s="356" t="s">
        <v>721</v>
      </c>
      <c r="B2" s="309">
        <v>2020</v>
      </c>
      <c r="C2" s="309">
        <v>2021</v>
      </c>
      <c r="D2" s="310">
        <v>2022</v>
      </c>
      <c r="E2" s="311"/>
      <c r="F2" s="312">
        <v>2023</v>
      </c>
      <c r="G2" s="309">
        <v>2024</v>
      </c>
      <c r="H2" s="309">
        <v>2025</v>
      </c>
      <c r="I2" s="309">
        <v>2026</v>
      </c>
      <c r="J2" s="309">
        <v>2027</v>
      </c>
      <c r="K2" s="313">
        <v>2028</v>
      </c>
      <c r="L2" s="314" t="s">
        <v>726</v>
      </c>
      <c r="M2" s="315">
        <v>295</v>
      </c>
    </row>
    <row r="3" spans="1:20" ht="17" thickBot="1">
      <c r="A3" s="316"/>
      <c r="B3" s="317"/>
      <c r="C3" s="317"/>
      <c r="D3" s="318"/>
      <c r="F3" s="319"/>
      <c r="G3" s="317"/>
      <c r="H3" s="317"/>
      <c r="I3" s="317"/>
      <c r="J3" s="317"/>
      <c r="K3" s="320"/>
      <c r="L3" s="316" t="s">
        <v>727</v>
      </c>
      <c r="M3" s="321">
        <f>SUM(B6:D6)</f>
        <v>14.4</v>
      </c>
    </row>
    <row r="4" spans="1:20" ht="17" thickBot="1">
      <c r="A4" s="322" t="s">
        <v>722</v>
      </c>
      <c r="B4" s="323"/>
      <c r="C4" s="323">
        <v>13.9</v>
      </c>
      <c r="D4" s="324">
        <v>9.1999999999999993</v>
      </c>
      <c r="F4" s="325">
        <f>D4*(1+159%)</f>
        <v>23.827999999999996</v>
      </c>
      <c r="G4" s="326">
        <f>F4*(1+$O$4)</f>
        <v>35.74199999999999</v>
      </c>
      <c r="H4" s="326">
        <f>G4*(1+$O$4)</f>
        <v>53.612999999999985</v>
      </c>
      <c r="I4" s="326">
        <f>H4*(1+$O$4)</f>
        <v>80.419499999999971</v>
      </c>
      <c r="J4" s="326">
        <f>I4*(1+$O$4)</f>
        <v>120.62924999999996</v>
      </c>
      <c r="K4" s="327">
        <f>J4*(1+$O$4)</f>
        <v>180.94387499999993</v>
      </c>
      <c r="L4" s="316" t="s">
        <v>728</v>
      </c>
      <c r="M4" s="321">
        <f>M2-M3</f>
        <v>280.60000000000002</v>
      </c>
      <c r="N4" s="345" t="s">
        <v>747</v>
      </c>
      <c r="O4" s="357">
        <v>0.5</v>
      </c>
    </row>
    <row r="5" spans="1:20" ht="17" thickBot="1">
      <c r="A5" s="316"/>
      <c r="B5" s="317"/>
      <c r="C5" s="317"/>
      <c r="D5" s="318"/>
      <c r="F5" s="328"/>
      <c r="G5" s="329"/>
      <c r="H5" s="329"/>
      <c r="I5" s="329"/>
      <c r="J5" s="329"/>
      <c r="K5" s="330"/>
      <c r="L5" s="316" t="s">
        <v>729</v>
      </c>
      <c r="M5" s="321">
        <f>M4/17</f>
        <v>16.505882352941178</v>
      </c>
    </row>
    <row r="6" spans="1:20" ht="17" customHeight="1" thickBot="1">
      <c r="A6" s="322" t="s">
        <v>723</v>
      </c>
      <c r="B6" s="323">
        <v>5</v>
      </c>
      <c r="C6" s="323">
        <v>0.5</v>
      </c>
      <c r="D6" s="324">
        <v>8.9</v>
      </c>
      <c r="F6" s="325">
        <v>24.1</v>
      </c>
      <c r="G6" s="326">
        <v>28.4</v>
      </c>
      <c r="H6" s="326">
        <v>59.9</v>
      </c>
      <c r="I6" s="326">
        <f>$M$8</f>
        <v>12.014285714285714</v>
      </c>
      <c r="J6" s="326">
        <f t="shared" ref="J6:K6" si="0">$M$8</f>
        <v>12.014285714285714</v>
      </c>
      <c r="K6" s="326">
        <f t="shared" si="0"/>
        <v>12.014285714285714</v>
      </c>
      <c r="L6" s="316" t="s">
        <v>727</v>
      </c>
      <c r="M6" s="321">
        <f>SUM(B6:H6)</f>
        <v>126.80000000000001</v>
      </c>
      <c r="O6" s="724"/>
      <c r="P6" s="724"/>
      <c r="Q6" s="724"/>
      <c r="R6" s="724"/>
      <c r="S6" s="725"/>
    </row>
    <row r="7" spans="1:20" ht="17" thickBot="1">
      <c r="A7" s="332"/>
      <c r="B7" s="317"/>
      <c r="C7" s="317"/>
      <c r="D7" s="318"/>
      <c r="F7" s="328"/>
      <c r="G7" s="329"/>
      <c r="H7" s="329"/>
      <c r="I7" s="329"/>
      <c r="J7" s="329"/>
      <c r="K7" s="330"/>
      <c r="L7" s="316" t="s">
        <v>728</v>
      </c>
      <c r="M7" s="321">
        <f>M2-M6</f>
        <v>168.2</v>
      </c>
    </row>
    <row r="8" spans="1:20" ht="17" thickBot="1">
      <c r="A8" s="333" t="s">
        <v>725</v>
      </c>
      <c r="B8" s="334">
        <f>SUM(B4:B6)</f>
        <v>5</v>
      </c>
      <c r="C8" s="334">
        <f t="shared" ref="C8:K8" si="1">SUM(C4:C6)</f>
        <v>14.4</v>
      </c>
      <c r="D8" s="335">
        <f t="shared" si="1"/>
        <v>18.100000000000001</v>
      </c>
      <c r="E8" s="336"/>
      <c r="F8" s="337">
        <f t="shared" si="1"/>
        <v>47.927999999999997</v>
      </c>
      <c r="G8" s="338">
        <f t="shared" si="1"/>
        <v>64.141999999999996</v>
      </c>
      <c r="H8" s="338">
        <f t="shared" si="1"/>
        <v>113.51299999999998</v>
      </c>
      <c r="I8" s="338">
        <f t="shared" si="1"/>
        <v>92.43378571428569</v>
      </c>
      <c r="J8" s="338">
        <f t="shared" si="1"/>
        <v>132.64353571428566</v>
      </c>
      <c r="K8" s="339">
        <f t="shared" si="1"/>
        <v>192.95816071428564</v>
      </c>
      <c r="L8" s="316" t="s">
        <v>730</v>
      </c>
      <c r="M8" s="321">
        <f>M7/14</f>
        <v>12.014285714285714</v>
      </c>
      <c r="P8" s="341"/>
    </row>
    <row r="9" spans="1:20" ht="17" thickBot="1">
      <c r="A9" s="341"/>
      <c r="C9" s="349"/>
      <c r="D9" s="349"/>
      <c r="E9" s="349"/>
      <c r="F9" s="349"/>
      <c r="G9" s="349"/>
      <c r="H9" s="349"/>
      <c r="L9" s="723" t="s">
        <v>1108</v>
      </c>
      <c r="M9" s="311"/>
      <c r="N9" s="311"/>
      <c r="O9" s="311"/>
      <c r="P9" s="311"/>
      <c r="Q9" s="346"/>
    </row>
    <row r="10" spans="1:20" ht="17" thickBot="1">
      <c r="R10" s="343"/>
      <c r="S10" s="343"/>
    </row>
    <row r="11" spans="1:20" ht="17" thickBot="1">
      <c r="A11" s="377" t="s">
        <v>720</v>
      </c>
      <c r="B11" s="311">
        <v>2020</v>
      </c>
      <c r="C11" s="311">
        <v>2021</v>
      </c>
      <c r="D11" s="311">
        <v>2022</v>
      </c>
      <c r="E11" s="344"/>
      <c r="F11" s="311">
        <v>2023</v>
      </c>
      <c r="G11" s="311">
        <v>2024</v>
      </c>
      <c r="H11" s="311">
        <v>2025</v>
      </c>
      <c r="I11" s="311">
        <v>2026</v>
      </c>
      <c r="J11" s="311">
        <v>2027</v>
      </c>
      <c r="K11" s="311">
        <v>2028</v>
      </c>
      <c r="L11" s="314" t="s">
        <v>748</v>
      </c>
      <c r="M11" s="358">
        <v>55</v>
      </c>
    </row>
    <row r="12" spans="1:20">
      <c r="A12" s="319"/>
      <c r="E12" s="342"/>
      <c r="L12" s="316" t="s">
        <v>731</v>
      </c>
      <c r="M12" s="347">
        <f>44.7+5</f>
        <v>49.7</v>
      </c>
    </row>
    <row r="13" spans="1:20" ht="17" thickBot="1">
      <c r="A13" s="361" t="s">
        <v>724</v>
      </c>
      <c r="B13" s="360">
        <v>0</v>
      </c>
      <c r="C13" s="360">
        <v>0</v>
      </c>
      <c r="D13" s="360">
        <v>0</v>
      </c>
      <c r="E13" s="364"/>
      <c r="F13" s="360">
        <v>0</v>
      </c>
      <c r="G13" s="360">
        <v>0.7</v>
      </c>
      <c r="H13" s="360">
        <v>4.5</v>
      </c>
      <c r="I13" s="360">
        <f>H13*(1+$O$14)</f>
        <v>11.25</v>
      </c>
      <c r="J13" s="360">
        <f>I13*(1+$O$14)</f>
        <v>28.125</v>
      </c>
      <c r="K13" s="360">
        <f>J13*(1+7.7%)</f>
        <v>30.290624999999999</v>
      </c>
      <c r="L13" s="316" t="s">
        <v>732</v>
      </c>
      <c r="M13" s="347">
        <f>M11-M12</f>
        <v>5.2999999999999972</v>
      </c>
    </row>
    <row r="14" spans="1:20" ht="17" thickBot="1">
      <c r="A14" s="319"/>
      <c r="B14" s="348"/>
      <c r="C14" s="348"/>
      <c r="D14" s="348"/>
      <c r="E14" s="365"/>
      <c r="F14" s="348"/>
      <c r="G14" s="348"/>
      <c r="H14" s="348"/>
      <c r="I14" s="348"/>
      <c r="J14" s="348"/>
      <c r="K14" s="348"/>
      <c r="L14" s="316" t="s">
        <v>733</v>
      </c>
      <c r="M14" s="347">
        <v>155</v>
      </c>
      <c r="N14" s="345" t="s">
        <v>747</v>
      </c>
      <c r="O14" s="367">
        <v>1.5</v>
      </c>
      <c r="P14" s="341"/>
    </row>
    <row r="15" spans="1:20">
      <c r="A15" s="362" t="s">
        <v>723</v>
      </c>
      <c r="B15" s="360"/>
      <c r="C15" s="360"/>
      <c r="D15" s="360">
        <f>M12</f>
        <v>49.7</v>
      </c>
      <c r="E15" s="364"/>
      <c r="F15" s="360">
        <f>15</f>
        <v>15</v>
      </c>
      <c r="G15" s="360">
        <v>12.1</v>
      </c>
      <c r="H15" s="360">
        <v>30.4</v>
      </c>
      <c r="I15" s="360">
        <f>$M$18</f>
        <v>2.9875000000000007</v>
      </c>
      <c r="J15" s="360">
        <f t="shared" ref="J15:K15" si="2">$M$18</f>
        <v>2.9875000000000007</v>
      </c>
      <c r="K15" s="360">
        <f t="shared" si="2"/>
        <v>2.9875000000000007</v>
      </c>
      <c r="L15" s="316" t="s">
        <v>732</v>
      </c>
      <c r="M15" s="347">
        <f>M14-M11</f>
        <v>100</v>
      </c>
    </row>
    <row r="16" spans="1:20" ht="17" thickBot="1">
      <c r="A16" s="319"/>
      <c r="B16" s="348"/>
      <c r="C16" s="348"/>
      <c r="D16" s="348"/>
      <c r="E16" s="365"/>
      <c r="F16" s="348"/>
      <c r="G16" s="348"/>
      <c r="H16" s="348"/>
      <c r="I16" s="348"/>
      <c r="J16" s="348"/>
      <c r="K16" s="348"/>
      <c r="L16" s="316" t="s">
        <v>734</v>
      </c>
      <c r="M16" s="321">
        <f>SUM(D15:H15)</f>
        <v>107.19999999999999</v>
      </c>
      <c r="T16" s="343"/>
    </row>
    <row r="17" spans="1:25" ht="17" thickBot="1">
      <c r="A17" s="363" t="s">
        <v>725</v>
      </c>
      <c r="B17" s="359">
        <f>SUM(B13,B15)</f>
        <v>0</v>
      </c>
      <c r="C17" s="359">
        <f t="shared" ref="C17:K17" si="3">SUM(C13,C15)</f>
        <v>0</v>
      </c>
      <c r="D17" s="359">
        <f t="shared" si="3"/>
        <v>49.7</v>
      </c>
      <c r="E17" s="366"/>
      <c r="F17" s="359">
        <f t="shared" si="3"/>
        <v>15</v>
      </c>
      <c r="G17" s="359">
        <f t="shared" si="3"/>
        <v>12.799999999999999</v>
      </c>
      <c r="H17" s="359">
        <f t="shared" si="3"/>
        <v>34.9</v>
      </c>
      <c r="I17" s="359">
        <f t="shared" si="3"/>
        <v>14.237500000000001</v>
      </c>
      <c r="J17" s="359">
        <f t="shared" si="3"/>
        <v>31.112500000000001</v>
      </c>
      <c r="K17" s="359">
        <f t="shared" si="3"/>
        <v>33.278125000000003</v>
      </c>
      <c r="L17" s="316" t="s">
        <v>732</v>
      </c>
      <c r="M17" s="321">
        <f>M14-M16</f>
        <v>47.800000000000011</v>
      </c>
    </row>
    <row r="18" spans="1:25" ht="17" thickBot="1">
      <c r="H18" s="348"/>
      <c r="L18" s="340" t="s">
        <v>749</v>
      </c>
      <c r="M18" s="355">
        <f>M17/16</f>
        <v>2.9875000000000007</v>
      </c>
    </row>
    <row r="19" spans="1:25" ht="17" thickBot="1">
      <c r="A19" s="331"/>
    </row>
    <row r="20" spans="1:25" ht="17" thickBot="1">
      <c r="A20" s="376" t="s">
        <v>719</v>
      </c>
      <c r="B20" s="311">
        <v>2020</v>
      </c>
      <c r="C20" s="311">
        <v>2021</v>
      </c>
      <c r="D20" s="311">
        <v>2022</v>
      </c>
      <c r="E20" s="344"/>
      <c r="F20" s="311">
        <v>2023</v>
      </c>
      <c r="G20" s="311">
        <v>2024</v>
      </c>
      <c r="H20" s="311">
        <v>2025</v>
      </c>
      <c r="I20" s="311">
        <v>2026</v>
      </c>
      <c r="J20" s="311">
        <v>2027</v>
      </c>
      <c r="K20" s="346">
        <v>2028</v>
      </c>
      <c r="L20" s="348"/>
      <c r="P20" s="341"/>
    </row>
    <row r="21" spans="1:25">
      <c r="A21" s="599"/>
      <c r="E21" s="342"/>
      <c r="K21" s="347"/>
    </row>
    <row r="22" spans="1:25">
      <c r="A22" s="362" t="s">
        <v>735</v>
      </c>
      <c r="B22" s="368">
        <v>3.6</v>
      </c>
      <c r="C22" s="368">
        <v>3.8</v>
      </c>
      <c r="D22" s="368">
        <v>4.5</v>
      </c>
      <c r="E22" s="369"/>
      <c r="F22" s="370">
        <f>D22*(1+12%)</f>
        <v>5.0400000000000009</v>
      </c>
      <c r="G22" s="370">
        <f>F22*(1+12%)</f>
        <v>5.6448000000000018</v>
      </c>
      <c r="H22" s="370">
        <f t="shared" ref="H22:K22" si="4">G22*(1+12%)</f>
        <v>6.3221760000000025</v>
      </c>
      <c r="I22" s="370">
        <f t="shared" si="4"/>
        <v>7.0808371200000035</v>
      </c>
      <c r="J22" s="370">
        <f t="shared" si="4"/>
        <v>7.9305375744000051</v>
      </c>
      <c r="K22" s="600">
        <f t="shared" si="4"/>
        <v>8.8822020833280071</v>
      </c>
    </row>
    <row r="23" spans="1:25">
      <c r="A23" s="319"/>
      <c r="C23" s="349">
        <f>(C22-B22)/B22</f>
        <v>5.5555555555555483E-2</v>
      </c>
      <c r="D23" s="349">
        <f>(D22-C22)/C22</f>
        <v>0.18421052631578952</v>
      </c>
      <c r="E23" s="350">
        <f>AVERAGE(C23:D23)</f>
        <v>0.11988304093567251</v>
      </c>
      <c r="K23" s="347"/>
      <c r="M23" s="343"/>
    </row>
    <row r="24" spans="1:25">
      <c r="A24" s="362" t="s">
        <v>736</v>
      </c>
      <c r="B24" s="368"/>
      <c r="C24" s="368">
        <v>3.7</v>
      </c>
      <c r="D24" s="368">
        <v>1.6</v>
      </c>
      <c r="E24" s="369"/>
      <c r="F24" s="368">
        <v>2.1</v>
      </c>
      <c r="G24" s="368">
        <v>3.3</v>
      </c>
      <c r="H24" s="368">
        <v>8.6</v>
      </c>
      <c r="I24" s="368">
        <f>$I$25</f>
        <v>3.8600000000000003</v>
      </c>
      <c r="J24" s="368">
        <f>$I$25</f>
        <v>3.8600000000000003</v>
      </c>
      <c r="K24" s="371">
        <f>$I$25</f>
        <v>3.8600000000000003</v>
      </c>
      <c r="P24" s="331"/>
    </row>
    <row r="25" spans="1:25" ht="17" thickBot="1">
      <c r="A25" s="601"/>
      <c r="E25" s="342"/>
      <c r="I25" s="308">
        <f>AVERAGE(F24:H24,C24:D24)</f>
        <v>3.8600000000000003</v>
      </c>
      <c r="K25" s="347"/>
      <c r="V25" s="343"/>
      <c r="W25" s="343"/>
      <c r="X25" s="343"/>
      <c r="Y25" s="350"/>
    </row>
    <row r="26" spans="1:25" ht="17" thickBot="1">
      <c r="A26" s="375" t="s">
        <v>725</v>
      </c>
      <c r="B26" s="372">
        <f>SUM(B22,B24)</f>
        <v>3.6</v>
      </c>
      <c r="C26" s="372">
        <f t="shared" ref="C26:K26" si="5">SUM(C22,C24)</f>
        <v>7.5</v>
      </c>
      <c r="D26" s="372">
        <f t="shared" si="5"/>
        <v>6.1</v>
      </c>
      <c r="E26" s="373"/>
      <c r="F26" s="372">
        <f t="shared" si="5"/>
        <v>7.1400000000000006</v>
      </c>
      <c r="G26" s="372">
        <f t="shared" si="5"/>
        <v>8.9448000000000008</v>
      </c>
      <c r="H26" s="372">
        <f t="shared" si="5"/>
        <v>14.922176000000002</v>
      </c>
      <c r="I26" s="372">
        <f t="shared" si="5"/>
        <v>10.940837120000005</v>
      </c>
      <c r="J26" s="372">
        <f t="shared" si="5"/>
        <v>11.790537574400005</v>
      </c>
      <c r="K26" s="374">
        <f t="shared" si="5"/>
        <v>12.742202083328007</v>
      </c>
      <c r="P26" s="341"/>
      <c r="W26" s="350"/>
      <c r="X26" s="350"/>
    </row>
    <row r="27" spans="1:25">
      <c r="X27" s="350"/>
    </row>
    <row r="28" spans="1:25" ht="17" thickBot="1">
      <c r="D28" s="350"/>
      <c r="E28" s="350"/>
      <c r="P28" s="341"/>
    </row>
    <row r="29" spans="1:25" ht="17" thickBot="1">
      <c r="A29" s="380" t="s">
        <v>737</v>
      </c>
      <c r="B29" s="351">
        <v>2020</v>
      </c>
      <c r="C29" s="351">
        <v>2021</v>
      </c>
      <c r="D29" s="351">
        <v>2022</v>
      </c>
      <c r="E29" s="378"/>
      <c r="F29" s="351">
        <v>2023</v>
      </c>
      <c r="G29" s="351">
        <v>2024</v>
      </c>
      <c r="H29" s="351">
        <v>2025</v>
      </c>
      <c r="I29" s="351">
        <v>2026</v>
      </c>
      <c r="J29" s="351">
        <v>2027</v>
      </c>
      <c r="K29" s="358">
        <v>2028</v>
      </c>
    </row>
    <row r="30" spans="1:25" ht="17" thickBot="1">
      <c r="A30" s="381" t="s">
        <v>725</v>
      </c>
      <c r="B30" s="382">
        <v>0.5</v>
      </c>
      <c r="C30" s="382">
        <v>1.3</v>
      </c>
      <c r="D30" s="382">
        <v>0.6</v>
      </c>
      <c r="E30" s="382"/>
      <c r="F30" s="372">
        <f>D30*(1+$F$31)</f>
        <v>0.91846153846153833</v>
      </c>
      <c r="G30" s="372">
        <f>F30*(1+$F$31)</f>
        <v>1.4059526627218932</v>
      </c>
      <c r="H30" s="372">
        <f>G30*(1+$F$31)</f>
        <v>2.152189076012744</v>
      </c>
      <c r="I30" s="372">
        <f>H30*(1+$F$31)</f>
        <v>3.2945048163579695</v>
      </c>
      <c r="J30" s="372">
        <f>I30*(1+$F$31)</f>
        <v>5.0431266035018147</v>
      </c>
      <c r="K30" s="374">
        <f>J30*(1+$F$31)</f>
        <v>7.7198630315143157</v>
      </c>
      <c r="P30" s="352"/>
    </row>
    <row r="31" spans="1:25" ht="17" thickBot="1">
      <c r="A31" s="379"/>
      <c r="B31" s="353"/>
      <c r="C31" s="354">
        <f>(C30-B30)/B30</f>
        <v>1.6</v>
      </c>
      <c r="D31" s="354">
        <f>(D30-C30)/C30</f>
        <v>-0.53846153846153855</v>
      </c>
      <c r="E31" s="354"/>
      <c r="F31" s="354">
        <f>AVERAGE(C31:D31)</f>
        <v>0.53076923076923077</v>
      </c>
      <c r="G31" s="353"/>
      <c r="H31" s="353"/>
      <c r="I31" s="353"/>
      <c r="J31" s="353"/>
      <c r="K31" s="355"/>
    </row>
    <row r="32" spans="1:25" ht="17" thickBot="1"/>
    <row r="33" spans="1:14">
      <c r="A33" s="728" t="s">
        <v>725</v>
      </c>
      <c r="B33" s="351">
        <v>2020</v>
      </c>
      <c r="C33" s="351">
        <v>2021</v>
      </c>
      <c r="D33" s="351">
        <v>2022</v>
      </c>
      <c r="E33" s="378"/>
      <c r="F33" s="351">
        <v>2023</v>
      </c>
      <c r="G33" s="351">
        <v>2024</v>
      </c>
      <c r="H33" s="351">
        <v>2025</v>
      </c>
      <c r="I33" s="351">
        <v>2026</v>
      </c>
      <c r="J33" s="351">
        <v>2027</v>
      </c>
      <c r="K33" s="358">
        <v>2028</v>
      </c>
    </row>
    <row r="34" spans="1:14" ht="17" thickBot="1">
      <c r="A34" s="729"/>
      <c r="B34" s="383">
        <f>FCFF!E2</f>
        <v>9.0299999999999994</v>
      </c>
      <c r="C34" s="383">
        <f>FCFF!F2</f>
        <v>22.667999999999999</v>
      </c>
      <c r="D34" s="383">
        <f>FCFF!G2</f>
        <v>66.997</v>
      </c>
      <c r="E34" s="384"/>
      <c r="F34" s="385">
        <f>F30+F26+F17+F8</f>
        <v>70.98646153846154</v>
      </c>
      <c r="G34" s="385">
        <f t="shared" ref="G34:K34" si="6">G30+G26+G17+G8</f>
        <v>87.292752662721881</v>
      </c>
      <c r="H34" s="385">
        <f t="shared" si="6"/>
        <v>165.48736507601274</v>
      </c>
      <c r="I34" s="385">
        <f t="shared" si="6"/>
        <v>120.90662765064366</v>
      </c>
      <c r="J34" s="385">
        <f t="shared" si="6"/>
        <v>180.58969989218747</v>
      </c>
      <c r="K34" s="386">
        <f t="shared" si="6"/>
        <v>246.69835082912795</v>
      </c>
    </row>
    <row r="35" spans="1:14">
      <c r="A35" s="331"/>
    </row>
    <row r="37" spans="1:14">
      <c r="A37" s="341"/>
    </row>
    <row r="39" spans="1:14" ht="17" thickBot="1"/>
    <row r="40" spans="1:14" ht="17" thickBot="1">
      <c r="A40" s="400" t="s">
        <v>670</v>
      </c>
      <c r="B40" s="154">
        <v>2017</v>
      </c>
      <c r="C40" s="154">
        <v>2018</v>
      </c>
      <c r="D40" s="154">
        <v>2019</v>
      </c>
      <c r="E40" s="154">
        <v>2020</v>
      </c>
      <c r="F40" s="154">
        <v>2021</v>
      </c>
      <c r="G40" s="154">
        <v>2022</v>
      </c>
      <c r="H40" s="155" t="s">
        <v>738</v>
      </c>
      <c r="I40" s="155">
        <v>2023</v>
      </c>
      <c r="J40" s="155">
        <v>2024</v>
      </c>
      <c r="K40" s="155">
        <v>2025</v>
      </c>
      <c r="L40" s="155">
        <v>2026</v>
      </c>
      <c r="M40" s="155">
        <v>2027</v>
      </c>
      <c r="N40" s="156">
        <v>2028</v>
      </c>
    </row>
    <row r="41" spans="1:14" ht="17" thickBot="1">
      <c r="A41" s="398" t="s">
        <v>739</v>
      </c>
      <c r="B41" s="389"/>
      <c r="C41" s="389">
        <f>FCFF!C3</f>
        <v>0.80625429124274373</v>
      </c>
      <c r="D41" s="389">
        <f>FCFF!D3</f>
        <v>0.66770336581657341</v>
      </c>
      <c r="E41" s="389">
        <f>FCFF!E3</f>
        <v>-0.90644426025694158</v>
      </c>
      <c r="F41" s="389">
        <f>FCFF!F3</f>
        <v>1.5102990033222592</v>
      </c>
      <c r="G41" s="389">
        <f>FCFF!G3</f>
        <v>1.9555761425798484</v>
      </c>
      <c r="H41" s="387"/>
      <c r="I41" s="390">
        <f>(F34-D34)/D34</f>
        <v>5.9546868344277214E-2</v>
      </c>
      <c r="J41" s="390">
        <f>(G34-F34)/F34</f>
        <v>0.22970987383876496</v>
      </c>
      <c r="K41" s="390">
        <f>(H34-G34)/G34</f>
        <v>0.8957743916658919</v>
      </c>
      <c r="L41" s="390">
        <f>(I34-H34)/H34</f>
        <v>-0.269390580996271</v>
      </c>
      <c r="M41" s="390">
        <f>(J34-I34)/I34</f>
        <v>0.49362945110003725</v>
      </c>
      <c r="N41" s="392">
        <f>(K34-J34)/J34</f>
        <v>0.36607099395152393</v>
      </c>
    </row>
    <row r="42" spans="1:14" ht="17" thickBot="1">
      <c r="A42" s="277" t="s">
        <v>740</v>
      </c>
      <c r="B42" s="397">
        <f>FCFF!B5</f>
        <v>8.0987453966668746E-2</v>
      </c>
      <c r="C42" s="397">
        <f>FCFF!C5</f>
        <v>2.7144239408390353E-2</v>
      </c>
      <c r="D42" s="397">
        <f>FCFF!D5</f>
        <v>2.5766680480729384E-2</v>
      </c>
      <c r="E42" s="397">
        <f>FCFF!E5</f>
        <v>0.38283499446290142</v>
      </c>
      <c r="F42" s="397">
        <f>FCFF!F5</f>
        <v>0.69366507852479264</v>
      </c>
      <c r="G42" s="397">
        <f>FCFF!G5</f>
        <v>0.29289371165873102</v>
      </c>
      <c r="H42" s="397"/>
      <c r="I42" s="395">
        <f>G42+I43</f>
        <v>0.28739279824097735</v>
      </c>
      <c r="J42" s="395">
        <f>I42+J43</f>
        <v>0.26617230147388588</v>
      </c>
      <c r="K42" s="395">
        <f>J42+K43</f>
        <v>0.18342105850497542</v>
      </c>
      <c r="L42" s="395">
        <f>K42+L43</f>
        <v>0.20830724148694332</v>
      </c>
      <c r="M42" s="395">
        <f>L42+M43</f>
        <v>0.16270597064839848</v>
      </c>
      <c r="N42" s="396">
        <f>M42+N43</f>
        <v>0.12888849378570669</v>
      </c>
    </row>
    <row r="43" spans="1:14">
      <c r="A43" s="398" t="s">
        <v>741</v>
      </c>
      <c r="B43" s="387"/>
      <c r="C43" s="389">
        <f>C42-B42</f>
        <v>-5.3843214558278396E-2</v>
      </c>
      <c r="D43" s="389">
        <f>D42-C42</f>
        <v>-1.3775589276609698E-3</v>
      </c>
      <c r="E43" s="389">
        <f>E42-D42</f>
        <v>0.35706831398217204</v>
      </c>
      <c r="F43" s="389">
        <f>F42-E42</f>
        <v>0.31083008406189122</v>
      </c>
      <c r="G43" s="389">
        <f>G42-F42</f>
        <v>-0.40077136686606163</v>
      </c>
      <c r="H43" s="387"/>
      <c r="I43" s="389">
        <f>I41*I44</f>
        <v>-5.5009134177536377E-3</v>
      </c>
      <c r="J43" s="389">
        <f t="shared" ref="J43:N43" si="7">J41*J44</f>
        <v>-2.1220496767091493E-2</v>
      </c>
      <c r="K43" s="389">
        <f t="shared" si="7"/>
        <v>-8.2751242968910468E-2</v>
      </c>
      <c r="L43" s="389">
        <f t="shared" si="7"/>
        <v>2.488618298196791E-2</v>
      </c>
      <c r="M43" s="389">
        <f t="shared" si="7"/>
        <v>-4.5601270838544851E-2</v>
      </c>
      <c r="N43" s="393">
        <f t="shared" si="7"/>
        <v>-3.3817476862691785E-2</v>
      </c>
    </row>
    <row r="44" spans="1:14" ht="17" thickBot="1">
      <c r="A44" s="399" t="s">
        <v>742</v>
      </c>
      <c r="B44" s="394"/>
      <c r="C44" s="157">
        <f>C43/C41</f>
        <v>-6.6781926177764059E-2</v>
      </c>
      <c r="D44" s="157">
        <f>D43/D41</f>
        <v>-2.0631301236234936E-3</v>
      </c>
      <c r="E44" s="157">
        <f>E43/E41</f>
        <v>-0.39392197583220073</v>
      </c>
      <c r="F44" s="157">
        <f>F43/F41</f>
        <v>0.20580698482760504</v>
      </c>
      <c r="G44" s="157">
        <f>G43/G41</f>
        <v>-0.20493774603803119</v>
      </c>
      <c r="H44" s="157">
        <f>AVERAGE(C44:G44)</f>
        <v>-9.2379558668802875E-2</v>
      </c>
      <c r="I44" s="157">
        <f t="shared" ref="I44:N44" si="8">$H$44</f>
        <v>-9.2379558668802875E-2</v>
      </c>
      <c r="J44" s="157">
        <f>$H$44</f>
        <v>-9.2379558668802875E-2</v>
      </c>
      <c r="K44" s="157">
        <f>$H$44</f>
        <v>-9.2379558668802875E-2</v>
      </c>
      <c r="L44" s="157">
        <f t="shared" si="8"/>
        <v>-9.2379558668802875E-2</v>
      </c>
      <c r="M44" s="157">
        <f t="shared" si="8"/>
        <v>-9.2379558668802875E-2</v>
      </c>
      <c r="N44" s="158">
        <f t="shared" si="8"/>
        <v>-9.2379558668802875E-2</v>
      </c>
    </row>
    <row r="45" spans="1:14" ht="17" thickBot="1">
      <c r="I45" s="730" t="s">
        <v>1109</v>
      </c>
      <c r="J45" s="731"/>
      <c r="K45" s="731"/>
      <c r="L45" s="731"/>
      <c r="M45" s="731"/>
      <c r="N45" s="732"/>
    </row>
    <row r="48" spans="1:14" ht="17" thickBot="1"/>
    <row r="49" spans="1:15" ht="17" thickBot="1">
      <c r="A49" s="428" t="s">
        <v>672</v>
      </c>
      <c r="B49" s="154">
        <v>2017</v>
      </c>
      <c r="C49" s="154">
        <v>2018</v>
      </c>
      <c r="D49" s="154">
        <v>2019</v>
      </c>
      <c r="E49" s="154">
        <v>2020</v>
      </c>
      <c r="F49" s="154">
        <v>2021</v>
      </c>
      <c r="G49" s="154">
        <v>2022</v>
      </c>
      <c r="H49" s="155" t="s">
        <v>738</v>
      </c>
      <c r="I49" s="155">
        <v>2023</v>
      </c>
      <c r="J49" s="155">
        <v>2024</v>
      </c>
      <c r="K49" s="155">
        <v>2025</v>
      </c>
      <c r="L49" s="155">
        <v>2026</v>
      </c>
      <c r="M49" s="155">
        <v>2027</v>
      </c>
      <c r="N49" s="156">
        <v>2028</v>
      </c>
    </row>
    <row r="50" spans="1:15" ht="17" thickBot="1">
      <c r="A50" s="237" t="s">
        <v>673</v>
      </c>
      <c r="B50" s="427">
        <f>FCFF!B9</f>
        <v>10.430999999999999</v>
      </c>
      <c r="C50" s="427">
        <f>FCFF!C9</f>
        <v>10.956</v>
      </c>
      <c r="D50" s="427">
        <f>FCFF!D9</f>
        <v>16.312999999999999</v>
      </c>
      <c r="E50" s="427">
        <f>FCFF!E9</f>
        <v>17.367000000000001</v>
      </c>
      <c r="F50" s="427">
        <f>FCFF!F9</f>
        <v>14.385999999999999</v>
      </c>
      <c r="G50" s="427">
        <f>FCFF!G9</f>
        <v>16.774999999999999</v>
      </c>
      <c r="H50" s="381"/>
      <c r="I50" s="407">
        <f>I51*I56</f>
        <v>22.273817145285424</v>
      </c>
      <c r="J50" s="407">
        <f t="shared" ref="J50:N50" si="9">J51*J56</f>
        <v>27.390332871636659</v>
      </c>
      <c r="K50" s="407">
        <f t="shared" si="9"/>
        <v>51.925891637253265</v>
      </c>
      <c r="L50" s="407">
        <f t="shared" si="9"/>
        <v>37.937545520344202</v>
      </c>
      <c r="M50" s="407">
        <f t="shared" si="9"/>
        <v>56.664635291634383</v>
      </c>
      <c r="N50" s="408">
        <f t="shared" si="9"/>
        <v>77.407914654743578</v>
      </c>
    </row>
    <row r="51" spans="1:15">
      <c r="A51" s="391" t="s">
        <v>671</v>
      </c>
      <c r="B51" s="423">
        <f>B50/B56</f>
        <v>0.3255414768116846</v>
      </c>
      <c r="C51" s="389">
        <f>C50/C56</f>
        <v>0.18930126477296289</v>
      </c>
      <c r="D51" s="389">
        <f>D50/D56</f>
        <v>0.16901160381268129</v>
      </c>
      <c r="E51" s="389">
        <f t="shared" ref="E51:F51" si="10">E50/E56</f>
        <v>1.9232558139534885</v>
      </c>
      <c r="F51" s="389">
        <f t="shared" si="10"/>
        <v>0.63463913887418388</v>
      </c>
      <c r="G51" s="389">
        <f>G50/G56</f>
        <v>0.25038434556771194</v>
      </c>
      <c r="H51" s="419">
        <f>AVERAGE( F51:G51,B51:D51)</f>
        <v>0.31377556596784489</v>
      </c>
      <c r="I51" s="401">
        <f>$H$51</f>
        <v>0.31377556596784489</v>
      </c>
      <c r="J51" s="401">
        <f>$H$51</f>
        <v>0.31377556596784489</v>
      </c>
      <c r="K51" s="401">
        <f t="shared" ref="K51:N51" si="11">$H$51</f>
        <v>0.31377556596784489</v>
      </c>
      <c r="L51" s="401">
        <f t="shared" si="11"/>
        <v>0.31377556596784489</v>
      </c>
      <c r="M51" s="401">
        <f t="shared" si="11"/>
        <v>0.31377556596784489</v>
      </c>
      <c r="N51" s="404">
        <f t="shared" si="11"/>
        <v>0.31377556596784489</v>
      </c>
    </row>
    <row r="52" spans="1:15" s="417" customFormat="1">
      <c r="A52" s="409" t="s">
        <v>674</v>
      </c>
      <c r="B52" s="586">
        <f>FCFF!B10</f>
        <v>48.185000000000002</v>
      </c>
      <c r="C52" s="586">
        <f>FCFF!C10</f>
        <v>35.713000000000001</v>
      </c>
      <c r="D52" s="586">
        <f>FCFF!D10</f>
        <v>57.073</v>
      </c>
      <c r="E52" s="586">
        <f>FCFF!E10</f>
        <v>78.457999999999998</v>
      </c>
      <c r="F52" s="586">
        <f>FCFF!F10</f>
        <v>85.242999999999995</v>
      </c>
      <c r="G52" s="586">
        <f>FCFF!G10</f>
        <v>64.040999999999997</v>
      </c>
      <c r="H52" s="420"/>
      <c r="I52" s="410">
        <f>I53*I56</f>
        <v>42.888888302365217</v>
      </c>
      <c r="J52" s="410">
        <f>J53*J56</f>
        <v>52.740889423386406</v>
      </c>
      <c r="K52" s="410">
        <f t="shared" ref="K52:N52" si="12">K53*K56</f>
        <v>99.984827562538442</v>
      </c>
      <c r="L52" s="410">
        <f t="shared" si="12"/>
        <v>73.049856774654245</v>
      </c>
      <c r="M52" s="410">
        <f t="shared" si="12"/>
        <v>109.10941747726315</v>
      </c>
      <c r="N52" s="411">
        <f t="shared" si="12"/>
        <v>149.05121038263664</v>
      </c>
    </row>
    <row r="53" spans="1:15">
      <c r="A53" s="405" t="s">
        <v>671</v>
      </c>
      <c r="B53" s="423">
        <f t="shared" ref="B53:G53" si="13">B52/B56</f>
        <v>1.5038075026527682</v>
      </c>
      <c r="C53" s="389">
        <f t="shared" si="13"/>
        <v>0.6170606123436313</v>
      </c>
      <c r="D53" s="389">
        <f t="shared" si="13"/>
        <v>0.59130750103605478</v>
      </c>
      <c r="E53" s="389">
        <f t="shared" si="13"/>
        <v>8.6885935769656708</v>
      </c>
      <c r="F53" s="389">
        <f t="shared" si="13"/>
        <v>3.7604993823892712</v>
      </c>
      <c r="G53" s="389">
        <f t="shared" si="13"/>
        <v>0.95587862143081026</v>
      </c>
      <c r="H53" s="419">
        <f>AVERAGE(C53:D53)</f>
        <v>0.6041840566898431</v>
      </c>
      <c r="I53" s="401">
        <f>$H$53</f>
        <v>0.6041840566898431</v>
      </c>
      <c r="J53" s="401">
        <f>$H$53</f>
        <v>0.6041840566898431</v>
      </c>
      <c r="K53" s="401">
        <f t="shared" ref="K53:N53" si="14">$H$53</f>
        <v>0.6041840566898431</v>
      </c>
      <c r="L53" s="401">
        <f t="shared" si="14"/>
        <v>0.6041840566898431</v>
      </c>
      <c r="M53" s="401">
        <f t="shared" si="14"/>
        <v>0.6041840566898431</v>
      </c>
      <c r="N53" s="404">
        <f t="shared" si="14"/>
        <v>0.6041840566898431</v>
      </c>
    </row>
    <row r="54" spans="1:15" s="417" customFormat="1">
      <c r="A54" s="412" t="s">
        <v>100</v>
      </c>
      <c r="B54" s="424">
        <f>FCFF!B11</f>
        <v>-3</v>
      </c>
      <c r="C54" s="424">
        <f>FCFF!C11</f>
        <v>-4.5999999999999996</v>
      </c>
      <c r="D54" s="424">
        <f>FCFF!D11</f>
        <v>-6.3</v>
      </c>
      <c r="E54" s="424">
        <f>FCFF!E11</f>
        <v>-6.6</v>
      </c>
      <c r="F54" s="424">
        <f>FCFF!F11</f>
        <v>-4.8</v>
      </c>
      <c r="G54" s="424">
        <f>FCFF!G11</f>
        <v>-7.2</v>
      </c>
      <c r="H54" s="421"/>
      <c r="I54" s="413">
        <f>I55*I56</f>
        <v>-7.9163899925168471</v>
      </c>
      <c r="J54" s="413">
        <f t="shared" ref="J54:N54" si="15">J55*J56</f>
        <v>-9.7348629389563541</v>
      </c>
      <c r="K54" s="413">
        <f t="shared" si="15"/>
        <v>-18.455103866050816</v>
      </c>
      <c r="L54" s="413">
        <f t="shared" si="15"/>
        <v>-13.48347271322886</v>
      </c>
      <c r="M54" s="413">
        <f t="shared" si="15"/>
        <v>-20.139311947582353</v>
      </c>
      <c r="N54" s="414">
        <f t="shared" si="15"/>
        <v>-27.511729889733626</v>
      </c>
    </row>
    <row r="55" spans="1:15">
      <c r="A55" s="405" t="s">
        <v>671</v>
      </c>
      <c r="B55" s="423">
        <f t="shared" ref="B55:F55" si="16">B54/B56</f>
        <v>-9.3627114412333803E-2</v>
      </c>
      <c r="C55" s="389">
        <f t="shared" si="16"/>
        <v>-7.9480268159513437E-2</v>
      </c>
      <c r="D55" s="389">
        <f t="shared" si="16"/>
        <v>-6.5271446332366354E-2</v>
      </c>
      <c r="E55" s="389">
        <f t="shared" si="16"/>
        <v>-0.73089700996677742</v>
      </c>
      <c r="F55" s="389">
        <f t="shared" si="16"/>
        <v>-0.21175224986765484</v>
      </c>
      <c r="G55" s="389">
        <f>G54/G56</f>
        <v>-0.10746749854471097</v>
      </c>
      <c r="H55" s="419">
        <f>AVERAGE(B55:D55,F55:G55)</f>
        <v>-0.11151971546331588</v>
      </c>
      <c r="I55" s="401">
        <f>$H$55</f>
        <v>-0.11151971546331588</v>
      </c>
      <c r="J55" s="401">
        <f t="shared" ref="J55:N55" si="17">$H$55</f>
        <v>-0.11151971546331588</v>
      </c>
      <c r="K55" s="401">
        <f t="shared" si="17"/>
        <v>-0.11151971546331588</v>
      </c>
      <c r="L55" s="401">
        <f t="shared" si="17"/>
        <v>-0.11151971546331588</v>
      </c>
      <c r="M55" s="401">
        <f t="shared" si="17"/>
        <v>-0.11151971546331588</v>
      </c>
      <c r="N55" s="404">
        <f t="shared" si="17"/>
        <v>-0.11151971546331588</v>
      </c>
    </row>
    <row r="56" spans="1:15">
      <c r="A56" s="391" t="s">
        <v>27</v>
      </c>
      <c r="B56" s="425">
        <f>FCFF!B2</f>
        <v>32.042000000000002</v>
      </c>
      <c r="C56" s="402">
        <f>FCFF!C2</f>
        <v>57.875999999999998</v>
      </c>
      <c r="D56" s="402">
        <f>FCFF!D2</f>
        <v>96.52</v>
      </c>
      <c r="E56" s="402">
        <f>FCFF!E2</f>
        <v>9.0299999999999994</v>
      </c>
      <c r="F56" s="402">
        <f>FCFF!F2</f>
        <v>22.667999999999999</v>
      </c>
      <c r="G56" s="402">
        <f>FCFF!G2</f>
        <v>66.997</v>
      </c>
      <c r="H56" s="398"/>
      <c r="I56" s="403">
        <f>F34</f>
        <v>70.98646153846154</v>
      </c>
      <c r="J56" s="403">
        <f t="shared" ref="J56:N56" si="18">G34</f>
        <v>87.292752662721881</v>
      </c>
      <c r="K56" s="403">
        <f t="shared" si="18"/>
        <v>165.48736507601274</v>
      </c>
      <c r="L56" s="403">
        <f t="shared" si="18"/>
        <v>120.90662765064366</v>
      </c>
      <c r="M56" s="403">
        <f t="shared" si="18"/>
        <v>180.58969989218747</v>
      </c>
      <c r="N56" s="406">
        <f t="shared" si="18"/>
        <v>246.69835082912795</v>
      </c>
    </row>
    <row r="57" spans="1:15" s="417" customFormat="1" ht="17" thickBot="1">
      <c r="A57" s="304" t="s">
        <v>743</v>
      </c>
      <c r="B57" s="426">
        <f>B54+B52+B50</f>
        <v>55.616</v>
      </c>
      <c r="C57" s="418">
        <f t="shared" ref="C57:G57" si="19">C54+C52+C50</f>
        <v>42.069000000000003</v>
      </c>
      <c r="D57" s="418">
        <f t="shared" si="19"/>
        <v>67.085999999999999</v>
      </c>
      <c r="E57" s="418">
        <f t="shared" si="19"/>
        <v>89.225000000000009</v>
      </c>
      <c r="F57" s="418">
        <f t="shared" si="19"/>
        <v>94.828999999999994</v>
      </c>
      <c r="G57" s="418">
        <f t="shared" si="19"/>
        <v>73.615999999999985</v>
      </c>
      <c r="H57" s="422"/>
      <c r="I57" s="415">
        <f t="shared" ref="I57:N57" si="20">I54+I52+I50</f>
        <v>57.246315455133796</v>
      </c>
      <c r="J57" s="415">
        <f t="shared" si="20"/>
        <v>70.396359356066711</v>
      </c>
      <c r="K57" s="415">
        <f t="shared" si="20"/>
        <v>133.45561533374089</v>
      </c>
      <c r="L57" s="415">
        <f t="shared" si="20"/>
        <v>97.503929581769583</v>
      </c>
      <c r="M57" s="415">
        <f t="shared" si="20"/>
        <v>145.63474082131518</v>
      </c>
      <c r="N57" s="416">
        <f t="shared" si="20"/>
        <v>198.9473951476466</v>
      </c>
    </row>
    <row r="59" spans="1:15">
      <c r="C59" s="343"/>
      <c r="D59" s="343"/>
      <c r="E59" s="343"/>
      <c r="F59" s="343"/>
      <c r="G59" s="343"/>
      <c r="H59" s="350"/>
      <c r="I59" s="603"/>
      <c r="J59" s="603"/>
      <c r="K59" s="603"/>
      <c r="L59" s="603"/>
      <c r="M59" s="603"/>
      <c r="N59" s="603"/>
    </row>
    <row r="60" spans="1:15">
      <c r="C60" s="343"/>
      <c r="D60" s="343"/>
      <c r="E60" s="343"/>
      <c r="F60" s="343"/>
      <c r="G60" s="343"/>
      <c r="H60" s="350"/>
    </row>
    <row r="63" spans="1:15" ht="17" thickBot="1"/>
    <row r="64" spans="1:15" ht="17" thickBot="1">
      <c r="A64" s="429"/>
      <c r="B64" s="159">
        <v>2017</v>
      </c>
      <c r="C64" s="160">
        <v>2018</v>
      </c>
      <c r="D64" s="160">
        <v>2019</v>
      </c>
      <c r="E64" s="160">
        <v>2020</v>
      </c>
      <c r="F64" s="160">
        <v>2021</v>
      </c>
      <c r="G64" s="161">
        <v>2022</v>
      </c>
      <c r="H64" s="163" t="s">
        <v>738</v>
      </c>
      <c r="I64" s="162">
        <v>2023</v>
      </c>
      <c r="J64" s="163">
        <v>2024</v>
      </c>
      <c r="K64" s="163">
        <v>2025</v>
      </c>
      <c r="L64" s="163">
        <v>2026</v>
      </c>
      <c r="M64" s="163">
        <v>2027</v>
      </c>
      <c r="N64" s="164">
        <v>2028</v>
      </c>
      <c r="O64" s="388"/>
    </row>
    <row r="65" spans="1:14" ht="17" thickBot="1">
      <c r="A65" s="237" t="s">
        <v>744</v>
      </c>
      <c r="B65" s="427">
        <f>FCFF!B30</f>
        <v>-14.8</v>
      </c>
      <c r="C65" s="427">
        <f>FCFF!C30</f>
        <v>-10</v>
      </c>
      <c r="D65" s="427">
        <f>FCFF!D30</f>
        <v>-11.1</v>
      </c>
      <c r="E65" s="427">
        <f>FCFF!E30</f>
        <v>-10.6</v>
      </c>
      <c r="F65" s="427">
        <f>FCFF!F30</f>
        <v>-11.5</v>
      </c>
      <c r="G65" s="427">
        <f>FCFF!G30</f>
        <v>0</v>
      </c>
      <c r="H65" s="382"/>
      <c r="I65" s="436">
        <f>I67*I66</f>
        <v>-17.846026626081049</v>
      </c>
      <c r="J65" s="437">
        <f t="shared" ref="J65:N65" si="21">J67*J66</f>
        <v>-21.945435150881366</v>
      </c>
      <c r="K65" s="437">
        <f t="shared" si="21"/>
        <v>-41.603593973005403</v>
      </c>
      <c r="L65" s="437">
        <f t="shared" si="21"/>
        <v>-30.395977621084519</v>
      </c>
      <c r="M65" s="437">
        <f t="shared" si="21"/>
        <v>-45.400327369829483</v>
      </c>
      <c r="N65" s="438">
        <f t="shared" si="21"/>
        <v>-62.02007033582754</v>
      </c>
    </row>
    <row r="66" spans="1:14">
      <c r="A66" s="391" t="s">
        <v>671</v>
      </c>
      <c r="B66" s="423">
        <f t="shared" ref="B66:G66" si="22">B65/B67</f>
        <v>-0.46189376443418012</v>
      </c>
      <c r="C66" s="389">
        <f t="shared" si="22"/>
        <v>-0.17278319165111619</v>
      </c>
      <c r="D66" s="389">
        <f t="shared" si="22"/>
        <v>-0.11500207210940738</v>
      </c>
      <c r="E66" s="389">
        <f t="shared" si="22"/>
        <v>-1.1738648947951273</v>
      </c>
      <c r="F66" s="389">
        <f t="shared" si="22"/>
        <v>-0.50732309864125646</v>
      </c>
      <c r="G66" s="393">
        <f t="shared" si="22"/>
        <v>0</v>
      </c>
      <c r="H66" s="401">
        <f>AVERAGE(B66:D66,F66:G66)</f>
        <v>-0.25140042536719204</v>
      </c>
      <c r="I66" s="405">
        <f>$H$66</f>
        <v>-0.25140042536719204</v>
      </c>
      <c r="J66" s="401">
        <f t="shared" ref="J66:N66" si="23">$H$66</f>
        <v>-0.25140042536719204</v>
      </c>
      <c r="K66" s="401">
        <f t="shared" si="23"/>
        <v>-0.25140042536719204</v>
      </c>
      <c r="L66" s="401">
        <f t="shared" si="23"/>
        <v>-0.25140042536719204</v>
      </c>
      <c r="M66" s="401">
        <f t="shared" si="23"/>
        <v>-0.25140042536719204</v>
      </c>
      <c r="N66" s="404">
        <f t="shared" si="23"/>
        <v>-0.25140042536719204</v>
      </c>
    </row>
    <row r="67" spans="1:14" ht="17" thickBot="1">
      <c r="A67" s="391" t="s">
        <v>27</v>
      </c>
      <c r="B67" s="425">
        <f>B56</f>
        <v>32.042000000000002</v>
      </c>
      <c r="C67" s="402">
        <f t="shared" ref="C67:G67" si="24">C56</f>
        <v>57.875999999999998</v>
      </c>
      <c r="D67" s="402">
        <f t="shared" si="24"/>
        <v>96.52</v>
      </c>
      <c r="E67" s="402">
        <f t="shared" si="24"/>
        <v>9.0299999999999994</v>
      </c>
      <c r="F67" s="402">
        <f t="shared" si="24"/>
        <v>22.667999999999999</v>
      </c>
      <c r="G67" s="430">
        <f t="shared" si="24"/>
        <v>66.997</v>
      </c>
      <c r="H67" s="388"/>
      <c r="I67" s="431">
        <f t="shared" ref="I67:N67" si="25">I56</f>
        <v>70.98646153846154</v>
      </c>
      <c r="J67" s="403">
        <f t="shared" si="25"/>
        <v>87.292752662721881</v>
      </c>
      <c r="K67" s="403">
        <f t="shared" si="25"/>
        <v>165.48736507601274</v>
      </c>
      <c r="L67" s="403">
        <f t="shared" si="25"/>
        <v>120.90662765064366</v>
      </c>
      <c r="M67" s="403">
        <f t="shared" si="25"/>
        <v>180.58969989218747</v>
      </c>
      <c r="N67" s="406">
        <f t="shared" si="25"/>
        <v>246.69835082912795</v>
      </c>
    </row>
    <row r="68" spans="1:14" ht="17" thickBot="1">
      <c r="A68" s="237" t="s">
        <v>675</v>
      </c>
      <c r="B68" s="427">
        <f>FCFF!B12</f>
        <v>2.0419999999999998</v>
      </c>
      <c r="C68" s="427">
        <f>FCFF!C12</f>
        <v>2.7069999999999999</v>
      </c>
      <c r="D68" s="427">
        <f>FCFF!D12</f>
        <v>5.4329999999999998</v>
      </c>
      <c r="E68" s="427">
        <f>FCFF!E12</f>
        <v>9.2430000000000003</v>
      </c>
      <c r="F68" s="427">
        <f>FCFF!F12</f>
        <v>9.35</v>
      </c>
      <c r="G68" s="427">
        <f>FCFF!G12</f>
        <v>11.94</v>
      </c>
      <c r="H68" s="382"/>
      <c r="I68" s="433">
        <f>I65*I69</f>
        <v>12.935300202521647</v>
      </c>
      <c r="J68" s="434">
        <f t="shared" ref="J68:N68" si="26">J65*J69</f>
        <v>15.906666380109446</v>
      </c>
      <c r="K68" s="434">
        <f t="shared" si="26"/>
        <v>30.155450780184282</v>
      </c>
      <c r="L68" s="434">
        <f t="shared" si="26"/>
        <v>22.031856374305985</v>
      </c>
      <c r="M68" s="434">
        <f t="shared" si="26"/>
        <v>32.907429543069505</v>
      </c>
      <c r="N68" s="435">
        <f t="shared" si="26"/>
        <v>44.953884984290696</v>
      </c>
    </row>
    <row r="69" spans="1:14" ht="17" thickBot="1">
      <c r="A69" s="165" t="s">
        <v>745</v>
      </c>
      <c r="B69" s="166">
        <f>B68/B65</f>
        <v>-0.13797297297297295</v>
      </c>
      <c r="C69" s="167">
        <f>C68/C65</f>
        <v>-0.2707</v>
      </c>
      <c r="D69" s="167">
        <f>D68/D65</f>
        <v>-0.48945945945945946</v>
      </c>
      <c r="E69" s="167">
        <f>E68/E65</f>
        <v>-0.87198113207547179</v>
      </c>
      <c r="F69" s="167">
        <f>F68/F65</f>
        <v>-0.81304347826086953</v>
      </c>
      <c r="G69" s="168">
        <v>0</v>
      </c>
      <c r="H69" s="169">
        <f>AVERAGE(D69:F69)</f>
        <v>-0.72482802326526696</v>
      </c>
      <c r="I69" s="432">
        <f>$H$69</f>
        <v>-0.72482802326526696</v>
      </c>
      <c r="J69" s="169">
        <f>I69</f>
        <v>-0.72482802326526696</v>
      </c>
      <c r="K69" s="169">
        <f>J69</f>
        <v>-0.72482802326526696</v>
      </c>
      <c r="L69" s="169">
        <f>K69</f>
        <v>-0.72482802326526696</v>
      </c>
      <c r="M69" s="169">
        <f>L69</f>
        <v>-0.72482802326526696</v>
      </c>
      <c r="N69" s="170">
        <f>M69</f>
        <v>-0.72482802326526696</v>
      </c>
    </row>
  </sheetData>
  <mergeCells count="2">
    <mergeCell ref="A33:A34"/>
    <mergeCell ref="I45:N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210"/>
  <sheetViews>
    <sheetView showGridLines="0" tabSelected="1" topLeftCell="R7" zoomScale="143" workbookViewId="0">
      <selection activeCell="O7" sqref="A1:IV65536"/>
    </sheetView>
  </sheetViews>
  <sheetFormatPr baseColWidth="10" defaultRowHeight="13"/>
  <cols>
    <col min="1" max="1" width="35.83203125" style="440" customWidth="1"/>
    <col min="2" max="2" width="25.83203125" style="440" customWidth="1"/>
    <col min="3" max="3" width="25.83203125" style="439" customWidth="1"/>
    <col min="4" max="4" width="26.6640625" style="439" customWidth="1"/>
    <col min="5" max="5" width="25.83203125" style="439" customWidth="1"/>
    <col min="6" max="6" width="21.83203125" style="439" customWidth="1"/>
    <col min="7" max="7" width="24.1640625" style="439" customWidth="1"/>
    <col min="8" max="8" width="26.5" style="439" customWidth="1"/>
    <col min="9" max="9" width="22.83203125" style="439" customWidth="1"/>
    <col min="10" max="13" width="10.83203125" style="439"/>
    <col min="14" max="14" width="17.5" style="439" bestFit="1" customWidth="1"/>
    <col min="15" max="15" width="10.83203125" style="439"/>
    <col min="16" max="16" width="25.83203125" style="439" bestFit="1" customWidth="1"/>
    <col min="17" max="17" width="20.83203125" style="439" bestFit="1" customWidth="1"/>
    <col min="18" max="18" width="18.6640625" style="439" bestFit="1" customWidth="1"/>
    <col min="19" max="19" width="17.6640625" style="439" bestFit="1" customWidth="1"/>
    <col min="20" max="20" width="18.6640625" style="439" bestFit="1" customWidth="1"/>
    <col min="21" max="21" width="20.1640625" style="439" bestFit="1" customWidth="1"/>
    <col min="22" max="22" width="17.83203125" style="439" bestFit="1" customWidth="1"/>
    <col min="23" max="23" width="7.33203125" style="439" bestFit="1" customWidth="1"/>
    <col min="24" max="16384" width="10.83203125" style="439"/>
  </cols>
  <sheetData>
    <row r="1" spans="1:40" ht="16">
      <c r="A1" s="459" t="s">
        <v>751</v>
      </c>
      <c r="B1" s="460" t="s">
        <v>767</v>
      </c>
      <c r="C1" s="442" t="s">
        <v>753</v>
      </c>
      <c r="D1" s="459" t="s">
        <v>768</v>
      </c>
      <c r="E1" s="459" t="s">
        <v>769</v>
      </c>
      <c r="F1" s="461" t="s">
        <v>754</v>
      </c>
      <c r="G1" s="461" t="s">
        <v>770</v>
      </c>
      <c r="H1" s="459" t="s">
        <v>771</v>
      </c>
      <c r="I1" s="462" t="s">
        <v>772</v>
      </c>
      <c r="J1" s="462" t="s">
        <v>773</v>
      </c>
      <c r="K1" s="462" t="s">
        <v>774</v>
      </c>
      <c r="L1" s="462" t="s">
        <v>775</v>
      </c>
      <c r="M1" s="462" t="s">
        <v>776</v>
      </c>
    </row>
    <row r="2" spans="1:40" ht="16">
      <c r="A2" s="463" t="s">
        <v>1114</v>
      </c>
      <c r="B2" s="460">
        <v>72546.98570857069</v>
      </c>
      <c r="C2" s="444">
        <v>6.5500000000000003E-2</v>
      </c>
      <c r="D2" s="443">
        <v>7.9525458715596339E-2</v>
      </c>
      <c r="E2" s="464">
        <v>0.17158056832609495</v>
      </c>
      <c r="F2" s="445">
        <v>0.11218056832609494</v>
      </c>
      <c r="G2" s="445">
        <v>0.25</v>
      </c>
      <c r="H2" s="465" t="s">
        <v>752</v>
      </c>
      <c r="I2" s="466">
        <f t="shared" ref="I2:I29" si="0">B2/$B$32</f>
        <v>3.1187824317542568E-2</v>
      </c>
      <c r="J2" s="466">
        <f t="shared" ref="J2:J29" si="1">I2*D2</f>
        <v>2.480226035194003E-3</v>
      </c>
      <c r="K2" s="466">
        <f t="shared" ref="K2:K29" si="2">I2*E2</f>
        <v>5.351224621258358E-3</v>
      </c>
      <c r="L2" s="466">
        <f t="shared" ref="L2:L29" si="3">I2*F2</f>
        <v>3.4986678567963292E-3</v>
      </c>
      <c r="M2" s="466">
        <f>I2*G2</f>
        <v>7.796956079385642E-3</v>
      </c>
      <c r="O2" s="308"/>
      <c r="P2" s="308"/>
      <c r="Q2" s="308"/>
      <c r="R2" s="308"/>
      <c r="S2" s="308"/>
      <c r="T2" s="308"/>
      <c r="U2" s="308"/>
      <c r="V2" s="308"/>
      <c r="W2" s="308"/>
      <c r="X2" s="308"/>
    </row>
    <row r="3" spans="1:40" ht="17" thickBot="1">
      <c r="A3" s="463" t="s">
        <v>1115</v>
      </c>
      <c r="B3" s="460">
        <v>17785.640079119097</v>
      </c>
      <c r="C3" s="444" t="s">
        <v>38</v>
      </c>
      <c r="D3" s="443">
        <v>5.5078211009174309E-2</v>
      </c>
      <c r="E3" s="464">
        <v>0.13709467932892289</v>
      </c>
      <c r="F3" s="445">
        <v>7.7694679328922892E-2</v>
      </c>
      <c r="G3" s="445">
        <v>0.3</v>
      </c>
      <c r="H3" s="465" t="s">
        <v>752</v>
      </c>
      <c r="I3" s="466">
        <f>B3/$B$32</f>
        <v>7.6460160645527506E-3</v>
      </c>
      <c r="J3" s="466">
        <f>I3*D3</f>
        <v>4.2112888618297292E-4</v>
      </c>
      <c r="K3" s="466">
        <f>I3*E3</f>
        <v>1.0482281205136522E-3</v>
      </c>
      <c r="L3" s="466">
        <f>I3*F3</f>
        <v>5.940547662792189E-4</v>
      </c>
      <c r="M3" s="466">
        <f>I3*G3</f>
        <v>2.2938048193658252E-3</v>
      </c>
      <c r="O3" s="308"/>
      <c r="P3" s="308"/>
      <c r="Q3" s="308"/>
      <c r="R3" s="308"/>
      <c r="S3" s="308"/>
      <c r="T3" s="308"/>
      <c r="U3" s="308"/>
      <c r="V3" s="308"/>
      <c r="W3" s="308"/>
      <c r="X3" s="308"/>
    </row>
    <row r="4" spans="1:40" ht="17" thickBot="1">
      <c r="A4" s="463" t="s">
        <v>1116</v>
      </c>
      <c r="B4" s="460">
        <v>17613.846472991601</v>
      </c>
      <c r="C4" s="444" t="s">
        <v>38</v>
      </c>
      <c r="D4" s="443">
        <v>1.4668348623853212E-2</v>
      </c>
      <c r="E4" s="464">
        <v>8.009153339830323E-2</v>
      </c>
      <c r="F4" s="445">
        <v>2.0691533398303225E-2</v>
      </c>
      <c r="G4" s="445">
        <v>0.22</v>
      </c>
      <c r="H4" s="465" t="s">
        <v>752</v>
      </c>
      <c r="I4" s="466">
        <f t="shared" si="0"/>
        <v>7.572162288900312E-3</v>
      </c>
      <c r="J4" s="466">
        <f t="shared" si="1"/>
        <v>1.1107111628998408E-4</v>
      </c>
      <c r="K4" s="466">
        <f t="shared" si="2"/>
        <v>6.0646608885883159E-4</v>
      </c>
      <c r="L4" s="466">
        <f t="shared" si="3"/>
        <v>1.5667964889815299E-4</v>
      </c>
      <c r="M4" s="466">
        <f t="shared" ref="M4:M76" si="4">I4*G4</f>
        <v>1.6658757035580686E-3</v>
      </c>
      <c r="O4" s="308"/>
      <c r="P4" s="618" t="s">
        <v>639</v>
      </c>
      <c r="Q4" s="607">
        <v>2017</v>
      </c>
      <c r="R4" s="607">
        <v>2018</v>
      </c>
      <c r="S4" s="607">
        <v>2019</v>
      </c>
      <c r="T4" s="607">
        <v>2020</v>
      </c>
      <c r="U4" s="607">
        <v>2021</v>
      </c>
      <c r="V4" s="608">
        <v>2022</v>
      </c>
      <c r="W4" s="308"/>
      <c r="X4" s="308"/>
    </row>
    <row r="5" spans="1:40" ht="16">
      <c r="A5" s="463" t="s">
        <v>1117</v>
      </c>
      <c r="B5" s="460">
        <v>19737.615114366101</v>
      </c>
      <c r="C5" s="444" t="s">
        <v>38</v>
      </c>
      <c r="D5" s="443">
        <v>9.1749082568807344E-2</v>
      </c>
      <c r="E5" s="464">
        <v>0.18882351282468096</v>
      </c>
      <c r="F5" s="445">
        <v>0.12942351282468095</v>
      </c>
      <c r="G5" s="445">
        <v>0.28000000000000003</v>
      </c>
      <c r="H5" s="465" t="s">
        <v>752</v>
      </c>
      <c r="I5" s="466">
        <f t="shared" si="0"/>
        <v>8.4851667732543587E-3</v>
      </c>
      <c r="J5" s="466">
        <f t="shared" si="1"/>
        <v>7.7850626688941475E-4</v>
      </c>
      <c r="K5" s="466">
        <f t="shared" si="2"/>
        <v>1.6021989970291511E-3</v>
      </c>
      <c r="L5" s="466">
        <f t="shared" si="3"/>
        <v>1.0981800906978423E-3</v>
      </c>
      <c r="M5" s="466">
        <f t="shared" si="4"/>
        <v>2.3758466965112207E-3</v>
      </c>
      <c r="O5" s="308"/>
      <c r="P5" s="619" t="s">
        <v>661</v>
      </c>
      <c r="Q5" s="609">
        <v>1.7</v>
      </c>
      <c r="R5" s="609">
        <v>43.305</v>
      </c>
      <c r="S5" s="609">
        <v>19.646999999999998</v>
      </c>
      <c r="T5" s="609">
        <v>3.5</v>
      </c>
      <c r="U5" s="609">
        <v>10.3</v>
      </c>
      <c r="V5" s="610">
        <f>V18*V7</f>
        <v>25.001711484158005</v>
      </c>
      <c r="W5" s="308"/>
      <c r="X5" s="308"/>
    </row>
    <row r="6" spans="1:40" ht="16">
      <c r="A6" s="463" t="s">
        <v>1118</v>
      </c>
      <c r="B6" s="460">
        <v>45238.613479830805</v>
      </c>
      <c r="C6" s="444">
        <v>6.6799999999999998E-2</v>
      </c>
      <c r="D6" s="443">
        <v>6.7301834862385335E-2</v>
      </c>
      <c r="E6" s="464">
        <v>0.15433762382750893</v>
      </c>
      <c r="F6" s="445">
        <v>9.4937623827508935E-2</v>
      </c>
      <c r="G6" s="445">
        <v>0.33</v>
      </c>
      <c r="H6" s="465" t="s">
        <v>752</v>
      </c>
      <c r="I6" s="466">
        <f t="shared" si="0"/>
        <v>1.9448002088548435E-2</v>
      </c>
      <c r="J6" s="466">
        <f t="shared" si="1"/>
        <v>1.3088862249668119E-3</v>
      </c>
      <c r="K6" s="466">
        <f t="shared" si="2"/>
        <v>3.0015584305389965E-3</v>
      </c>
      <c r="L6" s="466">
        <f t="shared" si="3"/>
        <v>1.8463471064792195E-3</v>
      </c>
      <c r="M6" s="466">
        <f t="shared" si="4"/>
        <v>6.4178406892209834E-3</v>
      </c>
      <c r="O6" s="308"/>
      <c r="P6" s="619" t="s">
        <v>662</v>
      </c>
      <c r="Q6" s="609">
        <v>30.545000000000002</v>
      </c>
      <c r="R6" s="609">
        <v>14.57</v>
      </c>
      <c r="S6" s="609">
        <v>76.873000000000005</v>
      </c>
      <c r="T6" s="609">
        <v>5.516</v>
      </c>
      <c r="U6" s="609">
        <v>12.37</v>
      </c>
      <c r="V6" s="610">
        <f>V7*V19</f>
        <v>42.678490903389651</v>
      </c>
      <c r="W6" s="308"/>
      <c r="X6" s="308"/>
    </row>
    <row r="7" spans="1:40" s="441" customFormat="1" ht="17" thickBot="1">
      <c r="A7" s="463" t="s">
        <v>1119</v>
      </c>
      <c r="B7" s="460">
        <v>1.7</v>
      </c>
      <c r="C7" s="444" t="s">
        <v>38</v>
      </c>
      <c r="D7" s="443">
        <v>7.9525458715596339E-2</v>
      </c>
      <c r="E7" s="464">
        <v>0.17158056832609495</v>
      </c>
      <c r="F7" s="445">
        <v>0.11218056832609494</v>
      </c>
      <c r="G7" s="445">
        <v>0</v>
      </c>
      <c r="H7" s="465" t="s">
        <v>752</v>
      </c>
      <c r="I7" s="466">
        <f t="shared" si="0"/>
        <v>7.3082707464658547E-7</v>
      </c>
      <c r="J7" s="466">
        <f t="shared" si="1"/>
        <v>5.8119358353047079E-8</v>
      </c>
      <c r="K7" s="466">
        <f t="shared" si="2"/>
        <v>1.2539572481595856E-7</v>
      </c>
      <c r="L7" s="466">
        <f t="shared" si="3"/>
        <v>8.1984596581951372E-8</v>
      </c>
      <c r="M7" s="466">
        <f t="shared" si="4"/>
        <v>0</v>
      </c>
      <c r="O7" s="611"/>
      <c r="P7" s="620" t="s">
        <v>644</v>
      </c>
      <c r="Q7" s="612">
        <v>32.244999999999997</v>
      </c>
      <c r="R7" s="612">
        <v>57.875</v>
      </c>
      <c r="S7" s="612">
        <v>96.52</v>
      </c>
      <c r="T7" s="612">
        <v>9.0299999999999994</v>
      </c>
      <c r="U7" s="612">
        <v>22.667999999999999</v>
      </c>
      <c r="V7" s="613">
        <f>Q8</f>
        <v>67.7</v>
      </c>
      <c r="W7" s="611"/>
      <c r="X7" s="611"/>
    </row>
    <row r="8" spans="1:40" ht="16">
      <c r="A8" s="463" t="s">
        <v>1120</v>
      </c>
      <c r="B8" s="460">
        <v>53958.573693051301</v>
      </c>
      <c r="C8" s="444" t="s">
        <v>38</v>
      </c>
      <c r="D8" s="443">
        <v>7.9525458715596339E-2</v>
      </c>
      <c r="E8" s="464">
        <v>0.17158056832609495</v>
      </c>
      <c r="F8" s="445">
        <v>0.11218056832609494</v>
      </c>
      <c r="G8" s="445">
        <v>0.3</v>
      </c>
      <c r="H8" s="465" t="s">
        <v>752</v>
      </c>
      <c r="I8" s="466">
        <f t="shared" si="0"/>
        <v>2.3196697978938169E-2</v>
      </c>
      <c r="J8" s="466">
        <f t="shared" si="1"/>
        <v>1.8447280474622044E-3</v>
      </c>
      <c r="K8" s="466">
        <f t="shared" si="2"/>
        <v>3.9801026225149893E-3</v>
      </c>
      <c r="L8" s="466">
        <f t="shared" si="3"/>
        <v>2.6022187625660614E-3</v>
      </c>
      <c r="M8" s="466">
        <f t="shared" si="4"/>
        <v>6.9590093936814507E-3</v>
      </c>
      <c r="O8" s="308"/>
      <c r="P8" s="733" t="s">
        <v>759</v>
      </c>
      <c r="Q8" s="733">
        <f>SUM(Q10:Q13)</f>
        <v>67.7</v>
      </c>
      <c r="R8" s="351"/>
      <c r="S8" s="351"/>
      <c r="T8" s="351"/>
      <c r="U8" s="351"/>
      <c r="V8" s="614"/>
      <c r="W8" s="308"/>
      <c r="X8" s="308"/>
      <c r="AF8" s="441"/>
      <c r="AG8" s="441"/>
      <c r="AH8" s="441"/>
      <c r="AI8" s="441"/>
      <c r="AJ8" s="441"/>
      <c r="AK8" s="441"/>
      <c r="AL8" s="441"/>
      <c r="AM8" s="441"/>
      <c r="AN8" s="441"/>
    </row>
    <row r="9" spans="1:40" ht="17" thickBot="1">
      <c r="A9" s="463" t="s">
        <v>1121</v>
      </c>
      <c r="B9" s="460">
        <v>12523.9616772966</v>
      </c>
      <c r="C9" s="444" t="s">
        <v>38</v>
      </c>
      <c r="D9" s="443">
        <v>0.11015642201834862</v>
      </c>
      <c r="E9" s="464">
        <v>0.21478935865784579</v>
      </c>
      <c r="F9" s="445">
        <v>0.15538935865784578</v>
      </c>
      <c r="G9" s="445">
        <v>0.28000000000000003</v>
      </c>
      <c r="H9" s="465" t="s">
        <v>752</v>
      </c>
      <c r="I9" s="466">
        <f t="shared" si="0"/>
        <v>5.3840295738850699E-3</v>
      </c>
      <c r="J9" s="466">
        <f t="shared" si="1"/>
        <v>5.9308543390015347E-4</v>
      </c>
      <c r="K9" s="466">
        <f t="shared" si="2"/>
        <v>1.1564322591696488E-3</v>
      </c>
      <c r="L9" s="466">
        <f t="shared" si="3"/>
        <v>8.3662090248087578E-4</v>
      </c>
      <c r="M9" s="466">
        <f t="shared" si="4"/>
        <v>1.5075282806878197E-3</v>
      </c>
      <c r="N9" s="9"/>
      <c r="O9" s="615"/>
      <c r="P9" s="734"/>
      <c r="Q9" s="734"/>
      <c r="R9" s="308"/>
      <c r="S9" s="308"/>
      <c r="T9" s="308"/>
      <c r="U9" s="308"/>
      <c r="V9" s="347"/>
      <c r="W9" s="308"/>
      <c r="X9" s="308"/>
    </row>
    <row r="10" spans="1:40" ht="16" customHeight="1">
      <c r="A10" s="463" t="s">
        <v>1122</v>
      </c>
      <c r="B10" s="460">
        <v>69764.827467442301</v>
      </c>
      <c r="C10" s="444" t="s">
        <v>38</v>
      </c>
      <c r="D10" s="443">
        <v>4.4005045871559637E-2</v>
      </c>
      <c r="E10" s="464">
        <v>0.12147460019490969</v>
      </c>
      <c r="F10" s="445">
        <v>6.2074600194909679E-2</v>
      </c>
      <c r="G10" s="445">
        <v>0.25</v>
      </c>
      <c r="H10" s="465" t="s">
        <v>752</v>
      </c>
      <c r="I10" s="466">
        <f t="shared" si="0"/>
        <v>2.9991779277208596E-2</v>
      </c>
      <c r="J10" s="466">
        <f t="shared" si="1"/>
        <v>1.319789622863256E-3</v>
      </c>
      <c r="K10" s="466">
        <f t="shared" si="2"/>
        <v>3.6432393968328916E-3</v>
      </c>
      <c r="L10" s="466">
        <f t="shared" si="3"/>
        <v>1.8617277077667008E-3</v>
      </c>
      <c r="M10" s="466">
        <f t="shared" si="4"/>
        <v>7.497944819302149E-3</v>
      </c>
      <c r="N10" s="4"/>
      <c r="O10" s="609"/>
      <c r="P10" s="378" t="s">
        <v>720</v>
      </c>
      <c r="Q10" s="358">
        <v>49.7</v>
      </c>
      <c r="R10" s="735" t="s">
        <v>760</v>
      </c>
      <c r="S10" s="736"/>
      <c r="T10" s="736"/>
      <c r="U10" s="736"/>
      <c r="V10" s="737"/>
      <c r="W10" s="308"/>
      <c r="X10" s="308"/>
      <c r="AG10" s="9"/>
      <c r="AH10" s="4"/>
      <c r="AI10" s="4"/>
      <c r="AJ10" s="4"/>
      <c r="AK10" s="4"/>
      <c r="AL10" s="4"/>
      <c r="AM10" s="4"/>
    </row>
    <row r="11" spans="1:40" ht="16">
      <c r="A11" s="463" t="s">
        <v>1123</v>
      </c>
      <c r="B11" s="460">
        <v>404142.76609305298</v>
      </c>
      <c r="C11" s="444">
        <v>8.0100000000000005E-2</v>
      </c>
      <c r="D11" s="443">
        <v>6.7301834862385335E-2</v>
      </c>
      <c r="E11" s="464">
        <v>0.15433762382750893</v>
      </c>
      <c r="F11" s="445">
        <v>9.4937623827508935E-2</v>
      </c>
      <c r="G11" s="445">
        <v>0.22500000000000001</v>
      </c>
      <c r="H11" s="465" t="s">
        <v>752</v>
      </c>
      <c r="I11" s="466">
        <f t="shared" si="0"/>
        <v>0.17374027969609718</v>
      </c>
      <c r="J11" s="466">
        <f t="shared" si="1"/>
        <v>1.1693039613051372E-2</v>
      </c>
      <c r="K11" s="466">
        <f t="shared" si="2"/>
        <v>2.6814661931422432E-2</v>
      </c>
      <c r="L11" s="466">
        <f t="shared" si="3"/>
        <v>1.6494489317474263E-2</v>
      </c>
      <c r="M11" s="466">
        <f t="shared" si="4"/>
        <v>3.9091562931621866E-2</v>
      </c>
      <c r="N11" s="4"/>
      <c r="O11" s="609"/>
      <c r="P11" s="342" t="s">
        <v>757</v>
      </c>
      <c r="Q11" s="347">
        <v>9.1999999999999993</v>
      </c>
      <c r="R11" s="738"/>
      <c r="S11" s="739"/>
      <c r="T11" s="739"/>
      <c r="U11" s="739"/>
      <c r="V11" s="740"/>
      <c r="W11" s="308"/>
      <c r="X11" s="308"/>
      <c r="AG11" s="4"/>
      <c r="AH11" s="20"/>
      <c r="AI11" s="20"/>
      <c r="AJ11" s="20"/>
      <c r="AK11" s="20"/>
      <c r="AL11" s="20"/>
      <c r="AM11" s="20"/>
    </row>
    <row r="12" spans="1:40" ht="16">
      <c r="A12" s="463" t="s">
        <v>1124</v>
      </c>
      <c r="B12" s="460">
        <v>111271.112329975</v>
      </c>
      <c r="C12" s="444">
        <v>0.2833</v>
      </c>
      <c r="D12" s="443">
        <v>0.11015642201834862</v>
      </c>
      <c r="E12" s="464">
        <v>0.21478935865784579</v>
      </c>
      <c r="F12" s="445">
        <v>0.15538935865784578</v>
      </c>
      <c r="G12" s="445">
        <v>0.3</v>
      </c>
      <c r="H12" s="465" t="s">
        <v>752</v>
      </c>
      <c r="I12" s="466">
        <f t="shared" si="0"/>
        <v>4.7835259715757202E-2</v>
      </c>
      <c r="J12" s="466">
        <f t="shared" si="1"/>
        <v>5.2693610566062615E-3</v>
      </c>
      <c r="K12" s="466">
        <f t="shared" si="2"/>
        <v>1.0274504755578976E-2</v>
      </c>
      <c r="L12" s="466">
        <f t="shared" si="3"/>
        <v>7.433090328462998E-3</v>
      </c>
      <c r="M12" s="466">
        <f t="shared" si="4"/>
        <v>1.435057791472716E-2</v>
      </c>
      <c r="N12" s="9"/>
      <c r="O12" s="611"/>
      <c r="P12" s="342" t="s">
        <v>719</v>
      </c>
      <c r="Q12" s="347">
        <v>6.5</v>
      </c>
      <c r="R12" s="738"/>
      <c r="S12" s="739"/>
      <c r="T12" s="739"/>
      <c r="U12" s="739"/>
      <c r="V12" s="740"/>
      <c r="W12" s="611"/>
      <c r="X12" s="308"/>
      <c r="AG12" s="4"/>
      <c r="AH12" s="20"/>
      <c r="AI12" s="20"/>
      <c r="AJ12" s="20"/>
      <c r="AK12" s="20"/>
      <c r="AL12" s="20"/>
      <c r="AM12" s="20"/>
    </row>
    <row r="13" spans="1:40" ht="17" thickBot="1">
      <c r="A13" s="463" t="s">
        <v>1125</v>
      </c>
      <c r="B13" s="460">
        <v>18269.350433799198</v>
      </c>
      <c r="C13" s="444" t="s">
        <v>38</v>
      </c>
      <c r="D13" s="443">
        <v>9.1749082568807344E-2</v>
      </c>
      <c r="E13" s="464">
        <v>0.18882351282468096</v>
      </c>
      <c r="F13" s="445">
        <v>0.12942351282468095</v>
      </c>
      <c r="G13" s="445">
        <v>0.3</v>
      </c>
      <c r="H13" s="465" t="s">
        <v>752</v>
      </c>
      <c r="I13" s="466">
        <f t="shared" si="0"/>
        <v>7.8539623136628205E-3</v>
      </c>
      <c r="J13" s="466">
        <f t="shared" si="1"/>
        <v>7.2059383680855133E-4</v>
      </c>
      <c r="K13" s="466">
        <f t="shared" si="2"/>
        <v>1.4830127536584726E-3</v>
      </c>
      <c r="L13" s="466">
        <f t="shared" si="3"/>
        <v>1.0164873922269009E-3</v>
      </c>
      <c r="M13" s="466">
        <f t="shared" si="4"/>
        <v>2.3561886940988461E-3</v>
      </c>
      <c r="N13" s="4"/>
      <c r="O13" s="611"/>
      <c r="P13" s="606" t="s">
        <v>758</v>
      </c>
      <c r="Q13" s="355">
        <v>2.2999999999999998</v>
      </c>
      <c r="R13" s="741"/>
      <c r="S13" s="742"/>
      <c r="T13" s="742"/>
      <c r="U13" s="742"/>
      <c r="V13" s="743"/>
      <c r="W13" s="611"/>
      <c r="X13" s="308"/>
      <c r="AG13" s="9"/>
      <c r="AH13" s="14"/>
      <c r="AI13" s="14"/>
      <c r="AJ13" s="14"/>
      <c r="AK13" s="14"/>
      <c r="AL13" s="14"/>
      <c r="AM13" s="14"/>
    </row>
    <row r="14" spans="1:40" ht="17" thickBot="1">
      <c r="A14" s="463" t="s">
        <v>1126</v>
      </c>
      <c r="B14" s="460">
        <v>77594.279054879502</v>
      </c>
      <c r="C14" s="444" t="s">
        <v>38</v>
      </c>
      <c r="D14" s="443">
        <v>0.14682729357798166</v>
      </c>
      <c r="E14" s="464">
        <v>0.26651819215360384</v>
      </c>
      <c r="F14" s="445">
        <v>0.20711819215360386</v>
      </c>
      <c r="G14" s="445">
        <v>0.25</v>
      </c>
      <c r="H14" s="465" t="s">
        <v>752</v>
      </c>
      <c r="I14" s="466">
        <f t="shared" si="0"/>
        <v>3.3357647041757886E-2</v>
      </c>
      <c r="J14" s="466">
        <f t="shared" si="1"/>
        <v>4.8978130352708765E-3</v>
      </c>
      <c r="K14" s="466">
        <f t="shared" si="2"/>
        <v>8.8904197840673233E-3</v>
      </c>
      <c r="L14" s="466">
        <f t="shared" si="3"/>
        <v>6.9089755497869047E-3</v>
      </c>
      <c r="M14" s="466">
        <f t="shared" si="4"/>
        <v>8.3394117604394715E-3</v>
      </c>
      <c r="O14" s="308"/>
      <c r="P14" s="316"/>
      <c r="Q14" s="308"/>
      <c r="R14" s="308"/>
      <c r="S14" s="308"/>
      <c r="T14" s="308"/>
      <c r="U14" s="308"/>
      <c r="V14" s="347"/>
      <c r="W14" s="308"/>
      <c r="X14" s="308"/>
      <c r="AG14" s="4"/>
      <c r="AH14" s="20"/>
      <c r="AI14" s="20"/>
      <c r="AJ14" s="20"/>
      <c r="AK14" s="20"/>
      <c r="AL14" s="20"/>
      <c r="AM14" s="20"/>
    </row>
    <row r="15" spans="1:40" ht="17" thickBot="1">
      <c r="A15" s="463" t="s">
        <v>1127</v>
      </c>
      <c r="B15" s="460">
        <v>110347.079517356</v>
      </c>
      <c r="C15" s="444">
        <v>7.5999999999999998E-2</v>
      </c>
      <c r="D15" s="443">
        <v>6.7301834862385335E-2</v>
      </c>
      <c r="E15" s="464">
        <v>0.15433762382750893</v>
      </c>
      <c r="F15" s="445">
        <v>9.4937623827508935E-2</v>
      </c>
      <c r="G15" s="445">
        <v>0.3</v>
      </c>
      <c r="H15" s="465" t="s">
        <v>752</v>
      </c>
      <c r="I15" s="466">
        <f t="shared" si="0"/>
        <v>4.7438019599684376E-2</v>
      </c>
      <c r="J15" s="466">
        <f t="shared" si="1"/>
        <v>3.192665761296557E-3</v>
      </c>
      <c r="K15" s="466">
        <f t="shared" si="2"/>
        <v>7.3214712240980834E-3</v>
      </c>
      <c r="L15" s="466">
        <f t="shared" si="3"/>
        <v>4.5036528598768315E-3</v>
      </c>
      <c r="M15" s="466">
        <f t="shared" si="4"/>
        <v>1.4231405879905313E-2</v>
      </c>
      <c r="N15" s="4"/>
      <c r="O15" s="308"/>
      <c r="P15" s="344" t="s">
        <v>761</v>
      </c>
      <c r="Q15" s="351">
        <v>2017</v>
      </c>
      <c r="R15" s="351">
        <v>2018</v>
      </c>
      <c r="S15" s="351">
        <v>2019</v>
      </c>
      <c r="T15" s="351">
        <v>2020</v>
      </c>
      <c r="U15" s="351">
        <v>2021</v>
      </c>
      <c r="V15" s="358">
        <v>2022</v>
      </c>
      <c r="W15" s="308"/>
      <c r="X15" s="308"/>
    </row>
    <row r="16" spans="1:40" ht="16" customHeight="1">
      <c r="A16" s="463" t="s">
        <v>1128</v>
      </c>
      <c r="B16" s="460">
        <v>19143.741503148201</v>
      </c>
      <c r="C16" s="444" t="s">
        <v>38</v>
      </c>
      <c r="D16" s="443">
        <v>0.11015642201834862</v>
      </c>
      <c r="E16" s="464">
        <v>0.21478935865784579</v>
      </c>
      <c r="F16" s="445">
        <v>0.15538935865784578</v>
      </c>
      <c r="G16" s="445">
        <v>0.2281</v>
      </c>
      <c r="H16" s="465" t="s">
        <v>752</v>
      </c>
      <c r="I16" s="466">
        <f t="shared" si="0"/>
        <v>8.2298615297271924E-3</v>
      </c>
      <c r="J16" s="466">
        <f t="shared" si="1"/>
        <v>9.065720998212007E-4</v>
      </c>
      <c r="K16" s="466">
        <f t="shared" si="2"/>
        <v>1.7676866798129814E-3</v>
      </c>
      <c r="L16" s="466">
        <f t="shared" si="3"/>
        <v>1.2788329049471861E-3</v>
      </c>
      <c r="M16" s="466">
        <f t="shared" si="4"/>
        <v>1.8772314149307725E-3</v>
      </c>
      <c r="N16" s="744"/>
      <c r="O16" s="308"/>
      <c r="P16" s="735" t="s">
        <v>762</v>
      </c>
      <c r="Q16" s="736"/>
      <c r="R16" s="736"/>
      <c r="S16" s="736"/>
      <c r="T16" s="736"/>
      <c r="U16" s="736"/>
      <c r="V16" s="737"/>
      <c r="W16" s="308"/>
      <c r="X16" s="308"/>
      <c r="AG16" s="4"/>
      <c r="AH16" s="4"/>
      <c r="AI16" s="4"/>
      <c r="AJ16" s="4"/>
      <c r="AK16" s="4"/>
      <c r="AL16" s="4"/>
      <c r="AM16" s="4"/>
    </row>
    <row r="17" spans="1:39" ht="17" thickBot="1">
      <c r="A17" s="463" t="s">
        <v>1129</v>
      </c>
      <c r="B17" s="460">
        <v>11156.6577696974</v>
      </c>
      <c r="C17" s="444" t="s">
        <v>38</v>
      </c>
      <c r="D17" s="443">
        <v>2.6891972477064225E-2</v>
      </c>
      <c r="E17" s="464">
        <v>9.733447789688926E-2</v>
      </c>
      <c r="F17" s="445">
        <v>3.7934477896889252E-2</v>
      </c>
      <c r="G17" s="445">
        <v>0.15</v>
      </c>
      <c r="H17" s="465" t="s">
        <v>752</v>
      </c>
      <c r="I17" s="466">
        <f>B17/$B$32</f>
        <v>4.7962279768594416E-3</v>
      </c>
      <c r="J17" s="466">
        <f t="shared" si="1"/>
        <v>1.2898003074742953E-4</v>
      </c>
      <c r="K17" s="466">
        <f t="shared" si="2"/>
        <v>4.6683834600206719E-4</v>
      </c>
      <c r="L17" s="466">
        <f t="shared" si="3"/>
        <v>1.8194240417661634E-4</v>
      </c>
      <c r="M17" s="466">
        <f>I17*G17</f>
        <v>7.1943419652891621E-4</v>
      </c>
      <c r="N17" s="744"/>
      <c r="O17" s="308"/>
      <c r="P17" s="741"/>
      <c r="Q17" s="742"/>
      <c r="R17" s="742"/>
      <c r="S17" s="742"/>
      <c r="T17" s="742"/>
      <c r="U17" s="742"/>
      <c r="V17" s="743"/>
      <c r="W17" s="308"/>
      <c r="X17" s="308"/>
      <c r="AG17" s="744"/>
      <c r="AH17" s="745"/>
    </row>
    <row r="18" spans="1:39" ht="16" customHeight="1">
      <c r="A18" s="463" t="s">
        <v>1130</v>
      </c>
      <c r="B18" s="460">
        <v>132725.261467431</v>
      </c>
      <c r="C18" s="444">
        <v>2.53E-2</v>
      </c>
      <c r="D18" s="443">
        <v>3.0630963302752296E-2</v>
      </c>
      <c r="E18" s="464">
        <v>0.10260879033175085</v>
      </c>
      <c r="F18" s="445">
        <v>4.3208790331750853E-2</v>
      </c>
      <c r="G18" s="445">
        <v>0.31</v>
      </c>
      <c r="H18" s="465" t="s">
        <v>752</v>
      </c>
      <c r="I18" s="466">
        <f t="shared" si="0"/>
        <v>5.7058361511732811E-2</v>
      </c>
      <c r="J18" s="466">
        <f t="shared" si="1"/>
        <v>1.7477525775810617E-3</v>
      </c>
      <c r="K18" s="466">
        <f t="shared" si="2"/>
        <v>5.8546894530306344E-3</v>
      </c>
      <c r="L18" s="466">
        <f t="shared" si="3"/>
        <v>2.4654227792337054E-3</v>
      </c>
      <c r="M18" s="466">
        <f t="shared" si="4"/>
        <v>1.7688092068637171E-2</v>
      </c>
      <c r="N18" s="453"/>
      <c r="O18" s="308"/>
      <c r="P18" s="342" t="s">
        <v>763</v>
      </c>
      <c r="Q18" s="349">
        <f>Q5/Q7</f>
        <v>5.272135214761979E-2</v>
      </c>
      <c r="R18" s="349">
        <f>R5/R7</f>
        <v>0.74825053995680346</v>
      </c>
      <c r="S18" s="349">
        <f>S5/S7</f>
        <v>0.20355366763365104</v>
      </c>
      <c r="T18" s="349">
        <f>T5/T7</f>
        <v>0.38759689922480622</v>
      </c>
      <c r="U18" s="349">
        <f>U5/U7</f>
        <v>0.45438503617434273</v>
      </c>
      <c r="V18" s="616">
        <f>AVERAGE(Q18:U18)</f>
        <v>0.36930149902744464</v>
      </c>
      <c r="W18" s="308"/>
      <c r="X18" s="308"/>
      <c r="AG18" s="744"/>
      <c r="AH18" s="745"/>
    </row>
    <row r="19" spans="1:39" ht="17" thickBot="1">
      <c r="A19" s="463" t="s">
        <v>1131</v>
      </c>
      <c r="B19" s="460">
        <v>16095.828896634199</v>
      </c>
      <c r="C19" s="444" t="s">
        <v>38</v>
      </c>
      <c r="D19" s="443">
        <v>0.11015642201834862</v>
      </c>
      <c r="E19" s="464">
        <v>0.21478935865784579</v>
      </c>
      <c r="F19" s="445">
        <v>0.15538935865784578</v>
      </c>
      <c r="G19" s="445">
        <v>0.32</v>
      </c>
      <c r="H19" s="465" t="s">
        <v>752</v>
      </c>
      <c r="I19" s="466">
        <f t="shared" si="0"/>
        <v>6.9195691450230296E-3</v>
      </c>
      <c r="J19" s="466">
        <f t="shared" si="1"/>
        <v>7.6223497892430054E-4</v>
      </c>
      <c r="K19" s="466">
        <f t="shared" si="2"/>
        <v>1.4862498188481148E-3</v>
      </c>
      <c r="L19" s="466">
        <f t="shared" si="3"/>
        <v>1.0752274116337468E-3</v>
      </c>
      <c r="M19" s="466">
        <f t="shared" si="4"/>
        <v>2.2142621264073696E-3</v>
      </c>
      <c r="N19" s="453"/>
      <c r="O19" s="308"/>
      <c r="P19" s="606" t="s">
        <v>764</v>
      </c>
      <c r="Q19" s="354">
        <f>Q6/Q7</f>
        <v>0.94727864785238036</v>
      </c>
      <c r="R19" s="354">
        <f>R6/R7</f>
        <v>0.25174946004319654</v>
      </c>
      <c r="S19" s="354">
        <f>S6/S7</f>
        <v>0.79644633236634899</v>
      </c>
      <c r="T19" s="354">
        <f>T6/T7</f>
        <v>0.61085271317829459</v>
      </c>
      <c r="U19" s="354">
        <f>U6/U7</f>
        <v>0.54570319392976885</v>
      </c>
      <c r="V19" s="617">
        <f>AVERAGE(Q19:U19)</f>
        <v>0.6304060694739978</v>
      </c>
      <c r="W19" s="308"/>
      <c r="X19" s="308"/>
      <c r="AG19" s="453"/>
      <c r="AH19" s="454"/>
      <c r="AI19" s="746"/>
      <c r="AJ19" s="746"/>
      <c r="AK19" s="746"/>
      <c r="AL19" s="746"/>
    </row>
    <row r="20" spans="1:39" ht="17" thickBot="1">
      <c r="A20" s="463" t="s">
        <v>1132</v>
      </c>
      <c r="B20" s="460">
        <v>12236.250784133601</v>
      </c>
      <c r="C20" s="444" t="s">
        <v>38</v>
      </c>
      <c r="D20" s="443">
        <v>5.5078211009174309E-2</v>
      </c>
      <c r="E20" s="464">
        <v>0.13709467932892289</v>
      </c>
      <c r="F20" s="445">
        <v>7.7694679328922892E-2</v>
      </c>
      <c r="G20" s="445">
        <v>0.32</v>
      </c>
      <c r="H20" s="465" t="s">
        <v>752</v>
      </c>
      <c r="I20" s="466">
        <f t="shared" si="0"/>
        <v>5.2603431560060872E-3</v>
      </c>
      <c r="J20" s="466">
        <f t="shared" si="1"/>
        <v>2.8973029032716919E-4</v>
      </c>
      <c r="K20" s="466">
        <f t="shared" si="2"/>
        <v>7.2116505813274868E-4</v>
      </c>
      <c r="L20" s="466">
        <f t="shared" si="3"/>
        <v>4.0870067466598715E-4</v>
      </c>
      <c r="M20" s="466">
        <f t="shared" si="4"/>
        <v>1.6833098099219479E-3</v>
      </c>
      <c r="N20" s="453"/>
      <c r="O20" s="308"/>
      <c r="P20" s="316"/>
      <c r="Q20" s="308"/>
      <c r="R20" s="308"/>
      <c r="S20" s="308"/>
      <c r="T20" s="308"/>
      <c r="U20" s="308"/>
      <c r="V20" s="347"/>
      <c r="W20" s="308"/>
      <c r="X20" s="308"/>
      <c r="AG20" s="453"/>
      <c r="AH20" s="454"/>
      <c r="AI20" s="746"/>
      <c r="AJ20" s="746"/>
      <c r="AK20" s="746"/>
      <c r="AL20" s="746"/>
    </row>
    <row r="21" spans="1:39" ht="17" thickBot="1">
      <c r="A21" s="463" t="s">
        <v>1133</v>
      </c>
      <c r="B21" s="460">
        <v>14950.9498752729</v>
      </c>
      <c r="C21" s="444" t="s">
        <v>38</v>
      </c>
      <c r="D21" s="443">
        <v>7.9525458715596339E-2</v>
      </c>
      <c r="E21" s="464">
        <v>0.17158056832609495</v>
      </c>
      <c r="F21" s="445">
        <v>0.11218056832609494</v>
      </c>
      <c r="G21" s="445">
        <v>0.2281</v>
      </c>
      <c r="H21" s="465" t="s">
        <v>752</v>
      </c>
      <c r="I21" s="466">
        <f>B21/$B$32</f>
        <v>6.4273876238431912E-3</v>
      </c>
      <c r="J21" s="466">
        <f>I21*D21</f>
        <v>5.1114094912907654E-4</v>
      </c>
      <c r="K21" s="466">
        <f>I21*E21</f>
        <v>1.1028148213511238E-3</v>
      </c>
      <c r="L21" s="466">
        <f>I21*F21</f>
        <v>7.210279964948381E-4</v>
      </c>
      <c r="M21" s="466">
        <f>I21*G21</f>
        <v>1.466087116998632E-3</v>
      </c>
      <c r="N21" s="453"/>
      <c r="O21" s="308"/>
      <c r="P21" s="621"/>
      <c r="Q21" s="676"/>
      <c r="R21" s="677" t="s">
        <v>735</v>
      </c>
      <c r="S21" s="678" t="s">
        <v>766</v>
      </c>
      <c r="T21" s="678" t="s">
        <v>750</v>
      </c>
      <c r="U21" s="679"/>
      <c r="V21" s="622"/>
      <c r="W21" s="308"/>
      <c r="X21" s="308"/>
      <c r="AG21" s="453"/>
      <c r="AH21" s="454"/>
      <c r="AI21" s="746"/>
      <c r="AJ21" s="746"/>
      <c r="AK21" s="746"/>
      <c r="AL21" s="746"/>
    </row>
    <row r="22" spans="1:39" ht="16">
      <c r="A22" s="463" t="s">
        <v>1134</v>
      </c>
      <c r="B22" s="460">
        <v>440776.97153601499</v>
      </c>
      <c r="C22" s="444">
        <v>8.5199999999999998E-2</v>
      </c>
      <c r="D22" s="443">
        <v>7.9525458715596339E-2</v>
      </c>
      <c r="E22" s="464">
        <v>0.17158056832609495</v>
      </c>
      <c r="F22" s="445">
        <v>0.11218056832609494</v>
      </c>
      <c r="G22" s="445">
        <v>0.3</v>
      </c>
      <c r="H22" s="465" t="s">
        <v>752</v>
      </c>
      <c r="I22" s="466">
        <f t="shared" si="0"/>
        <v>0.18948926157602772</v>
      </c>
      <c r="J22" s="466">
        <f t="shared" si="1"/>
        <v>1.5069220448513228E-2</v>
      </c>
      <c r="K22" s="466">
        <f t="shared" si="2"/>
        <v>3.2512675192906904E-2</v>
      </c>
      <c r="L22" s="466">
        <f t="shared" si="3"/>
        <v>2.1257013055290853E-2</v>
      </c>
      <c r="M22" s="466">
        <f t="shared" si="4"/>
        <v>5.6846778472808314E-2</v>
      </c>
      <c r="O22" s="308"/>
      <c r="P22" s="316"/>
      <c r="Q22" s="680" t="s">
        <v>765</v>
      </c>
      <c r="R22" s="681">
        <f>V5</f>
        <v>25.001711484158005</v>
      </c>
      <c r="S22" s="682">
        <f>V18</f>
        <v>0.36930149902744464</v>
      </c>
      <c r="T22" s="683">
        <f>U30</f>
        <v>8.5625021445346963E-2</v>
      </c>
      <c r="U22" s="684">
        <f>S22*T22</f>
        <v>3.162144877402373E-2</v>
      </c>
      <c r="V22" s="347"/>
      <c r="W22" s="308"/>
      <c r="X22" s="308"/>
      <c r="AG22" s="453"/>
      <c r="AH22" s="454"/>
    </row>
    <row r="23" spans="1:39" ht="17" thickBot="1">
      <c r="A23" s="463" t="s">
        <v>1135</v>
      </c>
      <c r="B23" s="460">
        <v>11070.3565194804</v>
      </c>
      <c r="C23" s="444">
        <v>5.4199999999999998E-2</v>
      </c>
      <c r="D23" s="443">
        <v>6.7301834862385335E-2</v>
      </c>
      <c r="E23" s="464">
        <v>0.15433762382750893</v>
      </c>
      <c r="F23" s="445">
        <v>9.4937623827508935E-2</v>
      </c>
      <c r="G23" s="445">
        <v>0.3</v>
      </c>
      <c r="H23" s="465" t="s">
        <v>752</v>
      </c>
      <c r="I23" s="466">
        <f t="shared" si="0"/>
        <v>4.7591272178980097E-3</v>
      </c>
      <c r="J23" s="466">
        <f t="shared" si="1"/>
        <v>3.2029799410805519E-4</v>
      </c>
      <c r="K23" s="466">
        <f t="shared" si="2"/>
        <v>7.3451238630320209E-4</v>
      </c>
      <c r="L23" s="466">
        <f t="shared" si="3"/>
        <v>4.5182022956006038E-4</v>
      </c>
      <c r="M23" s="466">
        <f t="shared" si="4"/>
        <v>1.4277381653694029E-3</v>
      </c>
      <c r="O23" s="308"/>
      <c r="P23" s="316"/>
      <c r="Q23" s="680" t="s">
        <v>764</v>
      </c>
      <c r="R23" s="681">
        <f>V6</f>
        <v>42.678490903389651</v>
      </c>
      <c r="S23" s="682">
        <f>V19</f>
        <v>0.6304060694739978</v>
      </c>
      <c r="T23" s="682">
        <f>U36</f>
        <v>6.4037867679291038E-2</v>
      </c>
      <c r="U23" s="684">
        <f>S23*T23</f>
        <v>4.0369860461197823E-2</v>
      </c>
      <c r="V23" s="347"/>
      <c r="W23" s="308"/>
      <c r="X23" s="308"/>
    </row>
    <row r="24" spans="1:39" ht="17" thickBot="1">
      <c r="A24" s="463" t="s">
        <v>1136</v>
      </c>
      <c r="B24" s="460">
        <v>27625.3883521688</v>
      </c>
      <c r="C24" s="444">
        <v>5.3900000000000003E-2</v>
      </c>
      <c r="D24" s="443">
        <v>4.4005045871559637E-2</v>
      </c>
      <c r="E24" s="464">
        <v>0.12147460019490969</v>
      </c>
      <c r="F24" s="445">
        <v>6.2074600194909679E-2</v>
      </c>
      <c r="G24" s="445">
        <v>0.3</v>
      </c>
      <c r="H24" s="465" t="s">
        <v>752</v>
      </c>
      <c r="I24" s="466">
        <f t="shared" si="0"/>
        <v>1.1876106914936107E-2</v>
      </c>
      <c r="J24" s="466">
        <f t="shared" si="1"/>
        <v>5.2260862956730999E-4</v>
      </c>
      <c r="K24" s="466">
        <f t="shared" si="2"/>
        <v>1.442645339363866E-3</v>
      </c>
      <c r="L24" s="466">
        <f t="shared" si="3"/>
        <v>7.3720458861666104E-4</v>
      </c>
      <c r="M24" s="466">
        <f t="shared" si="4"/>
        <v>3.5628320744808318E-3</v>
      </c>
      <c r="N24" s="453"/>
      <c r="O24" s="308"/>
      <c r="P24" s="340"/>
      <c r="Q24" s="671" t="s">
        <v>725</v>
      </c>
      <c r="R24" s="672">
        <f>V7</f>
        <v>67.7</v>
      </c>
      <c r="S24" s="673">
        <f>SUM(S22:S23)</f>
        <v>0.99970756850144249</v>
      </c>
      <c r="T24" s="674"/>
      <c r="U24" s="675">
        <f>SUM(U22:U23)</f>
        <v>7.1991309235221554E-2</v>
      </c>
      <c r="V24" s="355"/>
      <c r="W24" s="308"/>
      <c r="X24" s="308"/>
    </row>
    <row r="25" spans="1:39" ht="16">
      <c r="A25" s="463" t="s">
        <v>1137</v>
      </c>
      <c r="B25" s="460">
        <v>419946.42812600802</v>
      </c>
      <c r="C25" s="444">
        <v>3.5099999999999999E-2</v>
      </c>
      <c r="D25" s="443">
        <v>3.6814678899082569E-2</v>
      </c>
      <c r="E25" s="464">
        <v>0.11133169166632967</v>
      </c>
      <c r="F25" s="445">
        <v>5.193169166632966E-2</v>
      </c>
      <c r="G25" s="445">
        <v>0.27</v>
      </c>
      <c r="H25" s="465" t="s">
        <v>752</v>
      </c>
      <c r="I25" s="466">
        <f t="shared" si="0"/>
        <v>0.18053424680918412</v>
      </c>
      <c r="J25" s="466">
        <f t="shared" si="1"/>
        <v>6.6463103265678352E-3</v>
      </c>
      <c r="K25" s="466">
        <f t="shared" si="2"/>
        <v>2.0099183100973146E-2</v>
      </c>
      <c r="L25" s="466">
        <f t="shared" si="3"/>
        <v>9.3754488405076095E-3</v>
      </c>
      <c r="M25" s="466">
        <f t="shared" si="4"/>
        <v>4.8744246638479719E-2</v>
      </c>
      <c r="N25" s="746"/>
      <c r="O25" s="308"/>
      <c r="P25" s="308"/>
      <c r="Q25" s="308"/>
      <c r="R25" s="308"/>
      <c r="S25" s="308"/>
      <c r="T25" s="308"/>
      <c r="U25" s="308"/>
      <c r="V25" s="308"/>
      <c r="W25" s="308"/>
      <c r="X25" s="308"/>
      <c r="AG25" s="453"/>
      <c r="AH25" s="454"/>
      <c r="AJ25" s="454"/>
      <c r="AL25" s="454"/>
    </row>
    <row r="26" spans="1:39" ht="17" thickBot="1">
      <c r="A26" s="463" t="s">
        <v>1138</v>
      </c>
      <c r="B26" s="460">
        <v>4941.3731820826097</v>
      </c>
      <c r="C26" s="444" t="s">
        <v>38</v>
      </c>
      <c r="D26" s="443">
        <v>7.9525458715596339E-2</v>
      </c>
      <c r="E26" s="464">
        <v>0.17158056832609495</v>
      </c>
      <c r="F26" s="445">
        <v>0.11218056832609494</v>
      </c>
      <c r="G26" s="445">
        <v>0.27500000000000002</v>
      </c>
      <c r="H26" s="465" t="s">
        <v>752</v>
      </c>
      <c r="I26" s="466">
        <f>B26/$B$32</f>
        <v>2.1242878278814842E-3</v>
      </c>
      <c r="J26" s="466">
        <f>I26*D26</f>
        <v>1.6893496395623279E-4</v>
      </c>
      <c r="K26" s="466">
        <f>I26*E26</f>
        <v>3.6448651279611082E-4</v>
      </c>
      <c r="L26" s="466">
        <f>I26*F26</f>
        <v>2.3830381581995064E-4</v>
      </c>
      <c r="M26" s="466">
        <f>I26*G26</f>
        <v>5.8417915266740822E-4</v>
      </c>
      <c r="N26" s="746"/>
      <c r="O26" s="454"/>
      <c r="P26" s="454"/>
      <c r="Q26" s="454"/>
      <c r="R26" s="454"/>
      <c r="S26" s="454"/>
      <c r="T26" s="454"/>
      <c r="U26" s="454"/>
      <c r="V26" s="454"/>
      <c r="W26" s="454"/>
      <c r="AG26" s="746"/>
    </row>
    <row r="27" spans="1:39" ht="17" thickBot="1">
      <c r="A27" s="463" t="s">
        <v>1139</v>
      </c>
      <c r="B27" s="460">
        <v>67775.101794347807</v>
      </c>
      <c r="C27" s="444" t="s">
        <v>38</v>
      </c>
      <c r="D27" s="443">
        <v>6.7301834862385335E-2</v>
      </c>
      <c r="E27" s="464">
        <v>0.15433762382750893</v>
      </c>
      <c r="F27" s="445">
        <v>9.4937623827508935E-2</v>
      </c>
      <c r="G27" s="445">
        <v>0.3</v>
      </c>
      <c r="H27" s="465" t="s">
        <v>752</v>
      </c>
      <c r="I27" s="466">
        <f t="shared" si="0"/>
        <v>2.9136399634257504E-2</v>
      </c>
      <c r="J27" s="466">
        <f t="shared" si="1"/>
        <v>1.9609331566692628E-3</v>
      </c>
      <c r="K27" s="466">
        <f t="shared" si="2"/>
        <v>4.4968426864400038E-3</v>
      </c>
      <c r="L27" s="466">
        <f t="shared" si="3"/>
        <v>2.7661405481651078E-3</v>
      </c>
      <c r="M27" s="466">
        <f t="shared" si="4"/>
        <v>8.740919890277251E-3</v>
      </c>
      <c r="O27" s="454"/>
      <c r="P27" s="454"/>
      <c r="Q27" s="597"/>
      <c r="R27" s="623" t="str">
        <f>R39</f>
        <v>GDP (in billions)</v>
      </c>
      <c r="S27" s="625" t="s">
        <v>750</v>
      </c>
      <c r="T27" s="624" t="s">
        <v>1110</v>
      </c>
      <c r="U27" s="642" t="s">
        <v>1111</v>
      </c>
      <c r="V27" s="454"/>
      <c r="W27" s="454"/>
      <c r="AG27" s="746"/>
    </row>
    <row r="28" spans="1:39" ht="16">
      <c r="A28" s="463" t="s">
        <v>1140</v>
      </c>
      <c r="B28" s="460">
        <v>8413.2005676151002</v>
      </c>
      <c r="C28" s="444" t="s">
        <v>38</v>
      </c>
      <c r="D28" s="443">
        <v>7.9525458715596339E-2</v>
      </c>
      <c r="E28" s="464">
        <v>0.17158056832609495</v>
      </c>
      <c r="F28" s="445">
        <v>0.11218056832609494</v>
      </c>
      <c r="G28" s="445">
        <v>0.2281</v>
      </c>
      <c r="H28" s="465" t="s">
        <v>752</v>
      </c>
      <c r="I28" s="466">
        <f>B28/$B$32</f>
        <v>3.6168204466147861E-3</v>
      </c>
      <c r="J28" s="466">
        <f>I28*D28</f>
        <v>2.8762930510898888E-4</v>
      </c>
      <c r="K28" s="466">
        <f>I28*E28</f>
        <v>6.2057610776360551E-4</v>
      </c>
      <c r="L28" s="466">
        <f>I28*F28</f>
        <v>4.057369732346872E-4</v>
      </c>
      <c r="M28" s="466">
        <f>I28*G28</f>
        <v>8.2499674387283273E-4</v>
      </c>
      <c r="N28" s="453"/>
      <c r="O28" s="454"/>
      <c r="P28" s="454"/>
      <c r="Q28" s="597" t="str">
        <f>A176</f>
        <v>Eastern Europe &amp; Russia</v>
      </c>
      <c r="R28" s="625">
        <f>VLOOKUP(Q28,$A$170:$G$180,6,FALSE)</f>
        <v>4433800.5632910877</v>
      </c>
      <c r="S28" s="626">
        <f>VLOOKUP(Q28,$A$170:$G$180,2,FALSE)</f>
        <v>0.13732098212912111</v>
      </c>
      <c r="T28" s="626">
        <f>R28/$R$30</f>
        <v>0.17749949490558353</v>
      </c>
      <c r="U28" s="627">
        <f>T28*S28</f>
        <v>2.4374404967857661E-2</v>
      </c>
      <c r="V28" s="454"/>
      <c r="W28" s="454"/>
    </row>
    <row r="29" spans="1:39" ht="17" thickBot="1">
      <c r="A29" s="463" t="s">
        <v>1141</v>
      </c>
      <c r="B29" s="460">
        <v>46840.042941492204</v>
      </c>
      <c r="C29" s="444">
        <v>8.6900000000000005E-2</v>
      </c>
      <c r="D29" s="443">
        <v>9.1749082568807344E-2</v>
      </c>
      <c r="E29" s="464">
        <v>0.18882351282468096</v>
      </c>
      <c r="F29" s="445">
        <v>0.12942351282468095</v>
      </c>
      <c r="G29" s="445">
        <v>0.15</v>
      </c>
      <c r="H29" s="465" t="s">
        <v>752</v>
      </c>
      <c r="I29" s="466">
        <f t="shared" si="0"/>
        <v>2.0136453858383054E-2</v>
      </c>
      <c r="J29" s="466">
        <f t="shared" si="1"/>
        <v>1.847501167695766E-3</v>
      </c>
      <c r="K29" s="466">
        <f t="shared" si="2"/>
        <v>3.8022359533719892E-3</v>
      </c>
      <c r="L29" s="466">
        <f t="shared" si="3"/>
        <v>2.6061305941840356E-3</v>
      </c>
      <c r="M29" s="466">
        <f t="shared" si="4"/>
        <v>3.0204680787574581E-3</v>
      </c>
      <c r="N29" s="453"/>
      <c r="O29" s="454"/>
      <c r="P29" s="454"/>
      <c r="Q29" s="598" t="str">
        <f>A179</f>
        <v>Western Europe</v>
      </c>
      <c r="R29" s="628">
        <f>VLOOKUP(Q29,$A$170:$G$180,6,FALSE)</f>
        <v>20545428.62071047</v>
      </c>
      <c r="S29" s="629">
        <f>VLOOKUP(Q29,$A$170:$G$180,2,FALSE)</f>
        <v>7.4468788892060586E-2</v>
      </c>
      <c r="T29" s="629">
        <f>R29/$R$30</f>
        <v>0.82250050509441652</v>
      </c>
      <c r="U29" s="630">
        <f>T29*S29</f>
        <v>6.1250616477489306E-2</v>
      </c>
      <c r="V29" s="454"/>
      <c r="W29" s="454"/>
      <c r="AG29" s="453"/>
      <c r="AH29" s="456"/>
      <c r="AI29" s="456"/>
      <c r="AJ29" s="456"/>
      <c r="AK29" s="456"/>
      <c r="AL29" s="456"/>
      <c r="AM29" s="456"/>
    </row>
    <row r="30" spans="1:39" ht="17" thickBot="1">
      <c r="A30" s="463" t="s">
        <v>1142</v>
      </c>
      <c r="B30" s="460">
        <v>40434.701516952795</v>
      </c>
      <c r="C30" s="444" t="s">
        <v>38</v>
      </c>
      <c r="D30" s="443">
        <v>6.7301834862385335E-2</v>
      </c>
      <c r="E30" s="464">
        <v>0.15433762382750893</v>
      </c>
      <c r="F30" s="445">
        <v>9.4937623827508935E-2</v>
      </c>
      <c r="G30" s="445">
        <v>0.3</v>
      </c>
      <c r="H30" s="465" t="s">
        <v>752</v>
      </c>
      <c r="I30" s="466">
        <f>B30/$B$32</f>
        <v>1.7382808602260272E-2</v>
      </c>
      <c r="J30" s="466">
        <f>I30*D30</f>
        <v>1.169894913993772E-3</v>
      </c>
      <c r="K30" s="466">
        <f>I30*E30</f>
        <v>2.6828213751212324E-3</v>
      </c>
      <c r="L30" s="466">
        <f>I30*F30</f>
        <v>1.6502825441469722E-3</v>
      </c>
      <c r="M30" s="466">
        <f>I30*G30</f>
        <v>5.2148425806780819E-3</v>
      </c>
      <c r="O30" s="454"/>
      <c r="P30" s="454"/>
      <c r="Q30" s="631" t="s">
        <v>661</v>
      </c>
      <c r="R30" s="628">
        <f>SUM(R28:R29)</f>
        <v>24979229.184001558</v>
      </c>
      <c r="S30" s="632">
        <f>SUM(U28:U29)</f>
        <v>8.5625021445346963E-2</v>
      </c>
      <c r="T30" s="628">
        <f>SUM(T28:T29)</f>
        <v>1</v>
      </c>
      <c r="U30" s="630">
        <f>T30*S30</f>
        <v>8.5625021445346963E-2</v>
      </c>
      <c r="V30" s="454"/>
      <c r="W30" s="454"/>
      <c r="AG30" s="453"/>
      <c r="AH30" s="456"/>
      <c r="AI30" s="456"/>
      <c r="AJ30" s="456"/>
      <c r="AK30" s="456"/>
      <c r="AL30" s="456"/>
      <c r="AM30" s="604"/>
    </row>
    <row r="31" spans="1:39" ht="17" thickBot="1">
      <c r="A31" s="463" t="s">
        <v>1143</v>
      </c>
      <c r="B31" s="460">
        <v>21203.0590803507</v>
      </c>
      <c r="C31" s="444" t="s">
        <v>38</v>
      </c>
      <c r="D31" s="443">
        <v>0.14682729357798166</v>
      </c>
      <c r="E31" s="464">
        <v>0.26651819215360384</v>
      </c>
      <c r="F31" s="445">
        <v>0.20711819215360386</v>
      </c>
      <c r="G31" s="445">
        <v>0.35</v>
      </c>
      <c r="H31" s="465" t="s">
        <v>752</v>
      </c>
      <c r="I31" s="466">
        <f>B31/$B$32</f>
        <v>9.1151586125008382E-3</v>
      </c>
      <c r="J31" s="466">
        <f>I31*D31</f>
        <v>1.3383540696075284E-3</v>
      </c>
      <c r="K31" s="466">
        <f>I31*E31</f>
        <v>2.4293555945970754E-3</v>
      </c>
      <c r="L31" s="466">
        <f>I31*F31</f>
        <v>1.8879151730145257E-3</v>
      </c>
      <c r="M31" s="466">
        <f>I31*G31</f>
        <v>3.1903055143752933E-3</v>
      </c>
      <c r="O31" s="454"/>
      <c r="P31" s="454"/>
      <c r="Q31" s="638"/>
      <c r="R31" s="634" t="str">
        <f>R27</f>
        <v>GDP (in billions)</v>
      </c>
      <c r="S31" s="634" t="str">
        <f t="shared" ref="S31:U31" si="5">S27</f>
        <v>ERP</v>
      </c>
      <c r="T31" s="634" t="str">
        <f t="shared" si="5"/>
        <v>weight</v>
      </c>
      <c r="U31" s="643" t="str">
        <f t="shared" si="5"/>
        <v>ERP*weight</v>
      </c>
      <c r="V31" s="454"/>
      <c r="W31" s="454"/>
    </row>
    <row r="32" spans="1:39" ht="16">
      <c r="A32" s="467" t="s">
        <v>752</v>
      </c>
      <c r="B32" s="468">
        <f>SUM(B2:B31)</f>
        <v>2326131.6650345619</v>
      </c>
      <c r="C32" s="469"/>
      <c r="D32" s="470">
        <f>SUM(J2:J31)</f>
        <v>6.830904895845899E-2</v>
      </c>
      <c r="E32" s="470">
        <f>SUM(K2:K31)</f>
        <v>0.15575842480808147</v>
      </c>
      <c r="F32" s="470">
        <f>SUM(L2:L31)</f>
        <v>9.6358424808081405E-2</v>
      </c>
      <c r="G32" s="470">
        <f>SUM(M2:M31)</f>
        <v>0.27268967770769714</v>
      </c>
      <c r="H32" s="467"/>
      <c r="I32" s="471">
        <f>SUM(I2:I31)</f>
        <v>0.99999999999999989</v>
      </c>
      <c r="J32" s="472"/>
      <c r="K32" s="472"/>
      <c r="L32" s="472"/>
      <c r="M32" s="472"/>
      <c r="O32" s="454"/>
      <c r="P32" s="454"/>
      <c r="Q32" s="597" t="s">
        <v>881</v>
      </c>
      <c r="R32" s="623">
        <f>B138</f>
        <v>1990761.6096652299</v>
      </c>
      <c r="S32" s="633">
        <f>E138</f>
        <v>5.9400000000000001E-2</v>
      </c>
      <c r="T32" s="626">
        <f>R32/$R$36</f>
        <v>5.5810774898684343E-2</v>
      </c>
      <c r="U32" s="627">
        <f>S32*T32</f>
        <v>3.3151600289818501E-3</v>
      </c>
      <c r="V32" s="454"/>
      <c r="W32" s="454"/>
    </row>
    <row r="33" spans="1:36" ht="16">
      <c r="A33" s="463" t="s">
        <v>777</v>
      </c>
      <c r="B33" s="460">
        <v>416264.94289332599</v>
      </c>
      <c r="C33" s="444" t="s">
        <v>38</v>
      </c>
      <c r="D33" s="443">
        <v>4.4005045871559637E-2</v>
      </c>
      <c r="E33" s="464">
        <v>0.12147460019490969</v>
      </c>
      <c r="F33" s="445">
        <v>6.2074600194909679E-2</v>
      </c>
      <c r="G33" s="445">
        <v>0.32500000000000001</v>
      </c>
      <c r="H33" s="465" t="s">
        <v>778</v>
      </c>
      <c r="I33" s="466">
        <f t="shared" ref="I33:I50" si="6">B33/$B$56</f>
        <v>1.3394958798989704E-2</v>
      </c>
      <c r="J33" s="466">
        <f t="shared" ref="J33:J55" si="7">I33*D33</f>
        <v>5.8944577639719335E-4</v>
      </c>
      <c r="K33" s="466">
        <f t="shared" ref="K33:K55" si="8">I33*E33</f>
        <v>1.627147264734562E-3</v>
      </c>
      <c r="L33" s="466">
        <f t="shared" ref="L33:L55" si="9">I33*F33</f>
        <v>8.3148671207457345E-4</v>
      </c>
      <c r="M33" s="466">
        <f t="shared" si="4"/>
        <v>4.3533616096716543E-3</v>
      </c>
      <c r="N33" s="457"/>
      <c r="O33" s="454"/>
      <c r="P33" s="454"/>
      <c r="Q33" s="452" t="s">
        <v>926</v>
      </c>
      <c r="R33" s="634">
        <f>B139</f>
        <v>22996100</v>
      </c>
      <c r="S33" s="635">
        <f>E139</f>
        <v>5.9400000000000001E-2</v>
      </c>
      <c r="T33" s="636">
        <f>R33/$R$36</f>
        <v>0.64469304331394006</v>
      </c>
      <c r="U33" s="637">
        <f>S33*T33</f>
        <v>3.8294766772848043E-2</v>
      </c>
      <c r="V33" s="454"/>
      <c r="W33" s="454"/>
      <c r="AH33" s="457"/>
      <c r="AI33" s="457"/>
      <c r="AJ33" s="457"/>
    </row>
    <row r="34" spans="1:36" ht="16">
      <c r="A34" s="463" t="s">
        <v>779</v>
      </c>
      <c r="B34" s="460">
        <v>26961.061119795701</v>
      </c>
      <c r="C34" s="444" t="s">
        <v>38</v>
      </c>
      <c r="D34" s="443">
        <v>6.7301834862385335E-2</v>
      </c>
      <c r="E34" s="464">
        <v>0.15433762382750893</v>
      </c>
      <c r="F34" s="445">
        <v>9.4937623827508935E-2</v>
      </c>
      <c r="G34" s="445">
        <v>0.2</v>
      </c>
      <c r="H34" s="465" t="s">
        <v>778</v>
      </c>
      <c r="I34" s="466">
        <f t="shared" si="6"/>
        <v>8.6757799099419872E-4</v>
      </c>
      <c r="J34" s="466">
        <f t="shared" si="7"/>
        <v>5.838959068013159E-5</v>
      </c>
      <c r="K34" s="466">
        <f t="shared" si="8"/>
        <v>1.3389992561508858E-4</v>
      </c>
      <c r="L34" s="466">
        <f t="shared" si="9"/>
        <v>8.2365792950033178E-5</v>
      </c>
      <c r="M34" s="466">
        <f t="shared" si="4"/>
        <v>1.7351559819883976E-4</v>
      </c>
      <c r="N34" s="457"/>
      <c r="O34" s="454"/>
      <c r="P34" s="454"/>
      <c r="Q34" s="638" t="str">
        <f>A173</f>
        <v>Australia &amp; New Zealand</v>
      </c>
      <c r="R34" s="454">
        <f>VLOOKUP(Q34,$A$170:$G$180,6,FALSE)</f>
        <v>1792651.7962290661</v>
      </c>
      <c r="S34" s="635">
        <f>VLOOKUP(Q34,$A$170:$G$180,2,FALSE)</f>
        <v>5.940001664280644E-2</v>
      </c>
      <c r="T34" s="636">
        <f>R34/$R$36</f>
        <v>5.0256788851723452E-2</v>
      </c>
      <c r="U34" s="637">
        <f>S34*T34</f>
        <v>2.9852540942063824E-3</v>
      </c>
      <c r="V34" s="454"/>
      <c r="W34" s="454"/>
      <c r="AG34" s="457"/>
      <c r="AH34" s="605"/>
      <c r="AI34" s="604"/>
    </row>
    <row r="35" spans="1:36" ht="17" thickBot="1">
      <c r="A35" s="463" t="s">
        <v>780</v>
      </c>
      <c r="B35" s="460">
        <v>17734062.6453714</v>
      </c>
      <c r="C35" s="444">
        <v>1.11E-2</v>
      </c>
      <c r="D35" s="443">
        <v>8.6284403669724778E-3</v>
      </c>
      <c r="E35" s="464">
        <v>7.1571490234296015E-2</v>
      </c>
      <c r="F35" s="445">
        <v>1.2171490234296015E-2</v>
      </c>
      <c r="G35" s="445">
        <v>0.25</v>
      </c>
      <c r="H35" s="465" t="s">
        <v>778</v>
      </c>
      <c r="I35" s="466">
        <f t="shared" si="6"/>
        <v>0.57066308976763191</v>
      </c>
      <c r="J35" s="466">
        <f t="shared" si="7"/>
        <v>4.9239324396922737E-3</v>
      </c>
      <c r="K35" s="466">
        <f t="shared" si="8"/>
        <v>4.0843207756377259E-2</v>
      </c>
      <c r="L35" s="466">
        <f t="shared" si="9"/>
        <v>6.9458202241799221E-3</v>
      </c>
      <c r="M35" s="466">
        <f t="shared" si="4"/>
        <v>0.14266577244190798</v>
      </c>
      <c r="O35" s="454"/>
      <c r="P35" s="454"/>
      <c r="Q35" s="644" t="s">
        <v>925</v>
      </c>
      <c r="R35" s="645">
        <f>SUM(R40:R49)</f>
        <v>8890330.1553023309</v>
      </c>
      <c r="S35" s="632">
        <f>U50</f>
        <v>7.8008081123333545E-2</v>
      </c>
      <c r="T35" s="629">
        <f>R35/$R$36</f>
        <v>0.24923939293565225</v>
      </c>
      <c r="U35" s="630">
        <f>S35*T35</f>
        <v>1.9442686783254767E-2</v>
      </c>
      <c r="V35" s="454"/>
      <c r="W35" s="454"/>
      <c r="AG35" s="457"/>
      <c r="AH35" s="605"/>
      <c r="AI35" s="604"/>
    </row>
    <row r="36" spans="1:36" ht="17" thickBot="1">
      <c r="A36" s="463" t="s">
        <v>781</v>
      </c>
      <c r="B36" s="460">
        <v>4592.1187095527894</v>
      </c>
      <c r="C36" s="444" t="s">
        <v>38</v>
      </c>
      <c r="D36" s="443">
        <v>5.5078211009174309E-2</v>
      </c>
      <c r="E36" s="464">
        <v>0.13709467932892289</v>
      </c>
      <c r="F36" s="445">
        <v>7.7694679328922892E-2</v>
      </c>
      <c r="G36" s="445">
        <v>0.2</v>
      </c>
      <c r="H36" s="465" t="s">
        <v>778</v>
      </c>
      <c r="I36" s="466">
        <f t="shared" si="6"/>
        <v>1.4776944819562321E-4</v>
      </c>
      <c r="J36" s="466">
        <f t="shared" si="7"/>
        <v>8.1388768484277872E-6</v>
      </c>
      <c r="K36" s="466">
        <f t="shared" si="8"/>
        <v>2.0258405114990848E-5</v>
      </c>
      <c r="L36" s="466">
        <f t="shared" si="9"/>
        <v>1.1480899892170829E-5</v>
      </c>
      <c r="M36" s="466">
        <f t="shared" si="4"/>
        <v>2.9553889639124643E-5</v>
      </c>
      <c r="O36" s="454"/>
      <c r="P36" s="454"/>
      <c r="Q36" s="598" t="str">
        <f>Q23</f>
        <v>hors europe</v>
      </c>
      <c r="R36" s="645">
        <f>SUM(R32:R35)</f>
        <v>35669843.561196625</v>
      </c>
      <c r="S36" s="645"/>
      <c r="T36" s="645">
        <f>SUM(T32:T35)</f>
        <v>1.0000000000000002</v>
      </c>
      <c r="U36" s="646">
        <f>SUM(U32:U35)</f>
        <v>6.4037867679291038E-2</v>
      </c>
      <c r="V36" s="454"/>
      <c r="W36" s="454"/>
      <c r="AH36" s="605"/>
      <c r="AI36" s="604"/>
    </row>
    <row r="37" spans="1:36" ht="16">
      <c r="A37" s="463" t="s">
        <v>782</v>
      </c>
      <c r="B37" s="460">
        <v>346600</v>
      </c>
      <c r="C37" s="444">
        <v>7.1000000000000004E-3</v>
      </c>
      <c r="D37" s="443">
        <v>7.3341743119266058E-3</v>
      </c>
      <c r="E37" s="464">
        <v>6.9745766699151612E-2</v>
      </c>
      <c r="F37" s="445">
        <v>1.0345766699151613E-2</v>
      </c>
      <c r="G37" s="445">
        <v>0.16500000000000001</v>
      </c>
      <c r="H37" s="465" t="s">
        <v>778</v>
      </c>
      <c r="I37" s="466">
        <f t="shared" si="6"/>
        <v>1.1153215755955672E-2</v>
      </c>
      <c r="J37" s="466">
        <f t="shared" si="7"/>
        <v>8.1799628492705166E-5</v>
      </c>
      <c r="K37" s="466">
        <f t="shared" si="8"/>
        <v>7.7788958406018621E-4</v>
      </c>
      <c r="L37" s="466">
        <f t="shared" si="9"/>
        <v>1.1538856815641928E-4</v>
      </c>
      <c r="M37" s="466">
        <f t="shared" si="4"/>
        <v>1.8402805997326859E-3</v>
      </c>
      <c r="O37" s="454"/>
      <c r="P37" s="454"/>
      <c r="Q37" s="454"/>
      <c r="R37" s="454"/>
      <c r="S37" s="454"/>
      <c r="T37" s="454"/>
      <c r="U37" s="454"/>
      <c r="V37" s="454"/>
      <c r="W37" s="454"/>
    </row>
    <row r="38" spans="1:36" ht="17" thickBot="1">
      <c r="A38" s="463" t="s">
        <v>783</v>
      </c>
      <c r="B38" s="460">
        <v>3173397.5908169104</v>
      </c>
      <c r="C38" s="444">
        <v>1.67E-2</v>
      </c>
      <c r="D38" s="443">
        <v>2.6891972477064225E-2</v>
      </c>
      <c r="E38" s="464">
        <v>9.733447789688926E-2</v>
      </c>
      <c r="F38" s="445">
        <v>3.7934477896889252E-2</v>
      </c>
      <c r="G38" s="445">
        <v>0.3</v>
      </c>
      <c r="H38" s="465" t="s">
        <v>778</v>
      </c>
      <c r="I38" s="466">
        <f t="shared" si="6"/>
        <v>0.10211652628335527</v>
      </c>
      <c r="J38" s="466">
        <f t="shared" si="7"/>
        <v>2.7461148142653956E-3</v>
      </c>
      <c r="K38" s="466">
        <f t="shared" si="8"/>
        <v>9.9394587704343552E-3</v>
      </c>
      <c r="L38" s="466">
        <f t="shared" si="9"/>
        <v>3.8737371092030506E-3</v>
      </c>
      <c r="M38" s="466">
        <f t="shared" si="4"/>
        <v>3.0634957885006579E-2</v>
      </c>
      <c r="O38" s="454"/>
      <c r="P38" s="454"/>
      <c r="Q38" s="454"/>
      <c r="R38" s="454"/>
      <c r="S38" s="454"/>
      <c r="T38" s="454"/>
      <c r="U38" s="454"/>
      <c r="V38" s="454"/>
      <c r="W38" s="454"/>
    </row>
    <row r="39" spans="1:36" ht="16">
      <c r="A39" s="484" t="s">
        <v>784</v>
      </c>
      <c r="B39" s="460">
        <v>1186092.9913200401</v>
      </c>
      <c r="C39" s="444">
        <v>1.7500000000000002E-2</v>
      </c>
      <c r="D39" s="443">
        <v>2.3296788990825688E-2</v>
      </c>
      <c r="E39" s="464">
        <v>9.2263023632599236E-2</v>
      </c>
      <c r="F39" s="445">
        <v>3.2863023632599235E-2</v>
      </c>
      <c r="G39" s="445">
        <v>0.15</v>
      </c>
      <c r="H39" s="465" t="s">
        <v>778</v>
      </c>
      <c r="I39" s="466">
        <f t="shared" si="6"/>
        <v>3.8167198611711674E-2</v>
      </c>
      <c r="J39" s="466">
        <f t="shared" si="7"/>
        <v>8.8917317242798199E-4</v>
      </c>
      <c r="K39" s="466">
        <f t="shared" si="8"/>
        <v>3.5214211475024628E-3</v>
      </c>
      <c r="L39" s="466">
        <f t="shared" si="9"/>
        <v>1.2542895499667894E-3</v>
      </c>
      <c r="M39" s="466">
        <f t="shared" si="4"/>
        <v>5.7250797917567505E-3</v>
      </c>
      <c r="O39" s="454"/>
      <c r="P39" s="454"/>
      <c r="Q39" s="647" t="s">
        <v>751</v>
      </c>
      <c r="R39" s="639" t="s">
        <v>767</v>
      </c>
      <c r="S39" s="648" t="s">
        <v>769</v>
      </c>
      <c r="T39" s="649"/>
      <c r="U39" s="650"/>
      <c r="V39" s="454"/>
      <c r="W39" s="454"/>
    </row>
    <row r="40" spans="1:36" ht="16">
      <c r="A40" s="484" t="s">
        <v>785</v>
      </c>
      <c r="B40" s="460">
        <v>4937421.8804615494</v>
      </c>
      <c r="C40" s="444">
        <v>3.0999999999999999E-3</v>
      </c>
      <c r="D40" s="443">
        <v>8.6284403669724778E-3</v>
      </c>
      <c r="E40" s="464">
        <v>7.1571490234296015E-2</v>
      </c>
      <c r="F40" s="445">
        <v>1.2171490234296015E-2</v>
      </c>
      <c r="G40" s="445">
        <v>0.23200000000000001</v>
      </c>
      <c r="H40" s="465" t="s">
        <v>778</v>
      </c>
      <c r="I40" s="466">
        <f t="shared" si="6"/>
        <v>0.15888093338420092</v>
      </c>
      <c r="J40" s="466">
        <f t="shared" si="7"/>
        <v>1.3708946591545045E-3</v>
      </c>
      <c r="K40" s="466">
        <f t="shared" si="8"/>
        <v>1.1371345172123171E-2</v>
      </c>
      <c r="L40" s="466">
        <f t="shared" si="9"/>
        <v>1.9338177291016371E-3</v>
      </c>
      <c r="M40" s="466">
        <f t="shared" si="4"/>
        <v>3.6860376545134618E-2</v>
      </c>
      <c r="O40" s="454"/>
      <c r="P40" s="454"/>
      <c r="Q40" s="651" t="s">
        <v>784</v>
      </c>
      <c r="R40" s="640">
        <v>1186092.9913200401</v>
      </c>
      <c r="S40" s="652">
        <v>9.2263023632599236E-2</v>
      </c>
      <c r="T40" s="641">
        <f t="shared" ref="T40:T49" si="10">R40/$R$35</f>
        <v>0.13341382947545946</v>
      </c>
      <c r="U40" s="637">
        <f>S40*T40</f>
        <v>1.2309163301809881E-2</v>
      </c>
      <c r="V40" s="454"/>
      <c r="W40" s="454"/>
    </row>
    <row r="41" spans="1:36" ht="16">
      <c r="A41" s="463" t="s">
        <v>786</v>
      </c>
      <c r="B41" s="460">
        <v>1630.53</v>
      </c>
      <c r="C41" s="444">
        <v>6.7999999999999996E-3</v>
      </c>
      <c r="D41" s="443">
        <v>6.0399082568807346E-3</v>
      </c>
      <c r="E41" s="464">
        <v>6.792004316400721E-2</v>
      </c>
      <c r="F41" s="445">
        <v>8.5200431640072103E-3</v>
      </c>
      <c r="G41" s="445">
        <v>0.25</v>
      </c>
      <c r="H41" s="465" t="s">
        <v>778</v>
      </c>
      <c r="I41" s="466">
        <f t="shared" si="6"/>
        <v>5.2468704231270636E-5</v>
      </c>
      <c r="J41" s="466">
        <f t="shared" si="7"/>
        <v>3.1690615991428465E-7</v>
      </c>
      <c r="K41" s="466">
        <f t="shared" si="8"/>
        <v>3.5636766561474294E-6</v>
      </c>
      <c r="L41" s="466">
        <f t="shared" si="9"/>
        <v>4.4703562480995357E-7</v>
      </c>
      <c r="M41" s="466">
        <f t="shared" si="4"/>
        <v>1.3117176057817659E-5</v>
      </c>
      <c r="O41" s="454"/>
      <c r="P41" s="454"/>
      <c r="Q41" s="651" t="s">
        <v>785</v>
      </c>
      <c r="R41" s="640">
        <v>4937421.8804615494</v>
      </c>
      <c r="S41" s="652">
        <v>7.1571490234296015E-2</v>
      </c>
      <c r="T41" s="641">
        <f t="shared" si="10"/>
        <v>0.55536991250170775</v>
      </c>
      <c r="U41" s="637">
        <f t="shared" ref="U41:U48" si="11">S41*T41</f>
        <v>3.9748652269037808E-2</v>
      </c>
      <c r="V41" s="454"/>
      <c r="W41" s="454"/>
    </row>
    <row r="42" spans="1:36" ht="16">
      <c r="A42" s="484" t="s">
        <v>787</v>
      </c>
      <c r="B42" s="460">
        <v>18827.1485300151</v>
      </c>
      <c r="C42" s="444" t="s">
        <v>38</v>
      </c>
      <c r="D42" s="443">
        <v>0.12238004587155965</v>
      </c>
      <c r="E42" s="464">
        <v>0.23203230315643184</v>
      </c>
      <c r="F42" s="445">
        <v>0.17263230315643183</v>
      </c>
      <c r="G42" s="445">
        <v>0.2281</v>
      </c>
      <c r="H42" s="465" t="s">
        <v>778</v>
      </c>
      <c r="I42" s="466">
        <f t="shared" si="6"/>
        <v>6.0583741957496279E-4</v>
      </c>
      <c r="J42" s="466">
        <f>I42*D42</f>
        <v>7.4142411198291274E-5</v>
      </c>
      <c r="K42" s="466">
        <f>I42*E42</f>
        <v>1.4057385180232815E-4</v>
      </c>
      <c r="L42" s="466">
        <f>I42*F42</f>
        <v>1.0458710907957536E-4</v>
      </c>
      <c r="M42" s="466">
        <f>I42*G42</f>
        <v>1.3819151540504901E-4</v>
      </c>
      <c r="O42" s="454"/>
      <c r="P42" s="454"/>
      <c r="Q42" s="651" t="s">
        <v>787</v>
      </c>
      <c r="R42" s="640">
        <v>18827.1485300151</v>
      </c>
      <c r="S42" s="652">
        <v>0.23203230315643184</v>
      </c>
      <c r="T42" s="641">
        <f t="shared" si="10"/>
        <v>2.1177108387573544E-3</v>
      </c>
      <c r="U42" s="637">
        <f t="shared" si="11"/>
        <v>4.9137732333620805E-4</v>
      </c>
      <c r="V42" s="454"/>
      <c r="W42" s="454"/>
    </row>
    <row r="43" spans="1:36" ht="16">
      <c r="A43" s="463" t="s">
        <v>788</v>
      </c>
      <c r="B43" s="460">
        <v>29905.190181750098</v>
      </c>
      <c r="C43" s="444" t="s">
        <v>38</v>
      </c>
      <c r="D43" s="443">
        <v>7.3341743119266058E-3</v>
      </c>
      <c r="E43" s="464">
        <v>6.9745766699151612E-2</v>
      </c>
      <c r="F43" s="445">
        <v>1.0345766699151613E-2</v>
      </c>
      <c r="G43" s="445">
        <v>0.2281</v>
      </c>
      <c r="H43" s="465" t="s">
        <v>778</v>
      </c>
      <c r="I43" s="466">
        <f t="shared" si="6"/>
        <v>9.6231690225027716E-4</v>
      </c>
      <c r="J43" s="466">
        <f t="shared" si="7"/>
        <v>7.0577999044167691E-6</v>
      </c>
      <c r="K43" s="466">
        <f t="shared" si="8"/>
        <v>6.7117530154998123E-5</v>
      </c>
      <c r="L43" s="466">
        <f t="shared" si="9"/>
        <v>9.9559061613316554E-6</v>
      </c>
      <c r="M43" s="466">
        <f t="shared" si="4"/>
        <v>2.1950448540328821E-4</v>
      </c>
      <c r="O43" s="454"/>
      <c r="P43" s="454"/>
      <c r="Q43" s="651" t="s">
        <v>789</v>
      </c>
      <c r="R43" s="640">
        <v>372701.35882026399</v>
      </c>
      <c r="S43" s="652">
        <v>8.009153339830323E-2</v>
      </c>
      <c r="T43" s="641">
        <f t="shared" si="10"/>
        <v>4.1922105513480745E-2</v>
      </c>
      <c r="U43" s="637">
        <f t="shared" si="11"/>
        <v>3.3576057138601351E-3</v>
      </c>
      <c r="V43" s="454"/>
      <c r="W43" s="454"/>
    </row>
    <row r="44" spans="1:36" ht="16">
      <c r="A44" s="484" t="s">
        <v>789</v>
      </c>
      <c r="B44" s="460">
        <v>372701.35882026399</v>
      </c>
      <c r="C44" s="444">
        <v>1.24E-2</v>
      </c>
      <c r="D44" s="443">
        <v>1.4668348623853212E-2</v>
      </c>
      <c r="E44" s="464">
        <v>8.009153339830323E-2</v>
      </c>
      <c r="F44" s="445">
        <v>2.0691533398303225E-2</v>
      </c>
      <c r="G44" s="445">
        <v>0.24</v>
      </c>
      <c r="H44" s="465" t="s">
        <v>778</v>
      </c>
      <c r="I44" s="466">
        <f t="shared" si="6"/>
        <v>1.1993129450260407E-2</v>
      </c>
      <c r="J44" s="466">
        <f t="shared" si="7"/>
        <v>1.7591940386742067E-4</v>
      </c>
      <c r="K44" s="466">
        <f t="shared" si="8"/>
        <v>9.6054812791570546E-4</v>
      </c>
      <c r="L44" s="466">
        <f t="shared" si="9"/>
        <v>2.4815623857023721E-4</v>
      </c>
      <c r="M44" s="466">
        <f t="shared" si="4"/>
        <v>2.8783510680624974E-3</v>
      </c>
      <c r="O44" s="454"/>
      <c r="P44" s="454"/>
      <c r="Q44" s="651" t="s">
        <v>793</v>
      </c>
      <c r="R44" s="640">
        <v>26594.277245782003</v>
      </c>
      <c r="S44" s="652">
        <v>0.15433762382750893</v>
      </c>
      <c r="T44" s="641">
        <f t="shared" si="10"/>
        <v>2.9913711618370846E-3</v>
      </c>
      <c r="U44" s="637">
        <f t="shared" si="11"/>
        <v>4.6168111710407028E-4</v>
      </c>
      <c r="V44" s="454"/>
      <c r="W44" s="454"/>
    </row>
    <row r="45" spans="1:36" ht="16">
      <c r="A45" s="463" t="s">
        <v>790</v>
      </c>
      <c r="B45" s="460">
        <v>4889.6669316385496</v>
      </c>
      <c r="C45" s="444" t="s">
        <v>38</v>
      </c>
      <c r="D45" s="443">
        <v>9.1749082568807344E-2</v>
      </c>
      <c r="E45" s="464">
        <v>0.18882351282468096</v>
      </c>
      <c r="F45" s="445">
        <v>0.12942351282468095</v>
      </c>
      <c r="G45" s="445">
        <v>0.2281</v>
      </c>
      <c r="H45" s="465" t="s">
        <v>778</v>
      </c>
      <c r="I45" s="466">
        <f t="shared" si="6"/>
        <v>1.5734423041929168E-4</v>
      </c>
      <c r="J45" s="466">
        <f>I45*D45</f>
        <v>1.443618878846504E-5</v>
      </c>
      <c r="K45" s="466">
        <f>I45*E45</f>
        <v>2.9710290310466678E-5</v>
      </c>
      <c r="L45" s="466">
        <f>I45*F45</f>
        <v>2.0364043023560751E-5</v>
      </c>
      <c r="M45" s="466">
        <f>I45*G45</f>
        <v>3.5890218958640434E-5</v>
      </c>
      <c r="O45" s="454"/>
      <c r="P45" s="454"/>
      <c r="Q45" s="651" t="s">
        <v>794</v>
      </c>
      <c r="R45" s="640">
        <v>394086.41934305604</v>
      </c>
      <c r="S45" s="652">
        <v>9.2263023632599236E-2</v>
      </c>
      <c r="T45" s="641">
        <f t="shared" si="10"/>
        <v>4.4327534800045282E-2</v>
      </c>
      <c r="U45" s="637">
        <f t="shared" si="11"/>
        <v>4.0897923908314428E-3</v>
      </c>
      <c r="V45" s="454"/>
      <c r="W45" s="454"/>
    </row>
    <row r="46" spans="1:36" ht="16">
      <c r="A46" s="463" t="s">
        <v>791</v>
      </c>
      <c r="B46" s="460">
        <v>15098.022828610599</v>
      </c>
      <c r="C46" s="444" t="s">
        <v>38</v>
      </c>
      <c r="D46" s="443">
        <v>7.9525458715596339E-2</v>
      </c>
      <c r="E46" s="464">
        <v>0.17158056832609495</v>
      </c>
      <c r="F46" s="445">
        <v>0.11218056832609494</v>
      </c>
      <c r="G46" s="445">
        <v>0.25</v>
      </c>
      <c r="H46" s="465" t="s">
        <v>778</v>
      </c>
      <c r="I46" s="466">
        <f t="shared" si="6"/>
        <v>4.8583815953790583E-4</v>
      </c>
      <c r="J46" s="466">
        <f t="shared" si="7"/>
        <v>3.8636502498793038E-5</v>
      </c>
      <c r="K46" s="466">
        <f t="shared" si="8"/>
        <v>8.3360387528017869E-5</v>
      </c>
      <c r="L46" s="466">
        <f t="shared" si="9"/>
        <v>5.4501600851466257E-5</v>
      </c>
      <c r="M46" s="466">
        <f t="shared" si="4"/>
        <v>1.2145953988447646E-4</v>
      </c>
      <c r="O46" s="454"/>
      <c r="P46" s="454"/>
      <c r="Q46" s="651" t="s">
        <v>795</v>
      </c>
      <c r="R46" s="640">
        <v>396986.89988835104</v>
      </c>
      <c r="S46" s="652">
        <v>5.9400000000000001E-2</v>
      </c>
      <c r="T46" s="641">
        <f t="shared" si="10"/>
        <v>4.46537859622212E-2</v>
      </c>
      <c r="U46" s="637">
        <f t="shared" si="11"/>
        <v>2.6524348861559394E-3</v>
      </c>
      <c r="V46" s="454"/>
      <c r="W46" s="454"/>
    </row>
    <row r="47" spans="1:36" ht="16">
      <c r="A47" s="463" t="s">
        <v>792</v>
      </c>
      <c r="B47" s="460">
        <v>346343.17048607202</v>
      </c>
      <c r="C47" s="444" t="s">
        <v>38</v>
      </c>
      <c r="D47" s="443">
        <v>9.1749082568807344E-2</v>
      </c>
      <c r="E47" s="464">
        <v>0.18882351282468096</v>
      </c>
      <c r="F47" s="445">
        <v>0.12942351282468095</v>
      </c>
      <c r="G47" s="445">
        <v>0.28999999999999998</v>
      </c>
      <c r="H47" s="465" t="s">
        <v>778</v>
      </c>
      <c r="I47" s="466">
        <f t="shared" si="6"/>
        <v>1.114495125802914E-2</v>
      </c>
      <c r="J47" s="466">
        <f t="shared" si="7"/>
        <v>1.0225390531982488E-3</v>
      </c>
      <c r="K47" s="466">
        <f t="shared" si="8"/>
        <v>2.1044288468009095E-3</v>
      </c>
      <c r="L47" s="466">
        <f t="shared" si="9"/>
        <v>1.4424187420739784E-3</v>
      </c>
      <c r="M47" s="466">
        <f t="shared" si="4"/>
        <v>3.2320358648284505E-3</v>
      </c>
      <c r="O47" s="454"/>
      <c r="P47" s="454"/>
      <c r="Q47" s="651" t="s">
        <v>798</v>
      </c>
      <c r="R47" s="640">
        <v>689000</v>
      </c>
      <c r="S47" s="652">
        <v>6.9745766699151612E-2</v>
      </c>
      <c r="T47" s="641">
        <f t="shared" si="10"/>
        <v>7.74999339691642E-2</v>
      </c>
      <c r="U47" s="637">
        <f t="shared" si="11"/>
        <v>5.4052923138129816E-3</v>
      </c>
      <c r="V47" s="454"/>
      <c r="W47" s="454"/>
    </row>
    <row r="48" spans="1:36" ht="16">
      <c r="A48" s="484" t="s">
        <v>793</v>
      </c>
      <c r="B48" s="460">
        <v>26594.277245782003</v>
      </c>
      <c r="C48" s="444" t="s">
        <v>38</v>
      </c>
      <c r="D48" s="443">
        <v>6.7301834862385335E-2</v>
      </c>
      <c r="E48" s="464">
        <v>0.15433762382750893</v>
      </c>
      <c r="F48" s="445">
        <v>9.4937623827508935E-2</v>
      </c>
      <c r="G48" s="445">
        <v>0.3</v>
      </c>
      <c r="H48" s="465" t="s">
        <v>778</v>
      </c>
      <c r="I48" s="466">
        <f t="shared" si="6"/>
        <v>8.557752798497094E-4</v>
      </c>
      <c r="J48" s="466">
        <f t="shared" si="7"/>
        <v>5.7595246563756737E-5</v>
      </c>
      <c r="K48" s="466">
        <f t="shared" si="8"/>
        <v>1.3207832322232563E-4</v>
      </c>
      <c r="L48" s="466">
        <f t="shared" si="9"/>
        <v>8.1245271599252893E-5</v>
      </c>
      <c r="M48" s="466">
        <f t="shared" si="4"/>
        <v>2.5673258395491282E-4</v>
      </c>
      <c r="O48" s="454"/>
      <c r="P48" s="454"/>
      <c r="Q48" s="651" t="s">
        <v>799</v>
      </c>
      <c r="R48" s="640">
        <v>505981.655622305</v>
      </c>
      <c r="S48" s="652">
        <v>8.6988711197737628E-2</v>
      </c>
      <c r="T48" s="641">
        <f t="shared" si="10"/>
        <v>5.6913708128210477E-2</v>
      </c>
      <c r="U48" s="637">
        <f t="shared" si="11"/>
        <v>4.9508501195572336E-3</v>
      </c>
      <c r="V48" s="454"/>
      <c r="W48" s="454"/>
    </row>
    <row r="49" spans="1:23" ht="16">
      <c r="A49" s="484" t="s">
        <v>794</v>
      </c>
      <c r="B49" s="460">
        <v>394086.41934305604</v>
      </c>
      <c r="C49" s="444">
        <v>1.6400000000000001E-2</v>
      </c>
      <c r="D49" s="443">
        <v>2.3296788990825688E-2</v>
      </c>
      <c r="E49" s="464">
        <v>9.2263023632599236E-2</v>
      </c>
      <c r="F49" s="445">
        <v>3.2863023632599235E-2</v>
      </c>
      <c r="G49" s="445">
        <v>0.25</v>
      </c>
      <c r="H49" s="465" t="s">
        <v>778</v>
      </c>
      <c r="I49" s="466">
        <f t="shared" si="6"/>
        <v>1.2681277730597596E-2</v>
      </c>
      <c r="J49" s="466">
        <f t="shared" si="7"/>
        <v>2.9543305142378906E-4</v>
      </c>
      <c r="K49" s="466">
        <f t="shared" si="8"/>
        <v>1.1700130269496805E-3</v>
      </c>
      <c r="L49" s="466">
        <f t="shared" si="9"/>
        <v>4.1674512975218317E-4</v>
      </c>
      <c r="M49" s="466">
        <f t="shared" si="4"/>
        <v>3.1703194326493989E-3</v>
      </c>
      <c r="O49" s="454"/>
      <c r="P49" s="454"/>
      <c r="Q49" s="651" t="s">
        <v>800</v>
      </c>
      <c r="R49" s="640">
        <v>362637.52407096897</v>
      </c>
      <c r="S49" s="652">
        <v>0.11133169166632967</v>
      </c>
      <c r="T49" s="641">
        <f t="shared" si="10"/>
        <v>4.079010764911653E-2</v>
      </c>
      <c r="U49" s="637">
        <f>S49*T49</f>
        <v>4.541231687827837E-3</v>
      </c>
      <c r="V49" s="454"/>
      <c r="W49" s="454"/>
    </row>
    <row r="50" spans="1:23" ht="17" thickBot="1">
      <c r="A50" s="484" t="s">
        <v>795</v>
      </c>
      <c r="B50" s="460">
        <v>396986.89988835104</v>
      </c>
      <c r="C50" s="444" t="s">
        <v>38</v>
      </c>
      <c r="D50" s="443">
        <v>0</v>
      </c>
      <c r="E50" s="464">
        <v>5.9400000000000001E-2</v>
      </c>
      <c r="F50" s="445">
        <v>0</v>
      </c>
      <c r="G50" s="445">
        <v>0.17</v>
      </c>
      <c r="H50" s="465" t="s">
        <v>778</v>
      </c>
      <c r="I50" s="466">
        <f t="shared" si="6"/>
        <v>1.2774612079465534E-2</v>
      </c>
      <c r="J50" s="466">
        <f t="shared" si="7"/>
        <v>0</v>
      </c>
      <c r="K50" s="466">
        <f t="shared" si="8"/>
        <v>7.5881195752025273E-4</v>
      </c>
      <c r="L50" s="466">
        <f t="shared" si="9"/>
        <v>0</v>
      </c>
      <c r="M50" s="466">
        <f t="shared" si="4"/>
        <v>2.1716840535091408E-3</v>
      </c>
      <c r="O50" s="454"/>
      <c r="P50" s="454"/>
      <c r="Q50" s="653"/>
      <c r="R50" s="628"/>
      <c r="S50" s="628"/>
      <c r="T50" s="628"/>
      <c r="U50" s="630">
        <f>SUM(U40:U49)</f>
        <v>7.8008081123333545E-2</v>
      </c>
      <c r="V50" s="454"/>
      <c r="W50" s="454"/>
    </row>
    <row r="51" spans="1:23" ht="16">
      <c r="A51" s="463" t="s">
        <v>796</v>
      </c>
      <c r="B51" s="460">
        <v>1645.21388162016</v>
      </c>
      <c r="C51" s="444" t="s">
        <v>38</v>
      </c>
      <c r="D51" s="443">
        <v>9.1749082568807344E-2</v>
      </c>
      <c r="E51" s="464">
        <v>0.18882351282468096</v>
      </c>
      <c r="F51" s="445">
        <v>0.12942351282468095</v>
      </c>
      <c r="G51" s="445">
        <v>0.3</v>
      </c>
      <c r="H51" s="465" t="s">
        <v>778</v>
      </c>
      <c r="I51" s="466">
        <f>B51/$B$56</f>
        <v>5.2941215771503055E-5</v>
      </c>
      <c r="J51" s="466">
        <f>I51*D51</f>
        <v>4.8573079771126796E-6</v>
      </c>
      <c r="K51" s="466">
        <f>I51*E51</f>
        <v>9.9965463351846091E-6</v>
      </c>
      <c r="L51" s="466">
        <f>I51*F51</f>
        <v>6.8518381183573274E-6</v>
      </c>
      <c r="M51" s="466">
        <f>I51*G51</f>
        <v>1.5882364731450914E-5</v>
      </c>
      <c r="O51" s="454"/>
      <c r="P51" s="454"/>
      <c r="Q51" s="454"/>
      <c r="R51" s="454"/>
      <c r="S51" s="454"/>
      <c r="T51" s="454"/>
      <c r="U51" s="454"/>
      <c r="V51" s="454"/>
      <c r="W51" s="454"/>
    </row>
    <row r="52" spans="1:23" ht="16">
      <c r="A52" s="463" t="s">
        <v>797</v>
      </c>
      <c r="B52" s="460">
        <v>84518.83039261571</v>
      </c>
      <c r="C52" s="444" t="s">
        <v>38</v>
      </c>
      <c r="D52" s="443">
        <v>0.14682729357798166</v>
      </c>
      <c r="E52" s="464">
        <v>0.26651819215360384</v>
      </c>
      <c r="F52" s="445">
        <v>0.20711819215360386</v>
      </c>
      <c r="G52" s="445">
        <v>0.24</v>
      </c>
      <c r="H52" s="465" t="s">
        <v>778</v>
      </c>
      <c r="I52" s="466">
        <f>B52/$B$56</f>
        <v>2.719725189872668E-3</v>
      </c>
      <c r="J52" s="466">
        <f t="shared" si="7"/>
        <v>3.9932988890486613E-4</v>
      </c>
      <c r="K52" s="466">
        <f t="shared" si="8"/>
        <v>7.2485624075948045E-4</v>
      </c>
      <c r="L52" s="466">
        <f t="shared" si="9"/>
        <v>5.6330456448104398E-4</v>
      </c>
      <c r="M52" s="466">
        <f t="shared" si="4"/>
        <v>6.5273404556944034E-4</v>
      </c>
      <c r="P52" s="451"/>
    </row>
    <row r="53" spans="1:23" ht="16">
      <c r="A53" s="484" t="s">
        <v>798</v>
      </c>
      <c r="B53" s="460">
        <v>689000</v>
      </c>
      <c r="C53" s="444" t="s">
        <v>38</v>
      </c>
      <c r="D53" s="443">
        <v>7.3341743119266058E-3</v>
      </c>
      <c r="E53" s="464">
        <v>6.9745766699151612E-2</v>
      </c>
      <c r="F53" s="445">
        <v>1.0345766699151613E-2</v>
      </c>
      <c r="G53" s="445">
        <v>0.2</v>
      </c>
      <c r="H53" s="465" t="s">
        <v>778</v>
      </c>
      <c r="I53" s="466">
        <f>B53/$B$56</f>
        <v>2.2171280022658564E-2</v>
      </c>
      <c r="J53" s="466">
        <f t="shared" si="7"/>
        <v>1.6260803240471399E-4</v>
      </c>
      <c r="K53" s="466">
        <f t="shared" si="8"/>
        <v>1.546352923881905E-3</v>
      </c>
      <c r="L53" s="466">
        <f t="shared" si="9"/>
        <v>2.293788905359864E-4</v>
      </c>
      <c r="M53" s="466">
        <f t="shared" si="4"/>
        <v>4.4342560045317128E-3</v>
      </c>
      <c r="P53" s="482"/>
    </row>
    <row r="54" spans="1:23" ht="16">
      <c r="A54" s="484" t="s">
        <v>799</v>
      </c>
      <c r="B54" s="460">
        <v>505981.655622305</v>
      </c>
      <c r="C54" s="444">
        <v>8.6999999999999994E-3</v>
      </c>
      <c r="D54" s="443">
        <v>1.9557798165137613E-2</v>
      </c>
      <c r="E54" s="464">
        <v>8.6988711197737628E-2</v>
      </c>
      <c r="F54" s="445">
        <v>2.758871119773763E-2</v>
      </c>
      <c r="G54" s="445">
        <v>0.2</v>
      </c>
      <c r="H54" s="465" t="s">
        <v>778</v>
      </c>
      <c r="I54" s="466">
        <f>B54/$B$56</f>
        <v>1.6281946259986236E-2</v>
      </c>
      <c r="J54" s="466">
        <f t="shared" si="7"/>
        <v>3.1843901868842803E-4</v>
      </c>
      <c r="K54" s="466">
        <f t="shared" si="8"/>
        <v>1.4163455209470269E-3</v>
      </c>
      <c r="L54" s="466">
        <f t="shared" si="9"/>
        <v>4.4919791310384457E-4</v>
      </c>
      <c r="M54" s="466">
        <f t="shared" si="4"/>
        <v>3.2563892519972474E-3</v>
      </c>
      <c r="P54" s="451"/>
      <c r="Q54" s="451"/>
    </row>
    <row r="55" spans="1:23" ht="16">
      <c r="A55" s="484" t="s">
        <v>800</v>
      </c>
      <c r="B55" s="460">
        <v>362637.52407096897</v>
      </c>
      <c r="C55" s="444">
        <v>2.07E-2</v>
      </c>
      <c r="D55" s="443">
        <v>3.6814678899082569E-2</v>
      </c>
      <c r="E55" s="464">
        <v>0.11133169166632967</v>
      </c>
      <c r="F55" s="445">
        <v>5.193169166632966E-2</v>
      </c>
      <c r="G55" s="445">
        <v>0.2</v>
      </c>
      <c r="H55" s="465" t="s">
        <v>778</v>
      </c>
      <c r="I55" s="466">
        <f>B55/$B$56</f>
        <v>1.1669286056460143E-2</v>
      </c>
      <c r="J55" s="466">
        <f t="shared" si="7"/>
        <v>4.296010191501217E-4</v>
      </c>
      <c r="K55" s="466">
        <f t="shared" si="8"/>
        <v>1.2991613572040208E-3</v>
      </c>
      <c r="L55" s="466">
        <f t="shared" si="9"/>
        <v>6.0600576545028807E-4</v>
      </c>
      <c r="M55" s="466">
        <f t="shared" si="4"/>
        <v>2.3338572112920285E-3</v>
      </c>
    </row>
    <row r="56" spans="1:23" ht="16">
      <c r="A56" s="467" t="s">
        <v>778</v>
      </c>
      <c r="B56" s="469">
        <f>SUM(B33:B55)</f>
        <v>31076239.138915617</v>
      </c>
      <c r="C56" s="469"/>
      <c r="D56" s="470">
        <f>SUM(J33:J55)</f>
        <v>1.3668800788686953E-2</v>
      </c>
      <c r="E56" s="470">
        <f>SUM(K33:K55)</f>
        <v>7.8681546633950522E-2</v>
      </c>
      <c r="F56" s="473">
        <f>SUM(L33:L55)</f>
        <v>1.9281546633950514E-2</v>
      </c>
      <c r="G56" s="473">
        <f>SUM(M33:M55)</f>
        <v>0.24521330317788381</v>
      </c>
      <c r="H56" s="467"/>
      <c r="I56" s="471">
        <f>SUM(I33:I55)</f>
        <v>1.0000000000000002</v>
      </c>
      <c r="J56" s="472"/>
      <c r="K56" s="472"/>
      <c r="L56" s="472"/>
      <c r="M56" s="472"/>
    </row>
    <row r="57" spans="1:23" ht="16">
      <c r="A57" s="463" t="s">
        <v>801</v>
      </c>
      <c r="B57" s="460">
        <v>1542659.89999254</v>
      </c>
      <c r="C57" s="444">
        <v>3.3999999999999998E-3</v>
      </c>
      <c r="D57" s="443">
        <v>0</v>
      </c>
      <c r="E57" s="464">
        <v>5.9400000000000001E-2</v>
      </c>
      <c r="F57" s="445">
        <v>0</v>
      </c>
      <c r="G57" s="445">
        <v>0.3</v>
      </c>
      <c r="H57" s="465" t="s">
        <v>802</v>
      </c>
      <c r="I57" s="466">
        <f>B57/$B$60</f>
        <v>0.86054631648912705</v>
      </c>
      <c r="J57" s="466">
        <f>I57*D57</f>
        <v>0</v>
      </c>
      <c r="K57" s="466">
        <f>I57*E57</f>
        <v>5.1116451199454148E-2</v>
      </c>
      <c r="L57" s="466">
        <f>I57*F57</f>
        <v>0</v>
      </c>
      <c r="M57" s="466">
        <f t="shared" si="4"/>
        <v>0.25816389494673808</v>
      </c>
    </row>
    <row r="58" spans="1:23" ht="16">
      <c r="A58" s="463" t="s">
        <v>803</v>
      </c>
      <c r="B58" s="460">
        <v>0.38400000000000001</v>
      </c>
      <c r="C58" s="444" t="s">
        <v>38</v>
      </c>
      <c r="D58" s="443">
        <v>5.5078211009174309E-2</v>
      </c>
      <c r="E58" s="464">
        <v>0.13709467932892289</v>
      </c>
      <c r="F58" s="445">
        <v>7.7694679328922892E-2</v>
      </c>
      <c r="G58" s="445">
        <v>0.2843</v>
      </c>
      <c r="H58" s="465" t="s">
        <v>802</v>
      </c>
      <c r="I58" s="466">
        <f>B58/$B$60</f>
        <v>2.1420780143012908E-7</v>
      </c>
      <c r="J58" s="466">
        <f>I58*D58</f>
        <v>1.179818248697996E-8</v>
      </c>
      <c r="K58" s="466">
        <f>I58*E58</f>
        <v>2.9366749846817136E-8</v>
      </c>
      <c r="L58" s="466">
        <f>I58*F58</f>
        <v>1.6642806441867469E-8</v>
      </c>
      <c r="M58" s="466">
        <f t="shared" si="4"/>
        <v>6.089927794658569E-8</v>
      </c>
    </row>
    <row r="59" spans="1:23" ht="16">
      <c r="A59" s="463" t="s">
        <v>804</v>
      </c>
      <c r="B59" s="460">
        <v>249991.512236526</v>
      </c>
      <c r="C59" s="444">
        <v>3.8999999999999998E-3</v>
      </c>
      <c r="D59" s="443">
        <v>0</v>
      </c>
      <c r="E59" s="464">
        <v>5.9400000000000001E-2</v>
      </c>
      <c r="F59" s="445">
        <v>0</v>
      </c>
      <c r="G59" s="445">
        <v>0.28000000000000003</v>
      </c>
      <c r="H59" s="465" t="s">
        <v>802</v>
      </c>
      <c r="I59" s="466">
        <f>B59/$B$60</f>
        <v>0.13945346930307148</v>
      </c>
      <c r="J59" s="466">
        <f>I59*D59</f>
        <v>0</v>
      </c>
      <c r="K59" s="466">
        <f>I59*E59</f>
        <v>8.2835360766024459E-3</v>
      </c>
      <c r="L59" s="466">
        <f>I59*F59</f>
        <v>0</v>
      </c>
      <c r="M59" s="466">
        <f t="shared" si="4"/>
        <v>3.904697140486002E-2</v>
      </c>
    </row>
    <row r="60" spans="1:23" ht="16">
      <c r="A60" s="467" t="s">
        <v>802</v>
      </c>
      <c r="B60" s="469">
        <f>SUM(B57:B59)</f>
        <v>1792651.7962290661</v>
      </c>
      <c r="C60" s="469"/>
      <c r="D60" s="470">
        <f>SUM(J57:J59)</f>
        <v>1.179818248697996E-8</v>
      </c>
      <c r="E60" s="470">
        <f>SUM(K57:K59)</f>
        <v>5.940001664280644E-2</v>
      </c>
      <c r="F60" s="470">
        <f>SUM(L57:L59)</f>
        <v>1.6642806441867469E-8</v>
      </c>
      <c r="G60" s="470">
        <f>SUM(M57:M59)</f>
        <v>0.29721092725087606</v>
      </c>
      <c r="H60" s="467"/>
      <c r="I60" s="471">
        <f>SUM(I57:I59)</f>
        <v>0.99999999999999989</v>
      </c>
      <c r="J60" s="472"/>
      <c r="K60" s="472"/>
      <c r="L60" s="472"/>
      <c r="M60" s="472"/>
    </row>
    <row r="61" spans="1:23" ht="16">
      <c r="A61" s="463" t="s">
        <v>805</v>
      </c>
      <c r="B61" s="460">
        <v>2496.6480446927399</v>
      </c>
      <c r="C61" s="444" t="s">
        <v>38</v>
      </c>
      <c r="D61" s="443">
        <v>2.3296788990825688E-2</v>
      </c>
      <c r="E61" s="464">
        <v>9.2263023632599236E-2</v>
      </c>
      <c r="F61" s="445">
        <v>3.2863023632599235E-2</v>
      </c>
      <c r="G61" s="445">
        <v>0.25</v>
      </c>
      <c r="H61" s="465" t="s">
        <v>806</v>
      </c>
      <c r="I61" s="466">
        <f t="shared" ref="I61:I73" si="12">B61/$B$75</f>
        <v>8.2487353169153343E-3</v>
      </c>
      <c r="J61" s="466">
        <f t="shared" ref="J61:J73" si="13">I61*D61</f>
        <v>1.921690461193482E-4</v>
      </c>
      <c r="K61" s="466">
        <f t="shared" ref="K61:K73" si="14">I61*E61</f>
        <v>7.6105326148361539E-4</v>
      </c>
      <c r="L61" s="466">
        <f t="shared" ref="L61:L73" si="15">I61*F61</f>
        <v>2.7107838365884456E-4</v>
      </c>
      <c r="M61" s="466">
        <f t="shared" si="4"/>
        <v>2.0621838292288336E-3</v>
      </c>
    </row>
    <row r="62" spans="1:23" ht="16">
      <c r="A62" s="463" t="s">
        <v>807</v>
      </c>
      <c r="B62" s="460">
        <v>11.209</v>
      </c>
      <c r="C62" s="444" t="s">
        <v>38</v>
      </c>
      <c r="D62" s="443">
        <v>5.5078211009174309E-2</v>
      </c>
      <c r="E62" s="464">
        <v>0.13709467932892289</v>
      </c>
      <c r="F62" s="445">
        <v>7.7694679328922892E-2</v>
      </c>
      <c r="G62" s="445">
        <v>0</v>
      </c>
      <c r="H62" s="465" t="s">
        <v>806</v>
      </c>
      <c r="I62" s="466">
        <f t="shared" si="12"/>
        <v>3.7033683768063094E-5</v>
      </c>
      <c r="J62" s="466">
        <f t="shared" si="13"/>
        <v>2.0397490490244124E-6</v>
      </c>
      <c r="K62" s="466">
        <f t="shared" si="14"/>
        <v>5.0771210005513465E-6</v>
      </c>
      <c r="L62" s="466">
        <f t="shared" si="15"/>
        <v>2.8773201847283987E-6</v>
      </c>
      <c r="M62" s="466">
        <f t="shared" si="4"/>
        <v>0</v>
      </c>
    </row>
    <row r="63" spans="1:23" ht="16">
      <c r="A63" s="463" t="s">
        <v>808</v>
      </c>
      <c r="B63" s="460">
        <v>4900.8</v>
      </c>
      <c r="C63" s="444" t="s">
        <v>38</v>
      </c>
      <c r="D63" s="443">
        <v>9.1749082568807344E-2</v>
      </c>
      <c r="E63" s="464">
        <v>0.18882351282468096</v>
      </c>
      <c r="F63" s="445">
        <v>0.12942351282468095</v>
      </c>
      <c r="G63" s="445">
        <v>5.5E-2</v>
      </c>
      <c r="H63" s="465" t="s">
        <v>806</v>
      </c>
      <c r="I63" s="466">
        <f t="shared" si="12"/>
        <v>1.6191870587074997E-2</v>
      </c>
      <c r="J63" s="466">
        <f t="shared" si="13"/>
        <v>1.4855892714369869E-3</v>
      </c>
      <c r="K63" s="466">
        <f t="shared" si="14"/>
        <v>3.0574058834541302E-3</v>
      </c>
      <c r="L63" s="466">
        <f t="shared" si="15"/>
        <v>2.0956087705818753E-3</v>
      </c>
      <c r="M63" s="466">
        <f t="shared" si="4"/>
        <v>8.9055288228912486E-4</v>
      </c>
      <c r="U63" s="486"/>
      <c r="V63" s="486"/>
      <c r="W63" s="485"/>
    </row>
    <row r="64" spans="1:23" ht="16">
      <c r="A64" s="463" t="s">
        <v>809</v>
      </c>
      <c r="B64" s="460">
        <v>7080.9</v>
      </c>
      <c r="C64" s="444" t="s">
        <v>38</v>
      </c>
      <c r="D64" s="443">
        <v>1.0354128440366973E-2</v>
      </c>
      <c r="E64" s="464">
        <v>7.4005788281155213E-2</v>
      </c>
      <c r="F64" s="445">
        <v>1.4605788281155217E-2</v>
      </c>
      <c r="G64" s="445">
        <v>0</v>
      </c>
      <c r="H64" s="465" t="s">
        <v>806</v>
      </c>
      <c r="I64" s="466">
        <f t="shared" si="12"/>
        <v>2.3394755231802834E-2</v>
      </c>
      <c r="J64" s="466">
        <f t="shared" si="13"/>
        <v>2.4223230050103375E-4</v>
      </c>
      <c r="K64" s="466">
        <f t="shared" si="14"/>
        <v>1.7313473025742487E-3</v>
      </c>
      <c r="L64" s="466">
        <f t="shared" si="15"/>
        <v>3.4169884180516055E-4</v>
      </c>
      <c r="M64" s="466">
        <f t="shared" si="4"/>
        <v>0</v>
      </c>
      <c r="U64" s="455"/>
      <c r="V64" s="455"/>
    </row>
    <row r="65" spans="1:22" ht="16">
      <c r="A65" s="463" t="s">
        <v>810</v>
      </c>
      <c r="B65" s="460">
        <v>5608.9891955291996</v>
      </c>
      <c r="C65" s="444" t="s">
        <v>38</v>
      </c>
      <c r="D65" s="443">
        <v>7.3341743119266058E-3</v>
      </c>
      <c r="E65" s="464">
        <v>6.9745766699151612E-2</v>
      </c>
      <c r="F65" s="445">
        <v>1.0345766699151613E-2</v>
      </c>
      <c r="G65" s="445">
        <v>0</v>
      </c>
      <c r="H65" s="465" t="s">
        <v>806</v>
      </c>
      <c r="I65" s="466">
        <f t="shared" si="12"/>
        <v>1.8531673844741817E-2</v>
      </c>
      <c r="J65" s="466">
        <f t="shared" si="13"/>
        <v>1.3591452626910758E-4</v>
      </c>
      <c r="K65" s="466">
        <f t="shared" si="14"/>
        <v>1.2925058005201328E-3</v>
      </c>
      <c r="L65" s="466">
        <f t="shared" si="15"/>
        <v>1.9172437414246882E-4</v>
      </c>
      <c r="M65" s="466">
        <f t="shared" si="4"/>
        <v>0</v>
      </c>
      <c r="U65" s="455"/>
      <c r="V65" s="455"/>
    </row>
    <row r="66" spans="1:22" ht="16">
      <c r="A66" s="463" t="s">
        <v>811</v>
      </c>
      <c r="B66" s="460">
        <v>107352</v>
      </c>
      <c r="C66" s="444" t="s">
        <v>38</v>
      </c>
      <c r="D66" s="443">
        <v>0.14682729357798166</v>
      </c>
      <c r="E66" s="464">
        <v>0.26651819215360384</v>
      </c>
      <c r="F66" s="445">
        <v>0.20711819215360386</v>
      </c>
      <c r="G66" s="445">
        <v>0.27179999999999999</v>
      </c>
      <c r="H66" s="465" t="s">
        <v>806</v>
      </c>
      <c r="I66" s="466">
        <f t="shared" si="12"/>
        <v>0.35468284591570254</v>
      </c>
      <c r="J66" s="466">
        <f t="shared" si="13"/>
        <v>5.2077122344338887E-2</v>
      </c>
      <c r="K66" s="466">
        <f t="shared" si="14"/>
        <v>9.452943088134827E-2</v>
      </c>
      <c r="L66" s="466">
        <f t="shared" si="15"/>
        <v>7.3461269833955553E-2</v>
      </c>
      <c r="M66" s="466">
        <f t="shared" si="4"/>
        <v>9.6402797519887951E-2</v>
      </c>
      <c r="U66" s="455"/>
      <c r="V66" s="455"/>
    </row>
    <row r="67" spans="1:22" ht="16">
      <c r="A67" s="463" t="s">
        <v>812</v>
      </c>
      <c r="B67" s="460">
        <v>3.1</v>
      </c>
      <c r="C67" s="444" t="s">
        <v>38</v>
      </c>
      <c r="D67" s="443">
        <v>2.3296788990825688E-2</v>
      </c>
      <c r="E67" s="464">
        <v>9.2263023632599236E-2</v>
      </c>
      <c r="F67" s="445">
        <v>3.2863023632599235E-2</v>
      </c>
      <c r="G67" s="445">
        <v>0.22</v>
      </c>
      <c r="H67" s="465" t="s">
        <v>806</v>
      </c>
      <c r="I67" s="466">
        <f t="shared" si="12"/>
        <v>1.024216430377336E-5</v>
      </c>
      <c r="J67" s="466">
        <f t="shared" si="13"/>
        <v>2.3860954059437505E-7</v>
      </c>
      <c r="K67" s="466">
        <f t="shared" si="14"/>
        <v>9.4497304720800589E-7</v>
      </c>
      <c r="L67" s="466">
        <f t="shared" si="15"/>
        <v>3.3658848756386823E-7</v>
      </c>
      <c r="M67" s="466">
        <f t="shared" si="4"/>
        <v>2.2532761468301395E-6</v>
      </c>
      <c r="U67" s="455"/>
      <c r="V67" s="455"/>
    </row>
    <row r="68" spans="1:22" ht="16">
      <c r="A68" s="463" t="s">
        <v>813</v>
      </c>
      <c r="B68" s="460">
        <v>94243.453937446204</v>
      </c>
      <c r="C68" s="444" t="s">
        <v>38</v>
      </c>
      <c r="D68" s="443">
        <v>4.4005045871559637E-2</v>
      </c>
      <c r="E68" s="464">
        <v>0.12147460019490969</v>
      </c>
      <c r="F68" s="445">
        <v>6.2074600194909679E-2</v>
      </c>
      <c r="G68" s="445">
        <v>0.27</v>
      </c>
      <c r="H68" s="465" t="s">
        <v>806</v>
      </c>
      <c r="I68" s="466">
        <f t="shared" si="12"/>
        <v>0.31137320638142596</v>
      </c>
      <c r="J68" s="466">
        <f t="shared" si="13"/>
        <v>1.3701992229989255E-2</v>
      </c>
      <c r="K68" s="466">
        <f t="shared" si="14"/>
        <v>3.7823935756590821E-2</v>
      </c>
      <c r="L68" s="466">
        <f t="shared" si="15"/>
        <v>1.9328367297534114E-2</v>
      </c>
      <c r="M68" s="466">
        <f t="shared" si="4"/>
        <v>8.4070765722985011E-2</v>
      </c>
      <c r="U68" s="455"/>
      <c r="V68" s="455"/>
    </row>
    <row r="69" spans="1:22" ht="16">
      <c r="A69" s="463" t="s">
        <v>814</v>
      </c>
      <c r="B69" s="460">
        <v>13638.230995679001</v>
      </c>
      <c r="C69" s="444" t="s">
        <v>38</v>
      </c>
      <c r="D69" s="443">
        <v>6.7301834862385335E-2</v>
      </c>
      <c r="E69" s="464">
        <v>0.15433762382750893</v>
      </c>
      <c r="F69" s="445">
        <v>9.4937623827508935E-2</v>
      </c>
      <c r="G69" s="445">
        <v>0.25</v>
      </c>
      <c r="H69" s="465" t="s">
        <v>806</v>
      </c>
      <c r="I69" s="466">
        <f t="shared" si="12"/>
        <v>4.5059678280825445E-2</v>
      </c>
      <c r="J69" s="466">
        <f t="shared" si="13"/>
        <v>3.0325990266083253E-3</v>
      </c>
      <c r="K69" s="466">
        <f t="shared" si="14"/>
        <v>6.954403676294612E-3</v>
      </c>
      <c r="L69" s="466">
        <f t="shared" si="15"/>
        <v>4.2778587864135808E-3</v>
      </c>
      <c r="M69" s="466">
        <f t="shared" si="4"/>
        <v>1.1264919570206361E-2</v>
      </c>
      <c r="U69" s="455"/>
      <c r="V69" s="455"/>
    </row>
    <row r="70" spans="1:22" ht="16">
      <c r="A70" s="463" t="s">
        <v>815</v>
      </c>
      <c r="B70" s="460">
        <v>25000</v>
      </c>
      <c r="C70" s="444" t="s">
        <v>38</v>
      </c>
      <c r="D70" s="443">
        <v>2.6891972477064225E-2</v>
      </c>
      <c r="E70" s="464">
        <v>9.733447789688926E-2</v>
      </c>
      <c r="F70" s="445">
        <v>3.7934477896889252E-2</v>
      </c>
      <c r="G70" s="445">
        <v>0.27179999999999999</v>
      </c>
      <c r="H70" s="465" t="s">
        <v>806</v>
      </c>
      <c r="I70" s="466">
        <f t="shared" si="12"/>
        <v>8.2598099223978719E-2</v>
      </c>
      <c r="J70" s="466">
        <f t="shared" si="13"/>
        <v>2.2212258109890557E-3</v>
      </c>
      <c r="K70" s="466">
        <f t="shared" si="14"/>
        <v>8.0396428632414224E-3</v>
      </c>
      <c r="L70" s="466">
        <f t="shared" si="15"/>
        <v>3.133315769337086E-3</v>
      </c>
      <c r="M70" s="466">
        <f t="shared" si="4"/>
        <v>2.2450163369077413E-2</v>
      </c>
      <c r="U70" s="455"/>
      <c r="V70" s="455"/>
    </row>
    <row r="71" spans="1:22" ht="16">
      <c r="A71" s="463" t="s">
        <v>816</v>
      </c>
      <c r="B71" s="460">
        <v>11900</v>
      </c>
      <c r="C71" s="444" t="s">
        <v>38</v>
      </c>
      <c r="D71" s="443">
        <v>3.6814678899082569E-2</v>
      </c>
      <c r="E71" s="464">
        <v>0.11133169166632967</v>
      </c>
      <c r="F71" s="445">
        <v>5.193169166632966E-2</v>
      </c>
      <c r="G71" s="445">
        <v>0.27179999999999999</v>
      </c>
      <c r="H71" s="465" t="s">
        <v>806</v>
      </c>
      <c r="I71" s="466">
        <f t="shared" si="12"/>
        <v>3.9316695230613867E-2</v>
      </c>
      <c r="J71" s="466">
        <f t="shared" si="13"/>
        <v>1.4474315102881406E-3</v>
      </c>
      <c r="K71" s="466">
        <f t="shared" si="14"/>
        <v>4.3771941907537575E-3</v>
      </c>
      <c r="L71" s="466">
        <f t="shared" si="15"/>
        <v>2.0417824940552934E-3</v>
      </c>
      <c r="M71" s="466">
        <f t="shared" si="4"/>
        <v>1.0686277763680849E-2</v>
      </c>
      <c r="U71" s="455"/>
      <c r="V71" s="455"/>
    </row>
    <row r="72" spans="1:22" ht="16">
      <c r="A72" s="463" t="s">
        <v>817</v>
      </c>
      <c r="B72" s="460">
        <v>8100</v>
      </c>
      <c r="C72" s="444" t="s">
        <v>38</v>
      </c>
      <c r="D72" s="443">
        <v>7.9525458715596339E-2</v>
      </c>
      <c r="E72" s="464">
        <v>0.17158056832609495</v>
      </c>
      <c r="F72" s="445">
        <v>0.11218056832609494</v>
      </c>
      <c r="G72" s="445">
        <v>0.27179999999999999</v>
      </c>
      <c r="H72" s="465" t="s">
        <v>806</v>
      </c>
      <c r="I72" s="466">
        <f t="shared" si="12"/>
        <v>2.6761784148569105E-2</v>
      </c>
      <c r="J72" s="466">
        <f t="shared" si="13"/>
        <v>2.1282431604627331E-3</v>
      </c>
      <c r="K72" s="466">
        <f t="shared" si="14"/>
        <v>4.5918021336317661E-3</v>
      </c>
      <c r="L72" s="466">
        <f t="shared" si="15"/>
        <v>3.0021521552067608E-3</v>
      </c>
      <c r="M72" s="466">
        <f t="shared" si="4"/>
        <v>7.2738529315810822E-3</v>
      </c>
      <c r="U72" s="455"/>
      <c r="V72" s="455"/>
    </row>
    <row r="73" spans="1:22" ht="16">
      <c r="A73" s="463" t="s">
        <v>818</v>
      </c>
      <c r="B73" s="460">
        <v>21391.802311011797</v>
      </c>
      <c r="C73" s="444" t="s">
        <v>38</v>
      </c>
      <c r="D73" s="443">
        <v>3.6814678899082569E-2</v>
      </c>
      <c r="E73" s="464">
        <v>0.11133169166632967</v>
      </c>
      <c r="F73" s="445">
        <v>5.193169166632966E-2</v>
      </c>
      <c r="G73" s="445">
        <v>0.3</v>
      </c>
      <c r="H73" s="465" t="s">
        <v>806</v>
      </c>
      <c r="I73" s="466">
        <f t="shared" si="12"/>
        <v>7.0676888394587592E-2</v>
      </c>
      <c r="J73" s="466">
        <f t="shared" si="13"/>
        <v>2.6019469518330377E-3</v>
      </c>
      <c r="K73" s="466">
        <f t="shared" si="14"/>
        <v>7.8685775466818195E-3</v>
      </c>
      <c r="L73" s="466">
        <f t="shared" si="15"/>
        <v>3.6703703760433159E-3</v>
      </c>
      <c r="M73" s="466">
        <f t="shared" si="4"/>
        <v>2.1203066518376276E-2</v>
      </c>
      <c r="U73" s="455"/>
      <c r="V73" s="455"/>
    </row>
    <row r="74" spans="1:22" ht="16">
      <c r="A74" s="463" t="s">
        <v>819</v>
      </c>
      <c r="B74" s="460">
        <v>943.269768</v>
      </c>
      <c r="C74" s="444" t="s">
        <v>38</v>
      </c>
      <c r="D74" s="443">
        <v>1.9557798165137613E-2</v>
      </c>
      <c r="E74" s="464">
        <v>8.6988711197737628E-2</v>
      </c>
      <c r="F74" s="445">
        <v>2.758871119773763E-2</v>
      </c>
      <c r="G74" s="445">
        <v>0</v>
      </c>
      <c r="H74" s="465" t="s">
        <v>806</v>
      </c>
      <c r="I74" s="466">
        <f>B74/$B$75</f>
        <v>3.1164915956897353E-3</v>
      </c>
      <c r="J74" s="466">
        <f>I74*D74</f>
        <v>6.0951713611847497E-5</v>
      </c>
      <c r="K74" s="466">
        <f>I74*E74</f>
        <v>2.7109958736763089E-4</v>
      </c>
      <c r="L74" s="466">
        <f>I74*F74</f>
        <v>8.5979986583660617E-5</v>
      </c>
      <c r="M74" s="466">
        <f>I74*G74</f>
        <v>0</v>
      </c>
    </row>
    <row r="75" spans="1:22" ht="16">
      <c r="A75" s="467" t="s">
        <v>806</v>
      </c>
      <c r="B75" s="469">
        <f>SUM(B61:B74)</f>
        <v>302670.40325235901</v>
      </c>
      <c r="C75" s="469"/>
      <c r="D75" s="470">
        <f>SUM(J61:J74)</f>
        <v>7.9329696251037377E-2</v>
      </c>
      <c r="E75" s="470">
        <f>SUM(K61:K74)</f>
        <v>0.17130442097798998</v>
      </c>
      <c r="F75" s="470">
        <f>SUM(L61:L74)</f>
        <v>0.11190442097799</v>
      </c>
      <c r="G75" s="470">
        <f>SUM(M61:M74)</f>
        <v>0.25630683338345972</v>
      </c>
      <c r="H75" s="467"/>
      <c r="I75" s="471">
        <f>SUM(I61:I74)</f>
        <v>0.99999999999999989</v>
      </c>
      <c r="J75" s="471"/>
      <c r="K75" s="471"/>
      <c r="L75" s="471">
        <f>SUM(L61:L74)</f>
        <v>0.11190442097799</v>
      </c>
      <c r="M75" s="472"/>
    </row>
    <row r="76" spans="1:22" ht="16">
      <c r="A76" s="463" t="s">
        <v>820</v>
      </c>
      <c r="B76" s="460">
        <v>491492.700657012</v>
      </c>
      <c r="C76" s="444" t="s">
        <v>38</v>
      </c>
      <c r="D76" s="443">
        <v>0.14682729357798166</v>
      </c>
      <c r="E76" s="464">
        <v>0.26651819215360384</v>
      </c>
      <c r="F76" s="445">
        <v>0.20711819215360386</v>
      </c>
      <c r="G76" s="445">
        <v>0.35</v>
      </c>
      <c r="H76" s="465" t="s">
        <v>821</v>
      </c>
      <c r="I76" s="466">
        <f t="shared" ref="I76:I94" si="16">B76/$B$95</f>
        <v>0.10069122148421435</v>
      </c>
      <c r="J76" s="466">
        <f t="shared" ref="J76:J94" si="17">I76*D76</f>
        <v>1.4784219537588314E-2</v>
      </c>
      <c r="K76" s="466">
        <f t="shared" ref="K76:K94" si="18">I76*E76</f>
        <v>2.6836042315710924E-2</v>
      </c>
      <c r="L76" s="466">
        <f t="shared" ref="L76:L94" si="19">I76*F76</f>
        <v>2.0854983759548591E-2</v>
      </c>
      <c r="M76" s="466">
        <f t="shared" si="4"/>
        <v>3.5241927519475018E-2</v>
      </c>
    </row>
    <row r="77" spans="1:22" ht="16">
      <c r="A77" s="463" t="s">
        <v>822</v>
      </c>
      <c r="B77" s="460">
        <v>1789.9232640299999</v>
      </c>
      <c r="C77" s="444" t="s">
        <v>38</v>
      </c>
      <c r="D77" s="443">
        <v>0.11015642201834862</v>
      </c>
      <c r="E77" s="464">
        <v>0.21478935865784579</v>
      </c>
      <c r="F77" s="445">
        <v>0.15538935865784578</v>
      </c>
      <c r="G77" s="445">
        <v>0.27179999999999999</v>
      </c>
      <c r="H77" s="465" t="s">
        <v>821</v>
      </c>
      <c r="I77" s="466">
        <f t="shared" si="16"/>
        <v>3.6669834481217604E-4</v>
      </c>
      <c r="J77" s="466">
        <f t="shared" si="17"/>
        <v>4.0394177624559985E-5</v>
      </c>
      <c r="K77" s="466">
        <f t="shared" si="18"/>
        <v>7.8762902303100891E-5</v>
      </c>
      <c r="L77" s="466">
        <f t="shared" si="19"/>
        <v>5.6981020621257627E-5</v>
      </c>
      <c r="M77" s="466">
        <f t="shared" ref="M77:M144" si="20">I77*G77</f>
        <v>9.9668610119949444E-5</v>
      </c>
    </row>
    <row r="78" spans="1:22" ht="16">
      <c r="A78" s="463" t="s">
        <v>823</v>
      </c>
      <c r="B78" s="460">
        <v>40408.208523878406</v>
      </c>
      <c r="C78" s="444" t="s">
        <v>38</v>
      </c>
      <c r="D78" s="443">
        <v>6.7301834862385335E-2</v>
      </c>
      <c r="E78" s="464">
        <v>0.15433762382750893</v>
      </c>
      <c r="F78" s="445">
        <v>9.4937623827508935E-2</v>
      </c>
      <c r="G78" s="445">
        <v>0.25</v>
      </c>
      <c r="H78" s="465" t="s">
        <v>821</v>
      </c>
      <c r="I78" s="466">
        <f t="shared" si="16"/>
        <v>8.2783566649498128E-3</v>
      </c>
      <c r="J78" s="466">
        <f t="shared" si="17"/>
        <v>5.5714859319637932E-4</v>
      </c>
      <c r="K78" s="466">
        <f t="shared" si="18"/>
        <v>1.2776618968649755E-3</v>
      </c>
      <c r="L78" s="466">
        <f t="shared" si="19"/>
        <v>7.8592751096695675E-4</v>
      </c>
      <c r="M78" s="466">
        <f t="shared" si="20"/>
        <v>2.0695891662374532E-3</v>
      </c>
    </row>
    <row r="79" spans="1:22" ht="16">
      <c r="A79" s="463" t="s">
        <v>665</v>
      </c>
      <c r="B79" s="460">
        <v>1608981.2208121999</v>
      </c>
      <c r="C79" s="444">
        <v>3.5200000000000002E-2</v>
      </c>
      <c r="D79" s="443">
        <v>3.6814678899082569E-2</v>
      </c>
      <c r="E79" s="464">
        <v>0.11133169166632967</v>
      </c>
      <c r="F79" s="445">
        <v>5.193169166632966E-2</v>
      </c>
      <c r="G79" s="445">
        <v>0.34</v>
      </c>
      <c r="H79" s="465" t="s">
        <v>821</v>
      </c>
      <c r="I79" s="466">
        <f t="shared" si="16"/>
        <v>0.32962907537013786</v>
      </c>
      <c r="J79" s="466">
        <f t="shared" si="17"/>
        <v>1.2135188565553111E-2</v>
      </c>
      <c r="K79" s="466">
        <f t="shared" si="18"/>
        <v>3.6698162583365529E-2</v>
      </c>
      <c r="L79" s="466">
        <f t="shared" si="19"/>
        <v>1.711819550637934E-2</v>
      </c>
      <c r="M79" s="466">
        <f t="shared" si="20"/>
        <v>0.11207388562584689</v>
      </c>
    </row>
    <row r="80" spans="1:22" ht="16">
      <c r="A80" s="463" t="s">
        <v>824</v>
      </c>
      <c r="B80" s="460">
        <v>317058.50865176</v>
      </c>
      <c r="C80" s="444">
        <v>1.7600000000000001E-2</v>
      </c>
      <c r="D80" s="443">
        <v>1.0354128440366973E-2</v>
      </c>
      <c r="E80" s="464">
        <v>7.4005788281155213E-2</v>
      </c>
      <c r="F80" s="445">
        <v>1.4605788281155217E-2</v>
      </c>
      <c r="G80" s="445">
        <v>0.27</v>
      </c>
      <c r="H80" s="465" t="s">
        <v>821</v>
      </c>
      <c r="I80" s="466">
        <f t="shared" si="16"/>
        <v>6.4955203760773475E-2</v>
      </c>
      <c r="J80" s="466">
        <f t="shared" si="17"/>
        <v>6.7255452260925634E-4</v>
      </c>
      <c r="K80" s="466">
        <f t="shared" si="18"/>
        <v>4.8070610572790986E-3</v>
      </c>
      <c r="L80" s="466">
        <f t="shared" si="19"/>
        <v>9.4872195388915454E-4</v>
      </c>
      <c r="M80" s="466">
        <f t="shared" si="20"/>
        <v>1.753790501540884E-2</v>
      </c>
    </row>
    <row r="81" spans="1:20" ht="16">
      <c r="A81" s="463" t="s">
        <v>825</v>
      </c>
      <c r="B81" s="460">
        <v>314322.45322829497</v>
      </c>
      <c r="C81" s="444">
        <v>3.6499999999999998E-2</v>
      </c>
      <c r="D81" s="443">
        <v>2.3296788990825688E-2</v>
      </c>
      <c r="E81" s="464">
        <v>9.2263023632599236E-2</v>
      </c>
      <c r="F81" s="445">
        <v>3.2863023632599235E-2</v>
      </c>
      <c r="G81" s="445">
        <v>0.35</v>
      </c>
      <c r="H81" s="465" t="s">
        <v>821</v>
      </c>
      <c r="I81" s="466">
        <f t="shared" si="16"/>
        <v>6.4394673030064908E-2</v>
      </c>
      <c r="J81" s="466">
        <f t="shared" si="17"/>
        <v>1.5001891097146359E-3</v>
      </c>
      <c r="K81" s="466">
        <f t="shared" si="18"/>
        <v>5.9412472395863796E-3</v>
      </c>
      <c r="L81" s="466">
        <f t="shared" si="19"/>
        <v>2.1162036616005236E-3</v>
      </c>
      <c r="M81" s="466">
        <f t="shared" si="20"/>
        <v>2.2538135560522716E-2</v>
      </c>
      <c r="P81" s="482" t="s">
        <v>750</v>
      </c>
      <c r="Q81" s="482">
        <f>SUBTOTAL(9,R32:R33)</f>
        <v>24986861.60966523</v>
      </c>
      <c r="R81" s="483">
        <f>SUM(U32:U33)</f>
        <v>4.1609926801829893E-2</v>
      </c>
      <c r="S81" s="482">
        <f>SUBTOTAL(9,T32:T33)</f>
        <v>0.70050381821262442</v>
      </c>
      <c r="T81" s="483">
        <f>SUBTOTAL(9,U32:U33)</f>
        <v>4.1609926801829893E-2</v>
      </c>
    </row>
    <row r="82" spans="1:20" ht="16">
      <c r="A82" s="463" t="s">
        <v>826</v>
      </c>
      <c r="B82" s="460">
        <v>64282.438666738999</v>
      </c>
      <c r="C82" s="444">
        <v>4.3499999999999997E-2</v>
      </c>
      <c r="D82" s="443">
        <v>6.7301834862385335E-2</v>
      </c>
      <c r="E82" s="464">
        <v>0.15433762382750893</v>
      </c>
      <c r="F82" s="445">
        <v>9.4937623827508935E-2</v>
      </c>
      <c r="G82" s="445">
        <v>0.3</v>
      </c>
      <c r="H82" s="465" t="s">
        <v>821</v>
      </c>
      <c r="I82" s="466">
        <f t="shared" si="16"/>
        <v>1.3169427054940123E-2</v>
      </c>
      <c r="J82" s="466">
        <f t="shared" si="17"/>
        <v>8.8632660488380981E-4</v>
      </c>
      <c r="K82" s="466">
        <f t="shared" si="18"/>
        <v>2.0325380788291676E-3</v>
      </c>
      <c r="L82" s="466">
        <f t="shared" si="19"/>
        <v>1.2502741117657243E-3</v>
      </c>
      <c r="M82" s="466">
        <f t="shared" si="20"/>
        <v>3.9508281164820367E-3</v>
      </c>
    </row>
    <row r="83" spans="1:20" ht="16">
      <c r="A83" s="463" t="s">
        <v>827</v>
      </c>
      <c r="B83" s="460">
        <v>106165.86599999999</v>
      </c>
      <c r="C83" s="444">
        <v>0.16930000000000001</v>
      </c>
      <c r="D83" s="443">
        <v>0.12238004587155965</v>
      </c>
      <c r="E83" s="464">
        <v>0.23203230315643184</v>
      </c>
      <c r="F83" s="445">
        <v>0.17263230315643183</v>
      </c>
      <c r="G83" s="445">
        <v>0.25</v>
      </c>
      <c r="H83" s="465" t="s">
        <v>821</v>
      </c>
      <c r="I83" s="466">
        <f t="shared" si="16"/>
        <v>2.1750009131731567E-2</v>
      </c>
      <c r="J83" s="466">
        <f t="shared" si="17"/>
        <v>2.6617671152481506E-3</v>
      </c>
      <c r="K83" s="466">
        <f t="shared" si="18"/>
        <v>5.0467047125090994E-3</v>
      </c>
      <c r="L83" s="466">
        <f t="shared" si="19"/>
        <v>3.7547541700842443E-3</v>
      </c>
      <c r="M83" s="466">
        <f t="shared" si="20"/>
        <v>5.4375022829328918E-3</v>
      </c>
    </row>
    <row r="84" spans="1:20" ht="16">
      <c r="A84" s="463" t="s">
        <v>828</v>
      </c>
      <c r="B84" s="460">
        <v>28736.94</v>
      </c>
      <c r="C84" s="444">
        <v>0.27460000000000001</v>
      </c>
      <c r="D84" s="443">
        <v>0.12238004587155965</v>
      </c>
      <c r="E84" s="464">
        <v>0.23203230315643184</v>
      </c>
      <c r="F84" s="445">
        <v>0.17263230315643183</v>
      </c>
      <c r="G84" s="445">
        <v>0.3</v>
      </c>
      <c r="H84" s="465" t="s">
        <v>821</v>
      </c>
      <c r="I84" s="466">
        <f t="shared" si="16"/>
        <v>5.8872849717820051E-3</v>
      </c>
      <c r="J84" s="466">
        <f t="shared" si="17"/>
        <v>7.2048620490562556E-4</v>
      </c>
      <c r="K84" s="466">
        <f t="shared" si="18"/>
        <v>1.3660402913408276E-3</v>
      </c>
      <c r="L84" s="466">
        <f t="shared" si="19"/>
        <v>1.0163355640169763E-3</v>
      </c>
      <c r="M84" s="466">
        <f t="shared" si="20"/>
        <v>1.7661854915346014E-3</v>
      </c>
    </row>
    <row r="85" spans="1:20" ht="16">
      <c r="A85" s="463" t="s">
        <v>829</v>
      </c>
      <c r="B85" s="460">
        <v>85986.321551238798</v>
      </c>
      <c r="C85" s="444" t="s">
        <v>38</v>
      </c>
      <c r="D85" s="443">
        <v>3.0630963302752296E-2</v>
      </c>
      <c r="E85" s="464">
        <v>0.10260879033175085</v>
      </c>
      <c r="F85" s="445">
        <v>4.3208790331750853E-2</v>
      </c>
      <c r="G85" s="445">
        <v>0.25</v>
      </c>
      <c r="H85" s="465" t="s">
        <v>821</v>
      </c>
      <c r="I85" s="466">
        <f t="shared" si="16"/>
        <v>1.7615862323804254E-2</v>
      </c>
      <c r="J85" s="466">
        <f t="shared" si="17"/>
        <v>5.3959083238678488E-4</v>
      </c>
      <c r="K85" s="466">
        <f t="shared" si="18"/>
        <v>1.8075423236962201E-3</v>
      </c>
      <c r="L85" s="466">
        <f t="shared" si="19"/>
        <v>7.611601016622474E-4</v>
      </c>
      <c r="M85" s="466">
        <f t="shared" si="20"/>
        <v>4.4039655809510634E-3</v>
      </c>
    </row>
    <row r="86" spans="1:20" ht="16">
      <c r="A86" s="463" t="s">
        <v>830</v>
      </c>
      <c r="B86" s="460">
        <v>28488.6683016401</v>
      </c>
      <c r="C86" s="444" t="s">
        <v>38</v>
      </c>
      <c r="D86" s="443">
        <v>5.5078211009174309E-2</v>
      </c>
      <c r="E86" s="464">
        <v>0.13709467932892289</v>
      </c>
      <c r="F86" s="445">
        <v>7.7694679328922892E-2</v>
      </c>
      <c r="G86" s="445">
        <v>0.25</v>
      </c>
      <c r="H86" s="465" t="s">
        <v>821</v>
      </c>
      <c r="I86" s="466">
        <f t="shared" si="16"/>
        <v>5.8364219975518671E-3</v>
      </c>
      <c r="J86" s="466">
        <f t="shared" si="17"/>
        <v>3.2145968231974835E-4</v>
      </c>
      <c r="K86" s="466">
        <f t="shared" si="18"/>
        <v>8.0014240218264482E-4</v>
      </c>
      <c r="L86" s="466">
        <f t="shared" si="19"/>
        <v>4.5345893552806388E-4</v>
      </c>
      <c r="M86" s="466">
        <f t="shared" si="20"/>
        <v>1.4591054993879668E-3</v>
      </c>
    </row>
    <row r="87" spans="1:20" ht="16">
      <c r="A87" s="463" t="s">
        <v>831</v>
      </c>
      <c r="B87" s="460">
        <v>1293037.8663601698</v>
      </c>
      <c r="C87" s="444">
        <v>2.1100000000000001E-2</v>
      </c>
      <c r="D87" s="443">
        <v>2.3296788990825688E-2</v>
      </c>
      <c r="E87" s="464">
        <v>9.2263023632599236E-2</v>
      </c>
      <c r="F87" s="445">
        <v>3.2863023632599235E-2</v>
      </c>
      <c r="G87" s="445">
        <v>0.3</v>
      </c>
      <c r="H87" s="465" t="s">
        <v>821</v>
      </c>
      <c r="I87" s="466">
        <f t="shared" si="16"/>
        <v>0.26490233123524276</v>
      </c>
      <c r="J87" s="466">
        <f t="shared" si="17"/>
        <v>6.1713737139652636E-3</v>
      </c>
      <c r="K87" s="466">
        <f t="shared" si="18"/>
        <v>2.4440690047087835E-2</v>
      </c>
      <c r="L87" s="466">
        <f t="shared" si="19"/>
        <v>8.7054915717144129E-3</v>
      </c>
      <c r="M87" s="466">
        <f t="shared" si="20"/>
        <v>7.9470699370572828E-2</v>
      </c>
    </row>
    <row r="88" spans="1:20" ht="16">
      <c r="A88" s="463" t="s">
        <v>832</v>
      </c>
      <c r="B88" s="460">
        <v>14013.022092064501</v>
      </c>
      <c r="C88" s="444">
        <v>6.2700000000000006E-2</v>
      </c>
      <c r="D88" s="443">
        <v>7.9525458715596339E-2</v>
      </c>
      <c r="E88" s="464">
        <v>0.17158056832609495</v>
      </c>
      <c r="F88" s="445">
        <v>0.11218056832609494</v>
      </c>
      <c r="G88" s="445">
        <v>0.3</v>
      </c>
      <c r="H88" s="465" t="s">
        <v>821</v>
      </c>
      <c r="I88" s="466">
        <f t="shared" si="16"/>
        <v>2.8708225152664331E-3</v>
      </c>
      <c r="J88" s="466">
        <f t="shared" si="17"/>
        <v>2.2830347741762517E-4</v>
      </c>
      <c r="K88" s="466">
        <f t="shared" si="18"/>
        <v>4.9257735873276399E-4</v>
      </c>
      <c r="L88" s="466">
        <f t="shared" si="19"/>
        <v>3.2205050132593784E-4</v>
      </c>
      <c r="M88" s="466">
        <f t="shared" si="20"/>
        <v>8.6124675457992987E-4</v>
      </c>
    </row>
    <row r="89" spans="1:20" ht="16">
      <c r="A89" s="463" t="s">
        <v>833</v>
      </c>
      <c r="B89" s="460">
        <v>63605.065799999997</v>
      </c>
      <c r="C89" s="444">
        <v>1.7899999999999999E-2</v>
      </c>
      <c r="D89" s="443">
        <v>2.3296788990825688E-2</v>
      </c>
      <c r="E89" s="464">
        <v>9.2263023632599236E-2</v>
      </c>
      <c r="F89" s="445">
        <v>3.2863023632599235E-2</v>
      </c>
      <c r="G89" s="445">
        <v>0.25</v>
      </c>
      <c r="H89" s="465" t="s">
        <v>821</v>
      </c>
      <c r="I89" s="466">
        <f t="shared" si="16"/>
        <v>1.3030654899705592E-2</v>
      </c>
      <c r="J89" s="466">
        <f t="shared" si="17"/>
        <v>3.0357241761071006E-4</v>
      </c>
      <c r="K89" s="466">
        <f t="shared" si="18"/>
        <v>1.2022476209597821E-3</v>
      </c>
      <c r="L89" s="466">
        <f t="shared" si="19"/>
        <v>4.2822671991726987E-4</v>
      </c>
      <c r="M89" s="466">
        <f t="shared" si="20"/>
        <v>3.257663724926398E-3</v>
      </c>
    </row>
    <row r="90" spans="1:20" ht="16">
      <c r="A90" s="463" t="s">
        <v>834</v>
      </c>
      <c r="B90" s="460">
        <v>38986.810989001096</v>
      </c>
      <c r="C90" s="444" t="s">
        <v>38</v>
      </c>
      <c r="D90" s="443">
        <v>3.0630963302752296E-2</v>
      </c>
      <c r="E90" s="464">
        <v>0.10260879033175085</v>
      </c>
      <c r="F90" s="445">
        <v>4.3208790331750853E-2</v>
      </c>
      <c r="G90" s="445">
        <v>0.1</v>
      </c>
      <c r="H90" s="465" t="s">
        <v>821</v>
      </c>
      <c r="I90" s="466">
        <f t="shared" si="16"/>
        <v>7.987157520364092E-3</v>
      </c>
      <c r="J90" s="466">
        <f t="shared" si="17"/>
        <v>2.4465432889957453E-4</v>
      </c>
      <c r="K90" s="466">
        <f t="shared" si="18"/>
        <v>8.1955257135370618E-4</v>
      </c>
      <c r="L90" s="466">
        <f t="shared" si="19"/>
        <v>3.4511541464407911E-4</v>
      </c>
      <c r="M90" s="466">
        <f t="shared" si="20"/>
        <v>7.9871575203640925E-4</v>
      </c>
    </row>
    <row r="91" spans="1:20" ht="16">
      <c r="A91" s="463" t="s">
        <v>835</v>
      </c>
      <c r="B91" s="460">
        <v>223249.49750038699</v>
      </c>
      <c r="C91" s="444">
        <v>1.9400000000000001E-2</v>
      </c>
      <c r="D91" s="443">
        <v>1.9557798165137613E-2</v>
      </c>
      <c r="E91" s="464">
        <v>8.6988711197737628E-2</v>
      </c>
      <c r="F91" s="445">
        <v>2.758871119773763E-2</v>
      </c>
      <c r="G91" s="445">
        <v>0.29499999999999998</v>
      </c>
      <c r="H91" s="465" t="s">
        <v>821</v>
      </c>
      <c r="I91" s="466">
        <f t="shared" si="16"/>
        <v>4.5736721153745413E-2</v>
      </c>
      <c r="J91" s="466">
        <f t="shared" si="17"/>
        <v>8.9450956106013274E-4</v>
      </c>
      <c r="K91" s="466">
        <f t="shared" si="18"/>
        <v>3.9785784275746172E-3</v>
      </c>
      <c r="L91" s="466">
        <f t="shared" si="19"/>
        <v>1.2618171910421397E-3</v>
      </c>
      <c r="M91" s="466">
        <f t="shared" si="20"/>
        <v>1.3492332740354896E-2</v>
      </c>
    </row>
    <row r="92" spans="1:20" ht="16">
      <c r="A92" s="463" t="s">
        <v>836</v>
      </c>
      <c r="B92" s="460">
        <v>2862.1319796954299</v>
      </c>
      <c r="C92" s="444" t="s">
        <v>38</v>
      </c>
      <c r="D92" s="443">
        <v>0.12238004587155965</v>
      </c>
      <c r="E92" s="464">
        <v>0.23203230315643184</v>
      </c>
      <c r="F92" s="445">
        <v>0.17263230315643183</v>
      </c>
      <c r="G92" s="445">
        <v>0.36</v>
      </c>
      <c r="H92" s="465" t="s">
        <v>821</v>
      </c>
      <c r="I92" s="466">
        <f t="shared" si="16"/>
        <v>5.8635980697031712E-4</v>
      </c>
      <c r="J92" s="466">
        <f t="shared" si="17"/>
        <v>7.1758740074266274E-5</v>
      </c>
      <c r="K92" s="466">
        <f t="shared" si="18"/>
        <v>1.3605441648968346E-4</v>
      </c>
      <c r="L92" s="466">
        <f t="shared" si="19"/>
        <v>1.0122464395564664E-4</v>
      </c>
      <c r="M92" s="466">
        <f t="shared" si="20"/>
        <v>2.1108953050931416E-4</v>
      </c>
    </row>
    <row r="93" spans="1:20" ht="16">
      <c r="A93" s="463" t="s">
        <v>837</v>
      </c>
      <c r="B93" s="460">
        <v>59319.547636087598</v>
      </c>
      <c r="C93" s="444">
        <v>1.43E-2</v>
      </c>
      <c r="D93" s="443">
        <v>2.3296788990825688E-2</v>
      </c>
      <c r="E93" s="464">
        <v>9.2263023632599236E-2</v>
      </c>
      <c r="F93" s="445">
        <v>3.2863023632599235E-2</v>
      </c>
      <c r="G93" s="445">
        <v>0.25</v>
      </c>
      <c r="H93" s="465" t="s">
        <v>821</v>
      </c>
      <c r="I93" s="466">
        <f t="shared" si="16"/>
        <v>1.2152688537152715E-2</v>
      </c>
      <c r="J93" s="466">
        <f t="shared" si="17"/>
        <v>2.8311862052127288E-4</v>
      </c>
      <c r="K93" s="466">
        <f t="shared" si="18"/>
        <v>1.1212437897029387E-3</v>
      </c>
      <c r="L93" s="466">
        <f t="shared" si="19"/>
        <v>3.9937409059606751E-4</v>
      </c>
      <c r="M93" s="466">
        <f t="shared" si="20"/>
        <v>3.0381721342881787E-3</v>
      </c>
    </row>
    <row r="94" spans="1:20" ht="16">
      <c r="A94" s="463" t="s">
        <v>838</v>
      </c>
      <c r="B94" s="460">
        <v>98400</v>
      </c>
      <c r="C94" s="444" t="s">
        <v>38</v>
      </c>
      <c r="D94" s="443">
        <v>0.17499999999999999</v>
      </c>
      <c r="E94" s="464">
        <v>0.30625930485826308</v>
      </c>
      <c r="F94" s="445">
        <v>0.2468593048582631</v>
      </c>
      <c r="G94" s="445">
        <v>0.34</v>
      </c>
      <c r="H94" s="465" t="s">
        <v>821</v>
      </c>
      <c r="I94" s="466">
        <f t="shared" si="16"/>
        <v>2.0159030196790242E-2</v>
      </c>
      <c r="J94" s="466">
        <f t="shared" si="17"/>
        <v>3.527830284438292E-3</v>
      </c>
      <c r="K94" s="466">
        <f t="shared" si="18"/>
        <v>6.1738905746857135E-3</v>
      </c>
      <c r="L94" s="466">
        <f t="shared" si="19"/>
        <v>4.9764441809963741E-3</v>
      </c>
      <c r="M94" s="466">
        <f t="shared" si="20"/>
        <v>6.854070266908683E-3</v>
      </c>
    </row>
    <row r="95" spans="1:20" ht="16">
      <c r="A95" s="467" t="s">
        <v>821</v>
      </c>
      <c r="B95" s="469">
        <f>SUM(B76:B94)</f>
        <v>4881187.1920141988</v>
      </c>
      <c r="C95" s="469"/>
      <c r="D95" s="470">
        <f>SUM(J76:J94)</f>
        <v>4.6544446090017511E-2</v>
      </c>
      <c r="E95" s="470">
        <f>SUM(K76:K94)</f>
        <v>0.12505674061025499</v>
      </c>
      <c r="F95" s="470">
        <f>SUM(L76:L94)</f>
        <v>6.5656740610255004E-2</v>
      </c>
      <c r="G95" s="470">
        <f>SUM(M76:M94)</f>
        <v>0.31456268874307608</v>
      </c>
      <c r="H95" s="467"/>
      <c r="I95" s="471">
        <f>SUM(I76:I94)</f>
        <v>0.99999999999999989</v>
      </c>
      <c r="J95" s="472"/>
      <c r="K95" s="472"/>
      <c r="L95" s="472"/>
      <c r="M95" s="472"/>
    </row>
    <row r="96" spans="1:20" ht="16">
      <c r="A96" s="463" t="s">
        <v>839</v>
      </c>
      <c r="B96" s="460">
        <v>18260.043499806801</v>
      </c>
      <c r="C96" s="444" t="s">
        <v>38</v>
      </c>
      <c r="D96" s="443">
        <v>5.5078211009174309E-2</v>
      </c>
      <c r="E96" s="464">
        <v>0.13709467932892289</v>
      </c>
      <c r="F96" s="445">
        <v>7.7694679328922892E-2</v>
      </c>
      <c r="G96" s="445">
        <v>0.15</v>
      </c>
      <c r="H96" s="465" t="s">
        <v>840</v>
      </c>
      <c r="I96" s="466">
        <f>B96/$B$123</f>
        <v>4.1183727682719395E-3</v>
      </c>
      <c r="J96" s="466">
        <f t="shared" ref="J96:J121" si="21">I96*D96</f>
        <v>2.268326043453192E-4</v>
      </c>
      <c r="K96" s="466">
        <f t="shared" ref="K96:K121" si="22">I96*E96</f>
        <v>5.6460699402320993E-4</v>
      </c>
      <c r="L96" s="466">
        <f t="shared" ref="L96:L121" si="23">I96*F96</f>
        <v>3.1997565158785682E-4</v>
      </c>
      <c r="M96" s="466">
        <f t="shared" si="20"/>
        <v>6.1775591524079092E-4</v>
      </c>
    </row>
    <row r="97" spans="1:13" ht="16">
      <c r="A97" s="463" t="s">
        <v>841</v>
      </c>
      <c r="B97" s="460">
        <v>13861.1838735931</v>
      </c>
      <c r="C97" s="444" t="s">
        <v>38</v>
      </c>
      <c r="D97" s="443">
        <v>4.4005045871559637E-2</v>
      </c>
      <c r="E97" s="464">
        <v>0.12147460019490969</v>
      </c>
      <c r="F97" s="445">
        <v>6.2074600194909679E-2</v>
      </c>
      <c r="G97" s="445">
        <v>0.18</v>
      </c>
      <c r="H97" s="465" t="s">
        <v>840</v>
      </c>
      <c r="I97" s="466">
        <f t="shared" ref="I97:I122" si="24">B97/$B$123</f>
        <v>3.1262533521138635E-3</v>
      </c>
      <c r="J97" s="466">
        <f t="shared" si="21"/>
        <v>1.3757092216588765E-4</v>
      </c>
      <c r="K97" s="466">
        <f t="shared" si="22"/>
        <v>3.7976037605602777E-4</v>
      </c>
      <c r="L97" s="466">
        <f t="shared" si="23"/>
        <v>1.9406092694046427E-4</v>
      </c>
      <c r="M97" s="466">
        <f t="shared" si="20"/>
        <v>5.6272560338049545E-4</v>
      </c>
    </row>
    <row r="98" spans="1:13" ht="16">
      <c r="A98" s="463" t="s">
        <v>842</v>
      </c>
      <c r="B98" s="460">
        <v>54622.176470588201</v>
      </c>
      <c r="C98" s="444" t="s">
        <v>38</v>
      </c>
      <c r="D98" s="443">
        <v>3.0630963302752296E-2</v>
      </c>
      <c r="E98" s="464">
        <v>0.10260879033175085</v>
      </c>
      <c r="F98" s="445">
        <v>4.3208790331750853E-2</v>
      </c>
      <c r="G98" s="445">
        <v>0.2</v>
      </c>
      <c r="H98" s="465" t="s">
        <v>840</v>
      </c>
      <c r="I98" s="466">
        <f t="shared" si="24"/>
        <v>1.2319493331031486E-2</v>
      </c>
      <c r="J98" s="466">
        <f t="shared" si="21"/>
        <v>3.7735794813132707E-4</v>
      </c>
      <c r="K98" s="466">
        <f t="shared" si="22"/>
        <v>1.2640883081972128E-3</v>
      </c>
      <c r="L98" s="466">
        <f t="shared" si="23"/>
        <v>5.3231040433394234E-4</v>
      </c>
      <c r="M98" s="466">
        <f t="shared" si="20"/>
        <v>2.4638986662062975E-3</v>
      </c>
    </row>
    <row r="99" spans="1:13" ht="16">
      <c r="A99" s="463" t="s">
        <v>843</v>
      </c>
      <c r="B99" s="460">
        <v>68218.816484122595</v>
      </c>
      <c r="C99" s="444" t="s">
        <v>38</v>
      </c>
      <c r="D99" s="443">
        <v>0.14682729357798166</v>
      </c>
      <c r="E99" s="464">
        <v>0.26651819215360384</v>
      </c>
      <c r="F99" s="445">
        <v>0.20711819215360386</v>
      </c>
      <c r="G99" s="445">
        <v>0.18</v>
      </c>
      <c r="H99" s="465" t="s">
        <v>840</v>
      </c>
      <c r="I99" s="466">
        <f t="shared" si="24"/>
        <v>1.5386081423898249E-2</v>
      </c>
      <c r="J99" s="466">
        <f t="shared" si="21"/>
        <v>2.2590966942414381E-3</v>
      </c>
      <c r="K99" s="466">
        <f t="shared" si="22"/>
        <v>4.1006706054255082E-3</v>
      </c>
      <c r="L99" s="466">
        <f t="shared" si="23"/>
        <v>3.1867373688459523E-3</v>
      </c>
      <c r="M99" s="466">
        <f t="shared" si="20"/>
        <v>2.7694946563016848E-3</v>
      </c>
    </row>
    <row r="100" spans="1:13" ht="16">
      <c r="A100" s="463" t="s">
        <v>844</v>
      </c>
      <c r="B100" s="460">
        <v>22571.512867281603</v>
      </c>
      <c r="C100" s="444" t="s">
        <v>38</v>
      </c>
      <c r="D100" s="443">
        <v>7.9525458715596339E-2</v>
      </c>
      <c r="E100" s="464">
        <v>0.17158056832609495</v>
      </c>
      <c r="F100" s="445">
        <v>0.11218056832609494</v>
      </c>
      <c r="G100" s="445">
        <v>0.1</v>
      </c>
      <c r="H100" s="465" t="s">
        <v>840</v>
      </c>
      <c r="I100" s="466">
        <f t="shared" si="24"/>
        <v>5.0907821732350074E-3</v>
      </c>
      <c r="J100" s="466">
        <f t="shared" si="21"/>
        <v>4.0484678754769437E-4</v>
      </c>
      <c r="K100" s="466">
        <f t="shared" si="22"/>
        <v>8.7347929850801532E-4</v>
      </c>
      <c r="L100" s="466">
        <f t="shared" si="23"/>
        <v>5.7108683741785582E-4</v>
      </c>
      <c r="M100" s="466">
        <f t="shared" si="20"/>
        <v>5.0907821732350071E-4</v>
      </c>
    </row>
    <row r="101" spans="1:13" ht="16">
      <c r="A101" s="463" t="s">
        <v>845</v>
      </c>
      <c r="B101" s="460">
        <v>80271.119426107602</v>
      </c>
      <c r="C101" s="444">
        <v>1.4999999999999999E-2</v>
      </c>
      <c r="D101" s="443">
        <v>1.9557798165137613E-2</v>
      </c>
      <c r="E101" s="464">
        <v>8.6988711197737628E-2</v>
      </c>
      <c r="F101" s="445">
        <v>2.758871119773763E-2</v>
      </c>
      <c r="G101" s="445">
        <v>0.1</v>
      </c>
      <c r="H101" s="465" t="s">
        <v>840</v>
      </c>
      <c r="I101" s="466">
        <f t="shared" si="24"/>
        <v>1.8104359517362813E-2</v>
      </c>
      <c r="J101" s="466">
        <f t="shared" si="21"/>
        <v>3.5408140934967011E-4</v>
      </c>
      <c r="K101" s="466">
        <f t="shared" si="22"/>
        <v>1.5748749014758863E-3</v>
      </c>
      <c r="L101" s="466">
        <f t="shared" si="23"/>
        <v>4.9947594614453532E-4</v>
      </c>
      <c r="M101" s="466">
        <f t="shared" si="20"/>
        <v>1.8104359517362814E-3</v>
      </c>
    </row>
    <row r="102" spans="1:13" ht="16">
      <c r="A102" s="463" t="s">
        <v>846</v>
      </c>
      <c r="B102" s="460">
        <v>67837.788543585193</v>
      </c>
      <c r="C102" s="444">
        <v>1.34E-2</v>
      </c>
      <c r="D102" s="443">
        <v>2.3296788990825688E-2</v>
      </c>
      <c r="E102" s="464">
        <v>9.2263023632599236E-2</v>
      </c>
      <c r="F102" s="445">
        <v>3.2863023632599235E-2</v>
      </c>
      <c r="G102" s="445">
        <v>0.18</v>
      </c>
      <c r="H102" s="465" t="s">
        <v>840</v>
      </c>
      <c r="I102" s="466">
        <f t="shared" si="24"/>
        <v>1.5300144328826346E-2</v>
      </c>
      <c r="J102" s="466">
        <f t="shared" si="21"/>
        <v>3.564442339578457E-4</v>
      </c>
      <c r="K102" s="466">
        <f t="shared" si="22"/>
        <v>1.4116375777926844E-3</v>
      </c>
      <c r="L102" s="466">
        <f t="shared" si="23"/>
        <v>5.0280900466039935E-4</v>
      </c>
      <c r="M102" s="466">
        <f t="shared" si="20"/>
        <v>2.754025979188742E-3</v>
      </c>
    </row>
    <row r="103" spans="1:13" ht="16">
      <c r="A103" s="463" t="s">
        <v>847</v>
      </c>
      <c r="B103" s="460">
        <v>282340.84985661402</v>
      </c>
      <c r="C103" s="444">
        <v>6.1999999999999998E-3</v>
      </c>
      <c r="D103" s="443">
        <v>7.3341743119266058E-3</v>
      </c>
      <c r="E103" s="464">
        <v>6.9745766699151612E-2</v>
      </c>
      <c r="F103" s="445">
        <v>1.0345766699151613E-2</v>
      </c>
      <c r="G103" s="445">
        <v>0.19</v>
      </c>
      <c r="H103" s="465" t="s">
        <v>840</v>
      </c>
      <c r="I103" s="466">
        <f t="shared" si="24"/>
        <v>6.3679194818596033E-2</v>
      </c>
      <c r="J103" s="466">
        <f t="shared" si="21"/>
        <v>4.6703431484271685E-4</v>
      </c>
      <c r="K103" s="466">
        <f t="shared" si="22"/>
        <v>4.4413542654076228E-3</v>
      </c>
      <c r="L103" s="466">
        <f t="shared" si="23"/>
        <v>6.5881009318301872E-4</v>
      </c>
      <c r="M103" s="466">
        <f t="shared" si="20"/>
        <v>1.2099047015533246E-2</v>
      </c>
    </row>
    <row r="104" spans="1:13" ht="16">
      <c r="A104" s="463" t="s">
        <v>848</v>
      </c>
      <c r="B104" s="460">
        <v>36262.924353604103</v>
      </c>
      <c r="C104" s="444">
        <v>1.7600000000000001E-2</v>
      </c>
      <c r="D104" s="443">
        <v>8.6284403669724778E-3</v>
      </c>
      <c r="E104" s="464">
        <v>7.1571490234296015E-2</v>
      </c>
      <c r="F104" s="445">
        <v>1.2171490234296015E-2</v>
      </c>
      <c r="G104" s="445">
        <v>0.2</v>
      </c>
      <c r="H104" s="465" t="s">
        <v>840</v>
      </c>
      <c r="I104" s="466">
        <f t="shared" si="24"/>
        <v>8.1787450373471769E-3</v>
      </c>
      <c r="J104" s="466">
        <f t="shared" si="21"/>
        <v>7.056981383142221E-5</v>
      </c>
      <c r="K104" s="466">
        <f t="shared" si="22"/>
        <v>5.8536497056929041E-4</v>
      </c>
      <c r="L104" s="466">
        <f t="shared" si="23"/>
        <v>9.9547515350868155E-5</v>
      </c>
      <c r="M104" s="466">
        <f t="shared" si="20"/>
        <v>1.6357490074694354E-3</v>
      </c>
    </row>
    <row r="105" spans="1:13" ht="16">
      <c r="A105" s="463" t="s">
        <v>849</v>
      </c>
      <c r="B105" s="460">
        <v>18700.241392157503</v>
      </c>
      <c r="C105" s="444" t="s">
        <v>38</v>
      </c>
      <c r="D105" s="443">
        <v>3.6814678899082569E-2</v>
      </c>
      <c r="E105" s="464">
        <v>0.11133169166632967</v>
      </c>
      <c r="F105" s="445">
        <v>5.193169166632966E-2</v>
      </c>
      <c r="G105" s="445">
        <v>0.15</v>
      </c>
      <c r="H105" s="465" t="s">
        <v>840</v>
      </c>
      <c r="I105" s="466">
        <f t="shared" si="24"/>
        <v>4.217655062562586E-3</v>
      </c>
      <c r="J105" s="466">
        <f t="shared" si="21"/>
        <v>1.552716168353316E-4</v>
      </c>
      <c r="K105" s="466">
        <f t="shared" si="22"/>
        <v>4.695586729801522E-4</v>
      </c>
      <c r="L105" s="466">
        <f t="shared" si="23"/>
        <v>2.1902996226393456E-4</v>
      </c>
      <c r="M105" s="466">
        <f t="shared" si="20"/>
        <v>6.3264825938438786E-4</v>
      </c>
    </row>
    <row r="106" spans="1:13" ht="16">
      <c r="A106" s="463" t="s">
        <v>850</v>
      </c>
      <c r="B106" s="460">
        <v>182280.51758121201</v>
      </c>
      <c r="C106" s="444">
        <v>2.4299999999999999E-2</v>
      </c>
      <c r="D106" s="443">
        <v>2.3296788990825688E-2</v>
      </c>
      <c r="E106" s="464">
        <v>9.2263023632599236E-2</v>
      </c>
      <c r="F106" s="445">
        <v>3.2863023632599235E-2</v>
      </c>
      <c r="G106" s="445">
        <v>0.09</v>
      </c>
      <c r="H106" s="465" t="s">
        <v>840</v>
      </c>
      <c r="I106" s="466">
        <f t="shared" si="24"/>
        <v>4.1111573463717146E-2</v>
      </c>
      <c r="J106" s="466">
        <f t="shared" si="21"/>
        <v>9.5776765206504713E-4</v>
      </c>
      <c r="K106" s="466">
        <f t="shared" si="22"/>
        <v>3.7930780740562746E-3</v>
      </c>
      <c r="L106" s="466">
        <f t="shared" si="23"/>
        <v>1.3510506103114762E-3</v>
      </c>
      <c r="M106" s="466">
        <f t="shared" si="20"/>
        <v>3.7000416117345431E-3</v>
      </c>
    </row>
    <row r="107" spans="1:13" ht="16">
      <c r="A107" s="463" t="s">
        <v>851</v>
      </c>
      <c r="B107" s="460">
        <v>190814.27422621101</v>
      </c>
      <c r="C107" s="444">
        <v>2.7E-2</v>
      </c>
      <c r="D107" s="443">
        <v>2.3296788990825688E-2</v>
      </c>
      <c r="E107" s="464">
        <v>9.2263023632599236E-2</v>
      </c>
      <c r="F107" s="445">
        <v>3.2863023632599235E-2</v>
      </c>
      <c r="G107" s="445">
        <v>0.2</v>
      </c>
      <c r="H107" s="465" t="s">
        <v>840</v>
      </c>
      <c r="I107" s="466">
        <f t="shared" si="24"/>
        <v>4.3036278132585835E-2</v>
      </c>
      <c r="J107" s="466">
        <f t="shared" si="21"/>
        <v>1.0026070906053379E-3</v>
      </c>
      <c r="K107" s="466">
        <f t="shared" si="22"/>
        <v>3.9706571464058803E-3</v>
      </c>
      <c r="L107" s="466">
        <f t="shared" si="23"/>
        <v>1.4143022253302821E-3</v>
      </c>
      <c r="M107" s="466">
        <f t="shared" si="20"/>
        <v>8.6072556265171674E-3</v>
      </c>
    </row>
    <row r="108" spans="1:13" ht="16">
      <c r="A108" s="463" t="s">
        <v>852</v>
      </c>
      <c r="B108" s="460">
        <v>8543.4235026133993</v>
      </c>
      <c r="C108" s="444" t="s">
        <v>38</v>
      </c>
      <c r="D108" s="443">
        <v>7.9525458715596339E-2</v>
      </c>
      <c r="E108" s="464">
        <v>0.17158056832609495</v>
      </c>
      <c r="F108" s="445">
        <v>0.11218056832609494</v>
      </c>
      <c r="G108" s="445">
        <v>0.1</v>
      </c>
      <c r="H108" s="465" t="s">
        <v>840</v>
      </c>
      <c r="I108" s="466">
        <f t="shared" si="24"/>
        <v>1.9268849332888919E-3</v>
      </c>
      <c r="J108" s="466">
        <f t="shared" si="21"/>
        <v>1.5323640821197039E-4</v>
      </c>
      <c r="K108" s="466">
        <f t="shared" si="22"/>
        <v>3.3061601195269761E-4</v>
      </c>
      <c r="L108" s="466">
        <f t="shared" si="23"/>
        <v>2.1615904691533742E-4</v>
      </c>
      <c r="M108" s="466">
        <f t="shared" si="20"/>
        <v>1.9268849332888921E-4</v>
      </c>
    </row>
    <row r="109" spans="1:13" ht="16">
      <c r="A109" s="463" t="s">
        <v>853</v>
      </c>
      <c r="B109" s="460">
        <v>38872.546228565297</v>
      </c>
      <c r="C109" s="444">
        <v>1.37E-2</v>
      </c>
      <c r="D109" s="443">
        <v>1.4668348623853212E-2</v>
      </c>
      <c r="E109" s="464">
        <v>8.009153339830323E-2</v>
      </c>
      <c r="F109" s="445">
        <v>2.0691533398303225E-2</v>
      </c>
      <c r="G109" s="445">
        <v>0.2</v>
      </c>
      <c r="H109" s="465" t="s">
        <v>840</v>
      </c>
      <c r="I109" s="466">
        <f t="shared" si="24"/>
        <v>8.767319520504387E-3</v>
      </c>
      <c r="J109" s="466">
        <f t="shared" si="21"/>
        <v>1.2860209922347193E-4</v>
      </c>
      <c r="K109" s="466">
        <f t="shared" si="22"/>
        <v>7.0218806419007293E-4</v>
      </c>
      <c r="L109" s="466">
        <f t="shared" si="23"/>
        <v>1.8140928467211235E-4</v>
      </c>
      <c r="M109" s="466">
        <f t="shared" si="20"/>
        <v>1.7534639041008775E-3</v>
      </c>
    </row>
    <row r="110" spans="1:13" ht="16">
      <c r="A110" s="463" t="s">
        <v>854</v>
      </c>
      <c r="B110" s="460">
        <v>65503.849704599699</v>
      </c>
      <c r="C110" s="444">
        <v>1.4500000000000001E-2</v>
      </c>
      <c r="D110" s="443">
        <v>1.0354128440366973E-2</v>
      </c>
      <c r="E110" s="464">
        <v>7.4005788281155213E-2</v>
      </c>
      <c r="F110" s="445">
        <v>1.4605788281155217E-2</v>
      </c>
      <c r="G110" s="445">
        <v>0.15</v>
      </c>
      <c r="H110" s="465" t="s">
        <v>840</v>
      </c>
      <c r="I110" s="466">
        <f t="shared" si="24"/>
        <v>1.4773747436212603E-2</v>
      </c>
      <c r="J110" s="466">
        <f t="shared" si="21"/>
        <v>1.5296927850008755E-4</v>
      </c>
      <c r="K110" s="466">
        <f t="shared" si="22"/>
        <v>1.0933428248836095E-3</v>
      </c>
      <c r="L110" s="466">
        <f t="shared" si="23"/>
        <v>2.1578222717258096E-4</v>
      </c>
      <c r="M110" s="466">
        <f t="shared" si="20"/>
        <v>2.2160621154318902E-3</v>
      </c>
    </row>
    <row r="111" spans="1:13" ht="16">
      <c r="A111" s="463" t="s">
        <v>855</v>
      </c>
      <c r="B111" s="460">
        <v>13879.2691515718</v>
      </c>
      <c r="C111" s="444" t="s">
        <v>38</v>
      </c>
      <c r="D111" s="443">
        <v>4.4005045871559637E-2</v>
      </c>
      <c r="E111" s="464">
        <v>0.12147460019490969</v>
      </c>
      <c r="F111" s="445">
        <v>6.2074600194909679E-2</v>
      </c>
      <c r="G111" s="445">
        <v>0.1</v>
      </c>
      <c r="H111" s="465" t="s">
        <v>840</v>
      </c>
      <c r="I111" s="466">
        <f t="shared" si="24"/>
        <v>3.1303323082420291E-3</v>
      </c>
      <c r="J111" s="466">
        <f t="shared" si="21"/>
        <v>1.3775041681741564E-4</v>
      </c>
      <c r="K111" s="466">
        <f t="shared" si="22"/>
        <v>3.8025586562090929E-4</v>
      </c>
      <c r="L111" s="466">
        <f t="shared" si="23"/>
        <v>1.9431412651133272E-4</v>
      </c>
      <c r="M111" s="466">
        <f t="shared" si="20"/>
        <v>3.1303323082420296E-4</v>
      </c>
    </row>
    <row r="112" spans="1:13" ht="16">
      <c r="A112" s="463" t="s">
        <v>856</v>
      </c>
      <c r="B112" s="460">
        <v>13679.2213332052</v>
      </c>
      <c r="C112" s="444" t="s">
        <v>38</v>
      </c>
      <c r="D112" s="443">
        <v>7.9525458715596339E-2</v>
      </c>
      <c r="E112" s="464">
        <v>0.17158056832609495</v>
      </c>
      <c r="F112" s="445">
        <v>0.11218056832609494</v>
      </c>
      <c r="G112" s="445">
        <v>0.12</v>
      </c>
      <c r="H112" s="465" t="s">
        <v>840</v>
      </c>
      <c r="I112" s="466">
        <f t="shared" si="24"/>
        <v>3.0852134952708589E-3</v>
      </c>
      <c r="J112" s="466">
        <f t="shared" si="21"/>
        <v>2.4535301844696338E-4</v>
      </c>
      <c r="K112" s="466">
        <f t="shared" si="22"/>
        <v>5.293626849259118E-4</v>
      </c>
      <c r="L112" s="466">
        <f t="shared" si="23"/>
        <v>3.4610100330682278E-4</v>
      </c>
      <c r="M112" s="466">
        <f t="shared" si="20"/>
        <v>3.7022561943250308E-4</v>
      </c>
    </row>
    <row r="113" spans="1:13" ht="16">
      <c r="A113" s="463" t="s">
        <v>857</v>
      </c>
      <c r="B113" s="460">
        <v>5809.1709617828501</v>
      </c>
      <c r="C113" s="444" t="s">
        <v>38</v>
      </c>
      <c r="D113" s="443">
        <v>5.5078211009174309E-2</v>
      </c>
      <c r="E113" s="464">
        <v>0.13709467932892289</v>
      </c>
      <c r="F113" s="445">
        <v>7.7694679328922892E-2</v>
      </c>
      <c r="G113" s="445">
        <v>0.15</v>
      </c>
      <c r="H113" s="465" t="s">
        <v>840</v>
      </c>
      <c r="I113" s="466">
        <f t="shared" si="24"/>
        <v>1.3102012322969401E-3</v>
      </c>
      <c r="J113" s="466">
        <f t="shared" si="21"/>
        <v>7.2163539936931069E-5</v>
      </c>
      <c r="K113" s="466">
        <f t="shared" si="22"/>
        <v>1.796216177981086E-4</v>
      </c>
      <c r="L113" s="466">
        <f t="shared" si="23"/>
        <v>1.0179566459967038E-4</v>
      </c>
      <c r="M113" s="466">
        <f t="shared" si="20"/>
        <v>1.96530184844541E-4</v>
      </c>
    </row>
    <row r="114" spans="1:13" ht="16">
      <c r="A114" s="463" t="s">
        <v>858</v>
      </c>
      <c r="B114" s="460">
        <v>674048.26639736898</v>
      </c>
      <c r="C114" s="444">
        <v>1.4500000000000001E-2</v>
      </c>
      <c r="D114" s="443">
        <v>1.0354128440366973E-2</v>
      </c>
      <c r="E114" s="464">
        <v>7.4005788281155213E-2</v>
      </c>
      <c r="F114" s="445">
        <v>1.4605788281155217E-2</v>
      </c>
      <c r="G114" s="445">
        <v>0.19</v>
      </c>
      <c r="H114" s="465" t="s">
        <v>840</v>
      </c>
      <c r="I114" s="466">
        <f t="shared" si="24"/>
        <v>0.15202494040395934</v>
      </c>
      <c r="J114" s="466">
        <f t="shared" si="21"/>
        <v>1.5740857590817294E-3</v>
      </c>
      <c r="K114" s="466">
        <f t="shared" si="22"/>
        <v>1.1250725552990653E-2</v>
      </c>
      <c r="L114" s="466">
        <f t="shared" si="23"/>
        <v>2.2204440929954696E-3</v>
      </c>
      <c r="M114" s="466">
        <f t="shared" si="20"/>
        <v>2.8884738676752272E-2</v>
      </c>
    </row>
    <row r="115" spans="1:13" ht="16">
      <c r="A115" s="463" t="s">
        <v>859</v>
      </c>
      <c r="B115" s="460">
        <v>284087.56369579799</v>
      </c>
      <c r="C115" s="444">
        <v>3.1699999999999999E-2</v>
      </c>
      <c r="D115" s="443">
        <v>2.6891972477064225E-2</v>
      </c>
      <c r="E115" s="464">
        <v>9.733447789688926E-2</v>
      </c>
      <c r="F115" s="445">
        <v>3.7934477896889252E-2</v>
      </c>
      <c r="G115" s="445">
        <v>0.16</v>
      </c>
      <c r="H115" s="465" t="s">
        <v>840</v>
      </c>
      <c r="I115" s="466">
        <f t="shared" si="24"/>
        <v>6.4073148902513477E-2</v>
      </c>
      <c r="J115" s="466">
        <f t="shared" si="21"/>
        <v>1.7230533568052303E-3</v>
      </c>
      <c r="K115" s="466">
        <f t="shared" si="22"/>
        <v>6.236526495635792E-3</v>
      </c>
      <c r="L115" s="466">
        <f t="shared" si="23"/>
        <v>2.4305814508264914E-3</v>
      </c>
      <c r="M115" s="466">
        <f t="shared" si="20"/>
        <v>1.0251703824402157E-2</v>
      </c>
    </row>
    <row r="116" spans="1:13" ht="16">
      <c r="A116" s="463" t="s">
        <v>860</v>
      </c>
      <c r="B116" s="460">
        <v>1775799.9193529801</v>
      </c>
      <c r="C116" s="444" t="s">
        <v>38</v>
      </c>
      <c r="D116" s="443">
        <v>9.1749082568807344E-2</v>
      </c>
      <c r="E116" s="464">
        <v>0.18882351282468096</v>
      </c>
      <c r="F116" s="445">
        <v>0.12942351282468095</v>
      </c>
      <c r="G116" s="445">
        <v>0.2</v>
      </c>
      <c r="H116" s="465" t="s">
        <v>840</v>
      </c>
      <c r="I116" s="466">
        <f t="shared" si="24"/>
        <v>0.40051416251227429</v>
      </c>
      <c r="J116" s="466">
        <f t="shared" si="21"/>
        <v>3.6746806966315375E-2</v>
      </c>
      <c r="K116" s="466">
        <f t="shared" si="22"/>
        <v>7.5626491101602772E-2</v>
      </c>
      <c r="L116" s="466">
        <f t="shared" si="23"/>
        <v>5.1835949848373683E-2</v>
      </c>
      <c r="M116" s="466">
        <f t="shared" si="20"/>
        <v>8.0102832502454868E-2</v>
      </c>
    </row>
    <row r="117" spans="1:13" ht="16">
      <c r="A117" s="463" t="s">
        <v>861</v>
      </c>
      <c r="B117" s="460">
        <v>63068.134601125399</v>
      </c>
      <c r="C117" s="444">
        <v>2.93E-2</v>
      </c>
      <c r="D117" s="443">
        <v>3.6814678899082569E-2</v>
      </c>
      <c r="E117" s="464">
        <v>0.11133169166632967</v>
      </c>
      <c r="F117" s="445">
        <v>5.193169166632966E-2</v>
      </c>
      <c r="G117" s="445">
        <v>0.15</v>
      </c>
      <c r="H117" s="465" t="s">
        <v>840</v>
      </c>
      <c r="I117" s="466">
        <f t="shared" si="24"/>
        <v>1.4224395910652252E-2</v>
      </c>
      <c r="J117" s="466">
        <f t="shared" si="21"/>
        <v>5.2366656798408587E-4</v>
      </c>
      <c r="K117" s="466">
        <f t="shared" si="22"/>
        <v>1.5836260596645371E-3</v>
      </c>
      <c r="L117" s="466">
        <f t="shared" si="23"/>
        <v>7.3869694257179324E-4</v>
      </c>
      <c r="M117" s="466">
        <f t="shared" si="20"/>
        <v>2.1336593865978379E-3</v>
      </c>
    </row>
    <row r="118" spans="1:13" ht="16">
      <c r="A118" s="463" t="s">
        <v>862</v>
      </c>
      <c r="B118" s="460">
        <v>114870.706410165</v>
      </c>
      <c r="C118" s="444">
        <v>7.4999999999999997E-3</v>
      </c>
      <c r="D118" s="443">
        <v>1.0354128440366973E-2</v>
      </c>
      <c r="E118" s="464">
        <v>7.4005788281155213E-2</v>
      </c>
      <c r="F118" s="445">
        <v>1.4605788281155217E-2</v>
      </c>
      <c r="G118" s="445">
        <v>0.21</v>
      </c>
      <c r="H118" s="465" t="s">
        <v>840</v>
      </c>
      <c r="I118" s="466">
        <f t="shared" si="24"/>
        <v>2.5907955211431442E-2</v>
      </c>
      <c r="J118" s="466">
        <f t="shared" si="21"/>
        <v>2.6825429588643601E-4</v>
      </c>
      <c r="K118" s="466">
        <f t="shared" si="22"/>
        <v>1.9173386481748471E-3</v>
      </c>
      <c r="L118" s="466">
        <f t="shared" si="23"/>
        <v>3.7840610861581959E-4</v>
      </c>
      <c r="M118" s="466">
        <f t="shared" si="20"/>
        <v>5.4406705944006024E-3</v>
      </c>
    </row>
    <row r="119" spans="1:13" ht="16">
      <c r="A119" s="463" t="s">
        <v>863</v>
      </c>
      <c r="B119" s="460">
        <v>61526.331889499001</v>
      </c>
      <c r="C119" s="444">
        <v>0.01</v>
      </c>
      <c r="D119" s="443">
        <v>1.4668348623853212E-2</v>
      </c>
      <c r="E119" s="464">
        <v>8.009153339830323E-2</v>
      </c>
      <c r="F119" s="445">
        <v>2.0691533398303225E-2</v>
      </c>
      <c r="G119" s="445">
        <v>0.19</v>
      </c>
      <c r="H119" s="465" t="s">
        <v>840</v>
      </c>
      <c r="I119" s="466">
        <f t="shared" si="24"/>
        <v>1.3876657511142022E-2</v>
      </c>
      <c r="J119" s="466">
        <f>I119*D119</f>
        <v>2.0354765010724239E-4</v>
      </c>
      <c r="K119" s="466">
        <f>I119*E119</f>
        <v>1.1114027785104467E-3</v>
      </c>
      <c r="L119" s="466">
        <f>I119*F119</f>
        <v>2.8712932234861043E-4</v>
      </c>
      <c r="M119" s="466">
        <f>I119*G119</f>
        <v>2.636564927116984E-3</v>
      </c>
    </row>
    <row r="120" spans="1:13" ht="16">
      <c r="A120" s="463" t="s">
        <v>864</v>
      </c>
      <c r="B120" s="460">
        <v>8746.2706364014211</v>
      </c>
      <c r="C120" s="444" t="s">
        <v>38</v>
      </c>
      <c r="D120" s="443">
        <v>7.9525458715596339E-2</v>
      </c>
      <c r="E120" s="464">
        <v>0.17158056832609495</v>
      </c>
      <c r="F120" s="445">
        <v>0.11218056832609494</v>
      </c>
      <c r="G120" s="445">
        <v>0.18</v>
      </c>
      <c r="H120" s="465" t="s">
        <v>840</v>
      </c>
      <c r="I120" s="466">
        <f t="shared" si="24"/>
        <v>1.9726351042522548E-3</v>
      </c>
      <c r="J120" s="466">
        <f>I120*D120</f>
        <v>1.5687471154414876E-4</v>
      </c>
      <c r="K120" s="466">
        <f>I120*E120</f>
        <v>3.3846585228760744E-4</v>
      </c>
      <c r="L120" s="466">
        <f>I120*F120</f>
        <v>2.2129132709502346E-4</v>
      </c>
      <c r="M120" s="466">
        <f>I120*G120</f>
        <v>3.5507431876540582E-4</v>
      </c>
    </row>
    <row r="121" spans="1:13" ht="16">
      <c r="A121" s="463" t="s">
        <v>865</v>
      </c>
      <c r="B121" s="460">
        <v>200085.53774435399</v>
      </c>
      <c r="C121" s="444" t="s">
        <v>38</v>
      </c>
      <c r="D121" s="443">
        <v>0.12238004587155965</v>
      </c>
      <c r="E121" s="464">
        <v>0.23203230315643184</v>
      </c>
      <c r="F121" s="445">
        <v>0.17263230315643183</v>
      </c>
      <c r="G121" s="445">
        <v>0.18</v>
      </c>
      <c r="H121" s="465" t="s">
        <v>840</v>
      </c>
      <c r="I121" s="466">
        <f t="shared" si="24"/>
        <v>4.5127320204911524E-2</v>
      </c>
      <c r="J121" s="466">
        <f t="shared" si="21"/>
        <v>5.5226835167376332E-3</v>
      </c>
      <c r="K121" s="466">
        <f t="shared" si="22"/>
        <v>1.0470996042423403E-2</v>
      </c>
      <c r="L121" s="466">
        <f t="shared" si="23"/>
        <v>7.7904332222516574E-3</v>
      </c>
      <c r="M121" s="466">
        <f t="shared" si="20"/>
        <v>8.1229176368840736E-3</v>
      </c>
    </row>
    <row r="122" spans="1:13" ht="16">
      <c r="A122" s="463" t="s">
        <v>866</v>
      </c>
      <c r="B122" s="460">
        <v>69238.903106173791</v>
      </c>
      <c r="C122" s="444" t="s">
        <v>38</v>
      </c>
      <c r="D122" s="443">
        <v>5.5078211009174309E-2</v>
      </c>
      <c r="E122" s="464">
        <v>0.13709467932892289</v>
      </c>
      <c r="F122" s="445">
        <v>7.7694679328922892E-2</v>
      </c>
      <c r="G122" s="445">
        <v>0.15</v>
      </c>
      <c r="H122" s="465" t="s">
        <v>840</v>
      </c>
      <c r="I122" s="466">
        <f t="shared" si="24"/>
        <v>1.5616151903499166E-2</v>
      </c>
      <c r="J122" s="466">
        <f>I122*D122</f>
        <v>8.6010970969224612E-4</v>
      </c>
      <c r="K122" s="466">
        <f>I122*E122</f>
        <v>2.1408913375619669E-3</v>
      </c>
      <c r="L122" s="466">
        <f>I122*F122</f>
        <v>1.2132919144941165E-3</v>
      </c>
      <c r="M122" s="466">
        <f>I122*G122</f>
        <v>2.342422785524875E-3</v>
      </c>
    </row>
    <row r="123" spans="1:13" ht="16">
      <c r="A123" s="467" t="s">
        <v>840</v>
      </c>
      <c r="B123" s="468">
        <f>SUM(B96:B122)</f>
        <v>4433800.5632910877</v>
      </c>
      <c r="C123" s="469"/>
      <c r="D123" s="470">
        <f>SUM(J96:J122)</f>
        <v>5.5238638383210012E-2</v>
      </c>
      <c r="E123" s="470">
        <f>SUM(K96:K122)</f>
        <v>0.13732098212912111</v>
      </c>
      <c r="F123" s="470">
        <f>SUM(L96:L122)</f>
        <v>7.7920982129121116E-2</v>
      </c>
      <c r="G123" s="470">
        <f>SUM(M96:M122)</f>
        <v>0.18347474471087855</v>
      </c>
      <c r="H123" s="467"/>
      <c r="I123" s="471">
        <f>SUM(I96:I122)</f>
        <v>1</v>
      </c>
      <c r="J123" s="472"/>
      <c r="K123" s="472"/>
      <c r="L123" s="472"/>
      <c r="M123" s="472"/>
    </row>
    <row r="124" spans="1:13" ht="16">
      <c r="A124" s="463" t="s">
        <v>867</v>
      </c>
      <c r="B124" s="460">
        <v>446000</v>
      </c>
      <c r="C124" s="444">
        <v>7.7999999999999996E-3</v>
      </c>
      <c r="D124" s="443">
        <v>6.0399082568807346E-3</v>
      </c>
      <c r="E124" s="464">
        <v>6.792004316400721E-2</v>
      </c>
      <c r="F124" s="445">
        <v>8.5200431640072103E-3</v>
      </c>
      <c r="G124" s="445">
        <v>0.15</v>
      </c>
      <c r="H124" s="465" t="s">
        <v>868</v>
      </c>
      <c r="I124" s="466">
        <f t="shared" ref="I124:I136" si="25">B124/$B$137</f>
        <v>0.15586344363192445</v>
      </c>
      <c r="J124" s="466">
        <f t="shared" ref="J124:J136" si="26">I124*D124</f>
        <v>9.4140090013832543E-4</v>
      </c>
      <c r="K124" s="466">
        <f t="shared" ref="K124:K136" si="27">I124*E124</f>
        <v>1.0586251819171113E-2</v>
      </c>
      <c r="L124" s="466">
        <f t="shared" ref="L124:L136" si="28">I124*F124</f>
        <v>1.327963267434801E-3</v>
      </c>
      <c r="M124" s="466">
        <f t="shared" si="20"/>
        <v>2.3379516544788665E-2</v>
      </c>
    </row>
    <row r="125" spans="1:13" ht="16">
      <c r="A125" s="463" t="s">
        <v>869</v>
      </c>
      <c r="B125" s="460">
        <v>38868.663031914904</v>
      </c>
      <c r="C125" s="444">
        <v>2.7799999999999998E-2</v>
      </c>
      <c r="D125" s="443">
        <v>6.7301834862385335E-2</v>
      </c>
      <c r="E125" s="464">
        <v>0.15433762382750893</v>
      </c>
      <c r="F125" s="445">
        <v>9.4937623827508935E-2</v>
      </c>
      <c r="G125" s="445">
        <v>0</v>
      </c>
      <c r="H125" s="465" t="s">
        <v>868</v>
      </c>
      <c r="I125" s="466">
        <f t="shared" si="25"/>
        <v>1.3583416299379225E-2</v>
      </c>
      <c r="J125" s="466">
        <f t="shared" si="26"/>
        <v>9.1418884064785398E-4</v>
      </c>
      <c r="K125" s="466">
        <f t="shared" si="27"/>
        <v>2.0964321951060442E-3</v>
      </c>
      <c r="L125" s="466">
        <f t="shared" si="28"/>
        <v>1.2895772669229183E-3</v>
      </c>
      <c r="M125" s="466">
        <f t="shared" si="20"/>
        <v>0</v>
      </c>
    </row>
    <row r="126" spans="1:13" ht="16">
      <c r="A126" s="463" t="s">
        <v>870</v>
      </c>
      <c r="B126" s="460">
        <v>207889.33372413801</v>
      </c>
      <c r="C126" s="444">
        <v>4.6899999999999997E-2</v>
      </c>
      <c r="D126" s="443">
        <v>9.1749082568807344E-2</v>
      </c>
      <c r="E126" s="464">
        <v>0.18882351282468096</v>
      </c>
      <c r="F126" s="445">
        <v>0.12942351282468095</v>
      </c>
      <c r="G126" s="445">
        <v>0.15</v>
      </c>
      <c r="H126" s="465" t="s">
        <v>868</v>
      </c>
      <c r="I126" s="466">
        <f>B126/$B$137</f>
        <v>7.2651003247960796E-2</v>
      </c>
      <c r="J126" s="466">
        <f>I126*D126</f>
        <v>6.6656628957038454E-3</v>
      </c>
      <c r="K126" s="466">
        <f>I126*E126</f>
        <v>1.3718217643517263E-2</v>
      </c>
      <c r="L126" s="466">
        <f>I126*F126</f>
        <v>9.4027480505883918E-3</v>
      </c>
      <c r="M126" s="466">
        <f>I126*G126</f>
        <v>1.0897650487194118E-2</v>
      </c>
    </row>
    <row r="127" spans="1:13" ht="16">
      <c r="A127" s="463" t="s">
        <v>871</v>
      </c>
      <c r="B127" s="460">
        <v>481591.26613340899</v>
      </c>
      <c r="C127" s="444">
        <v>6.7000000000000002E-3</v>
      </c>
      <c r="D127" s="443">
        <v>8.6284403669724778E-3</v>
      </c>
      <c r="E127" s="464">
        <v>7.1571490234296015E-2</v>
      </c>
      <c r="F127" s="445">
        <v>1.2171490234296015E-2</v>
      </c>
      <c r="G127" s="445">
        <v>0.23</v>
      </c>
      <c r="H127" s="465" t="s">
        <v>868</v>
      </c>
      <c r="I127" s="466">
        <f t="shared" si="25"/>
        <v>0.16830150933321014</v>
      </c>
      <c r="J127" s="466">
        <f t="shared" si="26"/>
        <v>1.4521795369530656E-3</v>
      </c>
      <c r="K127" s="466">
        <f t="shared" si="27"/>
        <v>1.2045589831659129E-2</v>
      </c>
      <c r="L127" s="466">
        <f t="shared" si="28"/>
        <v>2.0484801772664468E-3</v>
      </c>
      <c r="M127" s="466">
        <f t="shared" si="20"/>
        <v>3.8709347146638332E-2</v>
      </c>
    </row>
    <row r="128" spans="1:13" ht="16">
      <c r="A128" s="463" t="s">
        <v>872</v>
      </c>
      <c r="B128" s="460">
        <v>45243.661971831003</v>
      </c>
      <c r="C128" s="444" t="s">
        <v>38</v>
      </c>
      <c r="D128" s="443">
        <v>5.5078211009174309E-2</v>
      </c>
      <c r="E128" s="464">
        <v>0.13709467932892289</v>
      </c>
      <c r="F128" s="445">
        <v>7.7694679328922892E-2</v>
      </c>
      <c r="G128" s="445">
        <v>0.2</v>
      </c>
      <c r="H128" s="465" t="s">
        <v>868</v>
      </c>
      <c r="I128" s="466">
        <f t="shared" si="25"/>
        <v>1.5811284657955886E-2</v>
      </c>
      <c r="J128" s="466">
        <f t="shared" si="26"/>
        <v>8.7085727271701472E-4</v>
      </c>
      <c r="K128" s="466">
        <f t="shared" si="27"/>
        <v>2.1676429999607804E-3</v>
      </c>
      <c r="L128" s="466">
        <f t="shared" si="28"/>
        <v>1.2284526912782008E-3</v>
      </c>
      <c r="M128" s="466">
        <f t="shared" si="20"/>
        <v>3.1622569315911775E-3</v>
      </c>
    </row>
    <row r="129" spans="1:13" ht="16">
      <c r="A129" s="463" t="s">
        <v>873</v>
      </c>
      <c r="B129" s="460">
        <v>105960.225688145</v>
      </c>
      <c r="C129" s="444">
        <v>7.9000000000000008E-3</v>
      </c>
      <c r="D129" s="443">
        <v>8.6284403669724778E-3</v>
      </c>
      <c r="E129" s="464">
        <v>7.1571490234296015E-2</v>
      </c>
      <c r="F129" s="445">
        <v>1.2171490234296015E-2</v>
      </c>
      <c r="G129" s="445">
        <v>0.15</v>
      </c>
      <c r="H129" s="465" t="s">
        <v>868</v>
      </c>
      <c r="I129" s="466">
        <f t="shared" si="25"/>
        <v>3.70298781698883E-2</v>
      </c>
      <c r="J129" s="466">
        <f t="shared" si="26"/>
        <v>3.1951009558513714E-4</v>
      </c>
      <c r="K129" s="466">
        <f t="shared" si="27"/>
        <v>2.6502835638133318E-3</v>
      </c>
      <c r="L129" s="466">
        <f t="shared" si="28"/>
        <v>4.5070880052196661E-4</v>
      </c>
      <c r="M129" s="466">
        <f t="shared" si="20"/>
        <v>5.5544817254832447E-3</v>
      </c>
    </row>
    <row r="130" spans="1:13" ht="16">
      <c r="A130" s="463" t="s">
        <v>874</v>
      </c>
      <c r="B130" s="460">
        <v>18076.6248401841</v>
      </c>
      <c r="C130" s="444" t="s">
        <v>38</v>
      </c>
      <c r="D130" s="443">
        <v>0.17499999999999999</v>
      </c>
      <c r="E130" s="464">
        <v>0.30625930485826308</v>
      </c>
      <c r="F130" s="445">
        <v>0.2468593048582631</v>
      </c>
      <c r="G130" s="445">
        <v>0.17</v>
      </c>
      <c r="H130" s="465" t="s">
        <v>868</v>
      </c>
      <c r="I130" s="466">
        <f t="shared" si="25"/>
        <v>6.3172309346042153E-3</v>
      </c>
      <c r="J130" s="466">
        <f t="shared" si="26"/>
        <v>1.1055154135557377E-3</v>
      </c>
      <c r="K130" s="466">
        <f t="shared" si="27"/>
        <v>1.9347107546610026E-3</v>
      </c>
      <c r="L130" s="466">
        <f t="shared" si="28"/>
        <v>1.5594672371455124E-3</v>
      </c>
      <c r="M130" s="466">
        <f t="shared" si="20"/>
        <v>1.0739292588827166E-3</v>
      </c>
    </row>
    <row r="131" spans="1:13" ht="16">
      <c r="A131" s="463" t="s">
        <v>875</v>
      </c>
      <c r="B131" s="460">
        <v>85868.626527958404</v>
      </c>
      <c r="C131" s="444">
        <v>2.3699999999999999E-2</v>
      </c>
      <c r="D131" s="443">
        <v>4.4005045871559637E-2</v>
      </c>
      <c r="E131" s="464">
        <v>0.12147460019490969</v>
      </c>
      <c r="F131" s="445">
        <v>6.2074600194909679E-2</v>
      </c>
      <c r="G131" s="445">
        <v>0.15</v>
      </c>
      <c r="H131" s="465" t="s">
        <v>868</v>
      </c>
      <c r="I131" s="466">
        <f t="shared" si="25"/>
        <v>3.000847495648255E-2</v>
      </c>
      <c r="J131" s="466">
        <f t="shared" si="26"/>
        <v>1.3205243169955633E-3</v>
      </c>
      <c r="K131" s="466">
        <f t="shared" si="27"/>
        <v>3.6452674977976774E-3</v>
      </c>
      <c r="L131" s="466">
        <f t="shared" si="28"/>
        <v>1.862764085382614E-3</v>
      </c>
      <c r="M131" s="466">
        <f t="shared" si="20"/>
        <v>4.5012712434723823E-3</v>
      </c>
    </row>
    <row r="132" spans="1:13" ht="16">
      <c r="A132" s="463" t="s">
        <v>876</v>
      </c>
      <c r="B132" s="460">
        <v>179570.78355054901</v>
      </c>
      <c r="C132" s="444">
        <v>7.9000000000000008E-3</v>
      </c>
      <c r="D132" s="443">
        <v>7.3341743119266058E-3</v>
      </c>
      <c r="E132" s="464">
        <v>6.9745766699151612E-2</v>
      </c>
      <c r="F132" s="445">
        <v>1.0345766699151613E-2</v>
      </c>
      <c r="G132" s="445">
        <v>0.1</v>
      </c>
      <c r="H132" s="465" t="s">
        <v>868</v>
      </c>
      <c r="I132" s="466">
        <f t="shared" si="25"/>
        <v>6.2754530717200677E-2</v>
      </c>
      <c r="J132" s="466">
        <f t="shared" si="26"/>
        <v>4.6025266714310234E-4</v>
      </c>
      <c r="K132" s="466">
        <f t="shared" si="27"/>
        <v>4.3768628587166217E-3</v>
      </c>
      <c r="L132" s="466">
        <f t="shared" si="28"/>
        <v>6.4924373411490177E-4</v>
      </c>
      <c r="M132" s="466">
        <f t="shared" si="20"/>
        <v>6.2754530717200677E-3</v>
      </c>
    </row>
    <row r="133" spans="1:13" ht="16">
      <c r="A133" s="463" t="s">
        <v>877</v>
      </c>
      <c r="B133" s="460">
        <v>35200</v>
      </c>
      <c r="C133" s="444" t="s">
        <v>38</v>
      </c>
      <c r="D133" s="443">
        <v>1.4668348623853212E-2</v>
      </c>
      <c r="E133" s="464">
        <v>8.009153339830323E-2</v>
      </c>
      <c r="F133" s="445">
        <v>2.0691533398303225E-2</v>
      </c>
      <c r="G133" s="445">
        <v>0</v>
      </c>
      <c r="H133" s="465" t="s">
        <v>868</v>
      </c>
      <c r="I133" s="466">
        <f t="shared" si="25"/>
        <v>1.2301330080367132E-2</v>
      </c>
      <c r="J133" s="466">
        <f t="shared" si="26"/>
        <v>1.8044019815591735E-4</v>
      </c>
      <c r="K133" s="466">
        <f t="shared" si="27"/>
        <v>9.8523238897527642E-4</v>
      </c>
      <c r="L133" s="466">
        <f t="shared" si="28"/>
        <v>2.5453338220146859E-4</v>
      </c>
      <c r="M133" s="466">
        <f t="shared" si="20"/>
        <v>0</v>
      </c>
    </row>
    <row r="134" spans="1:13" ht="16">
      <c r="A134" s="463" t="s">
        <v>878</v>
      </c>
      <c r="B134" s="460">
        <v>833541.23656931496</v>
      </c>
      <c r="C134" s="444">
        <v>9.5999999999999992E-3</v>
      </c>
      <c r="D134" s="443">
        <v>8.6284403669724778E-3</v>
      </c>
      <c r="E134" s="464">
        <v>7.1571490234296015E-2</v>
      </c>
      <c r="F134" s="445">
        <v>1.2171490234296015E-2</v>
      </c>
      <c r="G134" s="445">
        <v>0.2</v>
      </c>
      <c r="H134" s="465" t="s">
        <v>868</v>
      </c>
      <c r="I134" s="466">
        <f t="shared" si="25"/>
        <v>0.29129732632490141</v>
      </c>
      <c r="J134" s="466">
        <f t="shared" si="26"/>
        <v>2.5134416092529341E-3</v>
      </c>
      <c r="K134" s="466">
        <f t="shared" si="27"/>
        <v>2.084858374633922E-2</v>
      </c>
      <c r="L134" s="466">
        <f t="shared" si="28"/>
        <v>3.5455225626400771E-3</v>
      </c>
      <c r="M134" s="466">
        <f t="shared" si="20"/>
        <v>5.8259465264980284E-2</v>
      </c>
    </row>
    <row r="135" spans="1:13" ht="16">
      <c r="A135" s="463" t="s">
        <v>879</v>
      </c>
      <c r="B135" s="460">
        <v>24800</v>
      </c>
      <c r="C135" s="444" t="s">
        <v>38</v>
      </c>
      <c r="D135" s="443">
        <v>3.0630963302752296E-2</v>
      </c>
      <c r="E135" s="464">
        <v>0.10260879033175085</v>
      </c>
      <c r="F135" s="445">
        <v>4.3208790331750853E-2</v>
      </c>
      <c r="G135" s="445">
        <v>0</v>
      </c>
      <c r="H135" s="465" t="s">
        <v>868</v>
      </c>
      <c r="I135" s="466">
        <f t="shared" si="25"/>
        <v>8.6668461929859334E-3</v>
      </c>
      <c r="J135" s="466">
        <f t="shared" si="26"/>
        <v>2.6547384768795055E-4</v>
      </c>
      <c r="K135" s="466">
        <f t="shared" si="27"/>
        <v>8.8929460385362672E-4</v>
      </c>
      <c r="L135" s="466">
        <f t="shared" si="28"/>
        <v>3.7448393999026228E-4</v>
      </c>
      <c r="M135" s="466">
        <f t="shared" si="20"/>
        <v>0</v>
      </c>
    </row>
    <row r="136" spans="1:13" ht="16">
      <c r="A136" s="463" t="s">
        <v>880</v>
      </c>
      <c r="B136" s="460">
        <v>358868.76517492399</v>
      </c>
      <c r="C136" s="444" t="s">
        <v>38</v>
      </c>
      <c r="D136" s="443">
        <v>6.0399082568807346E-3</v>
      </c>
      <c r="E136" s="464">
        <v>6.792004316400721E-2</v>
      </c>
      <c r="F136" s="445">
        <v>8.5200431640072103E-3</v>
      </c>
      <c r="G136" s="445">
        <v>0</v>
      </c>
      <c r="H136" s="465" t="s">
        <v>868</v>
      </c>
      <c r="I136" s="466">
        <f t="shared" si="25"/>
        <v>0.12541372545313922</v>
      </c>
      <c r="J136" s="466">
        <f t="shared" si="26"/>
        <v>7.5748739589058913E-4</v>
      </c>
      <c r="K136" s="466">
        <f t="shared" si="27"/>
        <v>8.5181056461361652E-3</v>
      </c>
      <c r="L136" s="466">
        <f t="shared" si="28"/>
        <v>1.0685303542196959E-3</v>
      </c>
      <c r="M136" s="466">
        <f t="shared" si="20"/>
        <v>0</v>
      </c>
    </row>
    <row r="137" spans="1:13" ht="16">
      <c r="A137" s="467" t="s">
        <v>868</v>
      </c>
      <c r="B137" s="468">
        <f>SUM(B124:B136)</f>
        <v>2861479.1872123685</v>
      </c>
      <c r="C137" s="469"/>
      <c r="D137" s="470">
        <f>SUM(J124:J136)</f>
        <v>1.7766934990427034E-2</v>
      </c>
      <c r="E137" s="470">
        <f>SUM(K124:K136)</f>
        <v>8.4462475549707261E-2</v>
      </c>
      <c r="F137" s="470">
        <f>SUM(L124:L136)</f>
        <v>2.5062475549707256E-2</v>
      </c>
      <c r="G137" s="473">
        <f>SUM(M124:M136)</f>
        <v>0.15181337167475101</v>
      </c>
      <c r="H137" s="467"/>
      <c r="I137" s="471">
        <f>SUM(I124:I136)</f>
        <v>1</v>
      </c>
      <c r="J137" s="472"/>
      <c r="K137" s="472"/>
      <c r="L137" s="472"/>
      <c r="M137" s="472"/>
    </row>
    <row r="138" spans="1:13" ht="16">
      <c r="A138" s="463" t="s">
        <v>881</v>
      </c>
      <c r="B138" s="460">
        <v>1990761.6096652299</v>
      </c>
      <c r="C138" s="444">
        <v>3.5999999999999999E-3</v>
      </c>
      <c r="D138" s="443">
        <v>0</v>
      </c>
      <c r="E138" s="464">
        <v>5.9400000000000001E-2</v>
      </c>
      <c r="F138" s="445">
        <v>0</v>
      </c>
      <c r="G138" s="445">
        <v>0.25</v>
      </c>
      <c r="H138" s="465" t="s">
        <v>882</v>
      </c>
      <c r="I138" s="466">
        <f>B138/B140</f>
        <v>7.9672335036072656E-2</v>
      </c>
      <c r="J138" s="466">
        <f>I138*D138</f>
        <v>0</v>
      </c>
      <c r="K138" s="466">
        <f>I138*E138</f>
        <v>4.7325367011427158E-3</v>
      </c>
      <c r="L138" s="466">
        <f>I138*F138</f>
        <v>0</v>
      </c>
      <c r="M138" s="466">
        <f t="shared" si="20"/>
        <v>1.9918083759018164E-2</v>
      </c>
    </row>
    <row r="139" spans="1:13" ht="16">
      <c r="A139" s="463" t="s">
        <v>883</v>
      </c>
      <c r="B139" s="460">
        <v>22996100</v>
      </c>
      <c r="C139" s="444">
        <v>3.2000000000000002E-3</v>
      </c>
      <c r="D139" s="443">
        <v>0</v>
      </c>
      <c r="E139" s="464">
        <v>5.9400000000000001E-2</v>
      </c>
      <c r="F139" s="445">
        <v>0</v>
      </c>
      <c r="G139" s="445">
        <v>0.25</v>
      </c>
      <c r="H139" s="465" t="s">
        <v>882</v>
      </c>
      <c r="I139" s="466">
        <f>B139/B140</f>
        <v>0.92032766496392737</v>
      </c>
      <c r="J139" s="466">
        <f>I139*D139</f>
        <v>0</v>
      </c>
      <c r="K139" s="466">
        <f>I139*E139</f>
        <v>5.4667463298857286E-2</v>
      </c>
      <c r="L139" s="466">
        <f>I139*F139</f>
        <v>0</v>
      </c>
      <c r="M139" s="466">
        <f t="shared" si="20"/>
        <v>0.23008191624098184</v>
      </c>
    </row>
    <row r="140" spans="1:13" ht="16">
      <c r="A140" s="467" t="s">
        <v>882</v>
      </c>
      <c r="B140" s="469">
        <f>SUM(B138:B139)</f>
        <v>24986861.60966523</v>
      </c>
      <c r="C140" s="469"/>
      <c r="D140" s="470">
        <f>SUM(J138:J139)</f>
        <v>0</v>
      </c>
      <c r="E140" s="470">
        <f>SUM(K138:K139)</f>
        <v>5.9400000000000001E-2</v>
      </c>
      <c r="F140" s="470">
        <f>SUM(L138:L139)</f>
        <v>0</v>
      </c>
      <c r="G140" s="473">
        <f>SUM(M138:M139)</f>
        <v>0.25</v>
      </c>
      <c r="H140" s="467"/>
      <c r="I140" s="472"/>
      <c r="J140" s="472"/>
      <c r="K140" s="472"/>
      <c r="L140" s="472"/>
      <c r="M140" s="472"/>
    </row>
    <row r="141" spans="1:13" ht="16">
      <c r="A141" s="463" t="s">
        <v>884</v>
      </c>
      <c r="B141" s="460">
        <v>3.33</v>
      </c>
      <c r="C141" s="444" t="s">
        <v>38</v>
      </c>
      <c r="D141" s="443">
        <v>2.3296788990825688E-2</v>
      </c>
      <c r="E141" s="464">
        <v>9.2263023632599236E-2</v>
      </c>
      <c r="F141" s="445">
        <v>3.2863023632599235E-2</v>
      </c>
      <c r="G141" s="445">
        <v>0.1898</v>
      </c>
      <c r="H141" s="465" t="s">
        <v>885</v>
      </c>
      <c r="I141" s="466">
        <f>B141/$B$167</f>
        <v>1.6207985053391636E-7</v>
      </c>
      <c r="J141" s="466">
        <f t="shared" ref="J141:J166" si="29">I141*D141</f>
        <v>3.7759400775532159E-9</v>
      </c>
      <c r="K141" s="466">
        <f t="shared" ref="K141:K166" si="30">I141*E141</f>
        <v>1.4953977080178877E-8</v>
      </c>
      <c r="L141" s="466">
        <f t="shared" ref="L141:L166" si="31">I141*F141</f>
        <v>5.3264339584642449E-9</v>
      </c>
      <c r="M141" s="466">
        <f t="shared" si="20"/>
        <v>3.0762755631337324E-8</v>
      </c>
    </row>
    <row r="142" spans="1:13" ht="16">
      <c r="A142" s="463" t="s">
        <v>886</v>
      </c>
      <c r="B142" s="460">
        <v>477082.46745429497</v>
      </c>
      <c r="C142" s="444">
        <v>2.3999999999999998E-3</v>
      </c>
      <c r="D142" s="443">
        <v>4.8894495412844033E-3</v>
      </c>
      <c r="E142" s="464">
        <v>6.6297177799434406E-2</v>
      </c>
      <c r="F142" s="445">
        <v>6.8971777994344076E-3</v>
      </c>
      <c r="G142" s="445">
        <v>0.24</v>
      </c>
      <c r="H142" s="465" t="s">
        <v>885</v>
      </c>
      <c r="I142" s="466">
        <f t="shared" ref="I142:I166" si="32">B142/$B$167</f>
        <v>2.3220857362565808E-2</v>
      </c>
      <c r="J142" s="466">
        <f t="shared" si="29"/>
        <v>1.1353721037962795E-4</v>
      </c>
      <c r="K142" s="466">
        <f t="shared" si="30"/>
        <v>1.5394773092213309E-3</v>
      </c>
      <c r="L142" s="466">
        <f t="shared" si="31"/>
        <v>1.6015838188492191E-4</v>
      </c>
      <c r="M142" s="466">
        <f t="shared" si="20"/>
        <v>5.5730057670157936E-3</v>
      </c>
    </row>
    <row r="143" spans="1:13" ht="16">
      <c r="A143" s="463" t="s">
        <v>663</v>
      </c>
      <c r="B143" s="460">
        <v>599879.02537751</v>
      </c>
      <c r="C143" s="444">
        <v>3.7000000000000002E-3</v>
      </c>
      <c r="D143" s="443">
        <v>7.3341743119266058E-3</v>
      </c>
      <c r="E143" s="464">
        <v>6.9745766699151612E-2</v>
      </c>
      <c r="F143" s="445">
        <v>1.0345766699151613E-2</v>
      </c>
      <c r="G143" s="445">
        <v>0.25</v>
      </c>
      <c r="H143" s="465" t="s">
        <v>885</v>
      </c>
      <c r="I143" s="466">
        <f t="shared" si="32"/>
        <v>2.9197688520005476E-2</v>
      </c>
      <c r="J143" s="466">
        <f t="shared" si="29"/>
        <v>2.1414093711105852E-4</v>
      </c>
      <c r="K143" s="466">
        <f t="shared" si="30"/>
        <v>2.0364151716707993E-3</v>
      </c>
      <c r="L143" s="466">
        <f t="shared" si="31"/>
        <v>3.0207247358247398E-4</v>
      </c>
      <c r="M143" s="466">
        <f t="shared" si="20"/>
        <v>7.2994221300013689E-3</v>
      </c>
    </row>
    <row r="144" spans="1:13" ht="16">
      <c r="A144" s="463" t="s">
        <v>887</v>
      </c>
      <c r="B144" s="460">
        <v>27719.3376700177</v>
      </c>
      <c r="C144" s="444">
        <v>1.3299999999999999E-2</v>
      </c>
      <c r="D144" s="443">
        <v>3.0630963302752296E-2</v>
      </c>
      <c r="E144" s="464">
        <v>0.10260879033175085</v>
      </c>
      <c r="F144" s="445">
        <v>4.3208790331750853E-2</v>
      </c>
      <c r="G144" s="445">
        <v>0.125</v>
      </c>
      <c r="H144" s="465" t="s">
        <v>885</v>
      </c>
      <c r="I144" s="466">
        <f t="shared" si="32"/>
        <v>1.3491730049416293E-3</v>
      </c>
      <c r="J144" s="466">
        <f t="shared" si="29"/>
        <v>4.132646880343109E-5</v>
      </c>
      <c r="K144" s="466">
        <f t="shared" si="30"/>
        <v>1.3843700998531389E-4</v>
      </c>
      <c r="L144" s="466">
        <f t="shared" si="31"/>
        <v>5.8296133491781118E-5</v>
      </c>
      <c r="M144" s="466">
        <f t="shared" si="20"/>
        <v>1.6864662561770366E-4</v>
      </c>
    </row>
    <row r="145" spans="1:13" ht="16">
      <c r="A145" s="463" t="s">
        <v>888</v>
      </c>
      <c r="B145" s="460">
        <v>397104.34347830102</v>
      </c>
      <c r="C145" s="444">
        <v>2.3E-3</v>
      </c>
      <c r="D145" s="443">
        <v>0</v>
      </c>
      <c r="E145" s="464">
        <v>5.9400000000000001E-2</v>
      </c>
      <c r="F145" s="445">
        <v>0</v>
      </c>
      <c r="G145" s="445">
        <v>0.22</v>
      </c>
      <c r="H145" s="465" t="s">
        <v>885</v>
      </c>
      <c r="I145" s="466">
        <f t="shared" si="32"/>
        <v>1.9328111903102706E-2</v>
      </c>
      <c r="J145" s="466">
        <f t="shared" si="29"/>
        <v>0</v>
      </c>
      <c r="K145" s="466">
        <f t="shared" si="30"/>
        <v>1.1480898470443007E-3</v>
      </c>
      <c r="L145" s="466">
        <f t="shared" si="31"/>
        <v>0</v>
      </c>
      <c r="M145" s="466">
        <f t="shared" ref="M145:M166" si="33">I145*G145</f>
        <v>4.2521846186825956E-3</v>
      </c>
    </row>
    <row r="146" spans="1:13" ht="16">
      <c r="A146" s="463" t="s">
        <v>889</v>
      </c>
      <c r="B146" s="460">
        <v>299155.23758914205</v>
      </c>
      <c r="C146" s="444">
        <v>3.3999999999999998E-3</v>
      </c>
      <c r="D146" s="443">
        <v>4.8894495412844033E-3</v>
      </c>
      <c r="E146" s="464">
        <v>6.6297177799434406E-2</v>
      </c>
      <c r="F146" s="445">
        <v>6.8971777994344076E-3</v>
      </c>
      <c r="G146" s="445">
        <v>0.2</v>
      </c>
      <c r="H146" s="465" t="s">
        <v>885</v>
      </c>
      <c r="I146" s="466">
        <f t="shared" si="32"/>
        <v>1.4560671529995909E-2</v>
      </c>
      <c r="J146" s="466">
        <f t="shared" si="29"/>
        <v>7.1193668733131365E-5</v>
      </c>
      <c r="K146" s="466">
        <f t="shared" si="30"/>
        <v>9.6533142930330139E-4</v>
      </c>
      <c r="L146" s="466">
        <f t="shared" si="31"/>
        <v>1.0042754042154441E-4</v>
      </c>
      <c r="M146" s="466">
        <f t="shared" si="33"/>
        <v>2.912134305999182E-3</v>
      </c>
    </row>
    <row r="147" spans="1:13" ht="16">
      <c r="A147" s="463" t="s">
        <v>890</v>
      </c>
      <c r="B147" s="460">
        <v>2937472.7579534398</v>
      </c>
      <c r="C147" s="444">
        <v>4.1999999999999997E-3</v>
      </c>
      <c r="D147" s="443">
        <v>6.0399082568807346E-3</v>
      </c>
      <c r="E147" s="464">
        <v>6.792004316400721E-2</v>
      </c>
      <c r="F147" s="445">
        <v>8.5200431640072103E-3</v>
      </c>
      <c r="G147" s="445">
        <v>0.25</v>
      </c>
      <c r="H147" s="465" t="s">
        <v>885</v>
      </c>
      <c r="I147" s="466">
        <f t="shared" si="32"/>
        <v>0.1429745181851485</v>
      </c>
      <c r="J147" s="466">
        <f t="shared" si="29"/>
        <v>8.6355297291002323E-4</v>
      </c>
      <c r="K147" s="466">
        <f t="shared" si="30"/>
        <v>9.7108354464884201E-3</v>
      </c>
      <c r="L147" s="466">
        <f t="shared" si="31"/>
        <v>1.2181490662905991E-3</v>
      </c>
      <c r="M147" s="466">
        <f t="shared" si="33"/>
        <v>3.5743629546287126E-2</v>
      </c>
    </row>
    <row r="148" spans="1:13" ht="16">
      <c r="A148" s="463" t="s">
        <v>668</v>
      </c>
      <c r="B148" s="460">
        <v>4223116.2059689201</v>
      </c>
      <c r="C148" s="444">
        <v>2.8E-3</v>
      </c>
      <c r="D148" s="443">
        <v>0</v>
      </c>
      <c r="E148" s="464">
        <v>5.9400000000000001E-2</v>
      </c>
      <c r="F148" s="445">
        <v>0</v>
      </c>
      <c r="G148" s="445">
        <v>0.3</v>
      </c>
      <c r="H148" s="465" t="s">
        <v>885</v>
      </c>
      <c r="I148" s="466">
        <f t="shared" si="32"/>
        <v>0.20555016319843916</v>
      </c>
      <c r="J148" s="466">
        <f t="shared" si="29"/>
        <v>0</v>
      </c>
      <c r="K148" s="466">
        <f t="shared" si="30"/>
        <v>1.2209679693987287E-2</v>
      </c>
      <c r="L148" s="466">
        <f t="shared" si="31"/>
        <v>0</v>
      </c>
      <c r="M148" s="466">
        <f t="shared" si="33"/>
        <v>6.1665048959531746E-2</v>
      </c>
    </row>
    <row r="149" spans="1:13" ht="16">
      <c r="A149" s="463" t="s">
        <v>891</v>
      </c>
      <c r="B149" s="460">
        <v>216240.589485256</v>
      </c>
      <c r="C149" s="444">
        <v>1.9699999999999999E-2</v>
      </c>
      <c r="D149" s="443">
        <v>4.4005045871559637E-2</v>
      </c>
      <c r="E149" s="464">
        <v>0.12147460019490969</v>
      </c>
      <c r="F149" s="445">
        <v>6.2074600194909679E-2</v>
      </c>
      <c r="G149" s="445">
        <v>0.22</v>
      </c>
      <c r="H149" s="465" t="s">
        <v>885</v>
      </c>
      <c r="I149" s="466">
        <f t="shared" si="32"/>
        <v>1.0524997724665542E-2</v>
      </c>
      <c r="J149" s="466">
        <f t="shared" si="29"/>
        <v>4.6315300767196799E-4</v>
      </c>
      <c r="K149" s="466">
        <f t="shared" si="30"/>
        <v>1.2785198906560809E-3</v>
      </c>
      <c r="L149" s="466">
        <f t="shared" si="31"/>
        <v>6.5333502581094757E-4</v>
      </c>
      <c r="M149" s="466">
        <f t="shared" si="33"/>
        <v>2.3154994994264194E-3</v>
      </c>
    </row>
    <row r="150" spans="1:13" ht="16">
      <c r="A150" s="463" t="s">
        <v>892</v>
      </c>
      <c r="B150" s="460">
        <v>3180</v>
      </c>
      <c r="C150" s="444" t="s">
        <v>38</v>
      </c>
      <c r="D150" s="443">
        <v>0</v>
      </c>
      <c r="E150" s="464">
        <v>5.9400000000000001E-2</v>
      </c>
      <c r="F150" s="445">
        <v>0</v>
      </c>
      <c r="G150" s="445">
        <v>0</v>
      </c>
      <c r="H150" s="465" t="s">
        <v>885</v>
      </c>
      <c r="I150" s="466">
        <f t="shared" si="32"/>
        <v>1.5477895636572191E-4</v>
      </c>
      <c r="J150" s="466">
        <f t="shared" si="29"/>
        <v>0</v>
      </c>
      <c r="K150" s="466">
        <f t="shared" si="30"/>
        <v>9.1938700081238826E-6</v>
      </c>
      <c r="L150" s="466">
        <f t="shared" si="31"/>
        <v>0</v>
      </c>
      <c r="M150" s="466">
        <f t="shared" si="33"/>
        <v>0</v>
      </c>
    </row>
    <row r="151" spans="1:13" ht="16">
      <c r="A151" s="463" t="s">
        <v>893</v>
      </c>
      <c r="B151" s="460">
        <v>25458.9339158742</v>
      </c>
      <c r="C151" s="444">
        <v>7.3000000000000001E-3</v>
      </c>
      <c r="D151" s="443">
        <v>1.0354128440366973E-2</v>
      </c>
      <c r="E151" s="464">
        <v>7.4005788281155213E-2</v>
      </c>
      <c r="F151" s="445">
        <v>1.4605788281155217E-2</v>
      </c>
      <c r="G151" s="445">
        <v>0.2</v>
      </c>
      <c r="H151" s="465" t="s">
        <v>885</v>
      </c>
      <c r="I151" s="466">
        <f t="shared" si="32"/>
        <v>1.2391532143656888E-3</v>
      </c>
      <c r="J151" s="466">
        <f t="shared" si="29"/>
        <v>1.2830351538835931E-5</v>
      </c>
      <c r="K151" s="466">
        <f t="shared" si="30"/>
        <v>9.1704510430260113E-5</v>
      </c>
      <c r="L151" s="466">
        <f t="shared" si="31"/>
        <v>1.8098809496938196E-5</v>
      </c>
      <c r="M151" s="466">
        <f t="shared" si="33"/>
        <v>2.478306428731378E-4</v>
      </c>
    </row>
    <row r="152" spans="1:13" ht="16">
      <c r="A152" s="463" t="s">
        <v>894</v>
      </c>
      <c r="B152" s="460">
        <v>498559.57671472098</v>
      </c>
      <c r="C152" s="444">
        <v>4.3E-3</v>
      </c>
      <c r="D152" s="443">
        <v>8.6284403669724778E-3</v>
      </c>
      <c r="E152" s="464">
        <v>7.1571490234296015E-2</v>
      </c>
      <c r="F152" s="445">
        <v>1.2171490234296015E-2</v>
      </c>
      <c r="G152" s="445">
        <v>0.125</v>
      </c>
      <c r="H152" s="465" t="s">
        <v>885</v>
      </c>
      <c r="I152" s="466">
        <f t="shared" si="32"/>
        <v>2.4266204707559934E-2</v>
      </c>
      <c r="J152" s="466">
        <f t="shared" si="29"/>
        <v>2.0937950025192771E-4</v>
      </c>
      <c r="K152" s="466">
        <f t="shared" si="30"/>
        <v>1.7367684332505538E-3</v>
      </c>
      <c r="L152" s="466">
        <f t="shared" si="31"/>
        <v>2.9535587362149374E-4</v>
      </c>
      <c r="M152" s="466">
        <f t="shared" si="33"/>
        <v>3.0332755884449917E-3</v>
      </c>
    </row>
    <row r="153" spans="1:13" ht="16">
      <c r="A153" s="463" t="s">
        <v>895</v>
      </c>
      <c r="B153" s="460">
        <v>7315.3880520806706</v>
      </c>
      <c r="C153" s="444" t="s">
        <v>38</v>
      </c>
      <c r="D153" s="443">
        <v>7.3341743119266058E-3</v>
      </c>
      <c r="E153" s="464">
        <v>6.9745766699151612E-2</v>
      </c>
      <c r="F153" s="445">
        <v>1.0345766699151613E-2</v>
      </c>
      <c r="G153" s="445">
        <v>0</v>
      </c>
      <c r="H153" s="465" t="s">
        <v>885</v>
      </c>
      <c r="I153" s="466">
        <f t="shared" si="32"/>
        <v>3.5605915978343322E-4</v>
      </c>
      <c r="J153" s="466">
        <f t="shared" si="29"/>
        <v>2.6113999432098266E-6</v>
      </c>
      <c r="K153" s="466">
        <f t="shared" si="30"/>
        <v>2.483361908935128E-5</v>
      </c>
      <c r="L153" s="466">
        <f t="shared" si="31"/>
        <v>3.6837049982153464E-6</v>
      </c>
      <c r="M153" s="466">
        <f t="shared" si="33"/>
        <v>0</v>
      </c>
    </row>
    <row r="154" spans="1:13" ht="16">
      <c r="A154" s="463" t="s">
        <v>896</v>
      </c>
      <c r="B154" s="460">
        <v>2099880.1982588801</v>
      </c>
      <c r="C154" s="444">
        <v>1.84E-2</v>
      </c>
      <c r="D154" s="443">
        <v>2.6891972477064225E-2</v>
      </c>
      <c r="E154" s="464">
        <v>9.733447789688926E-2</v>
      </c>
      <c r="F154" s="445">
        <v>3.7934477896889252E-2</v>
      </c>
      <c r="G154" s="445">
        <v>0.24</v>
      </c>
      <c r="H154" s="465" t="s">
        <v>885</v>
      </c>
      <c r="I154" s="466">
        <f t="shared" si="32"/>
        <v>0.10220668728916814</v>
      </c>
      <c r="J154" s="466">
        <f t="shared" si="29"/>
        <v>2.7485394215522197E-3</v>
      </c>
      <c r="K154" s="466">
        <f t="shared" si="30"/>
        <v>9.9482345448618087E-3</v>
      </c>
      <c r="L154" s="466">
        <f t="shared" si="31"/>
        <v>3.8771573198852203E-3</v>
      </c>
      <c r="M154" s="466">
        <f t="shared" si="33"/>
        <v>2.4529604949400353E-2</v>
      </c>
    </row>
    <row r="155" spans="1:13" ht="16">
      <c r="A155" s="463" t="s">
        <v>897</v>
      </c>
      <c r="B155" s="460">
        <v>4890</v>
      </c>
      <c r="C155" s="444" t="s">
        <v>38</v>
      </c>
      <c r="D155" s="443">
        <v>0</v>
      </c>
      <c r="E155" s="464">
        <v>5.9400000000000001E-2</v>
      </c>
      <c r="F155" s="445">
        <v>0</v>
      </c>
      <c r="G155" s="445">
        <v>0</v>
      </c>
      <c r="H155" s="465" t="s">
        <v>885</v>
      </c>
      <c r="I155" s="466">
        <f t="shared" si="32"/>
        <v>2.3800914988313842E-4</v>
      </c>
      <c r="J155" s="466">
        <f t="shared" si="29"/>
        <v>0</v>
      </c>
      <c r="K155" s="466">
        <f t="shared" si="30"/>
        <v>1.4137743503058422E-5</v>
      </c>
      <c r="L155" s="466">
        <f t="shared" si="31"/>
        <v>0</v>
      </c>
      <c r="M155" s="466">
        <f t="shared" si="33"/>
        <v>0</v>
      </c>
    </row>
    <row r="156" spans="1:13" ht="16">
      <c r="A156" s="463" t="s">
        <v>898</v>
      </c>
      <c r="B156" s="460">
        <v>6427.24894344939</v>
      </c>
      <c r="C156" s="444" t="s">
        <v>38</v>
      </c>
      <c r="D156" s="443">
        <v>0</v>
      </c>
      <c r="E156" s="464">
        <v>5.9400000000000001E-2</v>
      </c>
      <c r="F156" s="445">
        <v>0</v>
      </c>
      <c r="G156" s="445">
        <v>0.125</v>
      </c>
      <c r="H156" s="465" t="s">
        <v>885</v>
      </c>
      <c r="I156" s="466">
        <f t="shared" si="32"/>
        <v>3.1283109552508975E-4</v>
      </c>
      <c r="J156" s="466">
        <f t="shared" si="29"/>
        <v>0</v>
      </c>
      <c r="K156" s="466">
        <f t="shared" si="30"/>
        <v>1.8582167074190331E-5</v>
      </c>
      <c r="L156" s="466">
        <f t="shared" si="31"/>
        <v>0</v>
      </c>
      <c r="M156" s="466">
        <f t="shared" si="33"/>
        <v>3.9103886940636219E-5</v>
      </c>
    </row>
    <row r="157" spans="1:13" ht="16">
      <c r="A157" s="463" t="s">
        <v>666</v>
      </c>
      <c r="B157" s="460">
        <v>86710.803337099394</v>
      </c>
      <c r="C157" s="444" t="s">
        <v>38</v>
      </c>
      <c r="D157" s="443">
        <v>0</v>
      </c>
      <c r="E157" s="464">
        <v>5.9400000000000001E-2</v>
      </c>
      <c r="F157" s="445">
        <v>0</v>
      </c>
      <c r="G157" s="445">
        <v>0.24940000000000001</v>
      </c>
      <c r="H157" s="465" t="s">
        <v>885</v>
      </c>
      <c r="I157" s="466">
        <f t="shared" si="32"/>
        <v>4.2204426560218875E-3</v>
      </c>
      <c r="J157" s="466">
        <f t="shared" si="29"/>
        <v>0</v>
      </c>
      <c r="K157" s="466">
        <f t="shared" si="30"/>
        <v>2.5069429376770014E-4</v>
      </c>
      <c r="L157" s="466">
        <f t="shared" si="31"/>
        <v>0</v>
      </c>
      <c r="M157" s="466">
        <f t="shared" si="33"/>
        <v>1.0525783984118588E-3</v>
      </c>
    </row>
    <row r="158" spans="1:13" ht="16">
      <c r="A158" s="463" t="s">
        <v>899</v>
      </c>
      <c r="B158" s="460">
        <v>17189.730469555401</v>
      </c>
      <c r="C158" s="444" t="s">
        <v>38</v>
      </c>
      <c r="D158" s="443">
        <v>1.0354128440366973E-2</v>
      </c>
      <c r="E158" s="464">
        <v>7.4005788281155213E-2</v>
      </c>
      <c r="F158" s="445">
        <v>1.4605788281155217E-2</v>
      </c>
      <c r="G158" s="445">
        <v>0.35</v>
      </c>
      <c r="H158" s="465" t="s">
        <v>885</v>
      </c>
      <c r="I158" s="466">
        <f t="shared" si="32"/>
        <v>8.366693529200742E-4</v>
      </c>
      <c r="J158" s="466">
        <f t="shared" si="29"/>
        <v>8.662981942253172E-6</v>
      </c>
      <c r="K158" s="466">
        <f t="shared" si="30"/>
        <v>6.1918374993534148E-5</v>
      </c>
      <c r="L158" s="466">
        <f t="shared" si="31"/>
        <v>1.2220215430081738E-5</v>
      </c>
      <c r="M158" s="466">
        <f t="shared" si="33"/>
        <v>2.9283427352202595E-4</v>
      </c>
    </row>
    <row r="159" spans="1:13" ht="16">
      <c r="A159" s="463" t="s">
        <v>900</v>
      </c>
      <c r="B159" s="460">
        <v>1018007.0569496</v>
      </c>
      <c r="C159" s="444">
        <v>2.5999999999999999E-3</v>
      </c>
      <c r="D159" s="443">
        <v>0</v>
      </c>
      <c r="E159" s="464">
        <v>5.9400000000000001E-2</v>
      </c>
      <c r="F159" s="445">
        <v>0</v>
      </c>
      <c r="G159" s="445">
        <v>0.25800000000000001</v>
      </c>
      <c r="H159" s="465" t="s">
        <v>885</v>
      </c>
      <c r="I159" s="466">
        <f t="shared" si="32"/>
        <v>4.9549078568427399E-2</v>
      </c>
      <c r="J159" s="466">
        <f t="shared" si="29"/>
        <v>0</v>
      </c>
      <c r="K159" s="466">
        <f t="shared" si="30"/>
        <v>2.9432152669645875E-3</v>
      </c>
      <c r="L159" s="466">
        <f t="shared" si="31"/>
        <v>0</v>
      </c>
      <c r="M159" s="466">
        <f t="shared" si="33"/>
        <v>1.2783662270654269E-2</v>
      </c>
    </row>
    <row r="160" spans="1:13" ht="16">
      <c r="A160" s="463" t="s">
        <v>901</v>
      </c>
      <c r="B160" s="460">
        <v>482437.01979045395</v>
      </c>
      <c r="C160" s="444">
        <v>2.8E-3</v>
      </c>
      <c r="D160" s="443">
        <v>0</v>
      </c>
      <c r="E160" s="464">
        <v>5.9400000000000001E-2</v>
      </c>
      <c r="F160" s="445">
        <v>0</v>
      </c>
      <c r="G160" s="445">
        <v>0.22</v>
      </c>
      <c r="H160" s="465" t="s">
        <v>885</v>
      </c>
      <c r="I160" s="466">
        <f t="shared" si="32"/>
        <v>2.348147749539484E-2</v>
      </c>
      <c r="J160" s="466">
        <f t="shared" si="29"/>
        <v>0</v>
      </c>
      <c r="K160" s="466">
        <f t="shared" si="30"/>
        <v>1.3947997632264536E-3</v>
      </c>
      <c r="L160" s="466">
        <f t="shared" si="31"/>
        <v>0</v>
      </c>
      <c r="M160" s="466">
        <f t="shared" si="33"/>
        <v>5.1659250489868649E-3</v>
      </c>
    </row>
    <row r="161" spans="1:51" ht="16">
      <c r="A161" s="463" t="s">
        <v>902</v>
      </c>
      <c r="B161" s="460">
        <v>249886.46435475201</v>
      </c>
      <c r="C161" s="444">
        <v>8.0999999999999996E-3</v>
      </c>
      <c r="D161" s="443">
        <v>2.3296788990825688E-2</v>
      </c>
      <c r="E161" s="464">
        <v>9.2263023632599236E-2</v>
      </c>
      <c r="F161" s="445">
        <v>3.2863023632599235E-2</v>
      </c>
      <c r="G161" s="445">
        <v>0.21</v>
      </c>
      <c r="H161" s="465" t="s">
        <v>885</v>
      </c>
      <c r="I161" s="466">
        <f t="shared" si="32"/>
        <v>1.2162630868788896E-2</v>
      </c>
      <c r="J161" s="466">
        <f t="shared" si="29"/>
        <v>2.833502449234778E-4</v>
      </c>
      <c r="K161" s="466">
        <f t="shared" si="30"/>
        <v>1.1221610992816508E-3</v>
      </c>
      <c r="L161" s="466">
        <f t="shared" si="31"/>
        <v>3.9970082567559047E-4</v>
      </c>
      <c r="M161" s="466">
        <f t="shared" si="33"/>
        <v>2.5541524824456681E-3</v>
      </c>
    </row>
    <row r="162" spans="1:51" s="448" customFormat="1" ht="16">
      <c r="A162" s="463" t="s">
        <v>903</v>
      </c>
      <c r="B162" s="460">
        <v>1425276.5862829199</v>
      </c>
      <c r="C162" s="444">
        <v>8.2000000000000007E-3</v>
      </c>
      <c r="D162" s="443">
        <v>1.9557798165137613E-2</v>
      </c>
      <c r="E162" s="464">
        <v>8.6988711197737628E-2</v>
      </c>
      <c r="F162" s="445">
        <v>2.758871119773763E-2</v>
      </c>
      <c r="G162" s="445">
        <v>0.25</v>
      </c>
      <c r="H162" s="465" t="s">
        <v>885</v>
      </c>
      <c r="I162" s="466">
        <f t="shared" si="32"/>
        <v>6.9371956779046895E-2</v>
      </c>
      <c r="J162" s="466">
        <f t="shared" si="29"/>
        <v>1.3567627290052493E-3</v>
      </c>
      <c r="K162" s="466">
        <f t="shared" si="30"/>
        <v>6.034577113474447E-3</v>
      </c>
      <c r="L162" s="466">
        <f t="shared" si="31"/>
        <v>1.9138828807990619E-3</v>
      </c>
      <c r="M162" s="466">
        <f t="shared" si="33"/>
        <v>1.7342989194761724E-2</v>
      </c>
      <c r="N162" s="439"/>
      <c r="O162" s="439"/>
      <c r="P162" s="439"/>
      <c r="Q162" s="439"/>
      <c r="R162" s="439"/>
      <c r="S162" s="439"/>
      <c r="T162" s="439"/>
      <c r="U162" s="439"/>
      <c r="V162" s="439"/>
      <c r="W162" s="439"/>
      <c r="X162" s="439"/>
      <c r="Y162" s="439"/>
      <c r="Z162" s="439"/>
      <c r="AA162" s="439"/>
      <c r="AB162" s="439"/>
      <c r="AC162" s="439"/>
      <c r="AD162" s="439"/>
      <c r="AE162" s="439"/>
      <c r="AF162" s="439"/>
      <c r="AG162" s="439"/>
      <c r="AH162" s="439"/>
      <c r="AI162" s="439"/>
      <c r="AJ162" s="439"/>
      <c r="AK162" s="439"/>
      <c r="AL162" s="439"/>
      <c r="AM162" s="439"/>
      <c r="AN162" s="439"/>
      <c r="AO162" s="439"/>
      <c r="AP162" s="439"/>
      <c r="AQ162" s="439"/>
      <c r="AR162" s="439"/>
      <c r="AS162" s="439"/>
      <c r="AT162" s="439"/>
      <c r="AU162" s="439"/>
      <c r="AV162" s="439"/>
      <c r="AW162" s="439"/>
      <c r="AX162" s="439"/>
      <c r="AY162" s="439"/>
    </row>
    <row r="163" spans="1:51" ht="16">
      <c r="A163" s="463" t="s">
        <v>904</v>
      </c>
      <c r="B163" s="460">
        <v>627437.89888729004</v>
      </c>
      <c r="C163" s="444">
        <v>2.5999999999999999E-3</v>
      </c>
      <c r="D163" s="443">
        <v>0</v>
      </c>
      <c r="E163" s="464">
        <v>5.9400000000000001E-2</v>
      </c>
      <c r="F163" s="445">
        <v>0</v>
      </c>
      <c r="G163" s="445">
        <v>0.20600000000000002</v>
      </c>
      <c r="H163" s="465" t="s">
        <v>885</v>
      </c>
      <c r="I163" s="466">
        <f t="shared" si="32"/>
        <v>3.0539051312602549E-2</v>
      </c>
      <c r="J163" s="466">
        <f t="shared" si="29"/>
        <v>0</v>
      </c>
      <c r="K163" s="466">
        <f t="shared" si="30"/>
        <v>1.8140196479685914E-3</v>
      </c>
      <c r="L163" s="466">
        <f t="shared" si="31"/>
        <v>0</v>
      </c>
      <c r="M163" s="466">
        <f t="shared" si="33"/>
        <v>6.2910445703961253E-3</v>
      </c>
    </row>
    <row r="164" spans="1:51" ht="16">
      <c r="A164" s="463" t="s">
        <v>905</v>
      </c>
      <c r="B164" s="460">
        <v>812866.92886747001</v>
      </c>
      <c r="C164" s="444">
        <v>1.6999999999999999E-3</v>
      </c>
      <c r="D164" s="443">
        <v>0</v>
      </c>
      <c r="E164" s="464">
        <v>5.9400000000000001E-2</v>
      </c>
      <c r="F164" s="445">
        <v>0</v>
      </c>
      <c r="G164" s="445">
        <v>0.18</v>
      </c>
      <c r="H164" s="465" t="s">
        <v>885</v>
      </c>
      <c r="I164" s="466">
        <f t="shared" si="32"/>
        <v>3.9564369469910855E-2</v>
      </c>
      <c r="J164" s="466">
        <f t="shared" si="29"/>
        <v>0</v>
      </c>
      <c r="K164" s="466">
        <f t="shared" si="30"/>
        <v>2.3501235465127049E-3</v>
      </c>
      <c r="L164" s="466">
        <f t="shared" si="31"/>
        <v>0</v>
      </c>
      <c r="M164" s="466">
        <f t="shared" si="33"/>
        <v>7.1215865045839537E-3</v>
      </c>
    </row>
    <row r="165" spans="1:51" ht="16">
      <c r="A165" s="463" t="s">
        <v>906</v>
      </c>
      <c r="B165" s="460">
        <v>815271.75172442303</v>
      </c>
      <c r="C165" s="444">
        <v>5.2999999999999999E-2</v>
      </c>
      <c r="D165" s="443">
        <v>7.9525458715596339E-2</v>
      </c>
      <c r="E165" s="464">
        <v>0.17158056832609495</v>
      </c>
      <c r="F165" s="445">
        <v>0.11218056832609494</v>
      </c>
      <c r="G165" s="445">
        <v>0.23</v>
      </c>
      <c r="H165" s="465" t="s">
        <v>885</v>
      </c>
      <c r="I165" s="466">
        <f t="shared" si="32"/>
        <v>3.9681418517723319E-2</v>
      </c>
      <c r="J165" s="466">
        <f t="shared" si="29"/>
        <v>3.1556830101075058E-3</v>
      </c>
      <c r="K165" s="466">
        <f t="shared" si="30"/>
        <v>6.808560341256595E-3</v>
      </c>
      <c r="L165" s="466">
        <f t="shared" si="31"/>
        <v>4.4514840813038295E-3</v>
      </c>
      <c r="M165" s="466">
        <f t="shared" si="33"/>
        <v>9.1267262590763645E-3</v>
      </c>
    </row>
    <row r="166" spans="1:51" s="449" customFormat="1" ht="16">
      <c r="A166" s="463" t="s">
        <v>907</v>
      </c>
      <c r="B166" s="460">
        <v>3186859.7391850199</v>
      </c>
      <c r="C166" s="444">
        <v>3.5999999999999999E-3</v>
      </c>
      <c r="D166" s="443">
        <v>7.3341743119266058E-3</v>
      </c>
      <c r="E166" s="464">
        <v>6.9745766699151612E-2</v>
      </c>
      <c r="F166" s="445">
        <v>1.0345766699151613E-2</v>
      </c>
      <c r="G166" s="445">
        <v>0.25</v>
      </c>
      <c r="H166" s="465" t="s">
        <v>885</v>
      </c>
      <c r="I166" s="466">
        <f t="shared" si="32"/>
        <v>0.1551128378977969</v>
      </c>
      <c r="J166" s="466">
        <f t="shared" si="29"/>
        <v>1.1376245911600576E-3</v>
      </c>
      <c r="K166" s="466">
        <f t="shared" si="30"/>
        <v>1.0818463804063065E-2</v>
      </c>
      <c r="L166" s="466">
        <f t="shared" si="31"/>
        <v>1.6047612329339294E-3</v>
      </c>
      <c r="M166" s="466">
        <f t="shared" si="33"/>
        <v>3.8778209474449224E-2</v>
      </c>
    </row>
    <row r="167" spans="1:51" ht="16">
      <c r="A167" s="467" t="s">
        <v>885</v>
      </c>
      <c r="B167" s="469">
        <f>SUM(B141:B166)</f>
        <v>20545428.62071047</v>
      </c>
      <c r="C167" s="469"/>
      <c r="D167" s="474">
        <f>SUM(J141:J166)</f>
        <v>1.0682352271974054E-2</v>
      </c>
      <c r="E167" s="474">
        <f>SUM(K141:K166)</f>
        <v>7.4468788892060586E-2</v>
      </c>
      <c r="F167" s="474">
        <f>SUM(L141:L166)</f>
        <v>1.5068788892060588E-2</v>
      </c>
      <c r="G167" s="473">
        <f>SUM(M141:M166)</f>
        <v>0.24828912576026474</v>
      </c>
      <c r="H167" s="467"/>
      <c r="I167" s="471">
        <f>SUM(I141:I166)</f>
        <v>0.99999999999999978</v>
      </c>
      <c r="J167" s="472"/>
      <c r="K167" s="472"/>
      <c r="L167" s="472"/>
      <c r="M167" s="472"/>
    </row>
    <row r="168" spans="1:51">
      <c r="A168" s="439"/>
      <c r="B168" s="451"/>
      <c r="C168" s="451"/>
      <c r="D168" s="451"/>
      <c r="E168" s="451"/>
      <c r="F168" s="451"/>
      <c r="G168" s="451"/>
    </row>
    <row r="169" spans="1:51">
      <c r="A169" s="439"/>
      <c r="B169" s="451"/>
      <c r="C169" s="451"/>
      <c r="D169" s="451"/>
      <c r="E169" s="451"/>
      <c r="F169" s="451"/>
      <c r="G169" s="451"/>
    </row>
    <row r="170" spans="1:51" ht="14">
      <c r="A170" s="475" t="s">
        <v>771</v>
      </c>
      <c r="B170" s="446" t="s">
        <v>908</v>
      </c>
      <c r="C170" s="446" t="s">
        <v>909</v>
      </c>
      <c r="D170" s="446" t="s">
        <v>910</v>
      </c>
      <c r="E170" s="446" t="s">
        <v>911</v>
      </c>
      <c r="F170" s="476" t="s">
        <v>912</v>
      </c>
      <c r="G170" s="476" t="s">
        <v>913</v>
      </c>
      <c r="H170" s="451" t="s">
        <v>914</v>
      </c>
      <c r="I170" s="451" t="s">
        <v>775</v>
      </c>
      <c r="J170" s="451" t="s">
        <v>773</v>
      </c>
      <c r="K170" s="451" t="s">
        <v>915</v>
      </c>
    </row>
    <row r="171" spans="1:51" ht="14">
      <c r="A171" s="465" t="str">
        <f>A32</f>
        <v>Africa</v>
      </c>
      <c r="B171" s="477">
        <f>E32</f>
        <v>0.15575842480808147</v>
      </c>
      <c r="C171" s="477">
        <f>F32</f>
        <v>9.6358424808081405E-2</v>
      </c>
      <c r="D171" s="477">
        <f>D32</f>
        <v>6.830904895845899E-2</v>
      </c>
      <c r="E171" s="477">
        <f>G32</f>
        <v>0.27268967770769714</v>
      </c>
      <c r="F171" s="476">
        <f>B32</f>
        <v>2326131.6650345619</v>
      </c>
      <c r="G171" s="478">
        <f>F171/$F$180</f>
        <v>2.4956767054576813E-2</v>
      </c>
      <c r="H171" s="479">
        <f t="shared" ref="H171:H179" si="34">G171*B171</f>
        <v>3.8872267247231072E-3</v>
      </c>
      <c r="I171" s="479">
        <f t="shared" ref="I171:I179" si="35">G171*C171</f>
        <v>2.4047947616812433E-3</v>
      </c>
      <c r="J171" s="479">
        <f t="shared" ref="J171:J179" si="36">G171*D171</f>
        <v>1.7047730225759439E-3</v>
      </c>
      <c r="K171" s="479">
        <f>G171*E171</f>
        <v>6.8054527647386249E-3</v>
      </c>
    </row>
    <row r="172" spans="1:51" ht="14">
      <c r="A172" s="465" t="str">
        <f>A56</f>
        <v>Asia</v>
      </c>
      <c r="B172" s="477">
        <f>E56</f>
        <v>7.8681546633950522E-2</v>
      </c>
      <c r="C172" s="477">
        <f>F56</f>
        <v>1.9281546633950514E-2</v>
      </c>
      <c r="D172" s="477">
        <f>D56</f>
        <v>1.3668800788686953E-2</v>
      </c>
      <c r="E172" s="477">
        <f>G56</f>
        <v>0.24521330317788381</v>
      </c>
      <c r="F172" s="476">
        <f>B56</f>
        <v>31076239.138915617</v>
      </c>
      <c r="G172" s="478">
        <f t="shared" ref="G172:G179" si="37">F172/$F$180</f>
        <v>0.33341296745157217</v>
      </c>
      <c r="H172" s="479">
        <f t="shared" si="34"/>
        <v>2.6233447946904704E-2</v>
      </c>
      <c r="I172" s="479">
        <f t="shared" si="35"/>
        <v>6.4287176802813135E-3</v>
      </c>
      <c r="J172" s="479">
        <f t="shared" si="36"/>
        <v>4.5573554324605066E-3</v>
      </c>
      <c r="K172" s="479">
        <f t="shared" ref="K172:K179" si="38">G172*E172</f>
        <v>8.1757295071140268E-2</v>
      </c>
    </row>
    <row r="173" spans="1:51" ht="14">
      <c r="A173" s="465" t="str">
        <f>A60</f>
        <v>Australia &amp; New Zealand</v>
      </c>
      <c r="B173" s="477">
        <f>E60</f>
        <v>5.940001664280644E-2</v>
      </c>
      <c r="C173" s="477">
        <f>F60</f>
        <v>1.6642806441867469E-8</v>
      </c>
      <c r="D173" s="477">
        <f>D60</f>
        <v>1.179818248697996E-8</v>
      </c>
      <c r="E173" s="477">
        <f>G60</f>
        <v>0.29721092725087606</v>
      </c>
      <c r="F173" s="476">
        <f>B60</f>
        <v>1792651.7962290661</v>
      </c>
      <c r="G173" s="478">
        <f t="shared" si="37"/>
        <v>1.9233130248365701E-2</v>
      </c>
      <c r="H173" s="479">
        <f t="shared" si="34"/>
        <v>1.1424482568461866E-3</v>
      </c>
      <c r="I173" s="479">
        <f t="shared" si="35"/>
        <v>3.2009326399477677E-10</v>
      </c>
      <c r="J173" s="479">
        <f t="shared" si="36"/>
        <v>2.2691598046607273E-10</v>
      </c>
      <c r="K173" s="479">
        <f t="shared" si="38"/>
        <v>5.7162964750536423E-3</v>
      </c>
    </row>
    <row r="174" spans="1:51" ht="14">
      <c r="A174" s="465" t="str">
        <f>A75</f>
        <v>Caribbean</v>
      </c>
      <c r="B174" s="477">
        <f>E75</f>
        <v>0.17130442097798998</v>
      </c>
      <c r="C174" s="477">
        <f>F75</f>
        <v>0.11190442097799</v>
      </c>
      <c r="D174" s="477">
        <f>D75</f>
        <v>7.9329696251037377E-2</v>
      </c>
      <c r="E174" s="477">
        <f>G75</f>
        <v>0.25630683338345972</v>
      </c>
      <c r="F174" s="476">
        <f>B75</f>
        <v>302670.40325235901</v>
      </c>
      <c r="G174" s="478">
        <f t="shared" si="37"/>
        <v>3.2473117759530255E-3</v>
      </c>
      <c r="H174" s="479">
        <f t="shared" si="34"/>
        <v>5.562788635146413E-4</v>
      </c>
      <c r="I174" s="479">
        <f t="shared" si="35"/>
        <v>3.6338854402303173E-4</v>
      </c>
      <c r="J174" s="479">
        <f t="shared" si="36"/>
        <v>2.5760825681877023E-4</v>
      </c>
      <c r="K174" s="479">
        <f t="shared" si="38"/>
        <v>8.3230819830333873E-4</v>
      </c>
    </row>
    <row r="175" spans="1:51" ht="14">
      <c r="A175" s="465" t="str">
        <f>A95</f>
        <v>Central and South America</v>
      </c>
      <c r="B175" s="477">
        <f>E95</f>
        <v>0.12505674061025499</v>
      </c>
      <c r="C175" s="477">
        <f>F95</f>
        <v>6.5656740610255004E-2</v>
      </c>
      <c r="D175" s="477">
        <f>D95</f>
        <v>4.6544446090017511E-2</v>
      </c>
      <c r="E175" s="477">
        <f>G95</f>
        <v>0.31456268874307608</v>
      </c>
      <c r="F175" s="476">
        <f>B95</f>
        <v>4881187.1920141988</v>
      </c>
      <c r="G175" s="478">
        <f t="shared" si="37"/>
        <v>5.2369628741145341E-2</v>
      </c>
      <c r="H175" s="479">
        <f t="shared" si="34"/>
        <v>6.5491750773367672E-3</v>
      </c>
      <c r="I175" s="479">
        <f t="shared" si="35"/>
        <v>3.4384191301127351E-3</v>
      </c>
      <c r="J175" s="479">
        <f t="shared" si="36"/>
        <v>2.4375153616964709E-3</v>
      </c>
      <c r="K175" s="479">
        <f t="shared" si="38"/>
        <v>1.6473531225291355E-2</v>
      </c>
    </row>
    <row r="176" spans="1:51" ht="14">
      <c r="A176" s="465" t="str">
        <f>A123</f>
        <v>Eastern Europe &amp; Russia</v>
      </c>
      <c r="B176" s="477">
        <f>E123</f>
        <v>0.13732098212912111</v>
      </c>
      <c r="C176" s="477">
        <f>F123</f>
        <v>7.7920982129121116E-2</v>
      </c>
      <c r="D176" s="477">
        <f>D123</f>
        <v>5.5238638383210012E-2</v>
      </c>
      <c r="E176" s="477">
        <f>G123</f>
        <v>0.18347474471087855</v>
      </c>
      <c r="F176" s="476">
        <f>B123</f>
        <v>4433800.5632910877</v>
      </c>
      <c r="G176" s="478">
        <f t="shared" si="37"/>
        <v>4.7569675219937747E-2</v>
      </c>
      <c r="H176" s="479">
        <f t="shared" si="34"/>
        <v>6.5323145207651671E-3</v>
      </c>
      <c r="I176" s="479">
        <f t="shared" si="35"/>
        <v>3.7066758127008649E-3</v>
      </c>
      <c r="J176" s="479">
        <f t="shared" si="36"/>
        <v>2.6276840874808875E-3</v>
      </c>
      <c r="K176" s="479">
        <f t="shared" si="38"/>
        <v>8.7278340169574826E-3</v>
      </c>
    </row>
    <row r="177" spans="1:11" ht="14">
      <c r="A177" s="465" t="str">
        <f>A137</f>
        <v>Middle East</v>
      </c>
      <c r="B177" s="477">
        <f>E137</f>
        <v>8.4462475549707261E-2</v>
      </c>
      <c r="C177" s="477">
        <f>F137</f>
        <v>2.5062475549707256E-2</v>
      </c>
      <c r="D177" s="477">
        <f>D137</f>
        <v>1.7766934990427034E-2</v>
      </c>
      <c r="E177" s="477">
        <f>G137</f>
        <v>0.15181337167475101</v>
      </c>
      <c r="F177" s="476">
        <f>B137</f>
        <v>2861479.1872123685</v>
      </c>
      <c r="G177" s="478">
        <f t="shared" si="37"/>
        <v>3.0700441673286713E-2</v>
      </c>
      <c r="H177" s="479">
        <f t="shared" si="34"/>
        <v>2.593035304195193E-3</v>
      </c>
      <c r="I177" s="479">
        <f t="shared" si="35"/>
        <v>7.6942906880196193E-4</v>
      </c>
      <c r="J177" s="479">
        <f t="shared" si="36"/>
        <v>5.4545275138668202E-4</v>
      </c>
      <c r="K177" s="479">
        <f t="shared" si="38"/>
        <v>4.6607375623256902E-3</v>
      </c>
    </row>
    <row r="178" spans="1:11" ht="14">
      <c r="A178" s="465" t="str">
        <f>A140</f>
        <v>North America</v>
      </c>
      <c r="B178" s="477">
        <f>E140</f>
        <v>5.9400000000000001E-2</v>
      </c>
      <c r="C178" s="477">
        <f>F140</f>
        <v>0</v>
      </c>
      <c r="D178" s="477">
        <f>D140</f>
        <v>0</v>
      </c>
      <c r="E178" s="477">
        <f>G140</f>
        <v>0.25</v>
      </c>
      <c r="F178" s="476">
        <f>B140</f>
        <v>24986861.60966523</v>
      </c>
      <c r="G178" s="478">
        <f t="shared" si="37"/>
        <v>0.26808082018353763</v>
      </c>
      <c r="H178" s="479">
        <f t="shared" si="34"/>
        <v>1.5924000718902136E-2</v>
      </c>
      <c r="I178" s="479">
        <f t="shared" si="35"/>
        <v>0</v>
      </c>
      <c r="J178" s="479">
        <f t="shared" si="36"/>
        <v>0</v>
      </c>
      <c r="K178" s="479">
        <f t="shared" si="38"/>
        <v>6.7020205045884407E-2</v>
      </c>
    </row>
    <row r="179" spans="1:11" ht="14">
      <c r="A179" s="465" t="str">
        <f>A167</f>
        <v>Western Europe</v>
      </c>
      <c r="B179" s="477">
        <f>E167</f>
        <v>7.4468788892060586E-2</v>
      </c>
      <c r="C179" s="477">
        <f>F167</f>
        <v>1.5068788892060588E-2</v>
      </c>
      <c r="D179" s="477">
        <f>D167</f>
        <v>1.0682352271974054E-2</v>
      </c>
      <c r="E179" s="477">
        <f>G167</f>
        <v>0.24828912576026474</v>
      </c>
      <c r="F179" s="476">
        <f>B167</f>
        <v>20545428.62071047</v>
      </c>
      <c r="G179" s="478">
        <f t="shared" si="37"/>
        <v>0.22042925765162485</v>
      </c>
      <c r="H179" s="479">
        <f t="shared" si="34"/>
        <v>1.641509985369248E-2</v>
      </c>
      <c r="I179" s="479">
        <f t="shared" si="35"/>
        <v>3.3216019491859659E-3</v>
      </c>
      <c r="J179" s="479">
        <f t="shared" si="36"/>
        <v>2.354702981284389E-3</v>
      </c>
      <c r="K179" s="479">
        <f t="shared" si="38"/>
        <v>5.4730187674306083E-2</v>
      </c>
    </row>
    <row r="180" spans="1:11">
      <c r="A180" s="465" t="s">
        <v>916</v>
      </c>
      <c r="B180" s="477">
        <f>SUM(H171:H179)</f>
        <v>7.983302726688038E-2</v>
      </c>
      <c r="C180" s="477">
        <f>SUM(I171:I179)</f>
        <v>2.0433027266880382E-2</v>
      </c>
      <c r="D180" s="477">
        <f>SUM(J171:J179)</f>
        <v>1.448509212061963E-2</v>
      </c>
      <c r="E180" s="477">
        <f>SUM(K171:K179)</f>
        <v>0.24672384803400088</v>
      </c>
      <c r="F180" s="451">
        <f>SUM(F171:F179)</f>
        <v>93206450.176324964</v>
      </c>
      <c r="G180" s="451"/>
    </row>
    <row r="181" spans="1:11">
      <c r="B181" s="480"/>
      <c r="C181" s="480"/>
      <c r="D181" s="451"/>
      <c r="E181" s="451"/>
      <c r="F181" s="451"/>
      <c r="G181" s="451"/>
    </row>
    <row r="182" spans="1:11" ht="14">
      <c r="A182" s="747" t="s">
        <v>917</v>
      </c>
      <c r="B182" s="747"/>
      <c r="C182" s="747"/>
      <c r="D182" s="451"/>
      <c r="E182" s="451"/>
      <c r="F182" s="451"/>
      <c r="G182" s="451"/>
    </row>
    <row r="183" spans="1:11" ht="14">
      <c r="A183" s="446"/>
      <c r="B183" s="446" t="s">
        <v>750</v>
      </c>
      <c r="C183" s="446" t="s">
        <v>756</v>
      </c>
      <c r="D183" s="447" t="s">
        <v>918</v>
      </c>
      <c r="E183" s="451"/>
      <c r="F183" s="451"/>
      <c r="G183" s="451"/>
    </row>
    <row r="184" spans="1:11">
      <c r="A184" s="465" t="s">
        <v>919</v>
      </c>
      <c r="B184" s="481">
        <f>(B171*F171+B177*F176)/(F171+F177)</f>
        <v>0.14203154336299145</v>
      </c>
      <c r="C184" s="481">
        <f>(D171*F171+D177*F177)/(F171+F177)</f>
        <v>4.0430086693084573E-2</v>
      </c>
      <c r="D184" s="477">
        <f>(E171*F171+E177*F177)/(F171+F177)</f>
        <v>0.20601446944866322</v>
      </c>
      <c r="E184" s="451"/>
      <c r="F184" s="451"/>
      <c r="G184" s="451"/>
    </row>
    <row r="185" spans="1:11">
      <c r="A185" s="465" t="s">
        <v>920</v>
      </c>
      <c r="B185" s="481">
        <f>(B173*F173+E138*B138)/(F173+B138)</f>
        <v>5.9400007885671915E-2</v>
      </c>
      <c r="C185" s="481">
        <f>(D173*F173+D138*B138)/(F173+B138)</f>
        <v>5.5901987857241948E-9</v>
      </c>
      <c r="D185" s="477">
        <f>(E173*F173+G138*B138)/(F173+B138)</f>
        <v>0.27236941736424325</v>
      </c>
      <c r="E185" s="451"/>
      <c r="F185" s="451"/>
      <c r="G185" s="451"/>
    </row>
    <row r="186" spans="1:11">
      <c r="A186" s="465" t="s">
        <v>921</v>
      </c>
      <c r="B186" s="481">
        <f>B175*(F175/(F175+F174))+B174*F174/(F174+F175)</f>
        <v>0.1277570084723911</v>
      </c>
      <c r="C186" s="481">
        <v>4.8458681715630787E-2</v>
      </c>
      <c r="D186" s="477">
        <f>(B95*G95+B75*G75)/(B75+B95)</f>
        <v>0.31116129838667306</v>
      </c>
      <c r="E186" s="451"/>
      <c r="F186" s="451"/>
      <c r="G186" s="451"/>
    </row>
    <row r="187" spans="1:11">
      <c r="A187" s="465" t="s">
        <v>785</v>
      </c>
      <c r="B187" s="477">
        <f>E40</f>
        <v>7.1571490234296015E-2</v>
      </c>
      <c r="C187" s="477">
        <f>D40</f>
        <v>8.6284403669724778E-3</v>
      </c>
      <c r="D187" s="477">
        <f>G40</f>
        <v>0.23200000000000001</v>
      </c>
      <c r="E187" s="451"/>
      <c r="F187" s="451"/>
      <c r="G187" s="451"/>
    </row>
    <row r="188" spans="1:11">
      <c r="A188" s="465" t="s">
        <v>922</v>
      </c>
      <c r="B188" s="477">
        <f>E139</f>
        <v>5.9400000000000001E-2</v>
      </c>
      <c r="C188" s="477">
        <f>F139</f>
        <v>0</v>
      </c>
      <c r="D188" s="477">
        <f>G139</f>
        <v>0.25</v>
      </c>
      <c r="E188" s="451"/>
      <c r="F188" s="451"/>
      <c r="G188" s="451"/>
    </row>
    <row r="189" spans="1:11">
      <c r="A189" s="465" t="s">
        <v>661</v>
      </c>
      <c r="B189" s="477">
        <f>E167</f>
        <v>7.4468788892060586E-2</v>
      </c>
      <c r="C189" s="477">
        <f>D167</f>
        <v>1.0682352271974054E-2</v>
      </c>
      <c r="D189" s="477">
        <f>E179</f>
        <v>0.24828912576026474</v>
      </c>
      <c r="E189" s="451"/>
      <c r="F189" s="451"/>
      <c r="G189" s="451"/>
    </row>
    <row r="190" spans="1:11">
      <c r="A190" s="465" t="s">
        <v>923</v>
      </c>
      <c r="B190" s="481">
        <f>(B171*F171+B172*F172+B174*F174+B175*F175+B176*F176+B177*F177-B187*B40)/(F171+F172+F174+F175+F176+F177-B40)</f>
        <v>9.6885252184917933E-2</v>
      </c>
      <c r="C190" s="481">
        <v>2.6573513751596622E-2</v>
      </c>
      <c r="D190" s="477">
        <f>(E172*G172+E171*G171+E174*G174+E175*G175+E176*G176+E177*G177-B40/F180*D187)/(G171+G172+G174+G175+G176+G177-B40/F180)</f>
        <v>0.243504141028865</v>
      </c>
      <c r="E190" s="451"/>
      <c r="F190" s="451"/>
      <c r="G190" s="451"/>
    </row>
    <row r="191" spans="1:11">
      <c r="A191" s="465" t="s">
        <v>924</v>
      </c>
      <c r="B191" s="481">
        <f>(B172*F172-B35*E35-B38*E38-B40*E40)/(F172-(B35+B38+B40))</f>
        <v>9.8179807998437757E-2</v>
      </c>
      <c r="C191" s="481">
        <v>2.7491231912943805E-2</v>
      </c>
      <c r="D191" s="477">
        <f>(G33*B33+G34*B34+G36*B36+G39*B39+G41*B41+G42*B42+G43*B43+G44*B44+G45*B45+G46*B46+G47*B47+G48*B48+G49*B49+G50*B50+G51*B51+G52*B52+G53*B53+G54*B54+G55*B55)/(B56-B35-B37-B38-B40)</f>
        <v>0.21129023000321082</v>
      </c>
      <c r="E191" s="451"/>
      <c r="F191" s="451"/>
      <c r="G191" s="451"/>
    </row>
    <row r="192" spans="1:11">
      <c r="A192" s="465" t="s">
        <v>783</v>
      </c>
      <c r="B192" s="481">
        <f>E38</f>
        <v>9.733447789688926E-2</v>
      </c>
      <c r="C192" s="481">
        <f>D38</f>
        <v>2.6891972477064225E-2</v>
      </c>
      <c r="D192" s="477">
        <f>G38</f>
        <v>0.3</v>
      </c>
      <c r="E192" s="451"/>
      <c r="F192" s="451"/>
      <c r="G192" s="451"/>
    </row>
    <row r="193" spans="1:7">
      <c r="A193" s="465" t="s">
        <v>780</v>
      </c>
      <c r="B193" s="477">
        <f>E35</f>
        <v>7.1571490234296015E-2</v>
      </c>
      <c r="C193" s="477">
        <f>D35</f>
        <v>8.6284403669724778E-3</v>
      </c>
      <c r="D193" s="477">
        <f>G35</f>
        <v>0.25</v>
      </c>
      <c r="E193" s="451"/>
      <c r="F193" s="451"/>
      <c r="G193" s="451"/>
    </row>
    <row r="194" spans="1:7">
      <c r="A194" s="465" t="s">
        <v>916</v>
      </c>
      <c r="B194" s="477">
        <f>B180</f>
        <v>7.983302726688038E-2</v>
      </c>
      <c r="C194" s="477">
        <f>D180</f>
        <v>1.448509212061963E-2</v>
      </c>
      <c r="D194" s="477">
        <f>E180</f>
        <v>0.24672384803400088</v>
      </c>
      <c r="E194" s="451"/>
      <c r="F194" s="451"/>
      <c r="G194" s="451"/>
    </row>
    <row r="195" spans="1:7">
      <c r="B195" s="451"/>
      <c r="C195" s="458"/>
    </row>
    <row r="196" spans="1:7">
      <c r="B196" s="451"/>
      <c r="C196" s="458"/>
    </row>
    <row r="197" spans="1:7">
      <c r="B197" s="451"/>
      <c r="C197" s="458"/>
    </row>
    <row r="198" spans="1:7">
      <c r="B198" s="451"/>
      <c r="C198" s="458"/>
    </row>
    <row r="199" spans="1:7">
      <c r="B199" s="451"/>
      <c r="C199" s="458"/>
    </row>
    <row r="200" spans="1:7">
      <c r="B200" s="451"/>
      <c r="C200" s="458"/>
    </row>
    <row r="201" spans="1:7">
      <c r="B201" s="451"/>
      <c r="C201" s="458"/>
    </row>
    <row r="202" spans="1:7">
      <c r="B202" s="451"/>
      <c r="C202" s="458"/>
    </row>
    <row r="203" spans="1:7">
      <c r="B203" s="451"/>
      <c r="C203" s="458"/>
    </row>
    <row r="204" spans="1:7">
      <c r="B204" s="451"/>
      <c r="C204" s="458"/>
    </row>
    <row r="205" spans="1:7">
      <c r="B205" s="451"/>
      <c r="C205" s="458"/>
    </row>
    <row r="206" spans="1:7">
      <c r="B206" s="451"/>
      <c r="C206" s="458"/>
    </row>
    <row r="207" spans="1:7">
      <c r="B207" s="451"/>
      <c r="C207" s="458"/>
    </row>
    <row r="208" spans="1:7">
      <c r="B208" s="451"/>
      <c r="C208" s="458"/>
    </row>
    <row r="209" spans="2:3">
      <c r="B209" s="451"/>
      <c r="C209" s="458"/>
    </row>
    <row r="210" spans="2:3">
      <c r="B210" s="451"/>
      <c r="C210" s="451"/>
    </row>
  </sheetData>
  <mergeCells count="11">
    <mergeCell ref="AG17:AG18"/>
    <mergeCell ref="AH17:AH18"/>
    <mergeCell ref="AI19:AL21"/>
    <mergeCell ref="AG26:AG27"/>
    <mergeCell ref="A182:C182"/>
    <mergeCell ref="N25:N26"/>
    <mergeCell ref="P8:P9"/>
    <mergeCell ref="Q8:Q9"/>
    <mergeCell ref="R10:V13"/>
    <mergeCell ref="P16:V17"/>
    <mergeCell ref="N16:N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6"/>
  <sheetViews>
    <sheetView showGridLines="0" topLeftCell="R9" zoomScale="108" workbookViewId="0">
      <selection activeCell="U21" sqref="U21"/>
    </sheetView>
  </sheetViews>
  <sheetFormatPr baseColWidth="10" defaultRowHeight="13"/>
  <cols>
    <col min="1" max="1" width="29.33203125" style="439" customWidth="1"/>
    <col min="2" max="2" width="17.6640625" style="439" customWidth="1"/>
    <col min="3" max="3" width="11.1640625" style="439" customWidth="1"/>
    <col min="4" max="4" width="13.83203125" style="439" customWidth="1"/>
    <col min="5" max="5" width="11" style="439" customWidth="1"/>
    <col min="6" max="6" width="16.6640625" style="439" customWidth="1"/>
    <col min="7" max="7" width="17.6640625" style="439" customWidth="1"/>
    <col min="8" max="8" width="32.5" style="439" customWidth="1"/>
    <col min="9" max="9" width="11.6640625" style="439" customWidth="1"/>
    <col min="10" max="10" width="27.83203125" style="439" customWidth="1"/>
    <col min="11" max="11" width="18.5" style="439" customWidth="1"/>
    <col min="12" max="15" width="10.83203125" style="439"/>
    <col min="16" max="16" width="12.33203125" style="489" customWidth="1"/>
    <col min="17" max="17" width="10.83203125" style="439"/>
    <col min="18" max="18" width="25.1640625" style="439" bestFit="1" customWidth="1"/>
    <col min="19" max="19" width="34.5" style="439" bestFit="1" customWidth="1"/>
    <col min="20" max="20" width="29.83203125" style="439" bestFit="1" customWidth="1"/>
    <col min="21" max="21" width="15.6640625" style="439" customWidth="1"/>
    <col min="22" max="22" width="19.6640625" style="439" bestFit="1" customWidth="1"/>
    <col min="23" max="23" width="10.6640625" style="439" bestFit="1" customWidth="1"/>
    <col min="24" max="24" width="18.1640625" style="439" bestFit="1" customWidth="1"/>
    <col min="25" max="25" width="16.33203125" style="439" bestFit="1" customWidth="1"/>
    <col min="26" max="26" width="16.5" style="439" bestFit="1" customWidth="1"/>
    <col min="27" max="27" width="32.1640625" style="439" bestFit="1" customWidth="1"/>
    <col min="28" max="28" width="16.33203125" style="439" bestFit="1" customWidth="1"/>
    <col min="29" max="16384" width="10.83203125" style="439"/>
  </cols>
  <sheetData>
    <row r="1" spans="1:22" ht="16">
      <c r="A1" s="488" t="s">
        <v>927</v>
      </c>
      <c r="B1" s="755">
        <v>44931</v>
      </c>
      <c r="C1" s="756"/>
      <c r="D1" s="756"/>
      <c r="E1" s="756"/>
      <c r="F1" s="756"/>
      <c r="G1" s="756"/>
      <c r="H1" s="757" t="s">
        <v>928</v>
      </c>
      <c r="I1" s="760" t="s">
        <v>929</v>
      </c>
      <c r="J1" s="761"/>
      <c r="K1" s="762"/>
    </row>
    <row r="2" spans="1:22" ht="16">
      <c r="A2" s="490" t="s">
        <v>930</v>
      </c>
      <c r="B2" s="763" t="s">
        <v>931</v>
      </c>
      <c r="C2" s="764"/>
      <c r="D2" s="764"/>
      <c r="E2" s="764"/>
      <c r="F2" s="764"/>
      <c r="G2" s="764"/>
      <c r="H2" s="758"/>
      <c r="I2" s="765" t="s">
        <v>932</v>
      </c>
      <c r="J2" s="766"/>
      <c r="K2" s="767"/>
    </row>
    <row r="3" spans="1:22" ht="16">
      <c r="A3" s="490" t="s">
        <v>933</v>
      </c>
      <c r="B3" s="771" t="s">
        <v>934</v>
      </c>
      <c r="C3" s="772"/>
      <c r="D3" s="772"/>
      <c r="E3" s="773"/>
      <c r="F3" s="771" t="s">
        <v>935</v>
      </c>
      <c r="G3" s="772"/>
      <c r="H3" s="758"/>
      <c r="I3" s="765"/>
      <c r="J3" s="766"/>
      <c r="K3" s="767"/>
    </row>
    <row r="4" spans="1:22" ht="16">
      <c r="A4" s="490" t="s">
        <v>936</v>
      </c>
      <c r="B4" s="774" t="s">
        <v>937</v>
      </c>
      <c r="C4" s="775"/>
      <c r="D4" s="775"/>
      <c r="E4" s="775"/>
      <c r="F4" s="775"/>
      <c r="G4" s="775"/>
      <c r="H4" s="758"/>
      <c r="I4" s="765"/>
      <c r="J4" s="766"/>
      <c r="K4" s="767"/>
    </row>
    <row r="5" spans="1:22" ht="16">
      <c r="A5" s="490" t="s">
        <v>938</v>
      </c>
      <c r="B5" s="776" t="s">
        <v>939</v>
      </c>
      <c r="C5" s="777"/>
      <c r="D5" s="777"/>
      <c r="E5" s="777"/>
      <c r="F5" s="777"/>
      <c r="G5" s="777"/>
      <c r="H5" s="758"/>
      <c r="I5" s="765"/>
      <c r="J5" s="766"/>
      <c r="K5" s="767"/>
    </row>
    <row r="6" spans="1:22" s="491" customFormat="1" ht="16">
      <c r="A6" s="490" t="s">
        <v>940</v>
      </c>
      <c r="B6" s="763" t="s">
        <v>941</v>
      </c>
      <c r="C6" s="764"/>
      <c r="D6" s="764"/>
      <c r="E6" s="764"/>
      <c r="F6" s="764"/>
      <c r="G6" s="764"/>
      <c r="H6" s="758"/>
      <c r="I6" s="765"/>
      <c r="J6" s="766"/>
      <c r="K6" s="767"/>
      <c r="P6" s="492"/>
    </row>
    <row r="7" spans="1:22" ht="17" thickBot="1">
      <c r="A7" s="493" t="s">
        <v>942</v>
      </c>
      <c r="B7" s="748" t="s">
        <v>943</v>
      </c>
      <c r="C7" s="749"/>
      <c r="D7" s="749"/>
      <c r="E7" s="749"/>
      <c r="F7" s="749"/>
      <c r="G7" s="749"/>
      <c r="H7" s="759"/>
      <c r="I7" s="768"/>
      <c r="J7" s="769"/>
      <c r="K7" s="770"/>
    </row>
    <row r="8" spans="1:22" ht="17" thickBot="1">
      <c r="A8" s="439" t="s">
        <v>944</v>
      </c>
      <c r="B8" s="451"/>
      <c r="C8" s="487"/>
      <c r="D8" s="451"/>
      <c r="E8" s="451"/>
      <c r="F8" s="494" t="s">
        <v>945</v>
      </c>
      <c r="G8" s="495"/>
      <c r="H8" s="451"/>
      <c r="K8" s="496"/>
    </row>
    <row r="9" spans="1:22" ht="17" thickBot="1">
      <c r="A9" s="439" t="s">
        <v>946</v>
      </c>
      <c r="B9" s="451"/>
      <c r="C9" s="487"/>
      <c r="D9" s="451"/>
      <c r="E9" s="451"/>
      <c r="F9" s="497">
        <v>0.25</v>
      </c>
      <c r="G9" s="495"/>
      <c r="H9" s="451"/>
      <c r="K9" s="496"/>
      <c r="L9" s="750" t="s">
        <v>947</v>
      </c>
      <c r="M9" s="751"/>
      <c r="N9" s="751"/>
      <c r="O9" s="751"/>
      <c r="P9" s="752"/>
    </row>
    <row r="10" spans="1:22" ht="54" customHeight="1">
      <c r="A10" s="498" t="s">
        <v>948</v>
      </c>
      <c r="B10" s="499" t="s">
        <v>949</v>
      </c>
      <c r="C10" s="500" t="s">
        <v>950</v>
      </c>
      <c r="D10" s="499" t="s">
        <v>951</v>
      </c>
      <c r="E10" s="499" t="s">
        <v>952</v>
      </c>
      <c r="F10" s="499" t="s">
        <v>953</v>
      </c>
      <c r="G10" s="499" t="s">
        <v>954</v>
      </c>
      <c r="H10" s="499" t="s">
        <v>955</v>
      </c>
      <c r="I10" s="499" t="s">
        <v>956</v>
      </c>
      <c r="J10" s="499" t="s">
        <v>957</v>
      </c>
      <c r="K10" s="501" t="s">
        <v>958</v>
      </c>
      <c r="L10" s="502" t="s">
        <v>959</v>
      </c>
      <c r="M10" s="502" t="s">
        <v>960</v>
      </c>
      <c r="N10" s="502" t="s">
        <v>961</v>
      </c>
      <c r="O10" s="502" t="s">
        <v>962</v>
      </c>
      <c r="P10" s="503" t="s">
        <v>963</v>
      </c>
    </row>
    <row r="11" spans="1:22" ht="16">
      <c r="A11" s="465" t="s">
        <v>964</v>
      </c>
      <c r="B11" s="447">
        <v>58</v>
      </c>
      <c r="C11" s="504">
        <v>1.6317380595347237</v>
      </c>
      <c r="D11" s="477">
        <v>0.44988944828853072</v>
      </c>
      <c r="E11" s="477">
        <v>6.3905088196058474E-2</v>
      </c>
      <c r="F11" s="504">
        <f>IF($F$8="Effective",C11/(1+(1-E11)*D11),C11/(1+(1-$F$9)*D11))</f>
        <v>1.2200667064535347</v>
      </c>
      <c r="G11" s="477">
        <v>9.3488853578428122E-2</v>
      </c>
      <c r="H11" s="504">
        <f>F11/(1-G11)</f>
        <v>1.3458926691301203</v>
      </c>
      <c r="I11" s="505">
        <v>0.68674540200942169</v>
      </c>
      <c r="J11" s="477">
        <v>0.52722114455333013</v>
      </c>
      <c r="K11" s="450">
        <v>0.14396894009718411</v>
      </c>
      <c r="L11" s="504">
        <v>0.86798131535667578</v>
      </c>
      <c r="M11" s="504">
        <v>0.93495314294485965</v>
      </c>
      <c r="N11" s="451">
        <v>0.77</v>
      </c>
      <c r="O11" s="504">
        <v>1.1018246898142943</v>
      </c>
      <c r="P11" s="487">
        <v>1.00413036344919</v>
      </c>
    </row>
    <row r="12" spans="1:22" ht="16">
      <c r="A12" s="465" t="s">
        <v>965</v>
      </c>
      <c r="B12" s="447">
        <v>77</v>
      </c>
      <c r="C12" s="504">
        <v>1.4141822802591859</v>
      </c>
      <c r="D12" s="477">
        <v>0.26057120698012032</v>
      </c>
      <c r="E12" s="477">
        <v>8.602766440767734E-2</v>
      </c>
      <c r="F12" s="504">
        <f t="shared" ref="F12:F75" si="0">IF($F$8="Effective",C12/(1+(1-E12)*D12),C12/(1+(1-$F$9)*D12))</f>
        <v>1.1829920337061723</v>
      </c>
      <c r="G12" s="477">
        <v>3.7667223768941376E-2</v>
      </c>
      <c r="H12" s="504">
        <f t="shared" ref="H12:H75" si="1">F12/(1-G12)</f>
        <v>1.2292962090923658</v>
      </c>
      <c r="I12" s="505">
        <v>0.47207385668758833</v>
      </c>
      <c r="J12" s="477">
        <v>0.3755554495377183</v>
      </c>
      <c r="K12" s="450">
        <v>0.19186738783955246</v>
      </c>
      <c r="L12" s="504">
        <v>1.09222603297197</v>
      </c>
      <c r="M12" s="504">
        <v>1.078522159887352</v>
      </c>
      <c r="N12" s="451">
        <v>0.91</v>
      </c>
      <c r="O12" s="504">
        <v>1.1104126718043248</v>
      </c>
      <c r="P12" s="487">
        <v>1.0840914147512024</v>
      </c>
    </row>
    <row r="13" spans="1:22" ht="16">
      <c r="A13" s="465" t="s">
        <v>966</v>
      </c>
      <c r="B13" s="447">
        <v>21</v>
      </c>
      <c r="C13" s="504">
        <v>1.4159650876966507</v>
      </c>
      <c r="D13" s="477">
        <v>1.8633437109872604</v>
      </c>
      <c r="E13" s="477">
        <v>0.10471812677937932</v>
      </c>
      <c r="F13" s="504">
        <f t="shared" si="0"/>
        <v>0.59059874491120445</v>
      </c>
      <c r="G13" s="477">
        <v>0.14899071469326405</v>
      </c>
      <c r="H13" s="504">
        <f t="shared" si="1"/>
        <v>0.69399800343932827</v>
      </c>
      <c r="I13" s="505">
        <v>0.44026952881288556</v>
      </c>
      <c r="J13" s="477">
        <v>0.37727498727802966</v>
      </c>
      <c r="K13" s="450">
        <v>2.2120098410672444</v>
      </c>
      <c r="L13" s="504">
        <v>0.63449012760872248</v>
      </c>
      <c r="M13" s="504">
        <v>0.84367299762743941</v>
      </c>
      <c r="N13" s="451">
        <v>0.91</v>
      </c>
      <c r="O13" s="504">
        <v>0.91413822789599297</v>
      </c>
      <c r="P13" s="487">
        <v>0.79925987131429665</v>
      </c>
    </row>
    <row r="14" spans="1:22" ht="17" thickBot="1">
      <c r="A14" s="465" t="s">
        <v>967</v>
      </c>
      <c r="B14" s="447">
        <v>39</v>
      </c>
      <c r="C14" s="504">
        <v>1.3246974025641622</v>
      </c>
      <c r="D14" s="477">
        <v>0.5157235161320588</v>
      </c>
      <c r="E14" s="477">
        <v>0.12038118261958633</v>
      </c>
      <c r="F14" s="504">
        <f t="shared" si="0"/>
        <v>0.95522385043464364</v>
      </c>
      <c r="G14" s="477">
        <v>6.0170317847693479E-2</v>
      </c>
      <c r="H14" s="504">
        <f t="shared" si="1"/>
        <v>1.0163797426008965</v>
      </c>
      <c r="I14" s="505">
        <v>0.52198327117155274</v>
      </c>
      <c r="J14" s="477">
        <v>0.38508746928890447</v>
      </c>
      <c r="K14" s="450">
        <v>0.23018170002537106</v>
      </c>
      <c r="L14" s="504">
        <v>0.76317292413268889</v>
      </c>
      <c r="M14" s="504">
        <v>0.82964100094338267</v>
      </c>
      <c r="N14" s="451">
        <v>0.94</v>
      </c>
      <c r="O14" s="504">
        <v>1.098346042881063</v>
      </c>
      <c r="P14" s="487">
        <v>0.92950794211160626</v>
      </c>
    </row>
    <row r="15" spans="1:22" ht="16">
      <c r="A15" s="465" t="s">
        <v>968</v>
      </c>
      <c r="B15" s="447">
        <v>31</v>
      </c>
      <c r="C15" s="504">
        <v>1.5405976750533805</v>
      </c>
      <c r="D15" s="477">
        <v>0.50190983747582518</v>
      </c>
      <c r="E15" s="477">
        <v>2.9973504818388647E-2</v>
      </c>
      <c r="F15" s="504">
        <f t="shared" si="0"/>
        <v>1.119268697509356</v>
      </c>
      <c r="G15" s="477">
        <v>8.6707773582228378E-2</v>
      </c>
      <c r="H15" s="504">
        <f t="shared" si="1"/>
        <v>1.2255318343171395</v>
      </c>
      <c r="I15" s="505">
        <v>0.69063526244432694</v>
      </c>
      <c r="J15" s="477">
        <v>0.52614124875248369</v>
      </c>
      <c r="K15" s="450">
        <v>0.46096910367745508</v>
      </c>
      <c r="L15" s="504">
        <v>0.34187109553097822</v>
      </c>
      <c r="M15" s="504">
        <v>0.52573503977592417</v>
      </c>
      <c r="N15" s="451">
        <v>1.05</v>
      </c>
      <c r="O15" s="504">
        <v>1.0207658043192696</v>
      </c>
      <c r="P15" s="487">
        <v>0.83278075478866231</v>
      </c>
      <c r="S15" s="507"/>
      <c r="T15" s="508"/>
      <c r="U15" s="508"/>
      <c r="V15" s="509"/>
    </row>
    <row r="16" spans="1:22" ht="17" thickBot="1">
      <c r="A16" s="465" t="s">
        <v>969</v>
      </c>
      <c r="B16" s="447">
        <v>37</v>
      </c>
      <c r="C16" s="504">
        <v>1.4739918130238336</v>
      </c>
      <c r="D16" s="477">
        <v>0.4265540414760251</v>
      </c>
      <c r="E16" s="477">
        <v>9.2966768218859283E-2</v>
      </c>
      <c r="F16" s="504">
        <f t="shared" si="0"/>
        <v>1.1167319258586119</v>
      </c>
      <c r="G16" s="477">
        <v>7.1275726876243464E-2</v>
      </c>
      <c r="H16" s="504">
        <f t="shared" si="1"/>
        <v>1.202436458457679</v>
      </c>
      <c r="I16" s="505">
        <v>0.50992876403924647</v>
      </c>
      <c r="J16" s="477">
        <v>0.39519394771296495</v>
      </c>
      <c r="K16" s="450">
        <v>0.25416812415110307</v>
      </c>
      <c r="L16" s="504">
        <v>0.96788506434122124</v>
      </c>
      <c r="M16" s="504">
        <v>0.94699357699930653</v>
      </c>
      <c r="N16" s="451">
        <v>1.0900000000000001</v>
      </c>
      <c r="O16" s="504">
        <v>1.212594354633614</v>
      </c>
      <c r="P16" s="487">
        <v>1.0839818908863641</v>
      </c>
      <c r="S16" s="138"/>
      <c r="T16" s="510"/>
      <c r="U16" s="510"/>
      <c r="V16" s="511"/>
    </row>
    <row r="17" spans="1:24" ht="17" thickBot="1">
      <c r="A17" s="465" t="s">
        <v>970</v>
      </c>
      <c r="B17" s="447">
        <v>7</v>
      </c>
      <c r="C17" s="504">
        <v>1.0801015876287672</v>
      </c>
      <c r="D17" s="477">
        <v>2.1638477432836223</v>
      </c>
      <c r="E17" s="477">
        <v>0.16253159242370313</v>
      </c>
      <c r="F17" s="504">
        <f t="shared" si="0"/>
        <v>0.41179893709273513</v>
      </c>
      <c r="G17" s="477">
        <v>0.44301926004171199</v>
      </c>
      <c r="H17" s="504">
        <f t="shared" si="1"/>
        <v>0.73934143059161173</v>
      </c>
      <c r="I17" s="505">
        <v>0.22354726306204947</v>
      </c>
      <c r="J17" s="477">
        <v>0.19594323414619666</v>
      </c>
      <c r="K17" s="450" t="s">
        <v>38</v>
      </c>
      <c r="L17" s="504">
        <v>0.42823345075055169</v>
      </c>
      <c r="M17" s="504">
        <v>0.55954146707616625</v>
      </c>
      <c r="N17" s="451">
        <v>0.59</v>
      </c>
      <c r="O17" s="504">
        <v>1.0325147457583626</v>
      </c>
      <c r="P17" s="487">
        <v>0.66992621883533843</v>
      </c>
      <c r="S17" s="138"/>
      <c r="T17" s="753" t="s">
        <v>1059</v>
      </c>
      <c r="U17" s="754"/>
      <c r="V17" s="511"/>
    </row>
    <row r="18" spans="1:24" ht="17" thickBot="1">
      <c r="A18" s="465" t="s">
        <v>971</v>
      </c>
      <c r="B18" s="447">
        <v>557</v>
      </c>
      <c r="C18" s="504">
        <v>0.50487423475647786</v>
      </c>
      <c r="D18" s="477">
        <v>0.64619811083770839</v>
      </c>
      <c r="E18" s="477">
        <v>0.18838462629709835</v>
      </c>
      <c r="F18" s="504">
        <f t="shared" si="0"/>
        <v>0.34006312368726666</v>
      </c>
      <c r="G18" s="477">
        <v>0.1765640030797172</v>
      </c>
      <c r="H18" s="504">
        <f t="shared" si="1"/>
        <v>0.41298063839707061</v>
      </c>
      <c r="I18" s="505">
        <v>0.17565142557211211</v>
      </c>
      <c r="J18" s="477">
        <v>0.16758082918349013</v>
      </c>
      <c r="K18" s="450">
        <v>0.95491634941234516</v>
      </c>
      <c r="L18" s="504">
        <v>0.4043516578768579</v>
      </c>
      <c r="M18" s="504">
        <v>0.43131558206262371</v>
      </c>
      <c r="N18" s="451">
        <v>0.6</v>
      </c>
      <c r="O18" s="504">
        <v>0.84127389209358849</v>
      </c>
      <c r="P18" s="487">
        <v>0.53798435408602807</v>
      </c>
      <c r="S18" s="138"/>
      <c r="T18" s="102" t="str">
        <f>A49</f>
        <v>Healthcare Products</v>
      </c>
      <c r="U18" s="512">
        <f>O49</f>
        <v>0.91238001884570208</v>
      </c>
      <c r="V18" s="513"/>
    </row>
    <row r="19" spans="1:24" ht="17" thickBot="1">
      <c r="A19" s="465" t="s">
        <v>972</v>
      </c>
      <c r="B19" s="447">
        <v>23</v>
      </c>
      <c r="C19" s="504">
        <v>1.0129742331996445</v>
      </c>
      <c r="D19" s="477">
        <v>0.22909687972770462</v>
      </c>
      <c r="E19" s="477">
        <v>9.3937841767617533E-2</v>
      </c>
      <c r="F19" s="504">
        <f t="shared" si="0"/>
        <v>0.86444328818166272</v>
      </c>
      <c r="G19" s="477">
        <v>1.8550558673249666E-2</v>
      </c>
      <c r="H19" s="504">
        <f t="shared" si="1"/>
        <v>0.88078229176337852</v>
      </c>
      <c r="I19" s="505">
        <v>0.58705825859902261</v>
      </c>
      <c r="J19" s="477">
        <v>0.49874676442989341</v>
      </c>
      <c r="K19" s="450">
        <v>0.33799560403248413</v>
      </c>
      <c r="L19" s="504">
        <v>1.0479649012287298</v>
      </c>
      <c r="M19" s="504">
        <v>0.91888255777611116</v>
      </c>
      <c r="N19" s="451">
        <v>0.67</v>
      </c>
      <c r="O19" s="504">
        <v>0.72052481164241255</v>
      </c>
      <c r="P19" s="487">
        <v>0.8476309124821263</v>
      </c>
      <c r="S19" s="138"/>
      <c r="T19" s="102" t="s">
        <v>1060</v>
      </c>
      <c r="U19" s="514">
        <f>U18*(1-U27)</f>
        <v>0.8629324571646747</v>
      </c>
      <c r="V19" s="511"/>
    </row>
    <row r="20" spans="1:24" ht="17" thickBot="1">
      <c r="A20" s="465" t="s">
        <v>973</v>
      </c>
      <c r="B20" s="447">
        <v>31</v>
      </c>
      <c r="C20" s="504">
        <v>1.3034433070435496</v>
      </c>
      <c r="D20" s="477">
        <v>0.1526904463074982</v>
      </c>
      <c r="E20" s="477">
        <v>6.4164664471146424E-2</v>
      </c>
      <c r="F20" s="504">
        <f t="shared" si="0"/>
        <v>1.1695131889554631</v>
      </c>
      <c r="G20" s="477">
        <v>2.655230937298967E-2</v>
      </c>
      <c r="H20" s="504">
        <f t="shared" si="1"/>
        <v>1.2014134916712005</v>
      </c>
      <c r="I20" s="505">
        <v>0.61052132144061366</v>
      </c>
      <c r="J20" s="477">
        <v>0.41717146856964005</v>
      </c>
      <c r="K20" s="450">
        <v>9.3564845497937574E-2</v>
      </c>
      <c r="L20" s="504">
        <v>1.0445632745746374</v>
      </c>
      <c r="M20" s="504">
        <v>1.0907131928183842</v>
      </c>
      <c r="N20" s="451">
        <v>0.71</v>
      </c>
      <c r="O20" s="504">
        <v>1.1155473334942059</v>
      </c>
      <c r="P20" s="487">
        <v>1.0324474585116856</v>
      </c>
      <c r="S20" s="138"/>
      <c r="T20" s="670" t="s">
        <v>1061</v>
      </c>
      <c r="U20" s="669">
        <f>U19*(1+U28*(1-U29))</f>
        <v>1.9764006140227453</v>
      </c>
      <c r="V20" s="511"/>
    </row>
    <row r="21" spans="1:24" ht="17" thickBot="1">
      <c r="A21" s="465" t="s">
        <v>974</v>
      </c>
      <c r="B21" s="447">
        <v>26</v>
      </c>
      <c r="C21" s="504">
        <v>1.3220586425472229</v>
      </c>
      <c r="D21" s="477">
        <v>1.4683207619722523</v>
      </c>
      <c r="E21" s="477">
        <v>0.15763232212904729</v>
      </c>
      <c r="F21" s="504">
        <f t="shared" si="0"/>
        <v>0.62918004748811163</v>
      </c>
      <c r="G21" s="477">
        <v>0.10393630501139743</v>
      </c>
      <c r="H21" s="504">
        <f t="shared" si="1"/>
        <v>0.70215995917133367</v>
      </c>
      <c r="I21" s="505">
        <v>0.55839204502628303</v>
      </c>
      <c r="J21" s="477">
        <v>0.468984145587513</v>
      </c>
      <c r="K21" s="450">
        <v>0.3165910010704478</v>
      </c>
      <c r="L21" s="504">
        <v>0.50865466473151821</v>
      </c>
      <c r="M21" s="504">
        <v>0.72993739029315097</v>
      </c>
      <c r="N21" s="451">
        <v>0.65</v>
      </c>
      <c r="O21" s="504">
        <v>0.8112721237191215</v>
      </c>
      <c r="P21" s="487">
        <v>0.68040482758302478</v>
      </c>
      <c r="S21" s="138"/>
      <c r="T21" s="510"/>
      <c r="U21" s="510"/>
      <c r="V21" s="511"/>
      <c r="X21" s="439">
        <v>3.39</v>
      </c>
    </row>
    <row r="22" spans="1:24" ht="16">
      <c r="A22" s="465" t="s">
        <v>975</v>
      </c>
      <c r="B22" s="447">
        <v>30</v>
      </c>
      <c r="C22" s="504">
        <v>1.2048082896180194</v>
      </c>
      <c r="D22" s="477">
        <v>2.0108831543010175</v>
      </c>
      <c r="E22" s="477">
        <v>0.15316532055412033</v>
      </c>
      <c r="F22" s="504">
        <f t="shared" si="0"/>
        <v>0.48035498262864479</v>
      </c>
      <c r="G22" s="477">
        <v>0.30759698309671335</v>
      </c>
      <c r="H22" s="504">
        <f t="shared" si="1"/>
        <v>0.69375056275316571</v>
      </c>
      <c r="I22" s="505">
        <v>0.35452868010802446</v>
      </c>
      <c r="J22" s="477">
        <v>0.27996249256243011</v>
      </c>
      <c r="K22" s="450">
        <v>0.37879796819936629</v>
      </c>
      <c r="L22" s="504">
        <v>0.45767101776631969</v>
      </c>
      <c r="M22" s="504">
        <v>0.56767432387195649</v>
      </c>
      <c r="N22" s="451">
        <v>0.56999999999999995</v>
      </c>
      <c r="O22" s="504">
        <v>0.67007031178199383</v>
      </c>
      <c r="P22" s="487">
        <v>0.59183324323468711</v>
      </c>
      <c r="S22" s="138"/>
      <c r="T22" s="515" t="s">
        <v>1062</v>
      </c>
      <c r="U22" s="516">
        <f>X23</f>
        <v>191.84380866000001</v>
      </c>
      <c r="V22" s="511"/>
      <c r="X22" s="439">
        <f>'Key Stats'!B45</f>
        <v>56.591093999999998</v>
      </c>
    </row>
    <row r="23" spans="1:24" ht="16">
      <c r="A23" s="465" t="s">
        <v>976</v>
      </c>
      <c r="B23" s="447">
        <v>45</v>
      </c>
      <c r="C23" s="504">
        <v>1.277280094823728</v>
      </c>
      <c r="D23" s="477">
        <v>0.28926208389857394</v>
      </c>
      <c r="E23" s="477">
        <v>0.16705684920922526</v>
      </c>
      <c r="F23" s="504">
        <f t="shared" si="0"/>
        <v>1.0495777988433901</v>
      </c>
      <c r="G23" s="477">
        <v>4.4413028827024706E-2</v>
      </c>
      <c r="H23" s="504">
        <f t="shared" si="1"/>
        <v>1.0983592603350816</v>
      </c>
      <c r="I23" s="505">
        <v>0.42078237507538668</v>
      </c>
      <c r="J23" s="477">
        <v>0.29189913847162119</v>
      </c>
      <c r="K23" s="450">
        <v>0.51369471130317734</v>
      </c>
      <c r="L23" s="504">
        <v>0.9149343033203543</v>
      </c>
      <c r="M23" s="504">
        <v>1.0185312839204805</v>
      </c>
      <c r="N23" s="451">
        <v>0.97</v>
      </c>
      <c r="O23" s="504">
        <v>1.0871499229138373</v>
      </c>
      <c r="P23" s="487">
        <v>1.0177949540979507</v>
      </c>
      <c r="S23" s="138"/>
      <c r="T23" s="517" t="s">
        <v>228</v>
      </c>
      <c r="U23" s="587">
        <f>'MV of debt'!K20</f>
        <v>330.05591613376009</v>
      </c>
      <c r="V23" s="511"/>
      <c r="X23" s="439">
        <f>X21*X22</f>
        <v>191.84380866000001</v>
      </c>
    </row>
    <row r="24" spans="1:24" ht="16">
      <c r="A24" s="465" t="s">
        <v>977</v>
      </c>
      <c r="B24" s="447">
        <v>164</v>
      </c>
      <c r="C24" s="504">
        <v>1.1709200204529924</v>
      </c>
      <c r="D24" s="477">
        <v>0.27473813403561204</v>
      </c>
      <c r="E24" s="477">
        <v>9.426309087876697E-2</v>
      </c>
      <c r="F24" s="504">
        <f t="shared" si="0"/>
        <v>0.97086897293920182</v>
      </c>
      <c r="G24" s="477">
        <v>4.8045201312521844E-2</v>
      </c>
      <c r="H24" s="504">
        <f t="shared" si="1"/>
        <v>1.0198687734730703</v>
      </c>
      <c r="I24" s="505">
        <v>0.53842313775055062</v>
      </c>
      <c r="J24" s="477">
        <v>0.45782493709706812</v>
      </c>
      <c r="K24" s="450">
        <v>0.188855823489921</v>
      </c>
      <c r="L24" s="504">
        <v>1.0001911265533716</v>
      </c>
      <c r="M24" s="504">
        <v>0.89488661716469986</v>
      </c>
      <c r="N24" s="451">
        <v>0.83</v>
      </c>
      <c r="O24" s="504">
        <v>0.98611314803847128</v>
      </c>
      <c r="P24" s="487">
        <v>0.94621193304592255</v>
      </c>
      <c r="S24" s="138"/>
      <c r="T24" s="517" t="s">
        <v>229</v>
      </c>
      <c r="U24" s="518">
        <f>'Balance Sheet'!E80</f>
        <v>189.95099999999999</v>
      </c>
      <c r="V24" s="511"/>
    </row>
    <row r="25" spans="1:24" ht="16">
      <c r="A25" s="465" t="s">
        <v>978</v>
      </c>
      <c r="B25" s="447">
        <v>10</v>
      </c>
      <c r="C25" s="504">
        <v>1.2551641961018303</v>
      </c>
      <c r="D25" s="477">
        <v>1.0726584461257194</v>
      </c>
      <c r="E25" s="477">
        <v>0.21948943063387358</v>
      </c>
      <c r="F25" s="504">
        <f t="shared" si="0"/>
        <v>0.69557688257994688</v>
      </c>
      <c r="G25" s="477">
        <v>1.4652309221875827E-2</v>
      </c>
      <c r="H25" s="504">
        <f t="shared" si="1"/>
        <v>0.70592024428519573</v>
      </c>
      <c r="I25" s="505">
        <v>0.40675102626099358</v>
      </c>
      <c r="J25" s="477">
        <v>0.25406917505650006</v>
      </c>
      <c r="K25" s="450">
        <v>0.28732110193947924</v>
      </c>
      <c r="L25" s="504">
        <v>0.761515774451065</v>
      </c>
      <c r="M25" s="504">
        <v>0.77660827932883303</v>
      </c>
      <c r="N25" s="451">
        <v>0.7</v>
      </c>
      <c r="O25" s="504">
        <v>0.66413861096321036</v>
      </c>
      <c r="P25" s="487">
        <v>0.7216365818056607</v>
      </c>
      <c r="S25" s="138"/>
      <c r="T25" s="517" t="s">
        <v>1063</v>
      </c>
      <c r="U25" s="519">
        <f>U23+U22</f>
        <v>521.89972479376013</v>
      </c>
      <c r="V25" s="520"/>
    </row>
    <row r="26" spans="1:24" ht="16">
      <c r="A26" s="465" t="s">
        <v>979</v>
      </c>
      <c r="B26" s="447">
        <v>38</v>
      </c>
      <c r="C26" s="504">
        <v>1.2471014770997904</v>
      </c>
      <c r="D26" s="477">
        <v>0.48300567282668855</v>
      </c>
      <c r="E26" s="477">
        <v>9.8288916826142728E-2</v>
      </c>
      <c r="F26" s="504">
        <f t="shared" si="0"/>
        <v>0.91546895366287806</v>
      </c>
      <c r="G26" s="477">
        <v>4.5382199797510112E-2</v>
      </c>
      <c r="H26" s="504">
        <f t="shared" si="1"/>
        <v>0.95899003084657786</v>
      </c>
      <c r="I26" s="505">
        <v>0.52696235580816431</v>
      </c>
      <c r="J26" s="477">
        <v>0.46579004421759862</v>
      </c>
      <c r="K26" s="450">
        <v>0.43451061610715019</v>
      </c>
      <c r="L26" s="504">
        <v>1.1226945412373202</v>
      </c>
      <c r="M26" s="504">
        <v>0.99295661249847555</v>
      </c>
      <c r="N26" s="451">
        <v>0.76</v>
      </c>
      <c r="O26" s="504">
        <v>0.93712842522034645</v>
      </c>
      <c r="P26" s="487">
        <v>0.95435392196054403</v>
      </c>
      <c r="S26" s="138"/>
      <c r="T26" s="517" t="s">
        <v>1064</v>
      </c>
      <c r="U26" s="518">
        <f>'Balance Sheet'!G20</f>
        <v>28.285</v>
      </c>
      <c r="V26" s="521"/>
    </row>
    <row r="27" spans="1:24" ht="16">
      <c r="A27" s="465" t="s">
        <v>980</v>
      </c>
      <c r="B27" s="447">
        <v>4</v>
      </c>
      <c r="C27" s="504">
        <v>1.4125912305600932</v>
      </c>
      <c r="D27" s="477">
        <v>0.58242118157245371</v>
      </c>
      <c r="E27" s="477">
        <v>0.12024424146819795</v>
      </c>
      <c r="F27" s="504">
        <f t="shared" si="0"/>
        <v>0.98314004191332871</v>
      </c>
      <c r="G27" s="477">
        <v>9.8248914040228272E-2</v>
      </c>
      <c r="H27" s="504">
        <f t="shared" si="1"/>
        <v>1.0902565654988166</v>
      </c>
      <c r="I27" s="505">
        <v>0.44892380334886139</v>
      </c>
      <c r="J27" s="477">
        <v>0.39493176140036279</v>
      </c>
      <c r="K27" s="450">
        <v>0.41460083246837737</v>
      </c>
      <c r="L27" s="504">
        <v>1.4913554180375088</v>
      </c>
      <c r="M27" s="504">
        <v>1.2147165368811397</v>
      </c>
      <c r="N27" s="451">
        <v>1.03</v>
      </c>
      <c r="O27" s="504">
        <v>1.2079101125783385</v>
      </c>
      <c r="P27" s="487">
        <v>1.2068477265991606</v>
      </c>
      <c r="S27" s="138"/>
      <c r="T27" s="517" t="s">
        <v>1065</v>
      </c>
      <c r="U27" s="522">
        <f>U26/U25</f>
        <v>5.4196234748308064E-2</v>
      </c>
      <c r="V27" s="511"/>
    </row>
    <row r="28" spans="1:24" ht="16">
      <c r="A28" s="465" t="s">
        <v>981</v>
      </c>
      <c r="B28" s="447">
        <v>76</v>
      </c>
      <c r="C28" s="504">
        <v>1.2772947079305697</v>
      </c>
      <c r="D28" s="477">
        <v>0.27404332014115201</v>
      </c>
      <c r="E28" s="477">
        <v>0.10749764638974661</v>
      </c>
      <c r="F28" s="504">
        <f t="shared" si="0"/>
        <v>1.0595274025492285</v>
      </c>
      <c r="G28" s="477">
        <v>4.9966819284392533E-2</v>
      </c>
      <c r="H28" s="504">
        <f t="shared" si="1"/>
        <v>1.1152530501630955</v>
      </c>
      <c r="I28" s="505">
        <v>0.48818195945349135</v>
      </c>
      <c r="J28" s="477">
        <v>0.42320469092143559</v>
      </c>
      <c r="K28" s="450">
        <v>0.11590456255368969</v>
      </c>
      <c r="L28" s="504">
        <v>0.98902378999477181</v>
      </c>
      <c r="M28" s="504">
        <v>0.96485709428166544</v>
      </c>
      <c r="N28" s="451">
        <v>0.82</v>
      </c>
      <c r="O28" s="504">
        <v>0.99772295408911504</v>
      </c>
      <c r="P28" s="487">
        <v>0.97737137770572957</v>
      </c>
      <c r="S28" s="523"/>
      <c r="T28" s="517" t="s">
        <v>951</v>
      </c>
      <c r="U28" s="522">
        <f>U23/U22</f>
        <v>1.7204408025421865</v>
      </c>
      <c r="V28" s="518"/>
    </row>
    <row r="29" spans="1:24" ht="17" thickBot="1">
      <c r="A29" s="465" t="s">
        <v>982</v>
      </c>
      <c r="B29" s="447">
        <v>19</v>
      </c>
      <c r="C29" s="504">
        <v>1.4521788818808701</v>
      </c>
      <c r="D29" s="477">
        <v>0.21708836405146484</v>
      </c>
      <c r="E29" s="477">
        <v>2.2762442840657152E-2</v>
      </c>
      <c r="F29" s="504">
        <f t="shared" si="0"/>
        <v>1.2488463702749251</v>
      </c>
      <c r="G29" s="477">
        <v>0.12601748160559528</v>
      </c>
      <c r="H29" s="504">
        <f t="shared" si="1"/>
        <v>1.4289145880963197</v>
      </c>
      <c r="I29" s="505">
        <v>0.55022556697275737</v>
      </c>
      <c r="J29" s="477">
        <v>0.61956739404999339</v>
      </c>
      <c r="K29" s="450" t="s">
        <v>38</v>
      </c>
      <c r="L29" s="504">
        <v>0.96728429164799401</v>
      </c>
      <c r="M29" s="504">
        <v>1.0486643640232785</v>
      </c>
      <c r="N29" s="451">
        <v>0.56000000000000005</v>
      </c>
      <c r="O29" s="504">
        <v>0.81971087332733406</v>
      </c>
      <c r="P29" s="487">
        <v>0.96491482341898538</v>
      </c>
      <c r="S29" s="523"/>
      <c r="T29" s="524" t="s">
        <v>911</v>
      </c>
      <c r="U29" s="525">
        <v>0.25</v>
      </c>
      <c r="V29" s="518"/>
    </row>
    <row r="30" spans="1:24" ht="16">
      <c r="A30" s="465" t="s">
        <v>983</v>
      </c>
      <c r="B30" s="447">
        <v>80</v>
      </c>
      <c r="C30" s="504">
        <v>1.1713869322889647</v>
      </c>
      <c r="D30" s="477">
        <v>0.32563052145455873</v>
      </c>
      <c r="E30" s="477">
        <v>6.4707619952578926E-2</v>
      </c>
      <c r="F30" s="504">
        <f t="shared" si="0"/>
        <v>0.94146068254853232</v>
      </c>
      <c r="G30" s="477">
        <v>5.2114354259030375E-2</v>
      </c>
      <c r="H30" s="504">
        <f t="shared" si="1"/>
        <v>0.99322179503265406</v>
      </c>
      <c r="I30" s="505">
        <v>0.60526859741162964</v>
      </c>
      <c r="J30" s="477">
        <v>0.47775300169020696</v>
      </c>
      <c r="K30" s="450">
        <v>0.26370038953388647</v>
      </c>
      <c r="L30" s="504">
        <v>1.0462592460215911</v>
      </c>
      <c r="M30" s="504">
        <v>0.95286626462920188</v>
      </c>
      <c r="N30" s="451">
        <v>0.94</v>
      </c>
      <c r="O30" s="504">
        <v>1.0576213168025859</v>
      </c>
      <c r="P30" s="487">
        <v>0.99799372449720658</v>
      </c>
      <c r="S30" s="523"/>
      <c r="T30" s="526"/>
      <c r="U30" s="526"/>
      <c r="V30" s="518"/>
    </row>
    <row r="31" spans="1:24" ht="16">
      <c r="A31" s="465" t="s">
        <v>984</v>
      </c>
      <c r="B31" s="447">
        <v>42</v>
      </c>
      <c r="C31" s="504">
        <v>1.2910863648381774</v>
      </c>
      <c r="D31" s="477">
        <v>9.5226989386829622E-2</v>
      </c>
      <c r="E31" s="477">
        <v>9.1326261969354353E-2</v>
      </c>
      <c r="F31" s="504">
        <f t="shared" si="0"/>
        <v>1.2050233084823772</v>
      </c>
      <c r="G31" s="477">
        <v>1.7944827521250071E-2</v>
      </c>
      <c r="H31" s="504">
        <f t="shared" si="1"/>
        <v>1.2270423722130051</v>
      </c>
      <c r="I31" s="505">
        <v>0.46002129530107139</v>
      </c>
      <c r="J31" s="477">
        <v>0.48725444355956743</v>
      </c>
      <c r="K31" s="450">
        <v>0.2502042492888249</v>
      </c>
      <c r="L31" s="504">
        <v>1.4982789281613096</v>
      </c>
      <c r="M31" s="504">
        <v>1.6400833392351297</v>
      </c>
      <c r="N31" s="451">
        <v>1.1399999999999999</v>
      </c>
      <c r="O31" s="504">
        <v>1.2487708944175273</v>
      </c>
      <c r="P31" s="487">
        <v>1.3508351068053943</v>
      </c>
      <c r="S31" s="523"/>
      <c r="T31" s="527"/>
      <c r="U31" s="527"/>
      <c r="V31" s="518"/>
    </row>
    <row r="32" spans="1:24" ht="17" thickBot="1">
      <c r="A32" s="465" t="s">
        <v>985</v>
      </c>
      <c r="B32" s="447">
        <v>49</v>
      </c>
      <c r="C32" s="504">
        <v>1.2643960028602219</v>
      </c>
      <c r="D32" s="477">
        <v>0.30126277175061744</v>
      </c>
      <c r="E32" s="477">
        <v>0.10517907237686368</v>
      </c>
      <c r="F32" s="504">
        <f t="shared" si="0"/>
        <v>1.0313626295227094</v>
      </c>
      <c r="G32" s="477">
        <v>4.153892916080696E-2</v>
      </c>
      <c r="H32" s="504">
        <f t="shared" si="1"/>
        <v>1.0760610533922743</v>
      </c>
      <c r="I32" s="505">
        <v>0.4573409539780639</v>
      </c>
      <c r="J32" s="477">
        <v>0.35111645283882109</v>
      </c>
      <c r="K32" s="450">
        <v>0.19305242155651664</v>
      </c>
      <c r="L32" s="504">
        <v>1.1495970541250109</v>
      </c>
      <c r="M32" s="504">
        <v>1.10359654774166</v>
      </c>
      <c r="N32" s="451">
        <v>0.87</v>
      </c>
      <c r="O32" s="504">
        <v>0.97964859930627823</v>
      </c>
      <c r="P32" s="487">
        <v>1.0357806509130447</v>
      </c>
      <c r="S32" s="528"/>
      <c r="T32" s="529"/>
      <c r="U32" s="529"/>
      <c r="V32" s="530"/>
    </row>
    <row r="33" spans="1:29" ht="16">
      <c r="A33" s="465" t="s">
        <v>986</v>
      </c>
      <c r="B33" s="447">
        <v>23</v>
      </c>
      <c r="C33" s="504">
        <v>1.0382284747790869</v>
      </c>
      <c r="D33" s="477">
        <v>0.21236570626489795</v>
      </c>
      <c r="E33" s="477">
        <v>2.9800285457986134E-2</v>
      </c>
      <c r="F33" s="504">
        <f t="shared" si="0"/>
        <v>0.89558484386365433</v>
      </c>
      <c r="G33" s="477">
        <v>4.6739475865868324E-2</v>
      </c>
      <c r="H33" s="504">
        <f t="shared" si="1"/>
        <v>0.93949641382363391</v>
      </c>
      <c r="I33" s="505">
        <v>0.56432347793914572</v>
      </c>
      <c r="J33" s="477">
        <v>0.57844438730746484</v>
      </c>
      <c r="K33" s="450">
        <v>0.48718074359979791</v>
      </c>
      <c r="L33" s="504">
        <v>1.1438090814341535</v>
      </c>
      <c r="M33" s="504">
        <v>1.2484828302966493</v>
      </c>
      <c r="N33" s="451">
        <v>0.89</v>
      </c>
      <c r="O33" s="504">
        <v>0.70214146215394413</v>
      </c>
      <c r="P33" s="487">
        <v>0.9847859575416763</v>
      </c>
    </row>
    <row r="34" spans="1:29" ht="16">
      <c r="A34" s="465" t="s">
        <v>987</v>
      </c>
      <c r="B34" s="447">
        <v>598</v>
      </c>
      <c r="C34" s="504">
        <v>1.2417422800706084</v>
      </c>
      <c r="D34" s="477">
        <v>0.1532086421175077</v>
      </c>
      <c r="E34" s="477">
        <v>9.3669880911142409E-3</v>
      </c>
      <c r="F34" s="504">
        <f t="shared" si="0"/>
        <v>1.1137636210543922</v>
      </c>
      <c r="G34" s="477">
        <v>7.1437251488811804E-2</v>
      </c>
      <c r="H34" s="504">
        <f t="shared" si="1"/>
        <v>1.1994489579084946</v>
      </c>
      <c r="I34" s="505">
        <v>0.65399906075149938</v>
      </c>
      <c r="J34" s="477">
        <v>0.58414093308210857</v>
      </c>
      <c r="K34" s="450">
        <v>0.29812569880822276</v>
      </c>
      <c r="L34" s="504">
        <v>1.4307835597315306</v>
      </c>
      <c r="M34" s="504">
        <v>1.3891731337867141</v>
      </c>
      <c r="N34" s="451">
        <v>0.85</v>
      </c>
      <c r="O34" s="504">
        <v>0.97223289569428162</v>
      </c>
      <c r="P34" s="487">
        <v>1.1683277094242039</v>
      </c>
    </row>
    <row r="35" spans="1:29" ht="16">
      <c r="A35" s="465" t="s">
        <v>988</v>
      </c>
      <c r="B35" s="447">
        <v>281</v>
      </c>
      <c r="C35" s="504">
        <v>1.2680061555196915</v>
      </c>
      <c r="D35" s="477">
        <v>0.13615574045546022</v>
      </c>
      <c r="E35" s="477">
        <v>2.373947361492524E-2</v>
      </c>
      <c r="F35" s="504">
        <f t="shared" si="0"/>
        <v>1.1505188464363174</v>
      </c>
      <c r="G35" s="477">
        <v>2.5649637421181277E-2</v>
      </c>
      <c r="H35" s="504">
        <f t="shared" si="1"/>
        <v>1.1808060946282533</v>
      </c>
      <c r="I35" s="505">
        <v>0.69191225362599162</v>
      </c>
      <c r="J35" s="477">
        <v>0.64883553950451733</v>
      </c>
      <c r="K35" s="450">
        <v>0.18546971819096153</v>
      </c>
      <c r="L35" s="504">
        <v>1.3790871702678402</v>
      </c>
      <c r="M35" s="504">
        <v>1.2856575366949226</v>
      </c>
      <c r="N35" s="451">
        <v>0.84</v>
      </c>
      <c r="O35" s="504">
        <v>1.009823573553889</v>
      </c>
      <c r="P35" s="487">
        <v>1.139074875028981</v>
      </c>
    </row>
    <row r="36" spans="1:29" ht="16">
      <c r="A36" s="465" t="s">
        <v>989</v>
      </c>
      <c r="B36" s="447">
        <v>33</v>
      </c>
      <c r="C36" s="504">
        <v>1.1008288893194806</v>
      </c>
      <c r="D36" s="477">
        <v>0.30610420787144932</v>
      </c>
      <c r="E36" s="477">
        <v>7.0982357458296813E-2</v>
      </c>
      <c r="F36" s="504">
        <f t="shared" si="0"/>
        <v>0.89528988786443453</v>
      </c>
      <c r="G36" s="477">
        <v>9.9048605897792408E-2</v>
      </c>
      <c r="H36" s="504">
        <f t="shared" si="1"/>
        <v>0.99371608027377023</v>
      </c>
      <c r="I36" s="505">
        <v>0.54831668621017793</v>
      </c>
      <c r="J36" s="477">
        <v>0.41812601855058806</v>
      </c>
      <c r="K36" s="450">
        <v>0.17467699345638765</v>
      </c>
      <c r="L36" s="504">
        <v>1.1083755117525074</v>
      </c>
      <c r="M36" s="504">
        <v>1.3560146590000444</v>
      </c>
      <c r="N36" s="451">
        <v>1.07</v>
      </c>
      <c r="O36" s="504">
        <v>1.1033169078612295</v>
      </c>
      <c r="P36" s="487">
        <v>1.1262846317775101</v>
      </c>
    </row>
    <row r="37" spans="1:29" ht="16">
      <c r="A37" s="465" t="s">
        <v>990</v>
      </c>
      <c r="B37" s="447">
        <v>110</v>
      </c>
      <c r="C37" s="504">
        <v>1.5896686619511227</v>
      </c>
      <c r="D37" s="477">
        <v>0.22517897119319411</v>
      </c>
      <c r="E37" s="477">
        <v>4.468854824762538E-2</v>
      </c>
      <c r="F37" s="504">
        <f t="shared" si="0"/>
        <v>1.3599881180140871</v>
      </c>
      <c r="G37" s="477">
        <v>5.0721749418674862E-2</v>
      </c>
      <c r="H37" s="504">
        <f t="shared" si="1"/>
        <v>1.4326548798323873</v>
      </c>
      <c r="I37" s="505">
        <v>0.59440287550492121</v>
      </c>
      <c r="J37" s="477">
        <v>0.58554859436634488</v>
      </c>
      <c r="K37" s="450">
        <v>0.13952392240432268</v>
      </c>
      <c r="L37" s="504">
        <v>1.1823979253907428</v>
      </c>
      <c r="M37" s="504">
        <v>1.307118859086069</v>
      </c>
      <c r="N37" s="451">
        <v>1</v>
      </c>
      <c r="O37" s="504">
        <v>1.194327330306878</v>
      </c>
      <c r="P37" s="487">
        <v>1.2232997989232155</v>
      </c>
    </row>
    <row r="38" spans="1:29" ht="16">
      <c r="A38" s="465" t="s">
        <v>991</v>
      </c>
      <c r="B38" s="447">
        <v>16</v>
      </c>
      <c r="C38" s="504">
        <v>1.5389191240889379</v>
      </c>
      <c r="D38" s="477">
        <v>0.16454415358129629</v>
      </c>
      <c r="E38" s="477">
        <v>3.9839422941665745E-2</v>
      </c>
      <c r="F38" s="504">
        <f t="shared" si="0"/>
        <v>1.3698664833253236</v>
      </c>
      <c r="G38" s="477">
        <v>0.15076516748919444</v>
      </c>
      <c r="H38" s="504">
        <f t="shared" si="1"/>
        <v>1.6130596990178139</v>
      </c>
      <c r="I38" s="505">
        <v>0.59618023652287999</v>
      </c>
      <c r="J38" s="477">
        <v>0.39564713245016608</v>
      </c>
      <c r="K38" s="450">
        <v>3.2816740669127902</v>
      </c>
      <c r="L38" s="504">
        <v>1.2240277060430294</v>
      </c>
      <c r="M38" s="504">
        <v>1.2507943575732801</v>
      </c>
      <c r="N38" s="451">
        <v>1.01</v>
      </c>
      <c r="O38" s="504">
        <v>1.0571596798644427</v>
      </c>
      <c r="P38" s="487">
        <v>1.2310082884997131</v>
      </c>
      <c r="R38"/>
      <c r="S38"/>
      <c r="T38"/>
      <c r="U38"/>
      <c r="V38"/>
      <c r="W38"/>
      <c r="X38"/>
      <c r="Y38"/>
      <c r="Z38"/>
      <c r="AA38"/>
      <c r="AB38"/>
      <c r="AC38"/>
    </row>
    <row r="39" spans="1:29" ht="16">
      <c r="A39" s="465" t="s">
        <v>992</v>
      </c>
      <c r="B39" s="447">
        <v>138</v>
      </c>
      <c r="C39" s="504">
        <v>1.2012527647557136</v>
      </c>
      <c r="D39" s="477">
        <v>0.18815296717148403</v>
      </c>
      <c r="E39" s="477">
        <v>6.2906519672550273E-2</v>
      </c>
      <c r="F39" s="504">
        <f t="shared" si="0"/>
        <v>1.0527011334089542</v>
      </c>
      <c r="G39" s="477">
        <v>5.6857387672521964E-2</v>
      </c>
      <c r="H39" s="504">
        <f t="shared" si="1"/>
        <v>1.1161632606240839</v>
      </c>
      <c r="I39" s="505">
        <v>0.50307613144155283</v>
      </c>
      <c r="J39" s="477">
        <v>0.449375866701406</v>
      </c>
      <c r="K39" s="450">
        <v>0.25372538724431853</v>
      </c>
      <c r="L39" s="504">
        <v>0.96066030351745013</v>
      </c>
      <c r="M39" s="504">
        <v>1.070921529276746</v>
      </c>
      <c r="N39" s="451">
        <v>0.86</v>
      </c>
      <c r="O39" s="504">
        <v>1.051017267647953</v>
      </c>
      <c r="P39" s="487">
        <v>1.0117524722132465</v>
      </c>
      <c r="R39"/>
      <c r="S39"/>
      <c r="T39"/>
      <c r="U39"/>
      <c r="V39"/>
      <c r="W39"/>
      <c r="X39"/>
      <c r="Y39"/>
      <c r="Z39"/>
      <c r="AA39"/>
      <c r="AB39"/>
      <c r="AC39"/>
    </row>
    <row r="40" spans="1:29" ht="16">
      <c r="A40" s="465" t="s">
        <v>993</v>
      </c>
      <c r="B40" s="447">
        <v>43</v>
      </c>
      <c r="C40" s="504">
        <v>1.1967640138319908</v>
      </c>
      <c r="D40" s="477">
        <v>0.3159216597803674</v>
      </c>
      <c r="E40" s="477">
        <v>0.13296156731028333</v>
      </c>
      <c r="F40" s="504">
        <f t="shared" si="0"/>
        <v>0.96751888485322912</v>
      </c>
      <c r="G40" s="477">
        <v>4.9237983688661585E-2</v>
      </c>
      <c r="H40" s="504">
        <f t="shared" si="1"/>
        <v>1.0176246718468016</v>
      </c>
      <c r="I40" s="505">
        <v>0.42193835857454437</v>
      </c>
      <c r="J40" s="477">
        <v>0.35166848143953711</v>
      </c>
      <c r="K40" s="450">
        <v>0.1519539977388748</v>
      </c>
      <c r="L40" s="504">
        <v>0.81015878396309304</v>
      </c>
      <c r="M40" s="504">
        <v>1.3250378765861548</v>
      </c>
      <c r="N40" s="451">
        <v>0.95</v>
      </c>
      <c r="O40" s="504">
        <v>0.97396252486347068</v>
      </c>
      <c r="P40" s="487">
        <v>1.0153567714519043</v>
      </c>
      <c r="R40" s="588"/>
      <c r="S40" s="589"/>
      <c r="T40" s="590"/>
      <c r="U40" s="590"/>
      <c r="V40" s="590"/>
      <c r="W40" s="590"/>
      <c r="X40" s="590"/>
      <c r="Y40" s="589"/>
      <c r="Z40" s="590"/>
      <c r="AA40" s="590"/>
      <c r="AB40" s="589"/>
      <c r="AC40" s="591"/>
    </row>
    <row r="41" spans="1:29" ht="16">
      <c r="A41" s="465" t="s">
        <v>994</v>
      </c>
      <c r="B41" s="447">
        <v>110</v>
      </c>
      <c r="C41" s="504">
        <v>1.4497950169593838</v>
      </c>
      <c r="D41" s="477">
        <v>0.33280500111802513</v>
      </c>
      <c r="E41" s="477">
        <v>3.4485773715445603E-2</v>
      </c>
      <c r="F41" s="504">
        <f t="shared" si="0"/>
        <v>1.1602037973929984</v>
      </c>
      <c r="G41" s="477">
        <v>6.9023482536863676E-2</v>
      </c>
      <c r="H41" s="504">
        <f t="shared" si="1"/>
        <v>1.2462224080092748</v>
      </c>
      <c r="I41" s="505">
        <v>0.68827444182709896</v>
      </c>
      <c r="J41" s="477">
        <v>0.578095571351251</v>
      </c>
      <c r="K41" s="450">
        <v>0.25732913893489373</v>
      </c>
      <c r="L41" s="504">
        <v>1.2140124334135816</v>
      </c>
      <c r="M41" s="504">
        <v>1.2017030374551592</v>
      </c>
      <c r="N41" s="451">
        <v>0.84</v>
      </c>
      <c r="O41" s="504">
        <v>0.96424847628751709</v>
      </c>
      <c r="P41" s="487">
        <v>1.0932372710331066</v>
      </c>
      <c r="R41" s="592"/>
      <c r="S41" s="593"/>
      <c r="T41" s="593"/>
      <c r="U41" s="593"/>
      <c r="V41" s="594"/>
      <c r="W41" s="594"/>
      <c r="X41" s="593"/>
      <c r="Y41" s="593"/>
      <c r="Z41" s="595"/>
      <c r="AA41" s="593"/>
      <c r="AB41" s="593"/>
      <c r="AC41"/>
    </row>
    <row r="42" spans="1:29" ht="16">
      <c r="A42" s="465" t="s">
        <v>995</v>
      </c>
      <c r="B42" s="447">
        <v>62</v>
      </c>
      <c r="C42" s="504">
        <v>1.0153454106826958</v>
      </c>
      <c r="D42" s="477">
        <v>0.25536486314909534</v>
      </c>
      <c r="E42" s="477">
        <v>5.4211005912351659E-2</v>
      </c>
      <c r="F42" s="504">
        <f t="shared" si="0"/>
        <v>0.85214037751646321</v>
      </c>
      <c r="G42" s="477">
        <v>8.1137078092717446E-3</v>
      </c>
      <c r="H42" s="504">
        <f t="shared" si="1"/>
        <v>0.85911095276292671</v>
      </c>
      <c r="I42" s="505">
        <v>0.61566156782923753</v>
      </c>
      <c r="J42" s="477">
        <v>0.48087346767746236</v>
      </c>
      <c r="K42" s="450">
        <v>0.13314926778396013</v>
      </c>
      <c r="L42" s="504">
        <v>0.96017519579922372</v>
      </c>
      <c r="M42" s="504">
        <v>1.0485101305295534</v>
      </c>
      <c r="N42" s="451">
        <v>0.82</v>
      </c>
      <c r="O42" s="504">
        <v>1.0861829799643721</v>
      </c>
      <c r="P42" s="487">
        <v>0.95479585181121518</v>
      </c>
      <c r="R42" s="592"/>
      <c r="S42" s="596"/>
      <c r="T42" s="593"/>
      <c r="U42" s="593"/>
      <c r="V42" s="593"/>
      <c r="W42" s="593"/>
      <c r="X42" s="593"/>
      <c r="Y42" s="593"/>
      <c r="Z42" s="595"/>
      <c r="AA42" s="593"/>
      <c r="AB42" s="593"/>
      <c r="AC42"/>
    </row>
    <row r="43" spans="1:29" ht="16">
      <c r="A43" s="465" t="s">
        <v>996</v>
      </c>
      <c r="B43" s="447">
        <v>39</v>
      </c>
      <c r="C43" s="504">
        <v>1.1403135761675725</v>
      </c>
      <c r="D43" s="477">
        <v>0.33866680168767294</v>
      </c>
      <c r="E43" s="477">
        <v>6.6354615342110748E-2</v>
      </c>
      <c r="F43" s="504">
        <f t="shared" si="0"/>
        <v>0.90934089639751225</v>
      </c>
      <c r="G43" s="477">
        <v>2.3316489175641959E-2</v>
      </c>
      <c r="H43" s="504">
        <f t="shared" si="1"/>
        <v>0.93104970680829247</v>
      </c>
      <c r="I43" s="505">
        <v>0.58902891744351826</v>
      </c>
      <c r="J43" s="477">
        <v>0.54426709586173694</v>
      </c>
      <c r="K43" s="450">
        <v>0.26089987310925372</v>
      </c>
      <c r="L43" s="504">
        <v>0.49587806644422544</v>
      </c>
      <c r="M43" s="504">
        <v>0.62745114806840763</v>
      </c>
      <c r="N43" s="451">
        <v>0.68</v>
      </c>
      <c r="O43" s="504">
        <v>0.84786520692470635</v>
      </c>
      <c r="P43" s="487">
        <v>0.71644882564912638</v>
      </c>
      <c r="R43"/>
      <c r="S43"/>
      <c r="T43"/>
      <c r="U43"/>
      <c r="V43"/>
      <c r="W43"/>
      <c r="X43"/>
      <c r="Y43"/>
      <c r="Z43"/>
      <c r="AA43"/>
      <c r="AB43"/>
      <c r="AC43"/>
    </row>
    <row r="44" spans="1:29" ht="16">
      <c r="A44" s="465" t="s">
        <v>997</v>
      </c>
      <c r="B44" s="447">
        <v>223</v>
      </c>
      <c r="C44" s="504">
        <v>0.88572507363771524</v>
      </c>
      <c r="D44" s="477">
        <v>10.043963353993375</v>
      </c>
      <c r="E44" s="477">
        <v>0.14608585547831091</v>
      </c>
      <c r="F44" s="504">
        <f t="shared" si="0"/>
        <v>0.10380029609017566</v>
      </c>
      <c r="G44" s="477">
        <v>2.23635951229793E-2</v>
      </c>
      <c r="H44" s="504">
        <f t="shared" si="1"/>
        <v>0.10617474510192053</v>
      </c>
      <c r="I44" s="505">
        <v>0.33784250120258325</v>
      </c>
      <c r="J44" s="477">
        <v>0.27145306503706762</v>
      </c>
      <c r="K44" s="450">
        <v>0.61670379122051722</v>
      </c>
      <c r="L44" s="504">
        <v>7.5615335031345252E-2</v>
      </c>
      <c r="M44" s="504">
        <v>9.826313785398752E-2</v>
      </c>
      <c r="N44" s="451">
        <v>0.11</v>
      </c>
      <c r="O44" s="504">
        <v>0.15175874715602064</v>
      </c>
      <c r="P44" s="487">
        <v>0.10836239302865477</v>
      </c>
      <c r="R44"/>
      <c r="S44"/>
      <c r="T44"/>
      <c r="U44"/>
      <c r="V44"/>
      <c r="W44"/>
      <c r="X44"/>
      <c r="Y44"/>
      <c r="Z44"/>
      <c r="AA44"/>
      <c r="AB44"/>
      <c r="AC44"/>
    </row>
    <row r="45" spans="1:29" ht="16">
      <c r="A45" s="465" t="s">
        <v>998</v>
      </c>
      <c r="B45" s="447">
        <v>92</v>
      </c>
      <c r="C45" s="504">
        <v>0.91752023311739583</v>
      </c>
      <c r="D45" s="477">
        <v>0.28857870023567972</v>
      </c>
      <c r="E45" s="477">
        <v>7.7369309042831444E-2</v>
      </c>
      <c r="F45" s="504">
        <f t="shared" si="0"/>
        <v>0.75427044469926852</v>
      </c>
      <c r="G45" s="477">
        <v>1.87364939663376E-2</v>
      </c>
      <c r="H45" s="504">
        <f t="shared" si="1"/>
        <v>0.76867267564864794</v>
      </c>
      <c r="I45" s="505">
        <v>0.48660886685275451</v>
      </c>
      <c r="J45" s="477">
        <v>0.34228783415433228</v>
      </c>
      <c r="K45" s="450">
        <v>0.16971271691317583</v>
      </c>
      <c r="L45" s="504">
        <v>0.61142199192503821</v>
      </c>
      <c r="M45" s="504">
        <v>0.69680824795297369</v>
      </c>
      <c r="N45" s="451">
        <v>0.53</v>
      </c>
      <c r="O45" s="504">
        <v>0.63241384575053905</v>
      </c>
      <c r="P45" s="487">
        <v>0.64786335225543978</v>
      </c>
    </row>
    <row r="46" spans="1:29" ht="16">
      <c r="A46" s="465" t="s">
        <v>999</v>
      </c>
      <c r="B46" s="447">
        <v>14</v>
      </c>
      <c r="C46" s="504">
        <v>1.1237058272854066</v>
      </c>
      <c r="D46" s="477">
        <v>0.4615645897310518</v>
      </c>
      <c r="E46" s="477">
        <v>0.11937255281975857</v>
      </c>
      <c r="F46" s="504">
        <f t="shared" si="0"/>
        <v>0.83474074883466065</v>
      </c>
      <c r="G46" s="477">
        <v>1.2964298755208017E-2</v>
      </c>
      <c r="H46" s="504">
        <f t="shared" si="1"/>
        <v>0.84570471745037612</v>
      </c>
      <c r="I46" s="505">
        <v>0.47929314717046612</v>
      </c>
      <c r="J46" s="477">
        <v>0.32418308733551454</v>
      </c>
      <c r="K46" s="450">
        <v>0.25632423585379177</v>
      </c>
      <c r="L46" s="504">
        <v>1.234429635135682</v>
      </c>
      <c r="M46" s="504">
        <v>0.65776617329136733</v>
      </c>
      <c r="N46" s="451">
        <v>0.8</v>
      </c>
      <c r="O46" s="504">
        <v>1.0834752105711281</v>
      </c>
      <c r="P46" s="487">
        <v>0.92427514728971083</v>
      </c>
    </row>
    <row r="47" spans="1:29" ht="16">
      <c r="A47" s="465" t="s">
        <v>1000</v>
      </c>
      <c r="B47" s="447">
        <v>32</v>
      </c>
      <c r="C47" s="504">
        <v>1.2708955631991046</v>
      </c>
      <c r="D47" s="477">
        <v>0.55936201185575507</v>
      </c>
      <c r="E47" s="477">
        <v>0.12672224018253109</v>
      </c>
      <c r="F47" s="504">
        <f t="shared" si="0"/>
        <v>0.89529856028124566</v>
      </c>
      <c r="G47" s="477">
        <v>5.9473625852007939E-2</v>
      </c>
      <c r="H47" s="504">
        <f t="shared" si="1"/>
        <v>0.95191223222451615</v>
      </c>
      <c r="I47" s="505">
        <v>0.54836004530607518</v>
      </c>
      <c r="J47" s="477">
        <v>0.41911842205905825</v>
      </c>
      <c r="K47" s="450">
        <v>0.24912194882957625</v>
      </c>
      <c r="L47" s="504">
        <v>0.66780864677192153</v>
      </c>
      <c r="M47" s="504">
        <v>0.81832731033239059</v>
      </c>
      <c r="N47" s="451">
        <v>0.78</v>
      </c>
      <c r="O47" s="504">
        <v>0.9930686395536672</v>
      </c>
      <c r="P47" s="487">
        <v>0.84222336577649914</v>
      </c>
    </row>
    <row r="48" spans="1:29" ht="16">
      <c r="A48" s="465" t="s">
        <v>1001</v>
      </c>
      <c r="B48" s="447">
        <v>19</v>
      </c>
      <c r="C48" s="504">
        <v>1.60070111091836</v>
      </c>
      <c r="D48" s="477">
        <v>1.2111640347849206</v>
      </c>
      <c r="E48" s="477">
        <v>6.7279229737616172E-2</v>
      </c>
      <c r="F48" s="504">
        <f t="shared" si="0"/>
        <v>0.8387778956397639</v>
      </c>
      <c r="G48" s="477">
        <v>4.379247523402989E-2</v>
      </c>
      <c r="H48" s="504">
        <f t="shared" si="1"/>
        <v>0.87719231852421686</v>
      </c>
      <c r="I48" s="505">
        <v>0.67706030467577893</v>
      </c>
      <c r="J48" s="477">
        <v>0.67598359199996327</v>
      </c>
      <c r="K48" s="450">
        <v>0.62821896028330626</v>
      </c>
      <c r="L48" s="504">
        <v>0.79876309391982148</v>
      </c>
      <c r="M48" s="504">
        <v>0.59377295201994196</v>
      </c>
      <c r="N48" s="451">
        <v>0.68</v>
      </c>
      <c r="O48" s="504">
        <v>1.0952567764169068</v>
      </c>
      <c r="P48" s="487">
        <v>0.80899702817617758</v>
      </c>
    </row>
    <row r="49" spans="1:16" ht="16">
      <c r="A49" s="465" t="s">
        <v>1002</v>
      </c>
      <c r="B49" s="447">
        <v>254</v>
      </c>
      <c r="C49" s="504">
        <v>1.1623831948690986</v>
      </c>
      <c r="D49" s="477">
        <v>0.12602806724123175</v>
      </c>
      <c r="E49" s="477">
        <v>3.6967519289018667E-2</v>
      </c>
      <c r="F49" s="504">
        <f t="shared" si="0"/>
        <v>1.062001680471524</v>
      </c>
      <c r="G49" s="477">
        <v>3.1994527781721203E-2</v>
      </c>
      <c r="H49" s="504">
        <f t="shared" si="1"/>
        <v>1.0971029719882097</v>
      </c>
      <c r="I49" s="505">
        <v>0.59385542680083958</v>
      </c>
      <c r="J49" s="477">
        <v>0.50940122537609955</v>
      </c>
      <c r="K49" s="450">
        <v>0.30097979999874019</v>
      </c>
      <c r="L49" s="504">
        <v>1.0412420580286896</v>
      </c>
      <c r="M49" s="504">
        <v>0.98181868386863347</v>
      </c>
      <c r="N49" s="451">
        <v>0.8</v>
      </c>
      <c r="O49" s="504">
        <v>0.91238001884570208</v>
      </c>
      <c r="P49" s="487">
        <v>0.96650874654624697</v>
      </c>
    </row>
    <row r="50" spans="1:16" ht="16">
      <c r="A50" s="465" t="s">
        <v>1003</v>
      </c>
      <c r="B50" s="447">
        <v>131</v>
      </c>
      <c r="C50" s="504">
        <v>1.1603652760592904</v>
      </c>
      <c r="D50" s="477">
        <v>0.23605438336428305</v>
      </c>
      <c r="E50" s="477">
        <v>6.7422782748656859E-2</v>
      </c>
      <c r="F50" s="504">
        <f t="shared" si="0"/>
        <v>0.9858326817212415</v>
      </c>
      <c r="G50" s="477">
        <v>8.0849129295955585E-2</v>
      </c>
      <c r="H50" s="504">
        <f t="shared" si="1"/>
        <v>1.0725471879998554</v>
      </c>
      <c r="I50" s="505">
        <v>0.56359840316908172</v>
      </c>
      <c r="J50" s="477">
        <v>0.47792508451312243</v>
      </c>
      <c r="K50" s="450">
        <v>0.27585814850670065</v>
      </c>
      <c r="L50" s="504">
        <v>1.0266507370055664</v>
      </c>
      <c r="M50" s="504">
        <v>0.94623821494528337</v>
      </c>
      <c r="N50" s="451">
        <v>0.74</v>
      </c>
      <c r="O50" s="504">
        <v>0.94984695077290293</v>
      </c>
      <c r="P50" s="487">
        <v>0.94705661814472164</v>
      </c>
    </row>
    <row r="51" spans="1:16" ht="16">
      <c r="A51" s="465" t="s">
        <v>1004</v>
      </c>
      <c r="B51" s="447">
        <v>138</v>
      </c>
      <c r="C51" s="504">
        <v>1.4715094541215377</v>
      </c>
      <c r="D51" s="477">
        <v>0.14208144140427534</v>
      </c>
      <c r="E51" s="477">
        <v>4.304939948115865E-2</v>
      </c>
      <c r="F51" s="504">
        <f t="shared" si="0"/>
        <v>1.3298040924419459</v>
      </c>
      <c r="G51" s="477">
        <v>2.9861395459020352E-2</v>
      </c>
      <c r="H51" s="504">
        <f t="shared" si="1"/>
        <v>1.3707361878163189</v>
      </c>
      <c r="I51" s="505">
        <v>0.61728792200791271</v>
      </c>
      <c r="J51" s="477">
        <v>0.53871737622490645</v>
      </c>
      <c r="K51" s="450">
        <v>0.48966291900694897</v>
      </c>
      <c r="L51" s="504">
        <v>1.1770734443491222</v>
      </c>
      <c r="M51" s="504">
        <v>1.152697351786613</v>
      </c>
      <c r="N51" s="451">
        <v>0.75</v>
      </c>
      <c r="O51" s="504">
        <v>0.90888830288841316</v>
      </c>
      <c r="P51" s="487">
        <v>1.0718790573680934</v>
      </c>
    </row>
    <row r="52" spans="1:16" ht="16">
      <c r="A52" s="465" t="s">
        <v>1005</v>
      </c>
      <c r="B52" s="447">
        <v>32</v>
      </c>
      <c r="C52" s="504">
        <v>1.5022071383659328</v>
      </c>
      <c r="D52" s="477">
        <v>0.32335735016651312</v>
      </c>
      <c r="E52" s="477">
        <v>0.17814639912453609</v>
      </c>
      <c r="F52" s="504">
        <f t="shared" si="0"/>
        <v>1.2090023026647645</v>
      </c>
      <c r="G52" s="477">
        <v>9.3127543900187543E-2</v>
      </c>
      <c r="H52" s="504">
        <f t="shared" si="1"/>
        <v>1.3331558308257836</v>
      </c>
      <c r="I52" s="505">
        <v>0.41272083246912217</v>
      </c>
      <c r="J52" s="477">
        <v>0.33330387129630179</v>
      </c>
      <c r="K52" s="450">
        <v>0.70576218876640073</v>
      </c>
      <c r="L52" s="504">
        <v>0.72461491658678878</v>
      </c>
      <c r="M52" s="504">
        <v>0.66405583898276987</v>
      </c>
      <c r="N52" s="451">
        <v>1.33</v>
      </c>
      <c r="O52" s="504">
        <v>1.5855573182596445</v>
      </c>
      <c r="P52" s="487">
        <v>1.1274767809309973</v>
      </c>
    </row>
    <row r="53" spans="1:16" ht="16">
      <c r="A53" s="465" t="s">
        <v>1006</v>
      </c>
      <c r="B53" s="447">
        <v>34</v>
      </c>
      <c r="C53" s="504">
        <v>1.174001444953803</v>
      </c>
      <c r="D53" s="477">
        <v>0.87237425980200867</v>
      </c>
      <c r="E53" s="477">
        <v>9.557019609780229E-2</v>
      </c>
      <c r="F53" s="504">
        <f t="shared" si="0"/>
        <v>0.70967487477038171</v>
      </c>
      <c r="G53" s="477">
        <v>1.8538212587318761E-2</v>
      </c>
      <c r="H53" s="504">
        <f t="shared" si="1"/>
        <v>0.72307947581048349</v>
      </c>
      <c r="I53" s="505">
        <v>0.60279093296241726</v>
      </c>
      <c r="J53" s="477">
        <v>0.5119442326502478</v>
      </c>
      <c r="K53" s="450">
        <v>0.18609860515663568</v>
      </c>
      <c r="L53" s="504">
        <v>0.55219511182946646</v>
      </c>
      <c r="M53" s="504">
        <v>0.62556238975986156</v>
      </c>
      <c r="N53" s="451">
        <v>0.8</v>
      </c>
      <c r="O53" s="504">
        <v>0.96358199839482284</v>
      </c>
      <c r="P53" s="487">
        <v>0.73288379515892688</v>
      </c>
    </row>
    <row r="54" spans="1:16" ht="16">
      <c r="A54" s="465" t="s">
        <v>1007</v>
      </c>
      <c r="B54" s="447">
        <v>69</v>
      </c>
      <c r="C54" s="504">
        <v>1.4599765370156599</v>
      </c>
      <c r="D54" s="477">
        <v>0.66577209240563995</v>
      </c>
      <c r="E54" s="477">
        <v>8.1424228660483253E-2</v>
      </c>
      <c r="F54" s="504">
        <f t="shared" si="0"/>
        <v>0.97375323863571084</v>
      </c>
      <c r="G54" s="477">
        <v>8.2200350685883675E-2</v>
      </c>
      <c r="H54" s="504">
        <f t="shared" si="1"/>
        <v>1.0609649277632753</v>
      </c>
      <c r="I54" s="505">
        <v>0.48499566878652478</v>
      </c>
      <c r="J54" s="477">
        <v>0.38051359185436157</v>
      </c>
      <c r="K54" s="450">
        <v>1.0024098795355374</v>
      </c>
      <c r="L54" s="504">
        <v>0.71171194651767145</v>
      </c>
      <c r="M54" s="504">
        <v>0.91444462364251522</v>
      </c>
      <c r="N54" s="451">
        <v>1.19</v>
      </c>
      <c r="O54" s="504">
        <v>1.437433727843527</v>
      </c>
      <c r="P54" s="487">
        <v>1.0629110451533976</v>
      </c>
    </row>
    <row r="55" spans="1:16" ht="16">
      <c r="A55" s="465" t="s">
        <v>1008</v>
      </c>
      <c r="B55" s="447">
        <v>127</v>
      </c>
      <c r="C55" s="504">
        <v>1.1550009836175177</v>
      </c>
      <c r="D55" s="477">
        <v>0.1552397595380495</v>
      </c>
      <c r="E55" s="477">
        <v>6.7270246303556352E-2</v>
      </c>
      <c r="F55" s="504">
        <f t="shared" si="0"/>
        <v>1.0345486686981815</v>
      </c>
      <c r="G55" s="477">
        <v>2.2054657954777637E-2</v>
      </c>
      <c r="H55" s="504">
        <f t="shared" si="1"/>
        <v>1.0578798468783357</v>
      </c>
      <c r="I55" s="505">
        <v>0.65765860091096795</v>
      </c>
      <c r="J55" s="477">
        <v>0.56827524943110697</v>
      </c>
      <c r="K55" s="450">
        <v>6.918830586435934E-2</v>
      </c>
      <c r="L55" s="504">
        <v>0.99725066748303448</v>
      </c>
      <c r="M55" s="504">
        <v>0.93705724489488984</v>
      </c>
      <c r="N55" s="451">
        <v>0.68</v>
      </c>
      <c r="O55" s="504">
        <v>0.92007174691688975</v>
      </c>
      <c r="P55" s="487">
        <v>0.91845190123462994</v>
      </c>
    </row>
    <row r="56" spans="1:16" ht="16">
      <c r="A56" s="465" t="s">
        <v>1009</v>
      </c>
      <c r="B56" s="447">
        <v>73</v>
      </c>
      <c r="C56" s="504">
        <v>1.4047128789332648</v>
      </c>
      <c r="D56" s="477">
        <v>0.13058755319285983</v>
      </c>
      <c r="E56" s="477">
        <v>0.12449529547899026</v>
      </c>
      <c r="F56" s="504">
        <f t="shared" si="0"/>
        <v>1.279406915006702</v>
      </c>
      <c r="G56" s="477">
        <v>4.0524175559670791E-2</v>
      </c>
      <c r="H56" s="504">
        <f t="shared" si="1"/>
        <v>1.3334436182933442</v>
      </c>
      <c r="I56" s="505">
        <v>0.47681215121694209</v>
      </c>
      <c r="J56" s="477">
        <v>0.4510937058049509</v>
      </c>
      <c r="K56" s="450">
        <v>0.2835450565434452</v>
      </c>
      <c r="L56" s="504">
        <v>1.0476147604347601</v>
      </c>
      <c r="M56" s="504">
        <v>1.0315158970762186</v>
      </c>
      <c r="N56" s="451">
        <v>0.97</v>
      </c>
      <c r="O56" s="504">
        <v>1.2038667851126352</v>
      </c>
      <c r="P56" s="487">
        <v>1.1172882121833916</v>
      </c>
    </row>
    <row r="57" spans="1:16" ht="16">
      <c r="A57" s="465" t="s">
        <v>1010</v>
      </c>
      <c r="B57" s="447">
        <v>21</v>
      </c>
      <c r="C57" s="504">
        <v>1.2277613538599423</v>
      </c>
      <c r="D57" s="477">
        <v>0.30488971397762499</v>
      </c>
      <c r="E57" s="477">
        <v>0.10263886699732405</v>
      </c>
      <c r="F57" s="504">
        <f t="shared" si="0"/>
        <v>0.99926267132365276</v>
      </c>
      <c r="G57" s="477">
        <v>2.6949929115194532E-2</v>
      </c>
      <c r="H57" s="504">
        <f t="shared" si="1"/>
        <v>1.0269385936275734</v>
      </c>
      <c r="I57" s="505">
        <v>0.45212247290893337</v>
      </c>
      <c r="J57" s="477">
        <v>0.43761028506670019</v>
      </c>
      <c r="K57" s="450">
        <v>0.37989752214453631</v>
      </c>
      <c r="L57" s="504">
        <v>0.67179161955338684</v>
      </c>
      <c r="M57" s="504">
        <v>0.59269928391842142</v>
      </c>
      <c r="N57" s="451">
        <v>0.56000000000000005</v>
      </c>
      <c r="O57" s="504">
        <v>0.81090913333958792</v>
      </c>
      <c r="P57" s="487">
        <v>0.73246772608779387</v>
      </c>
    </row>
    <row r="58" spans="1:16" ht="16">
      <c r="A58" s="465" t="s">
        <v>1011</v>
      </c>
      <c r="B58" s="447">
        <v>27</v>
      </c>
      <c r="C58" s="504">
        <v>0.93935366031437906</v>
      </c>
      <c r="D58" s="477">
        <v>0.92403206740116273</v>
      </c>
      <c r="E58" s="477">
        <v>0.11407564986678613</v>
      </c>
      <c r="F58" s="504">
        <f t="shared" si="0"/>
        <v>0.55483775319596584</v>
      </c>
      <c r="G58" s="477">
        <v>0.16873839578331887</v>
      </c>
      <c r="H58" s="504">
        <f t="shared" si="1"/>
        <v>0.66746467102712326</v>
      </c>
      <c r="I58" s="505">
        <v>0.37737813626902367</v>
      </c>
      <c r="J58" s="477">
        <v>0.28891454530535254</v>
      </c>
      <c r="K58" s="450">
        <v>0.19531559316980887</v>
      </c>
      <c r="L58" s="504">
        <v>0.70335628063826439</v>
      </c>
      <c r="M58" s="504">
        <v>0.73248057437703429</v>
      </c>
      <c r="N58" s="451">
        <v>0.64</v>
      </c>
      <c r="O58" s="504">
        <v>0.88298820325433758</v>
      </c>
      <c r="P58" s="487">
        <v>0.72525794585935188</v>
      </c>
    </row>
    <row r="59" spans="1:16" ht="16">
      <c r="A59" s="465" t="s">
        <v>1012</v>
      </c>
      <c r="B59" s="447">
        <v>51</v>
      </c>
      <c r="C59" s="504">
        <v>0.80330136282469566</v>
      </c>
      <c r="D59" s="477">
        <v>0.21465948670887489</v>
      </c>
      <c r="E59" s="477">
        <v>0.109240658776035</v>
      </c>
      <c r="F59" s="504">
        <f t="shared" si="0"/>
        <v>0.69190791449346434</v>
      </c>
      <c r="G59" s="477">
        <v>5.1581418326943157E-2</v>
      </c>
      <c r="H59" s="504">
        <f t="shared" si="1"/>
        <v>0.72953854749756686</v>
      </c>
      <c r="I59" s="505">
        <v>0.35270918786226862</v>
      </c>
      <c r="J59" s="477">
        <v>0.27667183307261639</v>
      </c>
      <c r="K59" s="450">
        <v>0.25431028874335815</v>
      </c>
      <c r="L59" s="504">
        <v>0.65115065979406583</v>
      </c>
      <c r="M59" s="504">
        <v>0.58907152474849622</v>
      </c>
      <c r="N59" s="451">
        <v>0.57999999999999996</v>
      </c>
      <c r="O59" s="504">
        <v>0.78477726596517938</v>
      </c>
      <c r="P59" s="487">
        <v>0.66690759960106161</v>
      </c>
    </row>
    <row r="60" spans="1:16" ht="16">
      <c r="A60" s="465" t="s">
        <v>1013</v>
      </c>
      <c r="B60" s="447">
        <v>600</v>
      </c>
      <c r="C60" s="504">
        <v>0.62361295447909626</v>
      </c>
      <c r="D60" s="477">
        <v>0.38346905996267916</v>
      </c>
      <c r="E60" s="477">
        <v>4.0125418223955996E-2</v>
      </c>
      <c r="F60" s="504">
        <f t="shared" si="0"/>
        <v>0.48432128388936641</v>
      </c>
      <c r="G60" s="477">
        <v>9.9361219655371313E-2</v>
      </c>
      <c r="H60" s="504">
        <f t="shared" si="1"/>
        <v>0.53775308643054576</v>
      </c>
      <c r="I60" s="505">
        <v>0.14993616815022495</v>
      </c>
      <c r="J60" s="477">
        <v>9.9064267399825573E-2</v>
      </c>
      <c r="K60" s="450">
        <v>0.26121287090127876</v>
      </c>
      <c r="L60" s="504">
        <v>0.86668447411796701</v>
      </c>
      <c r="M60" s="504">
        <v>0.86018284014412283</v>
      </c>
      <c r="N60" s="451">
        <v>0.78</v>
      </c>
      <c r="O60" s="504">
        <v>0.96511760490949738</v>
      </c>
      <c r="P60" s="487">
        <v>0.80194760112042651</v>
      </c>
    </row>
    <row r="61" spans="1:16" ht="16">
      <c r="A61" s="465" t="s">
        <v>237</v>
      </c>
      <c r="B61" s="447">
        <v>116</v>
      </c>
      <c r="C61" s="504">
        <v>1.2248168994320441</v>
      </c>
      <c r="D61" s="477">
        <v>0.20842493500465975</v>
      </c>
      <c r="E61" s="477">
        <v>0.10366582315102471</v>
      </c>
      <c r="F61" s="504">
        <f t="shared" si="0"/>
        <v>1.0592381651393292</v>
      </c>
      <c r="G61" s="477">
        <v>3.1620151885439637E-2</v>
      </c>
      <c r="H61" s="504">
        <f t="shared" si="1"/>
        <v>1.0938250803149925</v>
      </c>
      <c r="I61" s="505">
        <v>0.42240656630421392</v>
      </c>
      <c r="J61" s="477">
        <v>0.32362033573649224</v>
      </c>
      <c r="K61" s="450">
        <v>0.16912160618518354</v>
      </c>
      <c r="L61" s="504">
        <v>1.0121653053546547</v>
      </c>
      <c r="M61" s="504">
        <v>1.0985210616277283</v>
      </c>
      <c r="N61" s="451">
        <v>0.96</v>
      </c>
      <c r="O61" s="504">
        <v>1.1782642967693542</v>
      </c>
      <c r="P61" s="487">
        <v>1.068555148813346</v>
      </c>
    </row>
    <row r="62" spans="1:16" ht="16">
      <c r="A62" s="465" t="s">
        <v>1014</v>
      </c>
      <c r="B62" s="447">
        <v>68</v>
      </c>
      <c r="C62" s="504">
        <v>1.2900534643158847</v>
      </c>
      <c r="D62" s="477">
        <v>0.21544931089430228</v>
      </c>
      <c r="E62" s="477">
        <v>4.1470687221803568E-2</v>
      </c>
      <c r="F62" s="504">
        <f t="shared" si="0"/>
        <v>1.1105956618026913</v>
      </c>
      <c r="G62" s="477">
        <v>8.9071410334220336E-2</v>
      </c>
      <c r="H62" s="504">
        <f t="shared" si="1"/>
        <v>1.2191906966167014</v>
      </c>
      <c r="I62" s="505">
        <v>0.66580496759506924</v>
      </c>
      <c r="J62" s="477">
        <v>0.70056239501193862</v>
      </c>
      <c r="K62" s="450">
        <v>0.52711340299834919</v>
      </c>
      <c r="L62" s="504">
        <v>1.1094422701693822</v>
      </c>
      <c r="M62" s="504">
        <v>1.0865722025981523</v>
      </c>
      <c r="N62" s="451">
        <v>0.82</v>
      </c>
      <c r="O62" s="504">
        <v>1.1279972137776122</v>
      </c>
      <c r="P62" s="487">
        <v>1.0726404766323696</v>
      </c>
    </row>
    <row r="63" spans="1:16" ht="16">
      <c r="A63" s="465" t="s">
        <v>1015</v>
      </c>
      <c r="B63" s="447">
        <v>16</v>
      </c>
      <c r="C63" s="504">
        <v>1.1770946700328646</v>
      </c>
      <c r="D63" s="477">
        <v>0.6680142260029055</v>
      </c>
      <c r="E63" s="477">
        <v>0.19532686112334122</v>
      </c>
      <c r="F63" s="504">
        <f t="shared" si="0"/>
        <v>0.78420140106216341</v>
      </c>
      <c r="G63" s="477">
        <v>7.1772032633234992E-2</v>
      </c>
      <c r="H63" s="504">
        <f t="shared" si="1"/>
        <v>0.8448370751926576</v>
      </c>
      <c r="I63" s="505">
        <v>0.44419494747462679</v>
      </c>
      <c r="J63" s="477">
        <v>0.35220934553840333</v>
      </c>
      <c r="K63" s="450">
        <v>0.18329346039703018</v>
      </c>
      <c r="L63" s="504">
        <v>1.3336679465607404</v>
      </c>
      <c r="M63" s="504">
        <v>1.2442326298508288</v>
      </c>
      <c r="N63" s="451">
        <v>0.83</v>
      </c>
      <c r="O63" s="504">
        <v>1.1114678240357789</v>
      </c>
      <c r="P63" s="487">
        <v>1.0728410951280012</v>
      </c>
    </row>
    <row r="64" spans="1:16" ht="16">
      <c r="A64" s="465" t="s">
        <v>1016</v>
      </c>
      <c r="B64" s="447">
        <v>4</v>
      </c>
      <c r="C64" s="504">
        <v>0.97748589274906783</v>
      </c>
      <c r="D64" s="477">
        <v>0.11503816258570915</v>
      </c>
      <c r="E64" s="477">
        <v>0.14222153189085546</v>
      </c>
      <c r="F64" s="504">
        <f t="shared" si="0"/>
        <v>0.89984822770792305</v>
      </c>
      <c r="G64" s="477">
        <v>4.9056001104084736E-2</v>
      </c>
      <c r="H64" s="504">
        <f t="shared" si="1"/>
        <v>0.94626836990683305</v>
      </c>
      <c r="I64" s="505">
        <v>0.34410896982169686</v>
      </c>
      <c r="J64" s="477">
        <v>0.30548944434643338</v>
      </c>
      <c r="K64" s="450">
        <v>0.9762764799479865</v>
      </c>
      <c r="L64" s="504">
        <v>1.0556071646429179</v>
      </c>
      <c r="M64" s="504">
        <v>1.1174661727895663</v>
      </c>
      <c r="N64" s="451">
        <v>0.98</v>
      </c>
      <c r="O64" s="504">
        <v>1.2509261963653029</v>
      </c>
      <c r="P64" s="487">
        <v>1.0700535807409239</v>
      </c>
    </row>
    <row r="65" spans="1:16" ht="16">
      <c r="A65" s="465" t="s">
        <v>1017</v>
      </c>
      <c r="B65" s="447">
        <v>174</v>
      </c>
      <c r="C65" s="504">
        <v>1.2574315521617736</v>
      </c>
      <c r="D65" s="477">
        <v>0.20083328443025461</v>
      </c>
      <c r="E65" s="477">
        <v>4.6038594576514963E-2</v>
      </c>
      <c r="F65" s="504">
        <f t="shared" si="0"/>
        <v>1.0928248493155008</v>
      </c>
      <c r="G65" s="477">
        <v>3.8114747359291025E-2</v>
      </c>
      <c r="H65" s="504">
        <f t="shared" si="1"/>
        <v>1.1361280842130776</v>
      </c>
      <c r="I65" s="505">
        <v>0.57896429399894367</v>
      </c>
      <c r="J65" s="477">
        <v>0.56976877370013901</v>
      </c>
      <c r="K65" s="450">
        <v>2.3177756312329634</v>
      </c>
      <c r="L65" s="504">
        <v>1.0743174544514105</v>
      </c>
      <c r="M65" s="504">
        <v>1.0767106396403761</v>
      </c>
      <c r="N65" s="451">
        <v>0.81</v>
      </c>
      <c r="O65" s="504">
        <v>1.1279889221313977</v>
      </c>
      <c r="P65" s="487">
        <v>1.0450290200872523</v>
      </c>
    </row>
    <row r="66" spans="1:16" ht="16">
      <c r="A66" s="465" t="s">
        <v>1018</v>
      </c>
      <c r="B66" s="447">
        <v>23</v>
      </c>
      <c r="C66" s="504">
        <v>0.99125533132716515</v>
      </c>
      <c r="D66" s="477">
        <v>0.71410926721058809</v>
      </c>
      <c r="E66" s="477">
        <v>6.9021117945879049E-2</v>
      </c>
      <c r="F66" s="504">
        <f t="shared" si="0"/>
        <v>0.64552421384207415</v>
      </c>
      <c r="G66" s="477">
        <v>1.6703538781858748E-2</v>
      </c>
      <c r="H66" s="504">
        <f t="shared" si="1"/>
        <v>0.65648991865828199</v>
      </c>
      <c r="I66" s="505">
        <v>0.42358629907014234</v>
      </c>
      <c r="J66" s="477">
        <v>0.33549336269635954</v>
      </c>
      <c r="K66" s="450">
        <v>0.33561259971239038</v>
      </c>
      <c r="L66" s="504">
        <v>0.6231608561764338</v>
      </c>
      <c r="M66" s="504">
        <v>0.6175192303191579</v>
      </c>
      <c r="N66" s="451">
        <v>0.6</v>
      </c>
      <c r="O66" s="504">
        <v>0.86451087132141691</v>
      </c>
      <c r="P66" s="487">
        <v>0.67233617529505807</v>
      </c>
    </row>
    <row r="67" spans="1:16" ht="16">
      <c r="A67" s="465" t="s">
        <v>1019</v>
      </c>
      <c r="B67" s="447">
        <v>101</v>
      </c>
      <c r="C67" s="504">
        <v>1.3751593545688363</v>
      </c>
      <c r="D67" s="477">
        <v>0.32604180548581313</v>
      </c>
      <c r="E67" s="477">
        <v>7.0685214388915923E-2</v>
      </c>
      <c r="F67" s="504">
        <f t="shared" si="0"/>
        <v>1.1049615986151144</v>
      </c>
      <c r="G67" s="477">
        <v>6.9065997248052916E-2</v>
      </c>
      <c r="H67" s="504">
        <f t="shared" si="1"/>
        <v>1.1869387038702228</v>
      </c>
      <c r="I67" s="505">
        <v>0.53232665838471771</v>
      </c>
      <c r="J67" s="477">
        <v>0.46898107338785378</v>
      </c>
      <c r="K67" s="450">
        <v>0.67572561500427419</v>
      </c>
      <c r="L67" s="504">
        <v>1.0668864769579942</v>
      </c>
      <c r="M67" s="504">
        <v>1.2186547171181339</v>
      </c>
      <c r="N67" s="451">
        <v>0.83</v>
      </c>
      <c r="O67" s="504">
        <v>1.1791731857829815</v>
      </c>
      <c r="P67" s="487">
        <v>1.0963306167458664</v>
      </c>
    </row>
    <row r="68" spans="1:16" ht="16">
      <c r="A68" s="465" t="s">
        <v>1020</v>
      </c>
      <c r="B68" s="447">
        <v>25</v>
      </c>
      <c r="C68" s="504">
        <v>0.95242199691205232</v>
      </c>
      <c r="D68" s="477">
        <v>0.61965646428058319</v>
      </c>
      <c r="E68" s="477">
        <v>0.14661913030028642</v>
      </c>
      <c r="F68" s="504">
        <f t="shared" si="0"/>
        <v>0.65023176128940541</v>
      </c>
      <c r="G68" s="477">
        <v>3.0228141722146131E-2</v>
      </c>
      <c r="H68" s="504">
        <f t="shared" si="1"/>
        <v>0.67049972190789686</v>
      </c>
      <c r="I68" s="505">
        <v>0.36887938137180137</v>
      </c>
      <c r="J68" s="477">
        <v>0.24431384085324004</v>
      </c>
      <c r="K68" s="450">
        <v>8.1676534805838572E-2</v>
      </c>
      <c r="L68" s="504">
        <v>0.73705502274807633</v>
      </c>
      <c r="M68" s="504">
        <v>0.67817351673939641</v>
      </c>
      <c r="N68" s="451">
        <v>0.68</v>
      </c>
      <c r="O68" s="504">
        <v>0.77829582130724728</v>
      </c>
      <c r="P68" s="487">
        <v>0.7088048165405233</v>
      </c>
    </row>
    <row r="69" spans="1:16" ht="16">
      <c r="A69" s="465" t="s">
        <v>1021</v>
      </c>
      <c r="B69" s="447">
        <v>7</v>
      </c>
      <c r="C69" s="504">
        <v>1.3830066711394122</v>
      </c>
      <c r="D69" s="477">
        <v>0.4386501965496456</v>
      </c>
      <c r="E69" s="477">
        <v>0.12757457269381595</v>
      </c>
      <c r="F69" s="504">
        <f t="shared" si="0"/>
        <v>1.0406467462902025</v>
      </c>
      <c r="G69" s="477">
        <v>7.5671084905858985E-2</v>
      </c>
      <c r="H69" s="504">
        <f t="shared" si="1"/>
        <v>1.1258403034857074</v>
      </c>
      <c r="I69" s="505">
        <v>0.60115667349526181</v>
      </c>
      <c r="J69" s="477">
        <v>0.42843597130920175</v>
      </c>
      <c r="K69" s="450">
        <v>0.92832539940835623</v>
      </c>
      <c r="L69" s="504">
        <v>1.1728745712683208</v>
      </c>
      <c r="M69" s="504">
        <v>1.2543747470505289</v>
      </c>
      <c r="N69" s="451">
        <v>0.96</v>
      </c>
      <c r="O69" s="504">
        <v>0.9984958405826988</v>
      </c>
      <c r="P69" s="487">
        <v>1.1023170924774512</v>
      </c>
    </row>
    <row r="70" spans="1:16" ht="16">
      <c r="A70" s="465" t="s">
        <v>1022</v>
      </c>
      <c r="B70" s="447">
        <v>48</v>
      </c>
      <c r="C70" s="504">
        <v>0.72500097471023861</v>
      </c>
      <c r="D70" s="477">
        <v>0.77155753730162346</v>
      </c>
      <c r="E70" s="477">
        <v>0.12298398219937019</v>
      </c>
      <c r="F70" s="504">
        <f t="shared" si="0"/>
        <v>0.45924849585608929</v>
      </c>
      <c r="G70" s="477">
        <v>1.0296600450838659E-2</v>
      </c>
      <c r="H70" s="504">
        <f t="shared" si="1"/>
        <v>0.46402639019456771</v>
      </c>
      <c r="I70" s="505">
        <v>0.25563132543059591</v>
      </c>
      <c r="J70" s="477">
        <v>0.1717812350329328</v>
      </c>
      <c r="K70" s="450">
        <v>8.060268856782013E-2</v>
      </c>
      <c r="L70" s="504">
        <v>0.3460165075906414</v>
      </c>
      <c r="M70" s="504">
        <v>0.37843539998307546</v>
      </c>
      <c r="N70" s="451">
        <v>0.43</v>
      </c>
      <c r="O70" s="504">
        <v>0.55746416310695091</v>
      </c>
      <c r="P70" s="487">
        <v>0.43518849217504707</v>
      </c>
    </row>
    <row r="71" spans="1:16" ht="16">
      <c r="A71" s="465" t="s">
        <v>1023</v>
      </c>
      <c r="B71" s="447">
        <v>74</v>
      </c>
      <c r="C71" s="504">
        <v>1.2336190389708566</v>
      </c>
      <c r="D71" s="477">
        <v>0.16326322309396255</v>
      </c>
      <c r="E71" s="477">
        <v>2.8730153469345189E-2</v>
      </c>
      <c r="F71" s="504">
        <f t="shared" si="0"/>
        <v>1.0990439462329342</v>
      </c>
      <c r="G71" s="477">
        <v>7.4262155460789667E-2</v>
      </c>
      <c r="H71" s="504">
        <f t="shared" si="1"/>
        <v>1.1872086171220402</v>
      </c>
      <c r="I71" s="505">
        <v>0.69473279707936642</v>
      </c>
      <c r="J71" s="477">
        <v>0.72543314545868787</v>
      </c>
      <c r="K71" s="450">
        <v>0.70819997746631069</v>
      </c>
      <c r="L71" s="504">
        <v>1.1490747541483908</v>
      </c>
      <c r="M71" s="504">
        <v>1.3320479668619645</v>
      </c>
      <c r="N71" s="451">
        <v>0.75</v>
      </c>
      <c r="O71" s="504">
        <v>0.9873774941222514</v>
      </c>
      <c r="P71" s="487">
        <v>1.0811417664509293</v>
      </c>
    </row>
    <row r="72" spans="1:16" ht="16">
      <c r="A72" s="465" t="s">
        <v>1024</v>
      </c>
      <c r="B72" s="447">
        <v>20</v>
      </c>
      <c r="C72" s="504">
        <v>1.1148957766881691</v>
      </c>
      <c r="D72" s="477">
        <v>0.42176377073279631</v>
      </c>
      <c r="E72" s="477">
        <v>9.667014521273086E-2</v>
      </c>
      <c r="F72" s="504">
        <f t="shared" si="0"/>
        <v>0.846977468544032</v>
      </c>
      <c r="G72" s="477">
        <v>7.3486465244431906E-2</v>
      </c>
      <c r="H72" s="504">
        <f t="shared" si="1"/>
        <v>0.91415552689954038</v>
      </c>
      <c r="I72" s="505">
        <v>0.46065057632470929</v>
      </c>
      <c r="J72" s="477">
        <v>0.30919744401282184</v>
      </c>
      <c r="K72" s="450">
        <v>0.12028984478810541</v>
      </c>
      <c r="L72" s="504">
        <v>0.89788591137584506</v>
      </c>
      <c r="M72" s="504">
        <v>0.75678423138498629</v>
      </c>
      <c r="N72" s="451">
        <v>1.1000000000000001</v>
      </c>
      <c r="O72" s="504">
        <v>1.4642640113348089</v>
      </c>
      <c r="P72" s="487">
        <v>1.0266179361990362</v>
      </c>
    </row>
    <row r="73" spans="1:16" ht="16">
      <c r="A73" s="465" t="s">
        <v>1025</v>
      </c>
      <c r="B73" s="447">
        <v>223</v>
      </c>
      <c r="C73" s="504">
        <v>1.063376043005491</v>
      </c>
      <c r="D73" s="477">
        <v>0.7732793309077326</v>
      </c>
      <c r="E73" s="477">
        <v>3.3816563274859365E-2</v>
      </c>
      <c r="F73" s="504">
        <f t="shared" si="0"/>
        <v>0.67304006478006928</v>
      </c>
      <c r="G73" s="477">
        <v>1.8257812982754706E-2</v>
      </c>
      <c r="H73" s="504">
        <f t="shared" si="1"/>
        <v>0.68555683323023653</v>
      </c>
      <c r="I73" s="505">
        <v>0.30827746956501079</v>
      </c>
      <c r="J73" s="477">
        <v>0.21541532639566627</v>
      </c>
      <c r="K73" s="450">
        <v>0.20589119125697528</v>
      </c>
      <c r="L73" s="504">
        <v>0.40946857953268101</v>
      </c>
      <c r="M73" s="504">
        <v>0.42562033756937268</v>
      </c>
      <c r="N73" s="451">
        <v>0.79</v>
      </c>
      <c r="O73" s="504">
        <v>0.98822165167975773</v>
      </c>
      <c r="P73" s="487">
        <v>0.65977348040240957</v>
      </c>
    </row>
    <row r="74" spans="1:16" ht="16">
      <c r="A74" s="465" t="s">
        <v>1026</v>
      </c>
      <c r="B74" s="447">
        <v>18</v>
      </c>
      <c r="C74" s="504">
        <v>1.5166924498761216</v>
      </c>
      <c r="D74" s="477">
        <v>1.1255656150447586</v>
      </c>
      <c r="E74" s="477">
        <v>6.6640216513095124E-2</v>
      </c>
      <c r="F74" s="504">
        <f t="shared" si="0"/>
        <v>0.8224236303686755</v>
      </c>
      <c r="G74" s="477">
        <v>6.9451076941643597E-2</v>
      </c>
      <c r="H74" s="504">
        <f t="shared" si="1"/>
        <v>0.88380482744065236</v>
      </c>
      <c r="I74" s="505">
        <v>0.59355605001762235</v>
      </c>
      <c r="J74" s="477">
        <v>0.51250635002105183</v>
      </c>
      <c r="K74" s="450">
        <v>0.69874259684071827</v>
      </c>
      <c r="L74" s="504">
        <v>0.87103759301648254</v>
      </c>
      <c r="M74" s="504">
        <v>0.89107405238567561</v>
      </c>
      <c r="N74" s="451">
        <v>0.56000000000000005</v>
      </c>
      <c r="O74" s="504">
        <v>0.74244118019660266</v>
      </c>
      <c r="P74" s="487">
        <v>0.78967153060788264</v>
      </c>
    </row>
    <row r="75" spans="1:16" ht="16">
      <c r="A75" s="465" t="s">
        <v>1027</v>
      </c>
      <c r="B75" s="447">
        <v>12</v>
      </c>
      <c r="C75" s="504">
        <v>0.78980297684164968</v>
      </c>
      <c r="D75" s="477">
        <v>0.39818801240908047</v>
      </c>
      <c r="E75" s="477">
        <v>9.3712951646556686E-2</v>
      </c>
      <c r="F75" s="504">
        <f t="shared" si="0"/>
        <v>0.60817652544580536</v>
      </c>
      <c r="G75" s="477">
        <v>8.5365153569522081E-2</v>
      </c>
      <c r="H75" s="504">
        <f t="shared" si="1"/>
        <v>0.6649391588559308</v>
      </c>
      <c r="I75" s="505">
        <v>0.52646194832496207</v>
      </c>
      <c r="J75" s="477">
        <v>0.28661749273612586</v>
      </c>
      <c r="K75" s="450">
        <v>1.118865944697315</v>
      </c>
      <c r="L75" s="504">
        <v>1.3273571545799101</v>
      </c>
      <c r="M75" s="504">
        <v>1.5017204419375949</v>
      </c>
      <c r="N75" s="451">
        <v>0.76</v>
      </c>
      <c r="O75" s="504">
        <v>0.83326634114682563</v>
      </c>
      <c r="P75" s="487">
        <v>1.0174566193040522</v>
      </c>
    </row>
    <row r="76" spans="1:16" ht="16">
      <c r="A76" s="465" t="s">
        <v>1028</v>
      </c>
      <c r="B76" s="447">
        <v>60</v>
      </c>
      <c r="C76" s="504">
        <v>1.3454843302112593</v>
      </c>
      <c r="D76" s="477">
        <v>1.0925740752439148</v>
      </c>
      <c r="E76" s="477">
        <v>5.4661662502489834E-2</v>
      </c>
      <c r="F76" s="504">
        <f t="shared" ref="F76:F106" si="2">IF($F$8="Effective",C76/(1+(1-E76)*D76),C76/(1+(1-$F$9)*D76))</f>
        <v>0.73950848272502001</v>
      </c>
      <c r="G76" s="477">
        <v>8.1379435050841789E-2</v>
      </c>
      <c r="H76" s="504">
        <f t="shared" ref="H76:H106" si="3">F76/(1-G76)</f>
        <v>0.80502060474331827</v>
      </c>
      <c r="I76" s="505">
        <v>0.53687989020006788</v>
      </c>
      <c r="J76" s="477">
        <v>0.44434220453063733</v>
      </c>
      <c r="K76" s="450">
        <v>1.2181846340506288</v>
      </c>
      <c r="L76" s="504">
        <v>0.95287705840966175</v>
      </c>
      <c r="M76" s="504">
        <v>0.67504760776561479</v>
      </c>
      <c r="N76" s="451">
        <v>0.75</v>
      </c>
      <c r="O76" s="504">
        <v>0.8711247503573315</v>
      </c>
      <c r="P76" s="487">
        <v>0.81081400425518524</v>
      </c>
    </row>
    <row r="77" spans="1:16" ht="16">
      <c r="A77" s="465" t="s">
        <v>1029</v>
      </c>
      <c r="B77" s="447">
        <v>57</v>
      </c>
      <c r="C77" s="504">
        <v>1.4179809441636479</v>
      </c>
      <c r="D77" s="477">
        <v>0.52060538651449051</v>
      </c>
      <c r="E77" s="477">
        <v>9.4928845466662873E-2</v>
      </c>
      <c r="F77" s="504">
        <f t="shared" si="2"/>
        <v>1.0197970615986987</v>
      </c>
      <c r="G77" s="477">
        <v>5.1786361462363033E-2</v>
      </c>
      <c r="H77" s="504">
        <f t="shared" si="3"/>
        <v>1.0754929270701692</v>
      </c>
      <c r="I77" s="505">
        <v>0.59392595484122634</v>
      </c>
      <c r="J77" s="477">
        <v>0.42131153923229786</v>
      </c>
      <c r="K77" s="450">
        <v>0.18303595298722516</v>
      </c>
      <c r="L77" s="504">
        <v>0.80923296728017891</v>
      </c>
      <c r="M77" s="504">
        <v>0.75402861704359259</v>
      </c>
      <c r="N77" s="451">
        <v>0.77</v>
      </c>
      <c r="O77" s="504">
        <v>1.0736325867418679</v>
      </c>
      <c r="P77" s="487">
        <v>0.89647741962716165</v>
      </c>
    </row>
    <row r="78" spans="1:16" ht="16">
      <c r="A78" s="465" t="s">
        <v>1030</v>
      </c>
      <c r="B78" s="447">
        <v>1</v>
      </c>
      <c r="C78" s="504">
        <v>0.82924820341635141</v>
      </c>
      <c r="D78" s="477">
        <v>0.45098674687154305</v>
      </c>
      <c r="E78" s="477">
        <v>6.4829821717990274E-2</v>
      </c>
      <c r="F78" s="504">
        <f t="shared" si="2"/>
        <v>0.61965579129437864</v>
      </c>
      <c r="G78" s="477">
        <v>0.25486977918133502</v>
      </c>
      <c r="H78" s="504">
        <f t="shared" si="3"/>
        <v>0.83160738080596275</v>
      </c>
      <c r="I78" s="505">
        <v>0.20758239974021755</v>
      </c>
      <c r="J78" s="477">
        <v>0.1936761567443839</v>
      </c>
      <c r="K78" s="450">
        <v>0.21772502996630683</v>
      </c>
      <c r="L78" s="504">
        <v>0.8820173563179452</v>
      </c>
      <c r="M78" s="504">
        <v>0.76985429252100079</v>
      </c>
      <c r="N78" s="451">
        <v>1.1299999999999999</v>
      </c>
      <c r="O78" s="504">
        <v>1.2950268765575916</v>
      </c>
      <c r="P78" s="487">
        <v>0.9817011812405001</v>
      </c>
    </row>
    <row r="79" spans="1:16" ht="16">
      <c r="A79" s="465" t="s">
        <v>1031</v>
      </c>
      <c r="B79" s="447">
        <v>70</v>
      </c>
      <c r="C79" s="504">
        <v>1.4103978688180479</v>
      </c>
      <c r="D79" s="477">
        <v>0.30775437210884488</v>
      </c>
      <c r="E79" s="477">
        <v>8.5443306117611847E-2</v>
      </c>
      <c r="F79" s="504">
        <f t="shared" si="2"/>
        <v>1.1459049297128838</v>
      </c>
      <c r="G79" s="477">
        <v>1.7235635807217261E-2</v>
      </c>
      <c r="H79" s="504">
        <f t="shared" si="3"/>
        <v>1.1660017105464549</v>
      </c>
      <c r="I79" s="505">
        <v>0.47491971300906011</v>
      </c>
      <c r="J79" s="477">
        <v>0.41147053391609606</v>
      </c>
      <c r="K79" s="450">
        <v>0.16308151930383236</v>
      </c>
      <c r="L79" s="504">
        <v>0.65106883994983511</v>
      </c>
      <c r="M79" s="504">
        <v>0.75189638132612358</v>
      </c>
      <c r="N79" s="451">
        <v>1.1100000000000001</v>
      </c>
      <c r="O79" s="504">
        <v>1.3321658941531931</v>
      </c>
      <c r="P79" s="487">
        <v>1.0022265651951214</v>
      </c>
    </row>
    <row r="80" spans="1:16" ht="16">
      <c r="A80" s="465" t="s">
        <v>1032</v>
      </c>
      <c r="B80" s="447">
        <v>30</v>
      </c>
      <c r="C80" s="504">
        <v>1.5201925121768585</v>
      </c>
      <c r="D80" s="477">
        <v>0.57486804158388638</v>
      </c>
      <c r="E80" s="477">
        <v>0.15838509352594998</v>
      </c>
      <c r="F80" s="504">
        <f t="shared" si="2"/>
        <v>1.0622166906556574</v>
      </c>
      <c r="G80" s="477">
        <v>1.8942366151700137E-2</v>
      </c>
      <c r="H80" s="504">
        <f t="shared" si="3"/>
        <v>1.0827260845919955</v>
      </c>
      <c r="I80" s="505">
        <v>0.49581621015003191</v>
      </c>
      <c r="J80" s="477">
        <v>0.35710895966484529</v>
      </c>
      <c r="K80" s="450">
        <v>0.31378397990022294</v>
      </c>
      <c r="L80" s="504">
        <v>0.76099800140698393</v>
      </c>
      <c r="M80" s="504">
        <v>0.86851869321114017</v>
      </c>
      <c r="N80" s="451">
        <v>0.99</v>
      </c>
      <c r="O80" s="504">
        <v>1.1214912603915739</v>
      </c>
      <c r="P80" s="487">
        <v>0.96474680792033873</v>
      </c>
    </row>
    <row r="81" spans="1:16" ht="16">
      <c r="A81" s="465" t="s">
        <v>1033</v>
      </c>
      <c r="B81" s="447">
        <v>15</v>
      </c>
      <c r="C81" s="504">
        <v>1.7891723510222548</v>
      </c>
      <c r="D81" s="477">
        <v>0.21213527708387048</v>
      </c>
      <c r="E81" s="477">
        <v>0.13391716018934746</v>
      </c>
      <c r="F81" s="504">
        <f t="shared" si="2"/>
        <v>1.5435856274378488</v>
      </c>
      <c r="G81" s="477">
        <v>1.4968542835664624E-2</v>
      </c>
      <c r="H81" s="504">
        <f t="shared" si="3"/>
        <v>1.5670419621739333</v>
      </c>
      <c r="I81" s="505">
        <v>0.47081751593532822</v>
      </c>
      <c r="J81" s="477">
        <v>0.37546183716654358</v>
      </c>
      <c r="K81" s="450">
        <v>0.33819679970227606</v>
      </c>
      <c r="L81" s="504">
        <v>0.96727917776256678</v>
      </c>
      <c r="M81" s="504">
        <v>1.1509711433254448</v>
      </c>
      <c r="N81" s="451">
        <v>1.43</v>
      </c>
      <c r="O81" s="504">
        <v>1.4189632481805372</v>
      </c>
      <c r="P81" s="487">
        <v>1.3068511062884964</v>
      </c>
    </row>
    <row r="82" spans="1:16" ht="16">
      <c r="A82" s="465" t="s">
        <v>1034</v>
      </c>
      <c r="B82" s="447">
        <v>69</v>
      </c>
      <c r="C82" s="504">
        <v>1.2752456934388758</v>
      </c>
      <c r="D82" s="477">
        <v>0.39567295890000159</v>
      </c>
      <c r="E82" s="477">
        <v>0.13594643894000899</v>
      </c>
      <c r="F82" s="504">
        <f t="shared" si="2"/>
        <v>0.98341318877188311</v>
      </c>
      <c r="G82" s="477">
        <v>2.2524354628298306E-2</v>
      </c>
      <c r="H82" s="504">
        <f t="shared" si="3"/>
        <v>1.00607436454125</v>
      </c>
      <c r="I82" s="505">
        <v>0.46193491376213663</v>
      </c>
      <c r="J82" s="477">
        <v>0.37083010776240061</v>
      </c>
      <c r="K82" s="450">
        <v>0.25350519996716575</v>
      </c>
      <c r="L82" s="504">
        <v>0.98702118147956253</v>
      </c>
      <c r="M82" s="504">
        <v>0.89371496522206739</v>
      </c>
      <c r="N82" s="451">
        <v>0.75</v>
      </c>
      <c r="O82" s="504">
        <v>1.0645116152504079</v>
      </c>
      <c r="P82" s="487">
        <v>0.94026442529865761</v>
      </c>
    </row>
    <row r="83" spans="1:16" ht="16">
      <c r="A83" s="465" t="s">
        <v>1035</v>
      </c>
      <c r="B83" s="447">
        <v>15</v>
      </c>
      <c r="C83" s="504">
        <v>1.3632136186935628</v>
      </c>
      <c r="D83" s="477">
        <v>0.19969640536769256</v>
      </c>
      <c r="E83" s="477">
        <v>0.21259763765231698</v>
      </c>
      <c r="F83" s="504">
        <f t="shared" si="2"/>
        <v>1.1856378988434997</v>
      </c>
      <c r="G83" s="477">
        <v>2.8245545382027257E-2</v>
      </c>
      <c r="H83" s="504">
        <f t="shared" si="3"/>
        <v>1.2201002971574864</v>
      </c>
      <c r="I83" s="505">
        <v>0.34600452314885843</v>
      </c>
      <c r="J83" s="477">
        <v>0.31528080319313112</v>
      </c>
      <c r="K83" s="450">
        <v>0.11083736572099039</v>
      </c>
      <c r="L83" s="504">
        <v>0.7514861871220232</v>
      </c>
      <c r="M83" s="504">
        <v>0.94572679473428167</v>
      </c>
      <c r="N83" s="451">
        <v>0.81</v>
      </c>
      <c r="O83" s="504">
        <v>1.0383563104796276</v>
      </c>
      <c r="P83" s="487">
        <v>0.95313391789868374</v>
      </c>
    </row>
    <row r="84" spans="1:16" ht="16">
      <c r="A84" s="465" t="s">
        <v>1036</v>
      </c>
      <c r="B84" s="447">
        <v>13</v>
      </c>
      <c r="C84" s="504">
        <v>0.66756973306313983</v>
      </c>
      <c r="D84" s="477">
        <v>0.65817573533732865</v>
      </c>
      <c r="E84" s="477">
        <v>0.16454371176768529</v>
      </c>
      <c r="F84" s="504">
        <f t="shared" si="2"/>
        <v>0.44694397400442637</v>
      </c>
      <c r="G84" s="477">
        <v>5.5436020108825777E-2</v>
      </c>
      <c r="H84" s="504">
        <f t="shared" si="3"/>
        <v>0.47317490770283238</v>
      </c>
      <c r="I84" s="505">
        <v>0.44427105868248346</v>
      </c>
      <c r="J84" s="477">
        <v>0.28264661461127033</v>
      </c>
      <c r="K84" s="450">
        <v>0.28502567449807581</v>
      </c>
      <c r="L84" s="504">
        <v>0.28123262190943138</v>
      </c>
      <c r="M84" s="504">
        <v>0.34510306364726978</v>
      </c>
      <c r="N84" s="451">
        <v>0.15</v>
      </c>
      <c r="O84" s="504">
        <v>0.21200696239163366</v>
      </c>
      <c r="P84" s="487">
        <v>0.2923035111302334</v>
      </c>
    </row>
    <row r="85" spans="1:16" ht="16">
      <c r="A85" s="465" t="s">
        <v>1037</v>
      </c>
      <c r="B85" s="447">
        <v>63</v>
      </c>
      <c r="C85" s="504">
        <v>1.4871300694613425</v>
      </c>
      <c r="D85" s="477">
        <v>0.19174447188057428</v>
      </c>
      <c r="E85" s="477">
        <v>4.0941719858048488E-2</v>
      </c>
      <c r="F85" s="504">
        <f t="shared" si="2"/>
        <v>1.3001566778011107</v>
      </c>
      <c r="G85" s="477">
        <v>4.1175209963425691E-2</v>
      </c>
      <c r="H85" s="504">
        <f t="shared" si="3"/>
        <v>1.3559898443505161</v>
      </c>
      <c r="I85" s="505">
        <v>0.70248693277034457</v>
      </c>
      <c r="J85" s="477">
        <v>0.59410388760758681</v>
      </c>
      <c r="K85" s="450">
        <v>0.77434468390971001</v>
      </c>
      <c r="L85" s="504">
        <v>1.34449825920508</v>
      </c>
      <c r="M85" s="504">
        <v>1.1594182467938388</v>
      </c>
      <c r="N85" s="451">
        <v>1.1399999999999999</v>
      </c>
      <c r="O85" s="504">
        <v>1.0650034437346438</v>
      </c>
      <c r="P85" s="487">
        <v>1.2129819588168158</v>
      </c>
    </row>
    <row r="86" spans="1:16" ht="16">
      <c r="A86" s="465" t="s">
        <v>1038</v>
      </c>
      <c r="B86" s="447">
        <v>78</v>
      </c>
      <c r="C86" s="504">
        <v>1.4752073825450458</v>
      </c>
      <c r="D86" s="477">
        <v>0.39158372922601853</v>
      </c>
      <c r="E86" s="477">
        <v>0.15019349979060045</v>
      </c>
      <c r="F86" s="504">
        <f t="shared" si="2"/>
        <v>1.1403117398631728</v>
      </c>
      <c r="G86" s="477">
        <v>4.0041704683196455E-2</v>
      </c>
      <c r="H86" s="504">
        <f t="shared" si="3"/>
        <v>1.187876333197214</v>
      </c>
      <c r="I86" s="505">
        <v>0.50878132822016209</v>
      </c>
      <c r="J86" s="477">
        <v>0.38585905225789641</v>
      </c>
      <c r="K86" s="450">
        <v>0.22316138846103836</v>
      </c>
      <c r="L86" s="504">
        <v>0.80006504109099119</v>
      </c>
      <c r="M86" s="504">
        <v>0.69034637967944268</v>
      </c>
      <c r="N86" s="451">
        <v>1.03</v>
      </c>
      <c r="O86" s="504">
        <v>1.2289647113509314</v>
      </c>
      <c r="P86" s="487">
        <v>0.9874504930637158</v>
      </c>
    </row>
    <row r="87" spans="1:16" ht="16">
      <c r="A87" s="465" t="s">
        <v>1039</v>
      </c>
      <c r="B87" s="447">
        <v>3</v>
      </c>
      <c r="C87" s="504">
        <v>0.83801497962970528</v>
      </c>
      <c r="D87" s="477">
        <v>3.303339604619385</v>
      </c>
      <c r="E87" s="477">
        <v>0</v>
      </c>
      <c r="F87" s="504">
        <f t="shared" si="2"/>
        <v>0.24098169552288884</v>
      </c>
      <c r="G87" s="477">
        <v>9.9691021624217765E-2</v>
      </c>
      <c r="H87" s="504">
        <f t="shared" si="3"/>
        <v>0.26766554739644599</v>
      </c>
      <c r="I87" s="505">
        <v>0.45026186402653628</v>
      </c>
      <c r="J87" s="477">
        <v>0.39785998397496214</v>
      </c>
      <c r="K87" s="450">
        <v>0.50671998615050307</v>
      </c>
      <c r="L87" s="504">
        <v>0.23902988074589715</v>
      </c>
      <c r="M87" s="504">
        <v>0.45318132931651134</v>
      </c>
      <c r="N87" s="451">
        <v>0.54</v>
      </c>
      <c r="O87" s="504">
        <v>0.58921293583338064</v>
      </c>
      <c r="P87" s="487">
        <v>0.41781793865844702</v>
      </c>
    </row>
    <row r="88" spans="1:16" ht="16">
      <c r="A88" s="465" t="s">
        <v>1040</v>
      </c>
      <c r="B88" s="447">
        <v>68</v>
      </c>
      <c r="C88" s="504">
        <v>1.6077462586340689</v>
      </c>
      <c r="D88" s="477">
        <v>0.11265628382191657</v>
      </c>
      <c r="E88" s="477">
        <v>8.1819268803683717E-2</v>
      </c>
      <c r="F88" s="504">
        <f t="shared" si="2"/>
        <v>1.482487600703569</v>
      </c>
      <c r="G88" s="477">
        <v>3.3748762158634794E-2</v>
      </c>
      <c r="H88" s="504">
        <f t="shared" si="3"/>
        <v>1.5342672202060941</v>
      </c>
      <c r="I88" s="505">
        <v>0.48933792335067938</v>
      </c>
      <c r="J88" s="477">
        <v>0.38404265117692143</v>
      </c>
      <c r="K88" s="450">
        <v>0.38437761380903246</v>
      </c>
      <c r="L88" s="504">
        <v>1.2637967280679967</v>
      </c>
      <c r="M88" s="504">
        <v>1.2368902767245551</v>
      </c>
      <c r="N88" s="451">
        <v>0.96</v>
      </c>
      <c r="O88" s="504">
        <v>1.135821074309048</v>
      </c>
      <c r="P88" s="487">
        <v>1.2261550598615387</v>
      </c>
    </row>
    <row r="89" spans="1:16" ht="16">
      <c r="A89" s="465" t="s">
        <v>1041</v>
      </c>
      <c r="B89" s="447">
        <v>30</v>
      </c>
      <c r="C89" s="504">
        <v>1.757142721715889</v>
      </c>
      <c r="D89" s="477">
        <v>0.11786824757584162</v>
      </c>
      <c r="E89" s="477">
        <v>0.10936898430604083</v>
      </c>
      <c r="F89" s="504">
        <f t="shared" si="2"/>
        <v>1.6144255857412013</v>
      </c>
      <c r="G89" s="477">
        <v>4.4292965648447258E-2</v>
      </c>
      <c r="H89" s="504">
        <f t="shared" si="3"/>
        <v>1.6892473610771204</v>
      </c>
      <c r="I89" s="505">
        <v>0.43513373450191689</v>
      </c>
      <c r="J89" s="477">
        <v>0.41568723029676519</v>
      </c>
      <c r="K89" s="450">
        <v>0.68492909182567563</v>
      </c>
      <c r="L89" s="504">
        <v>1.3908894934763405</v>
      </c>
      <c r="M89" s="504">
        <v>1.2534843105487556</v>
      </c>
      <c r="N89" s="451">
        <v>1.07</v>
      </c>
      <c r="O89" s="504">
        <v>1.3414180698068143</v>
      </c>
      <c r="P89" s="487">
        <v>1.3490078469818063</v>
      </c>
    </row>
    <row r="90" spans="1:16" ht="16">
      <c r="A90" s="465" t="s">
        <v>1042</v>
      </c>
      <c r="B90" s="447">
        <v>8</v>
      </c>
      <c r="C90" s="504">
        <v>0.94373863184759688</v>
      </c>
      <c r="D90" s="477">
        <v>0.3901857569968924</v>
      </c>
      <c r="E90" s="477">
        <v>6.2322052474713847E-2</v>
      </c>
      <c r="F90" s="504">
        <f t="shared" si="2"/>
        <v>0.73008659019593591</v>
      </c>
      <c r="G90" s="477">
        <v>6.4392129906350806E-2</v>
      </c>
      <c r="H90" s="504">
        <f t="shared" si="3"/>
        <v>0.78033395563769492</v>
      </c>
      <c r="I90" s="505">
        <v>0.48932323828475571</v>
      </c>
      <c r="J90" s="477">
        <v>0.4116087861322939</v>
      </c>
      <c r="K90" s="450">
        <v>0.82998630361021086</v>
      </c>
      <c r="L90" s="504">
        <v>0.77850734487942919</v>
      </c>
      <c r="M90" s="504">
        <v>1.5713945020074378</v>
      </c>
      <c r="N90" s="451">
        <v>0.74</v>
      </c>
      <c r="O90" s="504">
        <v>0.80231747596426517</v>
      </c>
      <c r="P90" s="487">
        <v>0.93451065569776548</v>
      </c>
    </row>
    <row r="91" spans="1:16" ht="16">
      <c r="A91" s="465" t="s">
        <v>1043</v>
      </c>
      <c r="B91" s="447">
        <v>13</v>
      </c>
      <c r="C91" s="504">
        <v>1.3276925338648697</v>
      </c>
      <c r="D91" s="477">
        <v>9.0140655527445976E-2</v>
      </c>
      <c r="E91" s="477">
        <v>0.10698367731914769</v>
      </c>
      <c r="F91" s="504">
        <f t="shared" si="2"/>
        <v>1.2436171828026032</v>
      </c>
      <c r="G91" s="477">
        <v>3.4958749410353512E-2</v>
      </c>
      <c r="H91" s="504">
        <f t="shared" si="3"/>
        <v>1.2886673829152329</v>
      </c>
      <c r="I91" s="505">
        <v>0.50846345784953806</v>
      </c>
      <c r="J91" s="477">
        <v>0.39374185918980237</v>
      </c>
      <c r="K91" s="450">
        <v>0.28270790197149448</v>
      </c>
      <c r="L91" s="504">
        <v>0.74128200359267893</v>
      </c>
      <c r="M91" s="504">
        <v>0.83360996909511786</v>
      </c>
      <c r="N91" s="451">
        <v>0.98</v>
      </c>
      <c r="O91" s="504">
        <v>1.1884916532310223</v>
      </c>
      <c r="P91" s="487">
        <v>1.0064102017668104</v>
      </c>
    </row>
    <row r="92" spans="1:16" ht="16">
      <c r="A92" s="465" t="s">
        <v>1044</v>
      </c>
      <c r="B92" s="447">
        <v>91</v>
      </c>
      <c r="C92" s="504">
        <v>1.363575730964357</v>
      </c>
      <c r="D92" s="477">
        <v>4.8025373159782218E-2</v>
      </c>
      <c r="E92" s="477">
        <v>3.81657195507904E-2</v>
      </c>
      <c r="F92" s="504">
        <f t="shared" si="2"/>
        <v>1.3161686143310263</v>
      </c>
      <c r="G92" s="477">
        <v>3.071817066284499E-2</v>
      </c>
      <c r="H92" s="504">
        <f t="shared" si="3"/>
        <v>1.3578802103729628</v>
      </c>
      <c r="I92" s="505">
        <v>0.68715521572849525</v>
      </c>
      <c r="J92" s="477">
        <v>0.58709543871584413</v>
      </c>
      <c r="K92" s="450">
        <v>0.69136710073580343</v>
      </c>
      <c r="L92" s="504">
        <v>1.2697947323690497</v>
      </c>
      <c r="M92" s="504">
        <v>1.2858744552797758</v>
      </c>
      <c r="N92" s="451">
        <v>0.96</v>
      </c>
      <c r="O92" s="504">
        <v>1.2075498828617475</v>
      </c>
      <c r="P92" s="487">
        <v>1.2162198561767072</v>
      </c>
    </row>
    <row r="93" spans="1:16" ht="16">
      <c r="A93" s="465" t="s">
        <v>1045</v>
      </c>
      <c r="B93" s="447">
        <v>33</v>
      </c>
      <c r="C93" s="504">
        <v>1.5513058877107246</v>
      </c>
      <c r="D93" s="477">
        <v>0.17655464364745466</v>
      </c>
      <c r="E93" s="477">
        <v>2.3650263887898121E-2</v>
      </c>
      <c r="F93" s="504">
        <f t="shared" si="2"/>
        <v>1.3699081533300299</v>
      </c>
      <c r="G93" s="477">
        <v>3.2900020588293027E-2</v>
      </c>
      <c r="H93" s="504">
        <f t="shared" si="3"/>
        <v>1.416511407810549</v>
      </c>
      <c r="I93" s="505">
        <v>0.66054972489796726</v>
      </c>
      <c r="J93" s="477">
        <v>0.55243837546789154</v>
      </c>
      <c r="K93" s="450">
        <v>0.91090042469556987</v>
      </c>
      <c r="L93" s="504">
        <v>1.3051434552841432</v>
      </c>
      <c r="M93" s="504">
        <v>1.5032034061310999</v>
      </c>
      <c r="N93" s="451">
        <v>0.75</v>
      </c>
      <c r="O93" s="504">
        <v>0.97506380366216394</v>
      </c>
      <c r="P93" s="487">
        <v>1.1899844145775913</v>
      </c>
    </row>
    <row r="94" spans="1:16" ht="16">
      <c r="A94" s="465" t="s">
        <v>1046</v>
      </c>
      <c r="B94" s="447">
        <v>390</v>
      </c>
      <c r="C94" s="504">
        <v>1.4697712402478267</v>
      </c>
      <c r="D94" s="477">
        <v>9.3648717927364691E-2</v>
      </c>
      <c r="E94" s="477">
        <v>3.395114353447462E-2</v>
      </c>
      <c r="F94" s="504">
        <f t="shared" si="2"/>
        <v>1.3733143912116959</v>
      </c>
      <c r="G94" s="477">
        <v>2.8066077148274141E-2</v>
      </c>
      <c r="H94" s="504">
        <f t="shared" si="3"/>
        <v>1.4129709426977197</v>
      </c>
      <c r="I94" s="505">
        <v>0.61640664366461584</v>
      </c>
      <c r="J94" s="477">
        <v>0.52111210183577161</v>
      </c>
      <c r="K94" s="450">
        <v>0.32240159372913141</v>
      </c>
      <c r="L94" s="504">
        <v>1.1619596463607587</v>
      </c>
      <c r="M94" s="504">
        <v>1.1491608268691911</v>
      </c>
      <c r="N94" s="451">
        <v>0.89</v>
      </c>
      <c r="O94" s="504">
        <v>1.1224549396080949</v>
      </c>
      <c r="P94" s="487">
        <v>1.1473092711071529</v>
      </c>
    </row>
    <row r="95" spans="1:16" ht="16">
      <c r="A95" s="465" t="s">
        <v>1047</v>
      </c>
      <c r="B95" s="447">
        <v>28</v>
      </c>
      <c r="C95" s="504">
        <v>1.3424843767995962</v>
      </c>
      <c r="D95" s="477">
        <v>0.28595102522701571</v>
      </c>
      <c r="E95" s="477">
        <v>0.14954162997616205</v>
      </c>
      <c r="F95" s="504">
        <f t="shared" si="2"/>
        <v>1.1054137339148622</v>
      </c>
      <c r="G95" s="477">
        <v>8.8354278552709387E-2</v>
      </c>
      <c r="H95" s="504">
        <f t="shared" si="3"/>
        <v>1.2125474928571525</v>
      </c>
      <c r="I95" s="505">
        <v>0.39412504778160207</v>
      </c>
      <c r="J95" s="477">
        <v>0.38298957011173351</v>
      </c>
      <c r="K95" s="450">
        <v>1.0458573404445946</v>
      </c>
      <c r="L95" s="504">
        <v>1.2948714024708063</v>
      </c>
      <c r="M95" s="504">
        <v>1.2855689138232198</v>
      </c>
      <c r="N95" s="451">
        <v>0.78</v>
      </c>
      <c r="O95" s="504">
        <v>0.98255699807352492</v>
      </c>
      <c r="P95" s="487">
        <v>1.1111089614449408</v>
      </c>
    </row>
    <row r="96" spans="1:16" ht="16">
      <c r="A96" s="465" t="s">
        <v>1048</v>
      </c>
      <c r="B96" s="447">
        <v>16</v>
      </c>
      <c r="C96" s="504">
        <v>1.0309737102652559</v>
      </c>
      <c r="D96" s="477">
        <v>0.65154486787819843</v>
      </c>
      <c r="E96" s="477">
        <v>3.8302283114982148E-2</v>
      </c>
      <c r="F96" s="504">
        <f t="shared" si="2"/>
        <v>0.69255212377664233</v>
      </c>
      <c r="G96" s="477">
        <v>2.6437164736179304E-2</v>
      </c>
      <c r="H96" s="504">
        <f t="shared" si="3"/>
        <v>0.71135842360803681</v>
      </c>
      <c r="I96" s="505">
        <v>0.57247177566553797</v>
      </c>
      <c r="J96" s="477">
        <v>0.51921047688999544</v>
      </c>
      <c r="K96" s="450">
        <v>0.69459138128869891</v>
      </c>
      <c r="L96" s="504">
        <v>0.70626583312516422</v>
      </c>
      <c r="M96" s="504">
        <v>0.59690807402526536</v>
      </c>
      <c r="N96" s="451">
        <v>0.39</v>
      </c>
      <c r="O96" s="504">
        <v>0.62723011307829235</v>
      </c>
      <c r="P96" s="487">
        <v>0.60635248876735182</v>
      </c>
    </row>
    <row r="97" spans="1:16" ht="16">
      <c r="A97" s="465" t="s">
        <v>1049</v>
      </c>
      <c r="B97" s="447">
        <v>79</v>
      </c>
      <c r="C97" s="504">
        <v>1.2331194872073334</v>
      </c>
      <c r="D97" s="477">
        <v>0.11678322018549975</v>
      </c>
      <c r="E97" s="477">
        <v>4.0571929767536014E-2</v>
      </c>
      <c r="F97" s="504">
        <f t="shared" si="2"/>
        <v>1.1338118389771843</v>
      </c>
      <c r="G97" s="477">
        <v>3.7911016791603691E-2</v>
      </c>
      <c r="H97" s="504">
        <f t="shared" si="3"/>
        <v>1.1784895771242725</v>
      </c>
      <c r="I97" s="505">
        <v>0.52733004943012662</v>
      </c>
      <c r="J97" s="477">
        <v>0.41348753948301459</v>
      </c>
      <c r="K97" s="450">
        <v>0.13611769117236694</v>
      </c>
      <c r="L97" s="504">
        <v>1.0228587017593667</v>
      </c>
      <c r="M97" s="504">
        <v>0.83597865832287344</v>
      </c>
      <c r="N97" s="451">
        <v>0.83</v>
      </c>
      <c r="O97" s="504">
        <v>1.0568634798545709</v>
      </c>
      <c r="P97" s="487">
        <v>0.98483808341221679</v>
      </c>
    </row>
    <row r="98" spans="1:16" ht="16">
      <c r="A98" s="465" t="s">
        <v>1050</v>
      </c>
      <c r="B98" s="447">
        <v>49</v>
      </c>
      <c r="C98" s="504">
        <v>0.88226816528565966</v>
      </c>
      <c r="D98" s="477">
        <v>1.1771759919284781</v>
      </c>
      <c r="E98" s="477">
        <v>6.5368083078363712E-2</v>
      </c>
      <c r="F98" s="504">
        <f t="shared" si="2"/>
        <v>0.46857326594137827</v>
      </c>
      <c r="G98" s="477">
        <v>1.125298621890258E-2</v>
      </c>
      <c r="H98" s="504">
        <f t="shared" si="3"/>
        <v>0.47390612503545576</v>
      </c>
      <c r="I98" s="505">
        <v>0.55540262125092421</v>
      </c>
      <c r="J98" s="477">
        <v>0.55371695621592376</v>
      </c>
      <c r="K98" s="450">
        <v>0.22217299283269712</v>
      </c>
      <c r="L98" s="504">
        <v>0.74082603271700076</v>
      </c>
      <c r="M98" s="504">
        <v>0.66658422431944475</v>
      </c>
      <c r="N98" s="451">
        <v>0.42</v>
      </c>
      <c r="O98" s="504">
        <v>0.50915335116483895</v>
      </c>
      <c r="P98" s="487">
        <v>0.56209394664734802</v>
      </c>
    </row>
    <row r="99" spans="1:16" ht="16">
      <c r="A99" s="465" t="s">
        <v>1051</v>
      </c>
      <c r="B99" s="447">
        <v>15</v>
      </c>
      <c r="C99" s="504">
        <v>2.0004565028386407</v>
      </c>
      <c r="D99" s="477">
        <v>0.24055401059949102</v>
      </c>
      <c r="E99" s="477">
        <v>9.8330509025201351E-2</v>
      </c>
      <c r="F99" s="504">
        <f t="shared" si="2"/>
        <v>1.6947053722747454</v>
      </c>
      <c r="G99" s="477">
        <v>2.8404796925753654E-2</v>
      </c>
      <c r="H99" s="504">
        <f t="shared" si="3"/>
        <v>1.7442504521558875</v>
      </c>
      <c r="I99" s="505">
        <v>0.60634881653940054</v>
      </c>
      <c r="J99" s="477">
        <v>0.44059235658259677</v>
      </c>
      <c r="K99" s="450">
        <v>7.6952134781070936E-2</v>
      </c>
      <c r="L99" s="504">
        <v>1.1252643536813445</v>
      </c>
      <c r="M99" s="504">
        <v>1.426322641272642</v>
      </c>
      <c r="N99" s="451">
        <v>0.61</v>
      </c>
      <c r="O99" s="504">
        <v>0.86224908484130214</v>
      </c>
      <c r="P99" s="487">
        <v>1.1536173063902353</v>
      </c>
    </row>
    <row r="100" spans="1:16" ht="16">
      <c r="A100" s="465" t="s">
        <v>1052</v>
      </c>
      <c r="B100" s="447">
        <v>18</v>
      </c>
      <c r="C100" s="504">
        <v>1.058265749430396</v>
      </c>
      <c r="D100" s="477">
        <v>0.29510151487454073</v>
      </c>
      <c r="E100" s="477">
        <v>0.16385816650202897</v>
      </c>
      <c r="F100" s="504">
        <f t="shared" si="2"/>
        <v>0.8664890712658142</v>
      </c>
      <c r="G100" s="477">
        <v>6.2843539003580931E-2</v>
      </c>
      <c r="H100" s="504">
        <f t="shared" si="3"/>
        <v>0.92459381899211512</v>
      </c>
      <c r="I100" s="505">
        <v>0.47892861786444119</v>
      </c>
      <c r="J100" s="477">
        <v>0.28046286808958065</v>
      </c>
      <c r="K100" s="450">
        <v>0.26963358611053628</v>
      </c>
      <c r="L100" s="504">
        <v>0.89929754045085275</v>
      </c>
      <c r="M100" s="504">
        <v>0.95727016951115262</v>
      </c>
      <c r="N100" s="451">
        <v>0.79</v>
      </c>
      <c r="O100" s="504">
        <v>0.71581476967907198</v>
      </c>
      <c r="P100" s="487">
        <v>0.85739525972663844</v>
      </c>
    </row>
    <row r="101" spans="1:16" ht="16">
      <c r="A101" s="465" t="s">
        <v>1053</v>
      </c>
      <c r="B101" s="447">
        <v>4</v>
      </c>
      <c r="C101" s="504">
        <v>1.1078308621714459</v>
      </c>
      <c r="D101" s="477">
        <v>0.27451205147789459</v>
      </c>
      <c r="E101" s="477">
        <v>0.16567959676788763</v>
      </c>
      <c r="F101" s="504">
        <f t="shared" si="2"/>
        <v>0.91868772344799632</v>
      </c>
      <c r="G101" s="477">
        <v>1.4686917256493601E-2</v>
      </c>
      <c r="H101" s="504">
        <f t="shared" si="3"/>
        <v>0.93238153388768741</v>
      </c>
      <c r="I101" s="505">
        <v>0.22719138715983178</v>
      </c>
      <c r="J101" s="477">
        <v>0.16341269092106181</v>
      </c>
      <c r="K101" s="450">
        <v>0.11810856266876285</v>
      </c>
      <c r="L101" s="504">
        <v>2.0801518230331322</v>
      </c>
      <c r="M101" s="504">
        <v>1.8919831806779572</v>
      </c>
      <c r="N101" s="451">
        <v>0.74</v>
      </c>
      <c r="O101" s="504">
        <v>0.64760822307726795</v>
      </c>
      <c r="P101" s="487">
        <v>1.2584249521352091</v>
      </c>
    </row>
    <row r="102" spans="1:16" ht="16">
      <c r="A102" s="465" t="s">
        <v>1054</v>
      </c>
      <c r="B102" s="447">
        <v>35</v>
      </c>
      <c r="C102" s="504">
        <v>1.5451244708853058</v>
      </c>
      <c r="D102" s="477">
        <v>0.43913586539321359</v>
      </c>
      <c r="E102" s="477">
        <v>0.14785932618179476</v>
      </c>
      <c r="F102" s="504">
        <f t="shared" si="2"/>
        <v>1.1623141111058857</v>
      </c>
      <c r="G102" s="477">
        <v>5.7218077552788967E-2</v>
      </c>
      <c r="H102" s="504">
        <f t="shared" si="3"/>
        <v>1.232855746839977</v>
      </c>
      <c r="I102" s="505">
        <v>0.44581530141043629</v>
      </c>
      <c r="J102" s="477">
        <v>0.41171324567018758</v>
      </c>
      <c r="K102" s="450">
        <v>1.5003843688997927</v>
      </c>
      <c r="L102" s="504">
        <v>0.71085656044871004</v>
      </c>
      <c r="M102" s="504">
        <v>1.041066799245524</v>
      </c>
      <c r="N102" s="451">
        <v>0.94</v>
      </c>
      <c r="O102" s="504">
        <v>1.2784881792172302</v>
      </c>
      <c r="P102" s="487">
        <v>1.0406534571502883</v>
      </c>
    </row>
    <row r="103" spans="1:16" ht="16">
      <c r="A103" s="465" t="s">
        <v>1055</v>
      </c>
      <c r="B103" s="447">
        <v>15</v>
      </c>
      <c r="C103" s="504">
        <v>0.63513941960164833</v>
      </c>
      <c r="D103" s="477">
        <v>0.74175003502026149</v>
      </c>
      <c r="E103" s="477">
        <v>0.13203047748326249</v>
      </c>
      <c r="F103" s="504">
        <f t="shared" si="2"/>
        <v>0.40810531874715528</v>
      </c>
      <c r="G103" s="477">
        <v>3.3127957239668755E-3</v>
      </c>
      <c r="H103" s="504">
        <f t="shared" si="3"/>
        <v>0.40946178198765182</v>
      </c>
      <c r="I103" s="505">
        <v>0.15608401947167233</v>
      </c>
      <c r="J103" s="477">
        <v>0.1497076220101746</v>
      </c>
      <c r="K103" s="450">
        <v>9.3615784474097866E-2</v>
      </c>
      <c r="L103" s="504">
        <v>0.1745698394445703</v>
      </c>
      <c r="M103" s="504">
        <v>0.18968841681761509</v>
      </c>
      <c r="N103" s="451">
        <v>0.48</v>
      </c>
      <c r="O103" s="504">
        <v>0.59621878625724234</v>
      </c>
      <c r="P103" s="487">
        <v>0.36998776490141588</v>
      </c>
    </row>
    <row r="104" spans="1:16" ht="16">
      <c r="A104" s="465" t="s">
        <v>1056</v>
      </c>
      <c r="B104" s="447">
        <v>16</v>
      </c>
      <c r="C104" s="504">
        <v>1.1524153536245123</v>
      </c>
      <c r="D104" s="477">
        <v>0.43396475885206598</v>
      </c>
      <c r="E104" s="477">
        <v>8.4454307614074048E-2</v>
      </c>
      <c r="F104" s="504">
        <f t="shared" si="2"/>
        <v>0.86943669074673013</v>
      </c>
      <c r="G104" s="477">
        <v>3.5347974849298789E-3</v>
      </c>
      <c r="H104" s="504">
        <f t="shared" si="3"/>
        <v>0.87252087534243938</v>
      </c>
      <c r="I104" s="505">
        <v>0.36551319134525267</v>
      </c>
      <c r="J104" s="477">
        <v>0.41373294388583098</v>
      </c>
      <c r="K104" s="450">
        <v>0.13746671306527883</v>
      </c>
      <c r="L104" s="504">
        <v>0.32295708453677063</v>
      </c>
      <c r="M104" s="504">
        <v>0.56532125712405057</v>
      </c>
      <c r="N104" s="451">
        <v>0.56999999999999995</v>
      </c>
      <c r="O104" s="504">
        <v>0.61417995243827894</v>
      </c>
      <c r="P104" s="487">
        <v>0.5889958338883079</v>
      </c>
    </row>
    <row r="105" spans="1:16" s="491" customFormat="1" ht="16">
      <c r="A105" s="465" t="s">
        <v>1057</v>
      </c>
      <c r="B105" s="447">
        <v>7165</v>
      </c>
      <c r="C105" s="504">
        <v>1.1572702941885729</v>
      </c>
      <c r="D105" s="477">
        <v>0.53521978693922112</v>
      </c>
      <c r="E105" s="477">
        <v>7.5197838058014305E-2</v>
      </c>
      <c r="F105" s="504">
        <f t="shared" si="2"/>
        <v>0.82578709814416473</v>
      </c>
      <c r="G105" s="477">
        <v>6.6630317524362631E-2</v>
      </c>
      <c r="H105" s="504">
        <f t="shared" si="3"/>
        <v>0.88473743431849605</v>
      </c>
      <c r="I105" s="505">
        <v>0.48324484898520542</v>
      </c>
      <c r="J105" s="477">
        <v>0.41373294388583098</v>
      </c>
      <c r="K105" s="450">
        <v>0.1900788202618873</v>
      </c>
      <c r="L105" s="506">
        <v>0.80201739708391317</v>
      </c>
      <c r="M105" s="506">
        <v>0.82945377332234371</v>
      </c>
      <c r="N105" s="451">
        <v>0.75</v>
      </c>
      <c r="O105" s="504">
        <v>0.90938056763016906</v>
      </c>
      <c r="P105" s="487">
        <v>0.83511783447098442</v>
      </c>
    </row>
    <row r="106" spans="1:16" s="491" customFormat="1" ht="16">
      <c r="A106" s="465" t="s">
        <v>1058</v>
      </c>
      <c r="B106" s="447">
        <v>5649</v>
      </c>
      <c r="C106" s="504">
        <v>1.292817025743946</v>
      </c>
      <c r="D106" s="477">
        <v>0.26398867839831808</v>
      </c>
      <c r="E106" s="477">
        <v>6.3846780495244726E-2</v>
      </c>
      <c r="F106" s="504">
        <f t="shared" si="2"/>
        <v>1.0791537471248789</v>
      </c>
      <c r="G106" s="477">
        <v>3.7516689774389836E-2</v>
      </c>
      <c r="H106" s="504">
        <f t="shared" si="3"/>
        <v>1.1212181402625263</v>
      </c>
      <c r="I106" s="505">
        <v>0.55752138057019252</v>
      </c>
      <c r="J106" s="477">
        <v>0.47976813197581314</v>
      </c>
      <c r="K106" s="450">
        <v>0.18503610455341124</v>
      </c>
      <c r="L106" s="506">
        <v>0.99855894726946337</v>
      </c>
      <c r="M106" s="506">
        <v>1.0124816766890556</v>
      </c>
      <c r="N106" s="451">
        <v>0.86</v>
      </c>
      <c r="O106" s="504">
        <v>1.0402068170288452</v>
      </c>
      <c r="P106" s="487">
        <v>1.0064931162499779</v>
      </c>
    </row>
  </sheetData>
  <mergeCells count="13">
    <mergeCell ref="B7:G7"/>
    <mergeCell ref="L9:P9"/>
    <mergeCell ref="T17:U17"/>
    <mergeCell ref="B1:G1"/>
    <mergeCell ref="H1:H7"/>
    <mergeCell ref="I1:K1"/>
    <mergeCell ref="B2:G2"/>
    <mergeCell ref="I2:K7"/>
    <mergeCell ref="B3:E3"/>
    <mergeCell ref="F3:G3"/>
    <mergeCell ref="B4:G4"/>
    <mergeCell ref="B5:G5"/>
    <mergeCell ref="B6:G6"/>
  </mergeCells>
  <hyperlinks>
    <hyperlink ref="B2" r:id="rId1" xr:uid="{00000000-0004-0000-0500-000000000000}"/>
    <hyperlink ref="B4" r:id="rId2" xr:uid="{00000000-0004-0000-0500-000001000000}"/>
    <hyperlink ref="B5" r:id="rId3" display="http://www.stern.nyu.edu/~adamodar/New_Home_Page/data.html" xr:uid="{00000000-0004-0000-0500-000002000000}"/>
    <hyperlink ref="B6" r:id="rId4" display="http://www.stern.nyu.edu/~adamodar/pc/datasets/indname.xls" xr:uid="{00000000-0004-0000-0500-000003000000}"/>
    <hyperlink ref="B7" r:id="rId5" display="http://www.stern.nyu.edu/~adamodar/New_Home_Page/datafile/variable.htm" xr:uid="{00000000-0004-0000-0500-000004000000}"/>
    <hyperlink ref="H1:H7" r:id="rId6" display="YouTube Video explaining estimation choices and process." xr:uid="{00000000-0004-0000-0500-000005000000}"/>
  </hyperlinks>
  <pageMargins left="0.7" right="0.7" top="0.75" bottom="0.75" header="0.3" footer="0.3"/>
  <tableParts count="1">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K51"/>
  <sheetViews>
    <sheetView showGridLines="0" topLeftCell="A2" workbookViewId="0">
      <selection activeCell="D13" sqref="D13"/>
    </sheetView>
  </sheetViews>
  <sheetFormatPr baseColWidth="10" defaultRowHeight="16"/>
  <cols>
    <col min="1" max="1" width="10.83203125" style="82"/>
    <col min="2" max="2" width="20" style="82" bestFit="1" customWidth="1"/>
    <col min="3" max="3" width="23.83203125" style="82" customWidth="1"/>
    <col min="4" max="4" width="12.83203125" style="82" customWidth="1"/>
    <col min="5" max="5" width="12.5" style="82" customWidth="1"/>
    <col min="6" max="6" width="14.83203125" style="82" customWidth="1"/>
    <col min="7" max="7" width="28.33203125" style="82" customWidth="1"/>
    <col min="8" max="8" width="11" style="82" bestFit="1" customWidth="1"/>
    <col min="9" max="16384" width="10.83203125" style="82"/>
  </cols>
  <sheetData>
    <row r="3" spans="1:11" ht="17" thickBot="1">
      <c r="A3" s="81"/>
    </row>
    <row r="4" spans="1:11">
      <c r="A4" s="507"/>
      <c r="B4" s="531"/>
      <c r="C4" s="70"/>
      <c r="D4" s="70"/>
      <c r="E4" s="70"/>
      <c r="F4" s="70"/>
      <c r="G4" s="70"/>
      <c r="H4" s="70"/>
      <c r="I4" s="70"/>
      <c r="J4" s="531"/>
      <c r="K4" s="509"/>
    </row>
    <row r="5" spans="1:11">
      <c r="A5" s="532"/>
      <c r="B5" s="510"/>
      <c r="C5" s="533"/>
      <c r="D5" s="534"/>
      <c r="E5" s="534"/>
      <c r="F5" s="535"/>
      <c r="G5" s="76"/>
      <c r="H5" s="76"/>
      <c r="I5" s="76"/>
      <c r="J5" s="510"/>
      <c r="K5" s="536"/>
    </row>
    <row r="6" spans="1:11" ht="17" thickBot="1">
      <c r="A6" s="532"/>
      <c r="B6" s="510"/>
      <c r="C6" s="537"/>
      <c r="D6" s="76"/>
      <c r="E6" s="538"/>
      <c r="F6" s="539"/>
      <c r="G6" s="76"/>
      <c r="H6" s="76"/>
      <c r="I6" s="76"/>
      <c r="J6" s="510"/>
      <c r="K6" s="536"/>
    </row>
    <row r="7" spans="1:11" ht="27" thickBot="1">
      <c r="A7" s="532"/>
      <c r="B7" s="510"/>
      <c r="C7" s="540"/>
      <c r="D7" s="541"/>
      <c r="E7" s="667" t="s">
        <v>1066</v>
      </c>
      <c r="F7" s="668">
        <f>D10*D15+H10*H15*(1-H13)</f>
        <v>0.11283773596181024</v>
      </c>
      <c r="G7" s="76"/>
      <c r="H7" s="76"/>
      <c r="I7" s="542"/>
      <c r="J7" s="510"/>
      <c r="K7" s="536"/>
    </row>
    <row r="8" spans="1:11">
      <c r="A8" s="532"/>
      <c r="B8" s="510"/>
      <c r="C8" s="76"/>
      <c r="D8" s="76"/>
      <c r="E8" s="76"/>
      <c r="F8" s="76"/>
      <c r="G8" s="76"/>
      <c r="H8" s="76"/>
      <c r="I8" s="76"/>
      <c r="J8" s="510"/>
      <c r="K8" s="536"/>
    </row>
    <row r="9" spans="1:11" ht="17" thickBot="1">
      <c r="A9" s="532"/>
      <c r="B9" s="510"/>
      <c r="C9" s="76"/>
      <c r="D9" s="76"/>
      <c r="E9" s="76"/>
      <c r="F9" s="76"/>
      <c r="G9" s="76"/>
      <c r="H9" s="76"/>
      <c r="I9" s="76"/>
      <c r="J9" s="510"/>
      <c r="K9" s="536"/>
    </row>
    <row r="10" spans="1:11">
      <c r="A10" s="532"/>
      <c r="B10" s="510"/>
      <c r="C10" s="654" t="s">
        <v>1067</v>
      </c>
      <c r="D10" s="655">
        <f>D11+D12*D13</f>
        <v>0.17148366777679322</v>
      </c>
      <c r="E10" s="542"/>
      <c r="F10" s="542"/>
      <c r="G10" s="654" t="s">
        <v>1068</v>
      </c>
      <c r="H10" s="657">
        <f>(H11+H12)</f>
        <v>0.105</v>
      </c>
      <c r="I10" s="76"/>
      <c r="J10" s="510"/>
      <c r="K10" s="536"/>
    </row>
    <row r="11" spans="1:11" ht="15" customHeight="1">
      <c r="A11" s="532"/>
      <c r="B11" s="510"/>
      <c r="C11" s="75" t="s">
        <v>1069</v>
      </c>
      <c r="D11" s="543">
        <v>2.92E-2</v>
      </c>
      <c r="E11" s="76"/>
      <c r="F11" s="76"/>
      <c r="G11" s="75" t="s">
        <v>1069</v>
      </c>
      <c r="H11" s="543">
        <f>D11</f>
        <v>2.92E-2</v>
      </c>
      <c r="I11" s="76"/>
      <c r="J11" s="510"/>
      <c r="K11" s="536"/>
    </row>
    <row r="12" spans="1:11">
      <c r="A12" s="532"/>
      <c r="B12" s="510"/>
      <c r="C12" s="75" t="s">
        <v>1059</v>
      </c>
      <c r="D12" s="544">
        <f>beta!U20</f>
        <v>1.9764006140227453</v>
      </c>
      <c r="E12" s="76"/>
      <c r="F12" s="76"/>
      <c r="G12" s="75" t="s">
        <v>756</v>
      </c>
      <c r="H12" s="545">
        <f>C33</f>
        <v>7.5799999999999992E-2</v>
      </c>
      <c r="I12" s="76"/>
      <c r="J12" s="510"/>
      <c r="K12" s="536"/>
    </row>
    <row r="13" spans="1:11">
      <c r="A13" s="532"/>
      <c r="B13" s="510"/>
      <c r="C13" s="546" t="s">
        <v>750</v>
      </c>
      <c r="D13" s="547">
        <f>ERP!U24</f>
        <v>7.1991309235221554E-2</v>
      </c>
      <c r="E13" s="76"/>
      <c r="F13" s="76"/>
      <c r="G13" s="546" t="s">
        <v>1112</v>
      </c>
      <c r="H13" s="548">
        <v>0.25</v>
      </c>
      <c r="I13" s="76"/>
      <c r="J13" s="510"/>
      <c r="K13" s="536"/>
    </row>
    <row r="14" spans="1:11">
      <c r="A14" s="532"/>
      <c r="B14" s="510"/>
      <c r="C14" s="845" t="s">
        <v>1070</v>
      </c>
      <c r="D14" s="549">
        <f>C22</f>
        <v>191.84380866000001</v>
      </c>
      <c r="E14" s="550"/>
      <c r="F14" s="550"/>
      <c r="G14" s="846" t="s">
        <v>1071</v>
      </c>
      <c r="H14" s="549">
        <f>beta!U23</f>
        <v>330.05591613376009</v>
      </c>
      <c r="I14" s="551"/>
      <c r="J14" s="510"/>
      <c r="K14" s="536"/>
    </row>
    <row r="15" spans="1:11" ht="15" customHeight="1" thickBot="1">
      <c r="A15" s="532"/>
      <c r="B15" s="510"/>
      <c r="C15" s="304" t="s">
        <v>913</v>
      </c>
      <c r="D15" s="656">
        <f>D14/(D14+H14)</f>
        <v>0.36758748768417382</v>
      </c>
      <c r="E15" s="76"/>
      <c r="F15" s="76"/>
      <c r="G15" s="658" t="s">
        <v>913</v>
      </c>
      <c r="H15" s="656">
        <f>H14/(H14+D14)</f>
        <v>0.63241251231582607</v>
      </c>
      <c r="I15" s="76"/>
      <c r="J15" s="510"/>
      <c r="K15" s="536"/>
    </row>
    <row r="16" spans="1:11">
      <c r="A16" s="532"/>
      <c r="B16" s="510"/>
      <c r="E16" s="77"/>
      <c r="F16" s="77"/>
      <c r="I16" s="76"/>
      <c r="J16" s="510"/>
      <c r="K16" s="536"/>
    </row>
    <row r="17" spans="1:11">
      <c r="A17" s="532"/>
      <c r="B17" s="510"/>
      <c r="C17" s="76"/>
      <c r="D17" s="76"/>
      <c r="E17" s="76"/>
      <c r="F17" s="76"/>
      <c r="G17" s="76"/>
      <c r="H17" s="76"/>
      <c r="I17" s="76"/>
      <c r="J17" s="510"/>
      <c r="K17" s="536"/>
    </row>
    <row r="18" spans="1:11" ht="17" thickBot="1">
      <c r="A18" s="532"/>
      <c r="B18" s="510"/>
      <c r="C18" s="76"/>
      <c r="D18" s="76"/>
      <c r="E18" s="76"/>
      <c r="F18" s="76"/>
      <c r="G18" s="76"/>
      <c r="H18" s="76"/>
      <c r="I18" s="76"/>
      <c r="J18" s="510"/>
      <c r="K18" s="536"/>
    </row>
    <row r="19" spans="1:11">
      <c r="A19" s="532"/>
      <c r="B19" s="782" t="s">
        <v>1070</v>
      </c>
      <c r="C19" s="783"/>
      <c r="D19" s="510"/>
      <c r="E19" s="510"/>
      <c r="F19" s="510"/>
      <c r="G19" s="510"/>
      <c r="H19" s="510"/>
      <c r="I19" s="510"/>
      <c r="J19" s="510"/>
      <c r="K19" s="536"/>
    </row>
    <row r="20" spans="1:11">
      <c r="A20" s="532"/>
      <c r="B20" s="552" t="s">
        <v>1072</v>
      </c>
      <c r="C20" s="553">
        <f>beta!X22</f>
        <v>56.591093999999998</v>
      </c>
      <c r="D20" s="510"/>
      <c r="E20" s="510"/>
      <c r="F20" s="510"/>
      <c r="G20" s="510"/>
      <c r="H20" s="510"/>
      <c r="I20" s="510"/>
      <c r="J20" s="510"/>
      <c r="K20" s="536"/>
    </row>
    <row r="21" spans="1:11">
      <c r="A21" s="532"/>
      <c r="B21" s="552" t="s">
        <v>1073</v>
      </c>
      <c r="C21" s="554">
        <f>beta!X21</f>
        <v>3.39</v>
      </c>
      <c r="D21" s="510"/>
      <c r="E21" s="510"/>
      <c r="F21" s="510"/>
      <c r="G21" s="510"/>
      <c r="H21" s="510"/>
      <c r="I21" s="510"/>
      <c r="J21" s="510"/>
      <c r="K21" s="536"/>
    </row>
    <row r="22" spans="1:11" ht="17" thickBot="1">
      <c r="A22" s="532"/>
      <c r="B22" s="659" t="s">
        <v>1074</v>
      </c>
      <c r="C22" s="660">
        <f>C20*C21</f>
        <v>191.84380866000001</v>
      </c>
      <c r="D22" s="510"/>
      <c r="E22" s="510"/>
      <c r="F22" s="510"/>
      <c r="G22" s="510"/>
      <c r="H22" s="510"/>
      <c r="I22" s="510"/>
      <c r="J22" s="510"/>
      <c r="K22" s="536"/>
    </row>
    <row r="23" spans="1:11">
      <c r="A23" s="532"/>
      <c r="B23" s="510"/>
      <c r="C23" s="510"/>
      <c r="D23" s="510"/>
      <c r="E23" s="510"/>
      <c r="F23" s="510"/>
      <c r="G23" s="510"/>
      <c r="H23" s="510"/>
      <c r="I23" s="510"/>
      <c r="J23" s="510"/>
      <c r="K23" s="536"/>
    </row>
    <row r="24" spans="1:11">
      <c r="A24" s="532"/>
      <c r="B24" s="510"/>
      <c r="C24" s="510"/>
      <c r="D24" s="510"/>
      <c r="E24" s="510"/>
      <c r="F24" s="510"/>
      <c r="G24" s="510"/>
      <c r="H24" s="510"/>
      <c r="I24" s="510"/>
      <c r="J24" s="510"/>
      <c r="K24" s="536"/>
    </row>
    <row r="25" spans="1:11">
      <c r="A25" s="532"/>
      <c r="B25" s="510"/>
      <c r="C25" s="510"/>
      <c r="D25" s="510"/>
      <c r="E25" s="510"/>
      <c r="F25" s="510"/>
      <c r="G25" s="510"/>
      <c r="H25" s="510"/>
      <c r="I25" s="510"/>
      <c r="J25" s="510"/>
      <c r="K25" s="536"/>
    </row>
    <row r="26" spans="1:11" ht="17" thickBot="1">
      <c r="A26" s="532"/>
      <c r="B26" s="510"/>
      <c r="C26" s="510"/>
      <c r="D26" s="510"/>
      <c r="E26" s="510"/>
      <c r="F26" s="510"/>
      <c r="G26" s="510"/>
      <c r="H26" s="510"/>
      <c r="I26" s="510"/>
      <c r="J26" s="510"/>
      <c r="K26" s="536"/>
    </row>
    <row r="27" spans="1:11" ht="17" thickBot="1">
      <c r="A27" s="532"/>
      <c r="B27" s="277" t="s">
        <v>1075</v>
      </c>
      <c r="C27" s="103">
        <v>2017</v>
      </c>
      <c r="D27" s="103">
        <v>2018</v>
      </c>
      <c r="E27" s="103">
        <v>2019</v>
      </c>
      <c r="F27" s="103">
        <v>2020</v>
      </c>
      <c r="G27" s="103">
        <v>2021</v>
      </c>
      <c r="H27" s="104">
        <v>2022</v>
      </c>
      <c r="I27" s="510"/>
      <c r="J27" s="510"/>
      <c r="K27" s="536"/>
    </row>
    <row r="28" spans="1:11">
      <c r="A28" s="532"/>
      <c r="B28" s="100" t="s">
        <v>34</v>
      </c>
      <c r="C28" s="570">
        <f>FCFF!B13</f>
        <v>-28.210999999999999</v>
      </c>
      <c r="D28" s="570">
        <f>FCFF!C13</f>
        <v>11.529000000000003</v>
      </c>
      <c r="E28" s="570">
        <f>FCFF!D13</f>
        <v>21.513999999999996</v>
      </c>
      <c r="F28" s="570">
        <f>FCFF!E13</f>
        <v>-92.89500000000001</v>
      </c>
      <c r="G28" s="570">
        <f>FCFF!F13</f>
        <v>-97.234999999999985</v>
      </c>
      <c r="H28" s="570">
        <f>FCFF!G13</f>
        <v>-38.182000000000002</v>
      </c>
      <c r="I28" s="510"/>
      <c r="J28" s="510"/>
      <c r="K28" s="536"/>
    </row>
    <row r="29" spans="1:11">
      <c r="A29" s="532"/>
      <c r="B29" s="555" t="s">
        <v>1076</v>
      </c>
      <c r="C29" s="571">
        <f>FCFF!B47</f>
        <v>1.7</v>
      </c>
      <c r="D29" s="571">
        <f>FCFF!C47</f>
        <v>3.5</v>
      </c>
      <c r="E29" s="571">
        <f>FCFF!D47</f>
        <v>3.3</v>
      </c>
      <c r="F29" s="571">
        <f>FCFF!E47</f>
        <v>3.5</v>
      </c>
      <c r="G29" s="571">
        <f>FCFF!F47</f>
        <v>11.8</v>
      </c>
      <c r="H29" s="661">
        <f>FCFF!G47</f>
        <v>13.6</v>
      </c>
      <c r="I29" s="510"/>
      <c r="J29" s="510"/>
      <c r="K29" s="536"/>
    </row>
    <row r="30" spans="1:11">
      <c r="A30" s="532"/>
      <c r="B30" s="555" t="s">
        <v>1077</v>
      </c>
      <c r="C30" s="556">
        <f>-C28/C29</f>
        <v>16.59470588235294</v>
      </c>
      <c r="D30" s="556">
        <f t="shared" ref="D30:H30" si="0">-D28/D29</f>
        <v>-3.2940000000000009</v>
      </c>
      <c r="E30" s="556">
        <f t="shared" si="0"/>
        <v>-6.5193939393939386</v>
      </c>
      <c r="F30" s="556">
        <f t="shared" si="0"/>
        <v>26.541428571428575</v>
      </c>
      <c r="G30" s="556">
        <f t="shared" si="0"/>
        <v>8.2402542372881342</v>
      </c>
      <c r="H30" s="556">
        <f t="shared" si="0"/>
        <v>2.8075000000000001</v>
      </c>
      <c r="I30" s="510"/>
      <c r="J30" s="510"/>
      <c r="K30" s="536"/>
    </row>
    <row r="31" spans="1:11">
      <c r="A31" s="532"/>
      <c r="B31" s="555" t="s">
        <v>755</v>
      </c>
      <c r="C31" s="555"/>
      <c r="D31" s="555"/>
      <c r="E31" s="555" t="s">
        <v>1079</v>
      </c>
      <c r="F31" s="555" t="s">
        <v>1078</v>
      </c>
      <c r="G31" s="555" t="s">
        <v>1080</v>
      </c>
      <c r="H31" s="511" t="s">
        <v>1080</v>
      </c>
      <c r="I31" s="510"/>
      <c r="J31" s="510"/>
      <c r="K31" s="536"/>
    </row>
    <row r="32" spans="1:11" ht="17" thickBot="1">
      <c r="A32" s="532"/>
      <c r="B32" s="555" t="s">
        <v>1075</v>
      </c>
      <c r="C32" s="557">
        <v>6.7000000000000002E-3</v>
      </c>
      <c r="D32" s="557">
        <v>0.1434</v>
      </c>
      <c r="E32" s="557">
        <v>0.1434</v>
      </c>
      <c r="F32" s="557">
        <f>C32</f>
        <v>6.7000000000000002E-3</v>
      </c>
      <c r="G32" s="557">
        <v>1.03E-2</v>
      </c>
      <c r="H32" s="558">
        <v>0.14430000000000001</v>
      </c>
      <c r="I32" s="510"/>
      <c r="J32" s="510"/>
      <c r="K32" s="536"/>
    </row>
    <row r="33" spans="1:11" ht="17" thickBot="1">
      <c r="A33" s="532"/>
      <c r="B33" s="559" t="s">
        <v>308</v>
      </c>
      <c r="C33" s="784">
        <f>AVERAGE(C32:H32)</f>
        <v>7.5799999999999992E-2</v>
      </c>
      <c r="D33" s="785"/>
      <c r="E33" s="785"/>
      <c r="F33" s="785"/>
      <c r="G33" s="785"/>
      <c r="H33" s="786"/>
      <c r="I33" s="510"/>
      <c r="J33" s="510"/>
      <c r="K33" s="536"/>
    </row>
    <row r="34" spans="1:11">
      <c r="A34" s="532"/>
      <c r="B34" s="510"/>
      <c r="C34" s="510">
        <v>0.69</v>
      </c>
      <c r="D34" s="510">
        <v>0.2</v>
      </c>
      <c r="E34" s="510">
        <v>0.2</v>
      </c>
      <c r="F34" s="510">
        <v>0.69</v>
      </c>
      <c r="G34" s="510">
        <v>0.85</v>
      </c>
      <c r="H34" s="510">
        <v>0.02</v>
      </c>
      <c r="I34" s="510"/>
      <c r="J34" s="510"/>
      <c r="K34" s="536"/>
    </row>
    <row r="35" spans="1:11">
      <c r="A35" s="532"/>
      <c r="B35" s="81"/>
      <c r="C35" s="560"/>
      <c r="D35" s="81"/>
      <c r="E35" s="81"/>
      <c r="F35" s="561"/>
      <c r="G35" s="81"/>
      <c r="H35" s="81"/>
      <c r="I35" s="81"/>
      <c r="J35" s="81"/>
      <c r="K35" s="536"/>
    </row>
    <row r="36" spans="1:11" ht="17" thickBot="1">
      <c r="A36" s="562"/>
      <c r="B36" s="563"/>
      <c r="C36" s="563"/>
      <c r="D36" s="563"/>
      <c r="E36" s="563"/>
      <c r="F36" s="563"/>
      <c r="G36" s="563"/>
      <c r="H36" s="563"/>
      <c r="I36" s="563"/>
      <c r="J36" s="563"/>
      <c r="K36" s="564"/>
    </row>
    <row r="37" spans="1:11">
      <c r="A37" s="81"/>
    </row>
    <row r="40" spans="1:11">
      <c r="E40" s="780"/>
      <c r="F40" s="779"/>
    </row>
    <row r="41" spans="1:11">
      <c r="E41" s="69"/>
      <c r="F41" s="69"/>
    </row>
    <row r="42" spans="1:11">
      <c r="E42" s="69"/>
      <c r="F42" s="565"/>
    </row>
    <row r="43" spans="1:11">
      <c r="E43" s="69"/>
      <c r="F43" s="69"/>
    </row>
    <row r="44" spans="1:11" ht="15" customHeight="1">
      <c r="C44" s="787"/>
      <c r="D44" s="779"/>
      <c r="E44" s="566"/>
      <c r="G44" s="787"/>
      <c r="H44" s="779"/>
      <c r="I44" s="566"/>
      <c r="J44" s="567"/>
      <c r="K44" s="567"/>
    </row>
    <row r="45" spans="1:11">
      <c r="C45" s="69"/>
      <c r="D45" s="568"/>
      <c r="G45" s="69"/>
      <c r="H45" s="568"/>
      <c r="J45" s="781"/>
      <c r="K45" s="778"/>
    </row>
    <row r="46" spans="1:11">
      <c r="C46" s="69"/>
      <c r="D46" s="69"/>
      <c r="G46" s="780"/>
      <c r="H46" s="781"/>
      <c r="J46" s="779"/>
      <c r="K46" s="779"/>
    </row>
    <row r="47" spans="1:11">
      <c r="C47" s="69"/>
      <c r="D47" s="69"/>
      <c r="G47" s="779"/>
      <c r="H47" s="779"/>
      <c r="J47" s="779"/>
      <c r="K47" s="779"/>
    </row>
    <row r="48" spans="1:11">
      <c r="C48" s="69"/>
      <c r="D48" s="568"/>
      <c r="G48" s="69"/>
      <c r="H48" s="568"/>
      <c r="J48" s="779"/>
      <c r="K48" s="779"/>
    </row>
    <row r="49" spans="3:11">
      <c r="C49" s="69"/>
      <c r="D49" s="568"/>
      <c r="G49" s="69"/>
      <c r="H49" s="565"/>
      <c r="J49" s="778"/>
      <c r="K49" s="778"/>
    </row>
    <row r="50" spans="3:11">
      <c r="C50" s="69"/>
      <c r="D50" s="568"/>
      <c r="G50" s="69"/>
      <c r="H50" s="568"/>
      <c r="J50" s="779"/>
      <c r="K50" s="779"/>
    </row>
    <row r="51" spans="3:11">
      <c r="C51" s="69"/>
      <c r="D51" s="569"/>
      <c r="G51" s="69"/>
      <c r="H51" s="568"/>
      <c r="J51" s="779"/>
      <c r="K51" s="779"/>
    </row>
  </sheetData>
  <mergeCells count="11">
    <mergeCell ref="B19:C19"/>
    <mergeCell ref="C33:H33"/>
    <mergeCell ref="E40:F40"/>
    <mergeCell ref="C44:D44"/>
    <mergeCell ref="G44:H44"/>
    <mergeCell ref="K45:K48"/>
    <mergeCell ref="G46:G47"/>
    <mergeCell ref="H46:H47"/>
    <mergeCell ref="J49:J51"/>
    <mergeCell ref="K49:K51"/>
    <mergeCell ref="J45:J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P50"/>
  <sheetViews>
    <sheetView showGridLines="0" topLeftCell="E1" zoomScale="130" zoomScaleNormal="130" workbookViewId="0">
      <selection activeCell="D22" sqref="D22"/>
    </sheetView>
  </sheetViews>
  <sheetFormatPr baseColWidth="10" defaultRowHeight="11"/>
  <cols>
    <col min="1" max="12" width="15" customWidth="1"/>
    <col min="13" max="13" width="12.1640625" bestFit="1" customWidth="1"/>
    <col min="14" max="14" width="15" customWidth="1"/>
    <col min="15" max="15" width="11.1640625" bestFit="1" customWidth="1"/>
    <col min="16" max="16" width="8.1640625" bestFit="1" customWidth="1"/>
    <col min="17" max="256" width="15" customWidth="1"/>
  </cols>
  <sheetData>
    <row r="2" spans="9:12" ht="12" thickBot="1"/>
    <row r="3" spans="9:12" ht="17" thickBot="1">
      <c r="I3" s="796" t="s">
        <v>1081</v>
      </c>
      <c r="J3" s="797"/>
      <c r="K3" s="797"/>
      <c r="L3" s="798"/>
    </row>
    <row r="4" spans="9:12" ht="16">
      <c r="I4" s="800" t="s">
        <v>1085</v>
      </c>
      <c r="J4" s="801"/>
      <c r="K4" s="802">
        <v>510.33</v>
      </c>
      <c r="L4" s="803"/>
    </row>
    <row r="5" spans="9:12" ht="16">
      <c r="I5" s="810" t="s">
        <v>1086</v>
      </c>
      <c r="J5" s="811"/>
      <c r="K5" s="820">
        <f>-'Income Statement'!G34</f>
        <v>23.4</v>
      </c>
      <c r="L5" s="821"/>
    </row>
    <row r="6" spans="9:12" ht="16">
      <c r="I6" s="810" t="s">
        <v>1088</v>
      </c>
      <c r="J6" s="811"/>
      <c r="K6" s="812">
        <f>I14</f>
        <v>4.4692797419713868</v>
      </c>
      <c r="L6" s="813"/>
    </row>
    <row r="7" spans="9:12" ht="17" thickBot="1">
      <c r="I7" s="816" t="s">
        <v>1089</v>
      </c>
      <c r="J7" s="817"/>
      <c r="K7" s="818">
        <f>FCFF!G6-FCFF!G8</f>
        <v>-38.182000000000002</v>
      </c>
      <c r="L7" s="819"/>
    </row>
    <row r="8" spans="9:12" ht="17" thickBot="1">
      <c r="I8" s="796" t="s">
        <v>1082</v>
      </c>
      <c r="J8" s="799"/>
      <c r="K8" s="664" t="s">
        <v>1083</v>
      </c>
      <c r="L8" s="663" t="s">
        <v>913</v>
      </c>
    </row>
    <row r="9" spans="9:12" ht="16">
      <c r="I9" s="804">
        <f>(1/12)*3</f>
        <v>0.25</v>
      </c>
      <c r="J9" s="805"/>
      <c r="K9" s="317">
        <v>26.795999999999999</v>
      </c>
      <c r="L9" s="616">
        <f>K9/$K$14</f>
        <v>5.2507098334218377E-2</v>
      </c>
    </row>
    <row r="10" spans="9:12" ht="16">
      <c r="I10" s="804">
        <f>1</f>
        <v>1</v>
      </c>
      <c r="J10" s="805"/>
      <c r="K10" s="317">
        <v>22.995999999999999</v>
      </c>
      <c r="L10" s="616">
        <f>K10/$K$14</f>
        <v>4.506095063791931E-2</v>
      </c>
    </row>
    <row r="11" spans="9:12" ht="16">
      <c r="I11" s="804">
        <v>2</v>
      </c>
      <c r="J11" s="805"/>
      <c r="K11" s="317">
        <v>105.761</v>
      </c>
      <c r="L11" s="616">
        <f>K11/$K$14</f>
        <v>0.20724000697586467</v>
      </c>
    </row>
    <row r="12" spans="9:12" ht="16">
      <c r="I12" s="804">
        <v>5</v>
      </c>
      <c r="J12" s="805"/>
      <c r="K12" s="317">
        <v>301.637</v>
      </c>
      <c r="L12" s="616">
        <f>K12/$K$14</f>
        <v>0.5910614875443585</v>
      </c>
    </row>
    <row r="13" spans="9:12" ht="17" thickBot="1">
      <c r="I13" s="804">
        <v>10</v>
      </c>
      <c r="J13" s="805"/>
      <c r="K13" s="317">
        <v>53.140999999999998</v>
      </c>
      <c r="L13" s="616">
        <f>K13/$K$14</f>
        <v>0.10413045650763915</v>
      </c>
    </row>
    <row r="14" spans="9:12" ht="17" thickBot="1">
      <c r="I14" s="824">
        <f>SUMPRODUCT(I9:I13,L9:L13)</f>
        <v>4.4692797419713868</v>
      </c>
      <c r="J14" s="825"/>
      <c r="K14" s="664">
        <f>SUM(K9:K13)</f>
        <v>510.33100000000002</v>
      </c>
      <c r="L14" s="665">
        <f>SUM(L9:L13)</f>
        <v>1</v>
      </c>
    </row>
    <row r="15" spans="9:12" ht="12" thickBot="1">
      <c r="I15" s="662"/>
      <c r="L15" s="666"/>
    </row>
    <row r="16" spans="9:12" ht="17" thickBot="1">
      <c r="I16" s="796" t="s">
        <v>1084</v>
      </c>
      <c r="J16" s="797"/>
      <c r="K16" s="797"/>
      <c r="L16" s="798"/>
    </row>
    <row r="17" spans="1:16" ht="16">
      <c r="I17" s="806" t="s">
        <v>1107</v>
      </c>
      <c r="J17" s="807"/>
      <c r="K17" s="808">
        <f>WACC!H12</f>
        <v>7.5799999999999992E-2</v>
      </c>
      <c r="L17" s="809"/>
    </row>
    <row r="18" spans="1:16" ht="16">
      <c r="I18" s="814" t="s">
        <v>1087</v>
      </c>
      <c r="J18" s="815"/>
      <c r="K18" s="822">
        <f>WACC!H11</f>
        <v>2.92E-2</v>
      </c>
      <c r="L18" s="823"/>
    </row>
    <row r="19" spans="1:16" ht="17" thickBot="1">
      <c r="I19" s="790" t="s">
        <v>1084</v>
      </c>
      <c r="J19" s="791"/>
      <c r="K19" s="788">
        <f>WACC!H10</f>
        <v>0.105</v>
      </c>
      <c r="L19" s="789"/>
    </row>
    <row r="20" spans="1:16" ht="17" thickBot="1">
      <c r="I20" s="794" t="s">
        <v>1090</v>
      </c>
      <c r="J20" s="795"/>
      <c r="K20" s="792">
        <f>(1-(1/(1+K19)^K6))/K19+K4/(1+K19)^K6</f>
        <v>330.05591613376009</v>
      </c>
      <c r="L20" s="793"/>
    </row>
    <row r="29" spans="1:16" ht="16">
      <c r="A29" s="308"/>
      <c r="B29" s="308"/>
      <c r="C29" s="308"/>
      <c r="D29" s="308"/>
      <c r="E29" s="308"/>
      <c r="F29" s="308"/>
      <c r="G29" s="308"/>
      <c r="H29" s="308"/>
      <c r="I29" s="308"/>
      <c r="J29" s="308"/>
      <c r="K29" s="308"/>
      <c r="L29" s="308"/>
      <c r="M29" s="308"/>
      <c r="N29" s="308"/>
      <c r="O29" s="308"/>
      <c r="P29" s="308"/>
    </row>
    <row r="30" spans="1:16" ht="16">
      <c r="A30" s="308"/>
      <c r="B30" s="308"/>
      <c r="C30" s="308"/>
      <c r="D30" s="308"/>
      <c r="E30" s="308"/>
      <c r="F30" s="308"/>
      <c r="G30" s="308"/>
      <c r="H30" s="308"/>
      <c r="I30" s="308"/>
      <c r="J30" s="308"/>
      <c r="K30" s="308"/>
      <c r="L30" s="308"/>
      <c r="M30" s="308"/>
      <c r="N30" s="308"/>
      <c r="O30" s="308"/>
      <c r="P30" s="308"/>
    </row>
    <row r="31" spans="1:16" ht="16">
      <c r="A31" s="308"/>
      <c r="B31" s="308"/>
      <c r="C31" s="308"/>
      <c r="D31" s="308"/>
      <c r="E31" s="308"/>
      <c r="F31" s="308"/>
      <c r="G31" s="308"/>
      <c r="H31" s="308"/>
      <c r="I31" s="308"/>
      <c r="J31" s="308"/>
      <c r="K31" s="308"/>
      <c r="L31" s="308"/>
      <c r="M31" s="308"/>
      <c r="N31" s="308"/>
      <c r="O31" s="308"/>
      <c r="P31" s="308"/>
    </row>
    <row r="32" spans="1:16" ht="16">
      <c r="A32" s="308"/>
      <c r="F32" s="308"/>
      <c r="K32" s="308"/>
      <c r="P32" s="308"/>
    </row>
    <row r="33" spans="1:16" ht="16">
      <c r="A33" s="308"/>
      <c r="F33" s="308"/>
      <c r="K33" s="308"/>
      <c r="P33" s="308"/>
    </row>
    <row r="34" spans="1:16" ht="16">
      <c r="A34" s="308"/>
      <c r="F34" s="308"/>
      <c r="K34" s="308"/>
      <c r="P34" s="308"/>
    </row>
    <row r="35" spans="1:16" ht="16">
      <c r="A35" s="308"/>
      <c r="F35" s="308"/>
      <c r="K35" s="308"/>
      <c r="P35" s="308"/>
    </row>
    <row r="36" spans="1:16" ht="16">
      <c r="A36" s="308"/>
      <c r="F36" s="308"/>
      <c r="K36" s="308"/>
      <c r="L36" s="308"/>
      <c r="M36" s="308"/>
      <c r="N36" s="308"/>
      <c r="O36" s="308"/>
      <c r="P36" s="308"/>
    </row>
    <row r="37" spans="1:16" ht="16">
      <c r="A37" s="308"/>
      <c r="F37" s="308"/>
      <c r="K37" s="308"/>
      <c r="L37" s="308"/>
      <c r="M37" s="308"/>
      <c r="N37" s="308"/>
      <c r="O37" s="308"/>
      <c r="P37" s="308"/>
    </row>
    <row r="38" spans="1:16" ht="16">
      <c r="A38" s="308"/>
      <c r="F38" s="308"/>
      <c r="K38" s="308"/>
      <c r="L38" s="308"/>
      <c r="M38" s="308"/>
      <c r="N38" s="308"/>
      <c r="O38" s="308"/>
      <c r="P38" s="308"/>
    </row>
    <row r="39" spans="1:16" ht="16">
      <c r="A39" s="308"/>
      <c r="F39" s="308"/>
      <c r="G39" s="308"/>
      <c r="H39" s="308"/>
      <c r="I39" s="308"/>
      <c r="J39" s="308"/>
      <c r="K39" s="308"/>
      <c r="L39" s="308"/>
      <c r="M39" s="308"/>
      <c r="N39" s="308"/>
      <c r="O39" s="308"/>
      <c r="P39" s="308"/>
    </row>
    <row r="40" spans="1:16" ht="16">
      <c r="A40" s="308"/>
      <c r="F40" s="308"/>
      <c r="G40" s="308"/>
      <c r="H40" s="308"/>
      <c r="I40" s="308"/>
      <c r="J40" s="308"/>
      <c r="K40" s="308"/>
      <c r="L40" s="308"/>
      <c r="M40" s="308"/>
      <c r="N40" s="308"/>
      <c r="O40" s="308"/>
      <c r="P40" s="308"/>
    </row>
    <row r="41" spans="1:16" ht="16">
      <c r="A41" s="308"/>
      <c r="F41" s="308"/>
      <c r="G41" s="308"/>
      <c r="H41" s="308"/>
      <c r="I41" s="308"/>
      <c r="J41" s="308"/>
      <c r="K41" s="308"/>
      <c r="L41" s="308"/>
      <c r="M41" s="308"/>
      <c r="N41" s="308"/>
      <c r="O41" s="308"/>
      <c r="P41" s="308"/>
    </row>
    <row r="42" spans="1:16" ht="16">
      <c r="A42" s="308"/>
      <c r="F42" s="308"/>
      <c r="G42" s="308"/>
      <c r="H42" s="308"/>
      <c r="I42" s="308"/>
      <c r="J42" s="308"/>
      <c r="K42" s="308"/>
      <c r="L42" s="308"/>
      <c r="M42" s="308"/>
      <c r="N42" s="308"/>
      <c r="O42" s="308"/>
      <c r="P42" s="308"/>
    </row>
    <row r="43" spans="1:16" ht="16">
      <c r="A43" s="308"/>
      <c r="F43" s="308"/>
      <c r="G43" s="308"/>
      <c r="H43" s="308"/>
      <c r="I43" s="308"/>
      <c r="J43" s="308"/>
      <c r="K43" s="308"/>
      <c r="L43" s="308"/>
      <c r="M43" s="308"/>
      <c r="N43" s="308"/>
      <c r="O43" s="308"/>
      <c r="P43" s="308"/>
    </row>
    <row r="44" spans="1:16" ht="16">
      <c r="A44" s="308"/>
      <c r="F44" s="308"/>
      <c r="G44" s="308"/>
      <c r="H44" s="308"/>
      <c r="I44" s="308"/>
      <c r="J44" s="308"/>
      <c r="K44" s="308"/>
      <c r="L44" s="308"/>
      <c r="M44" s="308"/>
      <c r="N44" s="308"/>
      <c r="O44" s="308"/>
      <c r="P44" s="308"/>
    </row>
    <row r="45" spans="1:16" ht="16">
      <c r="A45" s="308"/>
      <c r="F45" s="308"/>
      <c r="G45" s="308"/>
      <c r="H45" s="308"/>
      <c r="I45" s="308"/>
      <c r="J45" s="308"/>
      <c r="K45" s="308"/>
      <c r="L45" s="308"/>
      <c r="M45" s="308"/>
      <c r="N45" s="308"/>
      <c r="O45" s="308"/>
      <c r="P45" s="308"/>
    </row>
    <row r="46" spans="1:16" ht="16">
      <c r="A46" s="308"/>
      <c r="F46" s="308"/>
      <c r="G46" s="308"/>
      <c r="H46" s="308"/>
      <c r="I46" s="308"/>
      <c r="J46" s="308"/>
      <c r="K46" s="308"/>
      <c r="L46" s="308"/>
      <c r="M46" s="308"/>
      <c r="N46" s="308"/>
      <c r="O46" s="308"/>
      <c r="P46" s="308"/>
    </row>
    <row r="47" spans="1:16" ht="16">
      <c r="A47" s="308"/>
      <c r="F47" s="308"/>
      <c r="G47" s="308"/>
      <c r="H47" s="308"/>
      <c r="I47" s="308"/>
      <c r="J47" s="308"/>
      <c r="K47" s="308"/>
      <c r="L47" s="308"/>
      <c r="M47" s="308"/>
      <c r="N47" s="308"/>
      <c r="O47" s="308"/>
      <c r="P47" s="308"/>
    </row>
    <row r="48" spans="1:16" ht="16">
      <c r="A48" s="308"/>
      <c r="F48" s="308"/>
      <c r="G48" s="308"/>
      <c r="H48" s="308"/>
      <c r="I48" s="308"/>
      <c r="J48" s="308"/>
      <c r="K48" s="308"/>
      <c r="L48" s="308"/>
      <c r="M48" s="308"/>
      <c r="N48" s="308"/>
      <c r="O48" s="308"/>
      <c r="P48" s="308"/>
    </row>
    <row r="49" spans="1:16" ht="16">
      <c r="A49" s="308"/>
      <c r="B49" s="308"/>
      <c r="C49" s="308"/>
      <c r="D49" s="308"/>
      <c r="E49" s="308"/>
      <c r="F49" s="308"/>
      <c r="G49" s="308"/>
      <c r="H49" s="308"/>
      <c r="I49" s="308"/>
      <c r="J49" s="308"/>
      <c r="K49" s="308"/>
      <c r="L49" s="308"/>
      <c r="M49" s="308"/>
      <c r="N49" s="308"/>
      <c r="O49" s="308"/>
      <c r="P49" s="308"/>
    </row>
    <row r="50" spans="1:16" ht="16">
      <c r="A50" s="308"/>
      <c r="B50" s="308"/>
      <c r="C50" s="308"/>
      <c r="D50" s="308"/>
      <c r="E50" s="308"/>
      <c r="F50" s="308"/>
      <c r="G50" s="308"/>
      <c r="H50" s="308"/>
      <c r="I50" s="308"/>
      <c r="J50" s="308"/>
      <c r="K50" s="308"/>
      <c r="L50" s="308"/>
      <c r="M50" s="308"/>
      <c r="N50" s="308"/>
      <c r="O50" s="308"/>
      <c r="P50" s="308"/>
    </row>
  </sheetData>
  <mergeCells count="25">
    <mergeCell ref="I7:J7"/>
    <mergeCell ref="K7:L7"/>
    <mergeCell ref="I5:J5"/>
    <mergeCell ref="K5:L5"/>
    <mergeCell ref="K18:L18"/>
    <mergeCell ref="I11:J11"/>
    <mergeCell ref="I12:J12"/>
    <mergeCell ref="I13:J13"/>
    <mergeCell ref="I14:J14"/>
    <mergeCell ref="K19:L19"/>
    <mergeCell ref="I19:J19"/>
    <mergeCell ref="K20:L20"/>
    <mergeCell ref="I20:J20"/>
    <mergeCell ref="I3:L3"/>
    <mergeCell ref="I8:J8"/>
    <mergeCell ref="I16:L16"/>
    <mergeCell ref="I4:J4"/>
    <mergeCell ref="K4:L4"/>
    <mergeCell ref="I9:J9"/>
    <mergeCell ref="I10:J10"/>
    <mergeCell ref="I17:J17"/>
    <mergeCell ref="K17:L17"/>
    <mergeCell ref="I6:J6"/>
    <mergeCell ref="K6:L6"/>
    <mergeCell ref="I18:J1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6:Q32"/>
  <sheetViews>
    <sheetView showGridLines="0" topLeftCell="B4" zoomScaleNormal="100" workbookViewId="0">
      <selection activeCell="F12" sqref="F12"/>
    </sheetView>
  </sheetViews>
  <sheetFormatPr baseColWidth="10" defaultRowHeight="11"/>
  <cols>
    <col min="5" max="5" width="27.33203125" bestFit="1" customWidth="1"/>
    <col min="6" max="6" width="21.1640625" customWidth="1"/>
  </cols>
  <sheetData>
    <row r="6" spans="3:17" ht="22" thickBot="1">
      <c r="C6" s="572"/>
      <c r="D6" s="572"/>
      <c r="E6" s="572"/>
      <c r="F6" s="572"/>
      <c r="G6" s="572"/>
    </row>
    <row r="7" spans="3:17" ht="21">
      <c r="C7" s="572"/>
      <c r="D7" s="573"/>
      <c r="E7" s="574" t="s">
        <v>1091</v>
      </c>
      <c r="F7" s="575">
        <f>WACC!F7</f>
        <v>0.11283773596181024</v>
      </c>
      <c r="G7" s="576"/>
    </row>
    <row r="8" spans="3:17" ht="21">
      <c r="C8" s="572"/>
      <c r="D8" s="577"/>
      <c r="E8" s="578" t="s">
        <v>1092</v>
      </c>
      <c r="F8" s="579">
        <v>0.02</v>
      </c>
      <c r="G8" s="576"/>
    </row>
    <row r="9" spans="3:17" ht="21">
      <c r="C9" s="572"/>
      <c r="D9" s="577"/>
      <c r="E9" s="580" t="s">
        <v>1093</v>
      </c>
      <c r="F9" s="581">
        <v>6</v>
      </c>
      <c r="G9" s="576"/>
    </row>
    <row r="10" spans="3:17" ht="21">
      <c r="C10" s="572"/>
      <c r="D10" s="577"/>
      <c r="E10" s="580" t="s">
        <v>1094</v>
      </c>
      <c r="F10" s="685">
        <f>SUM(FCFF!H33:M33)</f>
        <v>380.35478266468817</v>
      </c>
      <c r="G10" s="576"/>
    </row>
    <row r="11" spans="3:17" ht="22" thickBot="1">
      <c r="C11" s="572"/>
      <c r="D11" s="577"/>
      <c r="E11" s="580" t="s">
        <v>1095</v>
      </c>
      <c r="F11" s="685">
        <f>((FCFF!M31*(1+F8))/(F7-F8))</f>
        <v>1095.9223491644586</v>
      </c>
      <c r="G11" s="576"/>
    </row>
    <row r="12" spans="3:17" ht="22" thickBot="1">
      <c r="C12" s="572"/>
      <c r="D12" s="577"/>
      <c r="E12" s="580" t="s">
        <v>1096</v>
      </c>
      <c r="F12" s="685">
        <f>F11*(1/(1+F7)^F9)</f>
        <v>577.01714751051225</v>
      </c>
      <c r="G12" s="576"/>
      <c r="I12" s="714"/>
      <c r="J12" s="715"/>
      <c r="K12" s="836" t="s">
        <v>1066</v>
      </c>
      <c r="L12" s="837"/>
      <c r="M12" s="837"/>
      <c r="N12" s="837"/>
      <c r="O12" s="837"/>
      <c r="P12" s="837"/>
      <c r="Q12" s="838"/>
    </row>
    <row r="13" spans="3:17" ht="22" thickBot="1">
      <c r="C13" s="572"/>
      <c r="D13" s="582"/>
      <c r="E13" s="583"/>
      <c r="F13" s="584"/>
      <c r="G13" s="576"/>
      <c r="I13" s="712" t="str">
        <f>D22</f>
        <v xml:space="preserve">Share Price : </v>
      </c>
      <c r="J13" s="713">
        <f>F22</f>
        <v>11.584879663952782</v>
      </c>
      <c r="K13" s="708">
        <f t="shared" ref="K13:L13" si="0">L13-1%</f>
        <v>9.580000000000001E-2</v>
      </c>
      <c r="L13" s="708">
        <f t="shared" si="0"/>
        <v>0.10580000000000001</v>
      </c>
      <c r="M13" s="708">
        <f>N13-1%</f>
        <v>0.1158</v>
      </c>
      <c r="N13" s="708">
        <v>0.1258</v>
      </c>
      <c r="O13" s="708">
        <f>N13+1%</f>
        <v>0.1358</v>
      </c>
      <c r="P13" s="708">
        <f t="shared" ref="P13:Q13" si="1">O13+1%</f>
        <v>0.14580000000000001</v>
      </c>
      <c r="Q13" s="709">
        <f t="shared" si="1"/>
        <v>0.15580000000000002</v>
      </c>
    </row>
    <row r="14" spans="3:17" ht="22" thickBot="1">
      <c r="C14" s="572"/>
      <c r="D14" s="832" t="s">
        <v>1097</v>
      </c>
      <c r="E14" s="833"/>
      <c r="F14" s="687">
        <f>F12+F10</f>
        <v>957.37193017520042</v>
      </c>
      <c r="G14" s="576"/>
      <c r="I14" s="839" t="s">
        <v>1113</v>
      </c>
      <c r="J14" s="710">
        <f t="shared" ref="J14:J15" si="2">J15-0.5%</f>
        <v>4.9999999999999984E-3</v>
      </c>
      <c r="K14" s="699">
        <f t="dataTable" ref="K14:Q20" dt2D="1" dtr="1" r1="F7" r2="F8"/>
        <v>12.656669138469066</v>
      </c>
      <c r="L14" s="700">
        <v>11.000367462402748</v>
      </c>
      <c r="M14" s="700">
        <v>9.6730863503528965</v>
      </c>
      <c r="N14" s="700">
        <v>8.5911999613308243</v>
      </c>
      <c r="O14" s="700">
        <v>7.6967932170096249</v>
      </c>
      <c r="P14" s="700">
        <v>6.948520683959492</v>
      </c>
      <c r="Q14" s="701">
        <v>6.3161034509692886</v>
      </c>
    </row>
    <row r="15" spans="3:17" ht="22" thickBot="1">
      <c r="C15" s="572"/>
      <c r="D15" s="577"/>
      <c r="E15" s="580" t="s">
        <v>1098</v>
      </c>
      <c r="F15" s="686">
        <f>'Balance Sheet'!G20</f>
        <v>28.285</v>
      </c>
      <c r="G15" s="576"/>
      <c r="I15" s="839"/>
      <c r="J15" s="710">
        <f t="shared" si="2"/>
        <v>9.9999999999999985E-3</v>
      </c>
      <c r="K15" s="702">
        <v>13.372641817715463</v>
      </c>
      <c r="L15" s="703">
        <v>11.552339526371973</v>
      </c>
      <c r="M15" s="703">
        <v>10.107765545060737</v>
      </c>
      <c r="N15" s="703">
        <v>8.9395728518523541</v>
      </c>
      <c r="O15" s="703">
        <v>7.9801465728162375</v>
      </c>
      <c r="P15" s="703">
        <v>7.1819092377918281</v>
      </c>
      <c r="Q15" s="704">
        <v>6.5104396709764831</v>
      </c>
    </row>
    <row r="16" spans="3:17" ht="22" thickBot="1">
      <c r="C16" s="572"/>
      <c r="D16" s="577"/>
      <c r="E16" s="580" t="s">
        <v>1099</v>
      </c>
      <c r="F16" s="686">
        <f>WACC!H14</f>
        <v>330.05591613376009</v>
      </c>
      <c r="G16" s="576"/>
      <c r="I16" s="839"/>
      <c r="J16" s="710">
        <f>J17-0.5%</f>
        <v>1.4999999999999999E-2</v>
      </c>
      <c r="K16" s="702">
        <v>14.177224977066611</v>
      </c>
      <c r="L16" s="703">
        <v>12.165101465227677</v>
      </c>
      <c r="M16" s="703">
        <v>10.585567675751493</v>
      </c>
      <c r="N16" s="703">
        <v>9.3193873389913477</v>
      </c>
      <c r="O16" s="703">
        <v>8.2869563322492255</v>
      </c>
      <c r="P16" s="703">
        <v>7.4331409532321411</v>
      </c>
      <c r="Q16" s="704">
        <v>6.7185781793364558</v>
      </c>
    </row>
    <row r="17" spans="3:17" ht="22" thickBot="1">
      <c r="C17" s="572"/>
      <c r="D17" s="577"/>
      <c r="E17" s="580" t="s">
        <v>1100</v>
      </c>
      <c r="F17" s="686">
        <v>0</v>
      </c>
      <c r="G17" s="576"/>
      <c r="I17" s="839"/>
      <c r="J17" s="710">
        <v>0.02</v>
      </c>
      <c r="K17" s="702">
        <v>15.08795367195221</v>
      </c>
      <c r="L17" s="703">
        <v>12.849280879474492</v>
      </c>
      <c r="M17" s="703">
        <v>11.113244767892231</v>
      </c>
      <c r="N17" s="703">
        <v>9.7351011160300622</v>
      </c>
      <c r="O17" s="703">
        <v>8.6202608895607113</v>
      </c>
      <c r="P17" s="703">
        <v>7.7043433932702552</v>
      </c>
      <c r="Q17" s="704">
        <v>6.9420435292546037</v>
      </c>
    </row>
    <row r="18" spans="3:17" ht="22" thickBot="1">
      <c r="C18" s="572"/>
      <c r="D18" s="577"/>
      <c r="E18" s="580" t="s">
        <v>1101</v>
      </c>
      <c r="F18" s="686">
        <f>0</f>
        <v>0</v>
      </c>
      <c r="G18" s="576"/>
      <c r="I18" s="839"/>
      <c r="J18" s="710">
        <f>J17+0.5%</f>
        <v>2.5000000000000001E-2</v>
      </c>
      <c r="K18" s="702">
        <v>16.127316363290578</v>
      </c>
      <c r="L18" s="703">
        <v>13.618135963801349</v>
      </c>
      <c r="M18" s="703">
        <v>11.699036077229081</v>
      </c>
      <c r="N18" s="703">
        <v>10.192056339203564</v>
      </c>
      <c r="O18" s="703">
        <v>8.9836470856187187</v>
      </c>
      <c r="P18" s="703">
        <v>7.9979963664241049</v>
      </c>
      <c r="Q18" s="704">
        <v>7.182593386047226</v>
      </c>
    </row>
    <row r="19" spans="3:17" ht="22" thickBot="1">
      <c r="C19" s="572"/>
      <c r="D19" s="577"/>
      <c r="E19" s="580" t="s">
        <v>1102</v>
      </c>
      <c r="F19" s="686">
        <f>F14+F15-F16-F17-F18</f>
        <v>655.60101404144029</v>
      </c>
      <c r="G19" s="576"/>
      <c r="I19" s="839"/>
      <c r="J19" s="710">
        <f t="shared" ref="J19:J20" si="3">J18+1%</f>
        <v>3.5000000000000003E-2</v>
      </c>
      <c r="K19" s="702">
        <v>18.718885179193478</v>
      </c>
      <c r="L19" s="703">
        <v>15.481632185135947</v>
      </c>
      <c r="M19" s="703">
        <v>13.08811546917142</v>
      </c>
      <c r="N19" s="703">
        <v>11.256943180872218</v>
      </c>
      <c r="O19" s="703">
        <v>9.8185701313234315</v>
      </c>
      <c r="P19" s="703">
        <v>8.6648112404810433</v>
      </c>
      <c r="Q19" s="704">
        <v>7.7234323024783258</v>
      </c>
    </row>
    <row r="20" spans="3:17" ht="22" thickBot="1">
      <c r="C20" s="572"/>
      <c r="D20" s="577"/>
      <c r="E20" s="580" t="s">
        <v>1103</v>
      </c>
      <c r="F20" s="686">
        <f>WACC!C20</f>
        <v>56.591093999999998</v>
      </c>
      <c r="G20" s="576"/>
      <c r="I20" s="840"/>
      <c r="J20" s="711">
        <f t="shared" si="3"/>
        <v>4.5000000000000005E-2</v>
      </c>
      <c r="K20" s="705">
        <v>22.330756678522718</v>
      </c>
      <c r="L20" s="706">
        <v>17.958120584541138</v>
      </c>
      <c r="M20" s="706">
        <v>14.869590169572037</v>
      </c>
      <c r="N20" s="706">
        <v>12.585415874439054</v>
      </c>
      <c r="O20" s="706">
        <v>10.837396931588653</v>
      </c>
      <c r="P20" s="706">
        <v>9.4639306530413396</v>
      </c>
      <c r="Q20" s="707">
        <v>8.361895572055829</v>
      </c>
    </row>
    <row r="21" spans="3:17" ht="22" thickBot="1">
      <c r="C21" s="572"/>
      <c r="G21" s="576"/>
    </row>
    <row r="22" spans="3:17" ht="22" thickBot="1">
      <c r="C22" s="572"/>
      <c r="D22" s="834" t="s">
        <v>1104</v>
      </c>
      <c r="E22" s="835"/>
      <c r="F22" s="695">
        <f>F19/F20</f>
        <v>11.584879663952782</v>
      </c>
      <c r="G22" s="576"/>
    </row>
    <row r="23" spans="3:17" ht="22" thickBot="1">
      <c r="C23" s="572"/>
      <c r="D23" s="834" t="s">
        <v>1105</v>
      </c>
      <c r="E23" s="835"/>
      <c r="F23" s="696">
        <v>3.32</v>
      </c>
      <c r="G23" s="576"/>
    </row>
    <row r="24" spans="3:17" ht="22" thickBot="1">
      <c r="C24" s="572"/>
      <c r="D24" s="694" t="s">
        <v>1106</v>
      </c>
      <c r="E24" s="697">
        <f>F22-F23</f>
        <v>8.2648796639527813</v>
      </c>
      <c r="F24" s="698">
        <f>E24/F23</f>
        <v>2.4894215855279462</v>
      </c>
      <c r="G24" s="576"/>
    </row>
    <row r="25" spans="3:17" ht="21">
      <c r="C25" s="572"/>
      <c r="D25" s="585"/>
      <c r="E25" s="585"/>
      <c r="F25" s="585"/>
      <c r="G25" s="576"/>
    </row>
    <row r="26" spans="3:17" ht="12" thickBot="1"/>
    <row r="27" spans="3:17" ht="16">
      <c r="D27" s="826" t="s">
        <v>1066</v>
      </c>
      <c r="E27" s="827"/>
      <c r="F27" s="718">
        <f>F7</f>
        <v>0.11283773596181024</v>
      </c>
    </row>
    <row r="28" spans="3:17" ht="16">
      <c r="D28" s="830" t="s">
        <v>1144</v>
      </c>
      <c r="E28" s="831"/>
      <c r="F28" s="719">
        <f>WACC!D11</f>
        <v>2.92E-2</v>
      </c>
    </row>
    <row r="29" spans="3:17" ht="16">
      <c r="D29" s="830" t="s">
        <v>1059</v>
      </c>
      <c r="E29" s="831"/>
      <c r="F29" s="720">
        <f>beta!U20</f>
        <v>1.9764006140227453</v>
      </c>
      <c r="K29" s="716"/>
    </row>
    <row r="30" spans="3:17" ht="16">
      <c r="D30" s="830" t="s">
        <v>750</v>
      </c>
      <c r="E30" s="831"/>
      <c r="F30" s="721">
        <f>WACC!D13</f>
        <v>7.1991309235221554E-2</v>
      </c>
    </row>
    <row r="31" spans="3:17" ht="16">
      <c r="D31" s="830" t="s">
        <v>1145</v>
      </c>
      <c r="E31" s="831"/>
      <c r="F31" s="721">
        <f>WACC!C33</f>
        <v>7.5799999999999992E-2</v>
      </c>
      <c r="K31" s="716"/>
    </row>
    <row r="32" spans="3:17" ht="17" thickBot="1">
      <c r="D32" s="828" t="s">
        <v>1146</v>
      </c>
      <c r="E32" s="829"/>
      <c r="F32" s="722">
        <f>F8</f>
        <v>0.02</v>
      </c>
    </row>
  </sheetData>
  <mergeCells count="11">
    <mergeCell ref="D14:E14"/>
    <mergeCell ref="D22:E22"/>
    <mergeCell ref="K12:Q12"/>
    <mergeCell ref="I14:I20"/>
    <mergeCell ref="D23:E23"/>
    <mergeCell ref="D27:E27"/>
    <mergeCell ref="D32:E32"/>
    <mergeCell ref="D31:E31"/>
    <mergeCell ref="D30:E30"/>
    <mergeCell ref="D29:E29"/>
    <mergeCell ref="D28:E28"/>
  </mergeCells>
  <conditionalFormatting sqref="K14:Q20">
    <cfRule type="colorScale" priority="1">
      <colorScale>
        <cfvo type="min"/>
        <cfvo type="percentile" val="50"/>
        <cfvo type="max"/>
        <color rgb="FFF8696B"/>
        <color rgb="FFFFEB84"/>
        <color rgb="FF63BE7B"/>
      </colorScale>
    </cfRule>
    <cfRule type="colorScale" priority="2">
      <colorScale>
        <cfvo type="min"/>
        <cfvo type="max"/>
        <color rgb="FF63BE7B"/>
        <color rgb="FFFFEF9C"/>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autoPageBreaks="0"/>
  </sheetPr>
  <dimension ref="A5:IU85"/>
  <sheetViews>
    <sheetView topLeftCell="A28" zoomScale="137" workbookViewId="0">
      <selection activeCell="B45" sqref="B45"/>
    </sheetView>
  </sheetViews>
  <sheetFormatPr baseColWidth="10" defaultColWidth="8.83203125" defaultRowHeight="11"/>
  <cols>
    <col min="1" max="1" width="45.83203125" customWidth="1"/>
    <col min="2" max="9" width="14.83203125" customWidth="1"/>
  </cols>
  <sheetData>
    <row r="5" spans="1:255" ht="17">
      <c r="A5" s="1" t="s">
        <v>0</v>
      </c>
    </row>
    <row r="7" spans="1:255" ht="12">
      <c r="A7" s="2" t="s">
        <v>1</v>
      </c>
      <c r="B7" s="3" t="s">
        <v>2</v>
      </c>
      <c r="C7" t="s">
        <v>3</v>
      </c>
      <c r="D7" s="4" t="s">
        <v>4</v>
      </c>
      <c r="E7" s="3" t="s">
        <v>5</v>
      </c>
      <c r="F7" t="s">
        <v>6</v>
      </c>
    </row>
    <row r="8" spans="1:255">
      <c r="A8" s="4"/>
      <c r="B8" s="3" t="s">
        <v>7</v>
      </c>
      <c r="C8" t="s">
        <v>8</v>
      </c>
      <c r="D8" s="4" t="s">
        <v>4</v>
      </c>
      <c r="E8" s="3" t="s">
        <v>9</v>
      </c>
      <c r="F8" t="s">
        <v>10</v>
      </c>
    </row>
    <row r="9" spans="1:255">
      <c r="A9" s="4"/>
      <c r="B9" s="3" t="s">
        <v>11</v>
      </c>
      <c r="C9" s="5" t="s">
        <v>12</v>
      </c>
      <c r="D9" s="4" t="s">
        <v>4</v>
      </c>
      <c r="E9" s="3" t="s">
        <v>13</v>
      </c>
      <c r="F9" t="s">
        <v>14</v>
      </c>
    </row>
    <row r="12" spans="1:255">
      <c r="A12" s="6" t="s">
        <v>15</v>
      </c>
      <c r="B12" s="6"/>
      <c r="C12" s="6"/>
      <c r="D12" s="6"/>
      <c r="E12" s="6"/>
      <c r="F12" s="6"/>
      <c r="G12" s="6"/>
      <c r="H12" s="6"/>
      <c r="I12" s="6"/>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row>
    <row r="13" spans="1:255" ht="36">
      <c r="A13" s="7" t="s">
        <v>16</v>
      </c>
      <c r="B13" s="12" t="s">
        <v>17</v>
      </c>
      <c r="C13" s="12" t="s">
        <v>18</v>
      </c>
      <c r="D13" s="12" t="s">
        <v>19</v>
      </c>
      <c r="E13" s="12" t="s">
        <v>20</v>
      </c>
      <c r="F13" s="12" t="s">
        <v>21</v>
      </c>
      <c r="G13" s="12" t="s">
        <v>22</v>
      </c>
      <c r="H13" s="12" t="s">
        <v>23</v>
      </c>
      <c r="I13" s="12" t="s">
        <v>24</v>
      </c>
    </row>
    <row r="14" spans="1:255" ht="12">
      <c r="A14" s="8" t="s">
        <v>25</v>
      </c>
      <c r="B14" s="13" t="s">
        <v>26</v>
      </c>
      <c r="C14" s="13" t="s">
        <v>26</v>
      </c>
      <c r="D14" s="13" t="s">
        <v>26</v>
      </c>
      <c r="E14" s="13" t="s">
        <v>26</v>
      </c>
      <c r="F14" s="13" t="s">
        <v>26</v>
      </c>
      <c r="G14" s="13" t="s">
        <v>26</v>
      </c>
      <c r="H14" s="13" t="s">
        <v>26</v>
      </c>
      <c r="I14" s="13" t="s">
        <v>26</v>
      </c>
    </row>
    <row r="15" spans="1:255">
      <c r="A15" s="9"/>
      <c r="B15" s="4"/>
      <c r="C15" s="4"/>
      <c r="D15" s="4"/>
      <c r="E15" s="4"/>
      <c r="F15" s="4"/>
      <c r="G15" s="4"/>
      <c r="H15" s="4"/>
      <c r="I15" s="4"/>
    </row>
    <row r="16" spans="1:255">
      <c r="A16" s="9" t="s">
        <v>27</v>
      </c>
      <c r="B16" s="14">
        <v>32.042000000000002</v>
      </c>
      <c r="C16" s="14">
        <v>57.875999999999998</v>
      </c>
      <c r="D16" s="14">
        <v>96.52</v>
      </c>
      <c r="E16" s="14">
        <v>9.0299999999999994</v>
      </c>
      <c r="F16" s="14">
        <v>22.667999999999999</v>
      </c>
      <c r="G16" s="14">
        <v>66.997</v>
      </c>
      <c r="H16" s="16">
        <v>187.03333000000001</v>
      </c>
      <c r="I16" s="16">
        <v>102.87</v>
      </c>
    </row>
    <row r="17" spans="1:9" ht="12">
      <c r="A17" s="10" t="s">
        <v>28</v>
      </c>
      <c r="B17" s="15">
        <v>0.42611700000000002</v>
      </c>
      <c r="C17" s="15">
        <v>0.80625400000000003</v>
      </c>
      <c r="D17" s="15">
        <v>0.66770300000000005</v>
      </c>
      <c r="E17" s="15">
        <v>-0.90644499999999995</v>
      </c>
      <c r="F17" s="15">
        <v>1.5102990000000001</v>
      </c>
      <c r="G17" s="15">
        <v>1.955576</v>
      </c>
      <c r="H17" s="17" t="s">
        <v>29</v>
      </c>
      <c r="I17" s="18">
        <v>-0.44999107913000003</v>
      </c>
    </row>
    <row r="18" spans="1:9">
      <c r="A18" s="4"/>
      <c r="B18" s="4"/>
      <c r="C18" s="4"/>
      <c r="D18" s="4"/>
      <c r="E18" s="4"/>
      <c r="F18" s="4"/>
      <c r="G18" s="4"/>
      <c r="H18" s="4"/>
      <c r="I18" s="4"/>
    </row>
    <row r="19" spans="1:9" ht="12">
      <c r="A19" s="9" t="s">
        <v>30</v>
      </c>
      <c r="B19" s="14">
        <v>29.446999999999999</v>
      </c>
      <c r="C19" s="14">
        <v>56.305</v>
      </c>
      <c r="D19" s="14">
        <v>94.033000000000001</v>
      </c>
      <c r="E19" s="14">
        <v>5.5730000000000004</v>
      </c>
      <c r="F19" s="14">
        <v>6.944</v>
      </c>
      <c r="G19" s="14">
        <v>47.374000000000002</v>
      </c>
      <c r="H19" s="14" t="s">
        <v>29</v>
      </c>
      <c r="I19" s="14" t="s">
        <v>29</v>
      </c>
    </row>
    <row r="20" spans="1:9">
      <c r="A20" s="10" t="s">
        <v>31</v>
      </c>
      <c r="B20" s="15">
        <v>0.91901200000000005</v>
      </c>
      <c r="C20" s="15">
        <v>0.97285500000000003</v>
      </c>
      <c r="D20" s="15">
        <v>0.97423300000000002</v>
      </c>
      <c r="E20" s="15">
        <v>0.61716499999999996</v>
      </c>
      <c r="F20" s="15">
        <v>0.306334</v>
      </c>
      <c r="G20" s="15">
        <v>0.70710600000000001</v>
      </c>
      <c r="H20" s="18">
        <v>0.83599999999999997</v>
      </c>
      <c r="I20" s="18">
        <v>0.51500000000000001</v>
      </c>
    </row>
    <row r="21" spans="1:9">
      <c r="A21" s="4"/>
      <c r="B21" s="4"/>
      <c r="C21" s="4"/>
      <c r="D21" s="4"/>
      <c r="E21" s="4"/>
      <c r="F21" s="4"/>
      <c r="G21" s="4"/>
      <c r="H21" s="4"/>
      <c r="I21" s="4"/>
    </row>
    <row r="22" spans="1:9">
      <c r="A22" s="9" t="s">
        <v>32</v>
      </c>
      <c r="B22" s="14">
        <v>-24.1</v>
      </c>
      <c r="C22" s="14">
        <v>16.895</v>
      </c>
      <c r="D22" s="14">
        <v>29.4</v>
      </c>
      <c r="E22" s="14">
        <v>-77.900000000000006</v>
      </c>
      <c r="F22" s="14">
        <v>-83</v>
      </c>
      <c r="G22" s="14">
        <v>-14.3</v>
      </c>
      <c r="H22" s="16">
        <v>90</v>
      </c>
      <c r="I22" s="16">
        <v>11</v>
      </c>
    </row>
    <row r="23" spans="1:9" ht="12">
      <c r="A23" s="10" t="s">
        <v>31</v>
      </c>
      <c r="B23" s="15">
        <v>-0.75276100000000001</v>
      </c>
      <c r="C23" s="15">
        <v>0.29191699999999998</v>
      </c>
      <c r="D23" s="15">
        <v>0.30459999999999998</v>
      </c>
      <c r="E23" s="15" t="s">
        <v>33</v>
      </c>
      <c r="F23" s="15" t="s">
        <v>33</v>
      </c>
      <c r="G23" s="15">
        <v>-0.213531</v>
      </c>
      <c r="H23" s="18">
        <v>0.481197656054</v>
      </c>
      <c r="I23" s="18">
        <v>0.10693107806</v>
      </c>
    </row>
    <row r="24" spans="1:9">
      <c r="A24" s="4"/>
      <c r="B24" s="4"/>
      <c r="C24" s="4"/>
      <c r="D24" s="4"/>
      <c r="E24" s="4"/>
      <c r="F24" s="4"/>
      <c r="G24" s="4"/>
      <c r="H24" s="4"/>
      <c r="I24" s="4"/>
    </row>
    <row r="25" spans="1:9">
      <c r="A25" s="9" t="s">
        <v>34</v>
      </c>
      <c r="B25" s="14">
        <v>-26.2</v>
      </c>
      <c r="C25" s="14">
        <v>14.188000000000001</v>
      </c>
      <c r="D25" s="14">
        <v>26.975999999999999</v>
      </c>
      <c r="E25" s="14">
        <v>-83.7</v>
      </c>
      <c r="F25" s="14">
        <v>-87.9</v>
      </c>
      <c r="G25" s="14">
        <v>-26.2</v>
      </c>
      <c r="H25" s="16">
        <v>128.51</v>
      </c>
      <c r="I25" s="16">
        <v>39.61</v>
      </c>
    </row>
    <row r="26" spans="1:9" ht="12">
      <c r="A26" s="10" t="s">
        <v>31</v>
      </c>
      <c r="B26" s="15">
        <v>-0.81649000000000005</v>
      </c>
      <c r="C26" s="15">
        <v>0.245144</v>
      </c>
      <c r="D26" s="15">
        <v>0.27948600000000001</v>
      </c>
      <c r="E26" s="15" t="s">
        <v>33</v>
      </c>
      <c r="F26" s="15" t="s">
        <v>33</v>
      </c>
      <c r="G26" s="15">
        <v>-0.39174799999999999</v>
      </c>
      <c r="H26" s="18">
        <v>0.68709678643899996</v>
      </c>
      <c r="I26" s="18">
        <v>0.38504909108599999</v>
      </c>
    </row>
    <row r="27" spans="1:9">
      <c r="A27" s="4"/>
      <c r="B27" s="4"/>
      <c r="C27" s="4"/>
      <c r="D27" s="4"/>
      <c r="E27" s="4"/>
      <c r="F27" s="4"/>
      <c r="G27" s="4"/>
      <c r="H27" s="4"/>
      <c r="I27" s="4"/>
    </row>
    <row r="28" spans="1:9" ht="12">
      <c r="A28" s="9" t="s">
        <v>35</v>
      </c>
      <c r="B28" s="14">
        <v>-38.4</v>
      </c>
      <c r="C28" s="14">
        <v>-27.6</v>
      </c>
      <c r="D28" s="14">
        <v>-26.6</v>
      </c>
      <c r="E28" s="14">
        <v>-92.1</v>
      </c>
      <c r="F28" s="14">
        <v>-116.9</v>
      </c>
      <c r="G28" s="14">
        <v>-59.6</v>
      </c>
      <c r="H28" s="14" t="s">
        <v>29</v>
      </c>
      <c r="I28" s="14" t="s">
        <v>29</v>
      </c>
    </row>
    <row r="29" spans="1:9" ht="12">
      <c r="A29" s="10" t="s">
        <v>31</v>
      </c>
      <c r="B29" s="15">
        <v>-1.1971780000000001</v>
      </c>
      <c r="C29" s="15">
        <v>-0.47698499999999999</v>
      </c>
      <c r="D29" s="15">
        <v>-0.27521699999999999</v>
      </c>
      <c r="E29" s="15" t="s">
        <v>33</v>
      </c>
      <c r="F29" s="15" t="s">
        <v>33</v>
      </c>
      <c r="G29" s="15">
        <v>-0.88988999999999996</v>
      </c>
      <c r="H29" s="17" t="s">
        <v>29</v>
      </c>
      <c r="I29" s="17" t="s">
        <v>29</v>
      </c>
    </row>
    <row r="30" spans="1:9">
      <c r="A30" s="4"/>
      <c r="B30" s="4"/>
      <c r="C30" s="4"/>
      <c r="D30" s="4"/>
      <c r="E30" s="4"/>
      <c r="F30" s="4"/>
      <c r="G30" s="4"/>
      <c r="H30" s="4"/>
      <c r="I30" s="4"/>
    </row>
    <row r="31" spans="1:9">
      <c r="A31" s="9" t="s">
        <v>36</v>
      </c>
      <c r="B31" s="14">
        <v>-35</v>
      </c>
      <c r="C31" s="14">
        <v>-12.4</v>
      </c>
      <c r="D31" s="14">
        <v>-26.6</v>
      </c>
      <c r="E31" s="14">
        <v>-92.1</v>
      </c>
      <c r="F31" s="14">
        <v>-116.9</v>
      </c>
      <c r="G31" s="14">
        <v>-59.6</v>
      </c>
      <c r="H31" s="16">
        <v>32</v>
      </c>
      <c r="I31" s="16">
        <v>-20.55</v>
      </c>
    </row>
    <row r="32" spans="1:9" ht="12">
      <c r="A32" s="10" t="s">
        <v>31</v>
      </c>
      <c r="B32" s="15">
        <v>-1.092503</v>
      </c>
      <c r="C32" s="15">
        <v>-0.213611</v>
      </c>
      <c r="D32" s="15">
        <v>-0.27521699999999999</v>
      </c>
      <c r="E32" s="15" t="s">
        <v>33</v>
      </c>
      <c r="F32" s="15" t="s">
        <v>33</v>
      </c>
      <c r="G32" s="15">
        <v>-0.88988999999999996</v>
      </c>
      <c r="H32" s="18">
        <v>0.17109249993</v>
      </c>
      <c r="I32" s="18">
        <v>-0.19976669583000001</v>
      </c>
    </row>
    <row r="33" spans="1:255">
      <c r="A33" s="4"/>
      <c r="B33" s="4"/>
      <c r="C33" s="4"/>
      <c r="D33" s="4"/>
      <c r="E33" s="4"/>
      <c r="F33" s="4"/>
      <c r="G33" s="4"/>
      <c r="H33" s="4"/>
      <c r="I33" s="4"/>
    </row>
    <row r="34" spans="1:255" ht="12">
      <c r="A34" s="9" t="s">
        <v>37</v>
      </c>
      <c r="B34" s="16">
        <v>-1.17</v>
      </c>
      <c r="C34" s="16">
        <v>-0.75</v>
      </c>
      <c r="D34" s="16">
        <v>-0.7</v>
      </c>
      <c r="E34" s="16">
        <v>-2.25</v>
      </c>
      <c r="F34" s="16">
        <v>-2.69</v>
      </c>
      <c r="G34" s="16" t="s">
        <v>38</v>
      </c>
      <c r="H34" s="16">
        <v>1.18</v>
      </c>
      <c r="I34" s="16">
        <v>-0.12</v>
      </c>
    </row>
    <row r="35" spans="1:255" ht="12">
      <c r="A35" s="10" t="s">
        <v>28</v>
      </c>
      <c r="B35" s="15" t="s">
        <v>33</v>
      </c>
      <c r="C35" s="15" t="s">
        <v>33</v>
      </c>
      <c r="D35" s="15" t="s">
        <v>33</v>
      </c>
      <c r="E35" s="15" t="s">
        <v>33</v>
      </c>
      <c r="F35" s="15" t="s">
        <v>33</v>
      </c>
      <c r="G35" s="17" t="s">
        <v>38</v>
      </c>
      <c r="H35" s="17" t="s">
        <v>29</v>
      </c>
      <c r="I35" s="17" t="s">
        <v>29</v>
      </c>
    </row>
    <row r="36" spans="1:255">
      <c r="A36" s="4"/>
      <c r="B36" s="4"/>
      <c r="C36" s="4"/>
      <c r="D36" s="4"/>
      <c r="E36" s="4"/>
      <c r="F36" s="4"/>
      <c r="G36" s="4"/>
      <c r="H36" s="4"/>
      <c r="I36" s="4"/>
    </row>
    <row r="37" spans="1:255">
      <c r="A37" s="11"/>
      <c r="B37" s="11"/>
      <c r="C37" s="11"/>
      <c r="D37" s="11"/>
      <c r="E37" s="11"/>
      <c r="F37" s="11"/>
      <c r="G37" s="11"/>
      <c r="H37" s="11"/>
      <c r="I37" s="11"/>
    </row>
    <row r="38" spans="1:255">
      <c r="A38" t="s">
        <v>39</v>
      </c>
    </row>
    <row r="39" spans="1:255">
      <c r="A39" t="s">
        <v>40</v>
      </c>
    </row>
    <row r="40" spans="1:255">
      <c r="A40" t="s">
        <v>41</v>
      </c>
    </row>
    <row r="42" spans="1:255">
      <c r="A42" s="6" t="s">
        <v>42</v>
      </c>
      <c r="B42" s="6"/>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c r="EE42" s="67"/>
      <c r="EF42" s="67"/>
      <c r="EG42" s="67"/>
      <c r="EH42" s="67"/>
      <c r="EI42" s="67"/>
      <c r="EJ42" s="67"/>
      <c r="EK42" s="67"/>
      <c r="EL42" s="67"/>
      <c r="EM42" s="67"/>
      <c r="EN42" s="67"/>
      <c r="EO42" s="67"/>
      <c r="EP42" s="67"/>
      <c r="EQ42" s="67"/>
      <c r="ER42" s="67"/>
      <c r="ES42" s="67"/>
      <c r="ET42" s="67"/>
      <c r="EU42" s="67"/>
      <c r="EV42" s="67"/>
      <c r="EW42" s="67"/>
      <c r="EX42" s="67"/>
      <c r="EY42" s="67"/>
      <c r="EZ42" s="67"/>
      <c r="FA42" s="67"/>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7"/>
      <c r="GG42" s="67"/>
      <c r="GH42" s="67"/>
      <c r="GI42" s="67"/>
      <c r="GJ42" s="67"/>
      <c r="GK42" s="67"/>
      <c r="GL42" s="67"/>
      <c r="GM42" s="67"/>
      <c r="GN42" s="67"/>
      <c r="GO42" s="67"/>
      <c r="GP42" s="67"/>
      <c r="GQ42" s="67"/>
      <c r="GR42" s="67"/>
      <c r="GS42" s="67"/>
      <c r="GT42" s="67"/>
      <c r="GU42" s="67"/>
      <c r="GV42" s="67"/>
      <c r="GW42" s="67"/>
      <c r="GX42" s="67"/>
      <c r="GY42" s="67"/>
      <c r="GZ42" s="67"/>
      <c r="HA42" s="67"/>
      <c r="HB42" s="67"/>
      <c r="HC42" s="67"/>
      <c r="HD42" s="67"/>
      <c r="HE42" s="67"/>
      <c r="HF42" s="67"/>
      <c r="HG42" s="67"/>
      <c r="HH42" s="67"/>
      <c r="HI42" s="67"/>
      <c r="HJ42" s="67"/>
      <c r="HK42" s="67"/>
      <c r="HL42" s="67"/>
      <c r="HM42" s="67"/>
      <c r="HN42" s="67"/>
      <c r="HO42" s="67"/>
      <c r="HP42" s="67"/>
      <c r="HQ42" s="67"/>
      <c r="HR42" s="67"/>
      <c r="HS42" s="67"/>
      <c r="HT42" s="67"/>
      <c r="HU42" s="67"/>
      <c r="HV42" s="67"/>
      <c r="HW42" s="67"/>
      <c r="HX42" s="67"/>
      <c r="HY42" s="67"/>
      <c r="HZ42" s="67"/>
      <c r="IA42" s="67"/>
      <c r="IB42" s="67"/>
      <c r="IC42" s="67"/>
      <c r="ID42" s="67"/>
      <c r="IE42" s="67"/>
      <c r="IF42" s="67"/>
      <c r="IG42" s="67"/>
      <c r="IH42" s="67"/>
      <c r="II42" s="67"/>
      <c r="IJ42" s="67"/>
      <c r="IK42" s="67"/>
      <c r="IL42" s="67"/>
      <c r="IM42" s="67"/>
      <c r="IN42" s="67"/>
      <c r="IO42" s="67"/>
      <c r="IP42" s="67"/>
      <c r="IQ42" s="67"/>
      <c r="IR42" s="67"/>
      <c r="IS42" s="67"/>
      <c r="IT42" s="67"/>
      <c r="IU42" s="67"/>
    </row>
    <row r="43" spans="1:255" ht="12">
      <c r="A43" s="8" t="s">
        <v>25</v>
      </c>
      <c r="B43" s="13" t="s">
        <v>26</v>
      </c>
    </row>
    <row r="44" spans="1:255">
      <c r="A44" s="4" t="s">
        <v>43</v>
      </c>
      <c r="B44" s="19">
        <v>3.22</v>
      </c>
    </row>
    <row r="45" spans="1:255">
      <c r="A45" s="4" t="s">
        <v>44</v>
      </c>
      <c r="B45" s="20">
        <v>56.591093999999998</v>
      </c>
    </row>
    <row r="46" spans="1:255">
      <c r="A46" s="4"/>
      <c r="B46" s="4"/>
    </row>
    <row r="47" spans="1:255">
      <c r="A47" s="9" t="s">
        <v>45</v>
      </c>
      <c r="B47" s="14">
        <v>182.223322</v>
      </c>
    </row>
    <row r="48" spans="1:255">
      <c r="A48" s="4" t="s">
        <v>46</v>
      </c>
      <c r="B48" s="20">
        <v>28.285</v>
      </c>
    </row>
    <row r="49" spans="1:2">
      <c r="A49" s="4" t="s">
        <v>47</v>
      </c>
      <c r="B49" s="20">
        <v>328.13900000000001</v>
      </c>
    </row>
    <row r="50" spans="1:2" ht="12">
      <c r="A50" s="4" t="s">
        <v>48</v>
      </c>
      <c r="B50" s="20" t="s">
        <v>29</v>
      </c>
    </row>
    <row r="51" spans="1:2" ht="12">
      <c r="A51" s="4" t="s">
        <v>49</v>
      </c>
      <c r="B51" s="20" t="s">
        <v>29</v>
      </c>
    </row>
    <row r="52" spans="1:2" ht="12">
      <c r="A52" s="4" t="s">
        <v>50</v>
      </c>
      <c r="B52" s="20" t="s">
        <v>29</v>
      </c>
    </row>
    <row r="53" spans="1:2">
      <c r="A53" s="9" t="s">
        <v>51</v>
      </c>
      <c r="B53" s="14">
        <v>482.07732199999998</v>
      </c>
    </row>
    <row r="54" spans="1:2">
      <c r="A54" s="4"/>
      <c r="B54" s="4"/>
    </row>
    <row r="55" spans="1:2">
      <c r="A55" s="4" t="s">
        <v>52</v>
      </c>
      <c r="B55" s="20">
        <v>33.686999999999998</v>
      </c>
    </row>
    <row r="56" spans="1:2" ht="12">
      <c r="A56" s="4" t="s">
        <v>48</v>
      </c>
      <c r="B56" s="20" t="s">
        <v>29</v>
      </c>
    </row>
    <row r="57" spans="1:2" ht="12">
      <c r="A57" s="4" t="s">
        <v>49</v>
      </c>
      <c r="B57" s="20" t="s">
        <v>29</v>
      </c>
    </row>
    <row r="58" spans="1:2">
      <c r="A58" s="4" t="s">
        <v>47</v>
      </c>
      <c r="B58" s="20">
        <v>328.13900000000001</v>
      </c>
    </row>
    <row r="59" spans="1:2">
      <c r="A59" s="9" t="s">
        <v>53</v>
      </c>
      <c r="B59" s="14">
        <v>361.82600000000002</v>
      </c>
    </row>
    <row r="60" spans="1:2">
      <c r="A60" s="4"/>
      <c r="B60" s="4"/>
    </row>
    <row r="61" spans="1:2" ht="60">
      <c r="A61" s="11" t="s">
        <v>54</v>
      </c>
      <c r="B61" s="11"/>
    </row>
    <row r="63" spans="1:2" ht="200" customHeight="1">
      <c r="A63" s="21"/>
    </row>
    <row r="65" spans="1:255">
      <c r="A65" t="s">
        <v>55</v>
      </c>
    </row>
    <row r="66" spans="1:255">
      <c r="A66" t="s">
        <v>56</v>
      </c>
    </row>
    <row r="67" spans="1:255">
      <c r="A67" t="s">
        <v>57</v>
      </c>
    </row>
    <row r="68" spans="1:255">
      <c r="A68" t="s">
        <v>58</v>
      </c>
    </row>
    <row r="70" spans="1:255">
      <c r="A70" s="6" t="s">
        <v>59</v>
      </c>
      <c r="B70" s="6"/>
      <c r="C70" s="6"/>
      <c r="D70" s="6"/>
      <c r="E70" s="6"/>
      <c r="F70" s="6"/>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c r="CI70" s="67"/>
      <c r="CJ70" s="67"/>
      <c r="CK70" s="67"/>
      <c r="CL70" s="67"/>
      <c r="CM70" s="67"/>
      <c r="CN70" s="67"/>
      <c r="CO70" s="67"/>
      <c r="CP70" s="67"/>
      <c r="CQ70" s="67"/>
      <c r="CR70" s="67"/>
      <c r="CS70" s="67"/>
      <c r="CT70" s="67"/>
      <c r="CU70" s="67"/>
      <c r="CV70" s="67"/>
      <c r="CW70" s="67"/>
      <c r="CX70" s="67"/>
      <c r="CY70" s="67"/>
      <c r="CZ70" s="67"/>
      <c r="DA70" s="67"/>
      <c r="DB70" s="67"/>
      <c r="DC70" s="67"/>
      <c r="DD70" s="67"/>
      <c r="DE70" s="67"/>
      <c r="DF70" s="67"/>
      <c r="DG70" s="67"/>
      <c r="DH70" s="67"/>
      <c r="DI70" s="67"/>
      <c r="DJ70" s="67"/>
      <c r="DK70" s="67"/>
      <c r="DL70" s="67"/>
      <c r="DM70" s="67"/>
      <c r="DN70" s="67"/>
      <c r="DO70" s="67"/>
      <c r="DP70" s="67"/>
      <c r="DQ70" s="67"/>
      <c r="DR70" s="67"/>
      <c r="DS70" s="67"/>
      <c r="DT70" s="67"/>
      <c r="DU70" s="67"/>
      <c r="DV70" s="67"/>
      <c r="DW70" s="67"/>
      <c r="DX70" s="67"/>
      <c r="DY70" s="67"/>
      <c r="DZ70" s="67"/>
      <c r="EA70" s="67"/>
      <c r="EB70" s="67"/>
      <c r="EC70" s="67"/>
      <c r="ED70" s="67"/>
      <c r="EE70" s="67"/>
      <c r="EF70" s="67"/>
      <c r="EG70" s="67"/>
      <c r="EH70" s="67"/>
      <c r="EI70" s="67"/>
      <c r="EJ70" s="67"/>
      <c r="EK70" s="67"/>
      <c r="EL70" s="67"/>
      <c r="EM70" s="67"/>
      <c r="EN70" s="67"/>
      <c r="EO70" s="67"/>
      <c r="EP70" s="67"/>
      <c r="EQ70" s="67"/>
      <c r="ER70" s="67"/>
      <c r="ES70" s="67"/>
      <c r="ET70" s="67"/>
      <c r="EU70" s="67"/>
      <c r="EV70" s="67"/>
      <c r="EW70" s="67"/>
      <c r="EX70" s="67"/>
      <c r="EY70" s="67"/>
      <c r="EZ70" s="67"/>
      <c r="FA70" s="67"/>
      <c r="FB70" s="67"/>
      <c r="FC70" s="67"/>
      <c r="FD70" s="67"/>
      <c r="FE70" s="67"/>
      <c r="FF70" s="67"/>
      <c r="FG70" s="67"/>
      <c r="FH70" s="67"/>
      <c r="FI70" s="67"/>
      <c r="FJ70" s="67"/>
      <c r="FK70" s="67"/>
      <c r="FL70" s="67"/>
      <c r="FM70" s="67"/>
      <c r="FN70" s="67"/>
      <c r="FO70" s="67"/>
      <c r="FP70" s="67"/>
      <c r="FQ70" s="67"/>
      <c r="FR70" s="67"/>
      <c r="FS70" s="67"/>
      <c r="FT70" s="67"/>
      <c r="FU70" s="67"/>
      <c r="FV70" s="67"/>
      <c r="FW70" s="67"/>
      <c r="FX70" s="67"/>
      <c r="FY70" s="67"/>
      <c r="FZ70" s="67"/>
      <c r="GA70" s="67"/>
      <c r="GB70" s="67"/>
      <c r="GC70" s="67"/>
      <c r="GD70" s="67"/>
      <c r="GE70" s="67"/>
      <c r="GF70" s="67"/>
      <c r="GG70" s="67"/>
      <c r="GH70" s="67"/>
      <c r="GI70" s="67"/>
      <c r="GJ70" s="67"/>
      <c r="GK70" s="67"/>
      <c r="GL70" s="67"/>
      <c r="GM70" s="67"/>
      <c r="GN70" s="67"/>
      <c r="GO70" s="67"/>
      <c r="GP70" s="67"/>
      <c r="GQ70" s="67"/>
      <c r="GR70" s="67"/>
      <c r="GS70" s="67"/>
      <c r="GT70" s="67"/>
      <c r="GU70" s="67"/>
      <c r="GV70" s="67"/>
      <c r="GW70" s="67"/>
      <c r="GX70" s="67"/>
      <c r="GY70" s="67"/>
      <c r="GZ70" s="67"/>
      <c r="HA70" s="67"/>
      <c r="HB70" s="67"/>
      <c r="HC70" s="67"/>
      <c r="HD70" s="67"/>
      <c r="HE70" s="67"/>
      <c r="HF70" s="67"/>
      <c r="HG70" s="67"/>
      <c r="HH70" s="67"/>
      <c r="HI70" s="67"/>
      <c r="HJ70" s="67"/>
      <c r="HK70" s="67"/>
      <c r="HL70" s="67"/>
      <c r="HM70" s="67"/>
      <c r="HN70" s="67"/>
      <c r="HO70" s="67"/>
      <c r="HP70" s="67"/>
      <c r="HQ70" s="67"/>
      <c r="HR70" s="67"/>
      <c r="HS70" s="67"/>
      <c r="HT70" s="67"/>
      <c r="HU70" s="67"/>
      <c r="HV70" s="67"/>
      <c r="HW70" s="67"/>
      <c r="HX70" s="67"/>
      <c r="HY70" s="67"/>
      <c r="HZ70" s="67"/>
      <c r="IA70" s="67"/>
      <c r="IB70" s="67"/>
      <c r="IC70" s="67"/>
      <c r="ID70" s="67"/>
      <c r="IE70" s="67"/>
      <c r="IF70" s="67"/>
      <c r="IG70" s="67"/>
      <c r="IH70" s="67"/>
      <c r="II70" s="67"/>
      <c r="IJ70" s="67"/>
      <c r="IK70" s="67"/>
      <c r="IL70" s="67"/>
      <c r="IM70" s="67"/>
      <c r="IN70" s="67"/>
      <c r="IO70" s="67"/>
      <c r="IP70" s="67"/>
      <c r="IQ70" s="67"/>
      <c r="IR70" s="67"/>
      <c r="IS70" s="67"/>
      <c r="IT70" s="67"/>
      <c r="IU70" s="67"/>
    </row>
    <row r="71" spans="1:255" ht="36">
      <c r="A71" s="7" t="s">
        <v>16</v>
      </c>
      <c r="B71" s="12" t="s">
        <v>20</v>
      </c>
      <c r="C71" s="12" t="s">
        <v>21</v>
      </c>
      <c r="D71" s="12" t="s">
        <v>22</v>
      </c>
      <c r="E71" s="12" t="s">
        <v>60</v>
      </c>
      <c r="F71" s="12" t="s">
        <v>24</v>
      </c>
    </row>
    <row r="72" spans="1:255">
      <c r="A72" s="9" t="s">
        <v>61</v>
      </c>
      <c r="B72" s="22">
        <v>53.386192000000001</v>
      </c>
      <c r="C72" s="22">
        <v>21.266866</v>
      </c>
      <c r="D72" s="22">
        <v>7.195506</v>
      </c>
      <c r="E72" s="24">
        <v>2.5774941967829998</v>
      </c>
      <c r="F72" s="24">
        <v>4.686277074755</v>
      </c>
    </row>
    <row r="73" spans="1:255">
      <c r="A73" s="4"/>
      <c r="B73" s="4"/>
      <c r="C73" s="4"/>
      <c r="D73" s="4"/>
      <c r="E73" s="4"/>
      <c r="F73" s="4"/>
    </row>
    <row r="74" spans="1:255" ht="12">
      <c r="A74" s="9" t="s">
        <v>62</v>
      </c>
      <c r="B74" s="23" t="s">
        <v>33</v>
      </c>
      <c r="C74" s="23" t="s">
        <v>33</v>
      </c>
      <c r="D74" s="23" t="s">
        <v>33</v>
      </c>
      <c r="E74" s="24">
        <v>5.3564146964440003</v>
      </c>
      <c r="F74" s="24">
        <v>43.825211152727</v>
      </c>
    </row>
    <row r="75" spans="1:255">
      <c r="A75" s="4"/>
      <c r="B75" s="4"/>
      <c r="C75" s="4"/>
      <c r="D75" s="4"/>
      <c r="E75" s="4"/>
      <c r="F75" s="4"/>
    </row>
    <row r="76" spans="1:255" ht="12">
      <c r="A76" s="9" t="s">
        <v>63</v>
      </c>
      <c r="B76" s="23" t="s">
        <v>33</v>
      </c>
      <c r="C76" s="23" t="s">
        <v>33</v>
      </c>
      <c r="D76" s="23" t="s">
        <v>33</v>
      </c>
      <c r="E76" s="24">
        <v>3.7512825669600001</v>
      </c>
      <c r="F76" s="24">
        <v>12.170596381722</v>
      </c>
    </row>
    <row r="77" spans="1:255">
      <c r="A77" s="4"/>
      <c r="B77" s="4"/>
      <c r="C77" s="4"/>
      <c r="D77" s="4"/>
      <c r="E77" s="4"/>
      <c r="F77" s="4"/>
    </row>
    <row r="78" spans="1:255" ht="12">
      <c r="A78" s="9" t="s">
        <v>64</v>
      </c>
      <c r="B78" s="23" t="s">
        <v>33</v>
      </c>
      <c r="C78" s="23" t="s">
        <v>33</v>
      </c>
      <c r="D78" s="23" t="s">
        <v>29</v>
      </c>
      <c r="E78" s="24">
        <v>2.728813559322</v>
      </c>
      <c r="F78" s="23" t="s">
        <v>29</v>
      </c>
    </row>
    <row r="79" spans="1:255">
      <c r="A79" s="4"/>
      <c r="B79" s="4"/>
      <c r="C79" s="4"/>
      <c r="D79" s="4"/>
      <c r="E79" s="4"/>
      <c r="F79" s="4"/>
    </row>
    <row r="80" spans="1:255" ht="12">
      <c r="A80" s="9" t="s">
        <v>65</v>
      </c>
      <c r="B80" s="22">
        <v>0.87195400000000001</v>
      </c>
      <c r="C80" s="22">
        <v>4.1916440000000001</v>
      </c>
      <c r="D80" s="23" t="s">
        <v>29</v>
      </c>
      <c r="E80" s="24">
        <v>1.303643724696</v>
      </c>
      <c r="F80" s="24">
        <v>0.91737891737900001</v>
      </c>
    </row>
    <row r="81" spans="1:6">
      <c r="A81" s="4"/>
      <c r="B81" s="4"/>
      <c r="C81" s="4"/>
      <c r="D81" s="4"/>
      <c r="E81" s="4"/>
      <c r="F81" s="4"/>
    </row>
    <row r="82" spans="1:6" ht="12">
      <c r="A82" s="9" t="s">
        <v>66</v>
      </c>
      <c r="B82" s="22">
        <v>1.82087</v>
      </c>
      <c r="C82" s="23" t="s">
        <v>33</v>
      </c>
      <c r="D82" s="23" t="s">
        <v>29</v>
      </c>
      <c r="E82" s="23" t="s">
        <v>29</v>
      </c>
      <c r="F82" s="23" t="s">
        <v>29</v>
      </c>
    </row>
    <row r="83" spans="1:6">
      <c r="A83" s="4"/>
      <c r="B83" s="4"/>
      <c r="C83" s="4"/>
      <c r="D83" s="4"/>
      <c r="E83" s="4"/>
      <c r="F83" s="4"/>
    </row>
    <row r="84" spans="1:6">
      <c r="A84" s="11"/>
      <c r="B84" s="11"/>
      <c r="C84" s="11"/>
      <c r="D84" s="11"/>
      <c r="E84" s="11"/>
      <c r="F84" s="11"/>
    </row>
    <row r="85" spans="1:6">
      <c r="A85" s="25" t="s">
        <v>67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autoPageBreaks="0"/>
  </sheetPr>
  <dimension ref="A5:IU105"/>
  <sheetViews>
    <sheetView topLeftCell="A41" zoomScale="84" workbookViewId="0">
      <selection activeCell="A36" sqref="A36"/>
    </sheetView>
  </sheetViews>
  <sheetFormatPr baseColWidth="10" defaultColWidth="8.83203125" defaultRowHeight="11"/>
  <cols>
    <col min="1" max="1" width="45.83203125" customWidth="1"/>
    <col min="2" max="7" width="14.83203125" customWidth="1"/>
  </cols>
  <sheetData>
    <row r="5" spans="1:255" ht="17">
      <c r="A5" s="1" t="s">
        <v>68</v>
      </c>
    </row>
    <row r="7" spans="1:255" ht="12">
      <c r="A7" s="2" t="s">
        <v>69</v>
      </c>
      <c r="B7" s="3" t="s">
        <v>70</v>
      </c>
      <c r="C7" t="s">
        <v>71</v>
      </c>
      <c r="D7" s="4" t="s">
        <v>4</v>
      </c>
      <c r="E7" s="3" t="s">
        <v>72</v>
      </c>
      <c r="F7" t="s">
        <v>73</v>
      </c>
    </row>
    <row r="8" spans="1:255">
      <c r="A8" s="4"/>
      <c r="B8" s="3" t="s">
        <v>74</v>
      </c>
      <c r="C8" t="s">
        <v>75</v>
      </c>
      <c r="D8" s="4" t="s">
        <v>4</v>
      </c>
      <c r="E8" s="3" t="s">
        <v>76</v>
      </c>
      <c r="F8" t="s">
        <v>8</v>
      </c>
    </row>
    <row r="9" spans="1:255">
      <c r="A9" s="4"/>
      <c r="B9" s="3" t="s">
        <v>77</v>
      </c>
      <c r="C9" t="s">
        <v>78</v>
      </c>
      <c r="D9" s="4" t="s">
        <v>4</v>
      </c>
      <c r="E9" s="3" t="s">
        <v>79</v>
      </c>
      <c r="F9" t="s">
        <v>6</v>
      </c>
    </row>
    <row r="10" spans="1:255">
      <c r="A10" s="4"/>
      <c r="B10" s="3" t="s">
        <v>80</v>
      </c>
      <c r="C10" t="s">
        <v>10</v>
      </c>
      <c r="D10" s="4" t="s">
        <v>4</v>
      </c>
      <c r="E10" s="3" t="s">
        <v>81</v>
      </c>
      <c r="F10" s="5" t="s">
        <v>12</v>
      </c>
    </row>
    <row r="11" spans="1:255">
      <c r="A11" s="4"/>
      <c r="B11" s="3" t="s">
        <v>82</v>
      </c>
      <c r="C11" t="s">
        <v>83</v>
      </c>
      <c r="D11" s="4" t="s">
        <v>4</v>
      </c>
      <c r="E11" s="26"/>
      <c r="F11" s="26"/>
    </row>
    <row r="14" spans="1:255">
      <c r="A14" s="6" t="s">
        <v>84</v>
      </c>
      <c r="B14" s="6"/>
      <c r="C14" s="6"/>
      <c r="D14" s="6"/>
      <c r="E14" s="6"/>
      <c r="F14" s="6"/>
      <c r="G14" s="6"/>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row>
    <row r="15" spans="1:255" ht="36">
      <c r="A15" s="7" t="s">
        <v>16</v>
      </c>
      <c r="B15" s="12" t="s">
        <v>85</v>
      </c>
      <c r="C15" s="12" t="s">
        <v>86</v>
      </c>
      <c r="D15" s="12" t="s">
        <v>87</v>
      </c>
      <c r="E15" s="12" t="s">
        <v>88</v>
      </c>
      <c r="F15" s="12" t="s">
        <v>89</v>
      </c>
      <c r="G15" s="12" t="s">
        <v>90</v>
      </c>
    </row>
    <row r="16" spans="1:255" ht="12">
      <c r="A16" s="8" t="s">
        <v>25</v>
      </c>
      <c r="B16" s="13" t="s">
        <v>26</v>
      </c>
      <c r="C16" s="13" t="s">
        <v>26</v>
      </c>
      <c r="D16" s="13" t="s">
        <v>26</v>
      </c>
      <c r="E16" s="13" t="s">
        <v>26</v>
      </c>
      <c r="F16" s="13" t="s">
        <v>26</v>
      </c>
      <c r="G16" s="13" t="s">
        <v>26</v>
      </c>
    </row>
    <row r="17" spans="1:8">
      <c r="A17" s="9" t="s">
        <v>91</v>
      </c>
      <c r="B17" s="4"/>
      <c r="C17" s="4"/>
      <c r="D17" s="4"/>
      <c r="E17" s="4"/>
      <c r="F17" s="4"/>
      <c r="G17" s="4"/>
    </row>
    <row r="18" spans="1:8">
      <c r="A18" s="4" t="s">
        <v>92</v>
      </c>
      <c r="B18" s="20">
        <v>32.042000000000002</v>
      </c>
      <c r="C18" s="20">
        <v>57.875999999999998</v>
      </c>
      <c r="D18" s="20">
        <v>96.52</v>
      </c>
      <c r="E18" s="20">
        <v>9.0299999999999994</v>
      </c>
      <c r="F18" s="20">
        <v>22.667999999999999</v>
      </c>
      <c r="G18" s="20">
        <v>66.997</v>
      </c>
    </row>
    <row r="19" spans="1:8" ht="12">
      <c r="A19" s="4" t="s">
        <v>93</v>
      </c>
      <c r="B19" s="20" t="s">
        <v>29</v>
      </c>
      <c r="C19" s="20" t="s">
        <v>29</v>
      </c>
      <c r="D19" s="20" t="s">
        <v>29</v>
      </c>
      <c r="E19" s="20" t="s">
        <v>29</v>
      </c>
      <c r="F19" s="20" t="s">
        <v>29</v>
      </c>
      <c r="G19" s="20" t="s">
        <v>29</v>
      </c>
    </row>
    <row r="20" spans="1:8">
      <c r="A20" s="9" t="s">
        <v>94</v>
      </c>
      <c r="B20" s="27">
        <v>32.042000000000002</v>
      </c>
      <c r="C20" s="27">
        <v>57.875999999999998</v>
      </c>
      <c r="D20" s="27">
        <v>96.52</v>
      </c>
      <c r="E20" s="27">
        <v>9.0299999999999994</v>
      </c>
      <c r="F20" s="27">
        <v>22.667999999999999</v>
      </c>
      <c r="G20" s="27">
        <v>66.997</v>
      </c>
    </row>
    <row r="21" spans="1:8">
      <c r="A21" s="4"/>
      <c r="B21" s="4"/>
      <c r="C21" s="4"/>
      <c r="D21" s="4"/>
      <c r="E21" s="4"/>
      <c r="F21" s="4"/>
      <c r="G21" s="4"/>
    </row>
    <row r="22" spans="1:8">
      <c r="A22" s="4" t="s">
        <v>95</v>
      </c>
      <c r="B22" s="20">
        <v>2.5950000000000002</v>
      </c>
      <c r="C22" s="20">
        <v>1.571</v>
      </c>
      <c r="D22" s="20">
        <v>2.4870000000000001</v>
      </c>
      <c r="E22" s="20">
        <v>3.4569999999999999</v>
      </c>
      <c r="F22" s="20">
        <v>15.724</v>
      </c>
      <c r="G22" s="20">
        <v>19.623000000000001</v>
      </c>
    </row>
    <row r="23" spans="1:8" ht="16">
      <c r="A23" s="9" t="s">
        <v>96</v>
      </c>
      <c r="B23" s="27">
        <v>29.446999999999999</v>
      </c>
      <c r="C23" s="27">
        <v>56.305</v>
      </c>
      <c r="D23" s="27">
        <v>94.033000000000001</v>
      </c>
      <c r="E23" s="27">
        <v>5.5730000000000004</v>
      </c>
      <c r="F23" s="27">
        <v>6.944</v>
      </c>
      <c r="G23" s="27">
        <v>47.374000000000002</v>
      </c>
      <c r="H23" s="84"/>
    </row>
    <row r="24" spans="1:8" ht="16">
      <c r="A24" s="4"/>
      <c r="B24" s="4"/>
      <c r="C24" s="4"/>
      <c r="D24" s="4"/>
      <c r="E24" s="4"/>
      <c r="F24" s="4"/>
      <c r="G24" s="4"/>
      <c r="H24" s="84"/>
    </row>
    <row r="25" spans="1:8" ht="16">
      <c r="A25" s="4" t="s">
        <v>97</v>
      </c>
      <c r="B25" s="20">
        <v>10.430999999999999</v>
      </c>
      <c r="C25" s="20">
        <v>10.956</v>
      </c>
      <c r="D25" s="20">
        <v>16.312999999999999</v>
      </c>
      <c r="E25" s="20">
        <v>17.367000000000001</v>
      </c>
      <c r="F25" s="20">
        <v>14.385999999999999</v>
      </c>
      <c r="G25" s="20">
        <v>16.774999999999999</v>
      </c>
      <c r="H25" s="84"/>
    </row>
    <row r="26" spans="1:8" ht="16">
      <c r="A26" s="4" t="s">
        <v>98</v>
      </c>
      <c r="B26" s="20">
        <v>48.185000000000002</v>
      </c>
      <c r="C26" s="20">
        <v>35.713000000000001</v>
      </c>
      <c r="D26" s="20">
        <v>57.073</v>
      </c>
      <c r="E26" s="20">
        <v>78.457999999999998</v>
      </c>
      <c r="F26" s="20">
        <v>85.242999999999995</v>
      </c>
      <c r="G26" s="20">
        <v>64.040999999999997</v>
      </c>
      <c r="H26" s="85"/>
    </row>
    <row r="27" spans="1:8" ht="12">
      <c r="A27" s="4" t="s">
        <v>99</v>
      </c>
      <c r="B27" s="20" t="s">
        <v>29</v>
      </c>
      <c r="C27" s="20" t="s">
        <v>29</v>
      </c>
      <c r="D27" s="20" t="s">
        <v>29</v>
      </c>
      <c r="E27" s="20" t="s">
        <v>29</v>
      </c>
      <c r="F27" s="20" t="s">
        <v>29</v>
      </c>
      <c r="G27" s="20" t="s">
        <v>29</v>
      </c>
    </row>
    <row r="28" spans="1:8">
      <c r="A28" s="4" t="s">
        <v>100</v>
      </c>
      <c r="B28" s="20">
        <v>-3</v>
      </c>
      <c r="C28" s="20">
        <v>-4.5999999999999996</v>
      </c>
      <c r="D28" s="20">
        <v>-6.3</v>
      </c>
      <c r="E28" s="20">
        <v>-6.6</v>
      </c>
      <c r="F28" s="20">
        <v>-4.8</v>
      </c>
      <c r="G28" s="20">
        <v>-7.2</v>
      </c>
    </row>
    <row r="29" spans="1:8">
      <c r="A29" s="4"/>
      <c r="B29" s="4"/>
      <c r="C29" s="4"/>
      <c r="D29" s="4"/>
      <c r="E29" s="4"/>
      <c r="F29" s="4"/>
      <c r="G29" s="4"/>
    </row>
    <row r="30" spans="1:8">
      <c r="A30" s="9" t="s">
        <v>101</v>
      </c>
      <c r="B30" s="27">
        <v>55.609000000000002</v>
      </c>
      <c r="C30" s="27">
        <v>42.116999999999997</v>
      </c>
      <c r="D30" s="27">
        <v>67.057000000000002</v>
      </c>
      <c r="E30" s="27">
        <v>89.251000000000005</v>
      </c>
      <c r="F30" s="27">
        <v>94.82</v>
      </c>
      <c r="G30" s="27">
        <v>73.62</v>
      </c>
    </row>
    <row r="31" spans="1:8">
      <c r="A31" s="4"/>
      <c r="B31" s="4"/>
      <c r="C31" s="4"/>
      <c r="D31" s="4"/>
      <c r="E31" s="4"/>
      <c r="F31" s="4"/>
      <c r="G31" s="4"/>
    </row>
    <row r="32" spans="1:8">
      <c r="A32" s="9" t="s">
        <v>102</v>
      </c>
      <c r="B32" s="14">
        <v>-26.2</v>
      </c>
      <c r="C32" s="14">
        <v>14.188000000000001</v>
      </c>
      <c r="D32" s="14">
        <v>26.975999999999999</v>
      </c>
      <c r="E32" s="14">
        <v>-83.7</v>
      </c>
      <c r="F32" s="14">
        <v>-87.9</v>
      </c>
      <c r="G32" s="14">
        <v>-26.2</v>
      </c>
    </row>
    <row r="33" spans="1:7">
      <c r="A33" s="4"/>
      <c r="B33" s="4"/>
      <c r="C33" s="4"/>
      <c r="D33" s="4"/>
      <c r="E33" s="4"/>
      <c r="F33" s="4"/>
      <c r="G33" s="4"/>
    </row>
    <row r="34" spans="1:7">
      <c r="A34" s="4" t="s">
        <v>103</v>
      </c>
      <c r="B34" s="20">
        <v>-1.7</v>
      </c>
      <c r="C34" s="20">
        <v>-3.5</v>
      </c>
      <c r="D34" s="20">
        <v>-3.3</v>
      </c>
      <c r="E34" s="20">
        <v>-3.5</v>
      </c>
      <c r="F34" s="20">
        <v>-11.8</v>
      </c>
      <c r="G34" s="20">
        <v>-23.4</v>
      </c>
    </row>
    <row r="35" spans="1:7" ht="12">
      <c r="A35" s="4" t="s">
        <v>104</v>
      </c>
      <c r="B35" s="20">
        <v>8.0000000000000002E-3</v>
      </c>
      <c r="C35" s="20" t="s">
        <v>29</v>
      </c>
      <c r="D35" s="20" t="s">
        <v>29</v>
      </c>
      <c r="E35" s="20" t="s">
        <v>29</v>
      </c>
      <c r="F35" s="20" t="s">
        <v>29</v>
      </c>
      <c r="G35" s="20">
        <v>9.8520000000000003</v>
      </c>
    </row>
    <row r="36" spans="1:7">
      <c r="A36" s="9" t="s">
        <v>105</v>
      </c>
      <c r="B36" s="27">
        <v>-1.7</v>
      </c>
      <c r="C36" s="27">
        <v>-3.5</v>
      </c>
      <c r="D36" s="27">
        <v>-3.3</v>
      </c>
      <c r="E36" s="27">
        <v>-3.5</v>
      </c>
      <c r="F36" s="27">
        <v>-11.8</v>
      </c>
      <c r="G36" s="27">
        <v>-13.6</v>
      </c>
    </row>
    <row r="37" spans="1:7">
      <c r="A37" s="4"/>
      <c r="B37" s="4"/>
      <c r="C37" s="4"/>
      <c r="D37" s="4"/>
      <c r="E37" s="4"/>
      <c r="F37" s="4"/>
      <c r="G37" s="4"/>
    </row>
    <row r="38" spans="1:7" ht="12">
      <c r="A38" s="4" t="s">
        <v>106</v>
      </c>
      <c r="B38" s="20" t="s">
        <v>29</v>
      </c>
      <c r="C38" s="20" t="s">
        <v>29</v>
      </c>
      <c r="D38" s="20">
        <v>0</v>
      </c>
      <c r="E38" s="20">
        <v>0.54200000000000004</v>
      </c>
      <c r="F38" s="20">
        <v>-0.3</v>
      </c>
      <c r="G38" s="20" t="s">
        <v>29</v>
      </c>
    </row>
    <row r="39" spans="1:7">
      <c r="A39" s="4" t="s">
        <v>107</v>
      </c>
      <c r="B39" s="20">
        <v>1.6990000000000001</v>
      </c>
      <c r="C39" s="20">
        <v>-1.7</v>
      </c>
      <c r="D39" s="20">
        <v>-3.1</v>
      </c>
      <c r="E39" s="20">
        <v>-1.2</v>
      </c>
      <c r="F39" s="20">
        <v>1.4610000000000001</v>
      </c>
      <c r="G39" s="20">
        <v>0</v>
      </c>
    </row>
    <row r="40" spans="1:7">
      <c r="A40" s="9" t="s">
        <v>108</v>
      </c>
      <c r="B40" s="27">
        <v>-26.2</v>
      </c>
      <c r="C40" s="27">
        <v>9.0589999999999993</v>
      </c>
      <c r="D40" s="27">
        <v>20.542000000000002</v>
      </c>
      <c r="E40" s="27">
        <v>-87.9</v>
      </c>
      <c r="F40" s="27">
        <v>-98.5</v>
      </c>
      <c r="G40" s="27">
        <v>-39.799999999999997</v>
      </c>
    </row>
    <row r="41" spans="1:7">
      <c r="A41" s="4"/>
      <c r="B41" s="4"/>
      <c r="C41" s="4"/>
      <c r="D41" s="4"/>
      <c r="E41" s="4"/>
      <c r="F41" s="4"/>
      <c r="G41" s="4"/>
    </row>
    <row r="42" spans="1:7" ht="12">
      <c r="A42" s="4" t="s">
        <v>109</v>
      </c>
      <c r="B42" s="20" t="s">
        <v>29</v>
      </c>
      <c r="C42" s="20" t="s">
        <v>29</v>
      </c>
      <c r="D42" s="20" t="s">
        <v>29</v>
      </c>
      <c r="E42" s="20" t="s">
        <v>29</v>
      </c>
      <c r="F42" s="20" t="s">
        <v>29</v>
      </c>
      <c r="G42" s="20" t="s">
        <v>29</v>
      </c>
    </row>
    <row r="43" spans="1:7" ht="12">
      <c r="A43" s="4" t="s">
        <v>110</v>
      </c>
      <c r="B43" s="20">
        <v>0.112</v>
      </c>
      <c r="C43" s="20" t="s">
        <v>29</v>
      </c>
      <c r="D43" s="20">
        <v>2.7629999999999999</v>
      </c>
      <c r="E43" s="20">
        <v>-4.9000000000000004</v>
      </c>
      <c r="F43" s="20">
        <v>-6</v>
      </c>
      <c r="G43" s="20" t="s">
        <v>29</v>
      </c>
    </row>
    <row r="44" spans="1:7">
      <c r="A44" s="4" t="s">
        <v>111</v>
      </c>
      <c r="B44" s="20">
        <v>-25.5</v>
      </c>
      <c r="C44" s="20">
        <v>-46.6</v>
      </c>
      <c r="D44" s="20">
        <v>-54.7</v>
      </c>
      <c r="E44" s="20">
        <v>-18.100000000000001</v>
      </c>
      <c r="F44" s="20">
        <v>-19.3</v>
      </c>
      <c r="G44" s="20">
        <v>28.335000000000001</v>
      </c>
    </row>
    <row r="45" spans="1:7">
      <c r="A45" s="9" t="s">
        <v>112</v>
      </c>
      <c r="B45" s="27">
        <v>-51.5</v>
      </c>
      <c r="C45" s="27">
        <v>-37.5</v>
      </c>
      <c r="D45" s="27">
        <v>-31.4</v>
      </c>
      <c r="E45" s="27">
        <v>-110.9</v>
      </c>
      <c r="F45" s="27">
        <v>-123.8</v>
      </c>
      <c r="G45" s="27">
        <v>-11.5</v>
      </c>
    </row>
    <row r="46" spans="1:7">
      <c r="A46" s="4"/>
      <c r="B46" s="4"/>
      <c r="C46" s="4"/>
      <c r="D46" s="4"/>
      <c r="E46" s="4"/>
      <c r="F46" s="4"/>
      <c r="G46" s="4"/>
    </row>
    <row r="47" spans="1:7">
      <c r="A47" s="4" t="s">
        <v>113</v>
      </c>
      <c r="B47" s="20">
        <v>-13.1</v>
      </c>
      <c r="C47" s="20">
        <v>-9.9</v>
      </c>
      <c r="D47" s="20">
        <v>-4.9000000000000004</v>
      </c>
      <c r="E47" s="20">
        <v>-18.8</v>
      </c>
      <c r="F47" s="20">
        <v>-6.9</v>
      </c>
      <c r="G47" s="20">
        <v>48.139000000000003</v>
      </c>
    </row>
    <row r="48" spans="1:7">
      <c r="A48" s="9" t="s">
        <v>114</v>
      </c>
      <c r="B48" s="27">
        <v>-38.4</v>
      </c>
      <c r="C48" s="27">
        <v>-27.6</v>
      </c>
      <c r="D48" s="27">
        <v>-26.6</v>
      </c>
      <c r="E48" s="27">
        <v>-92.1</v>
      </c>
      <c r="F48" s="27">
        <v>-116.9</v>
      </c>
      <c r="G48" s="27">
        <v>-59.6</v>
      </c>
    </row>
    <row r="49" spans="1:7">
      <c r="A49" s="4"/>
      <c r="B49" s="4"/>
      <c r="C49" s="4"/>
      <c r="D49" s="4"/>
      <c r="E49" s="4"/>
      <c r="F49" s="4"/>
      <c r="G49" s="4"/>
    </row>
    <row r="50" spans="1:7" ht="12">
      <c r="A50" s="4" t="s">
        <v>115</v>
      </c>
      <c r="B50" s="20">
        <v>3.3540000000000001</v>
      </c>
      <c r="C50" s="20">
        <v>15.243</v>
      </c>
      <c r="D50" s="20" t="s">
        <v>29</v>
      </c>
      <c r="E50" s="20" t="s">
        <v>29</v>
      </c>
      <c r="F50" s="20" t="s">
        <v>29</v>
      </c>
      <c r="G50" s="20" t="s">
        <v>29</v>
      </c>
    </row>
    <row r="51" spans="1:7" ht="12">
      <c r="A51" s="4" t="s">
        <v>116</v>
      </c>
      <c r="B51" s="20" t="s">
        <v>29</v>
      </c>
      <c r="C51" s="20" t="s">
        <v>29</v>
      </c>
      <c r="D51" s="20" t="s">
        <v>29</v>
      </c>
      <c r="E51" s="20" t="s">
        <v>29</v>
      </c>
      <c r="F51" s="20" t="s">
        <v>29</v>
      </c>
      <c r="G51" s="20" t="s">
        <v>29</v>
      </c>
    </row>
    <row r="52" spans="1:7">
      <c r="A52" s="9" t="s">
        <v>117</v>
      </c>
      <c r="B52" s="27">
        <v>-35</v>
      </c>
      <c r="C52" s="27">
        <v>-12.4</v>
      </c>
      <c r="D52" s="27">
        <v>-26.6</v>
      </c>
      <c r="E52" s="27">
        <v>-92.1</v>
      </c>
      <c r="F52" s="27">
        <v>-116.9</v>
      </c>
      <c r="G52" s="27">
        <v>-59.6</v>
      </c>
    </row>
    <row r="53" spans="1:7">
      <c r="A53" s="4"/>
      <c r="B53" s="4"/>
      <c r="C53" s="4"/>
      <c r="D53" s="4"/>
      <c r="E53" s="4"/>
      <c r="F53" s="4"/>
      <c r="G53" s="4"/>
    </row>
    <row r="54" spans="1:7" ht="12">
      <c r="A54" s="4" t="s">
        <v>118</v>
      </c>
      <c r="B54" s="20" t="s">
        <v>29</v>
      </c>
      <c r="C54" s="20" t="s">
        <v>29</v>
      </c>
      <c r="D54" s="20" t="s">
        <v>29</v>
      </c>
      <c r="E54" s="20" t="s">
        <v>29</v>
      </c>
      <c r="F54" s="20" t="s">
        <v>29</v>
      </c>
      <c r="G54" s="20" t="s">
        <v>29</v>
      </c>
    </row>
    <row r="55" spans="1:7">
      <c r="A55" s="9" t="s">
        <v>119</v>
      </c>
      <c r="B55" s="28">
        <v>-35</v>
      </c>
      <c r="C55" s="28">
        <v>-12.4</v>
      </c>
      <c r="D55" s="28">
        <v>-26.6</v>
      </c>
      <c r="E55" s="28">
        <v>-92.1</v>
      </c>
      <c r="F55" s="28">
        <v>-116.9</v>
      </c>
      <c r="G55" s="28">
        <v>-59.6</v>
      </c>
    </row>
    <row r="56" spans="1:7">
      <c r="A56" s="4"/>
      <c r="B56" s="4">
        <f>FCFF!B24</f>
        <v>0</v>
      </c>
      <c r="C56" s="4">
        <f>FCFF!C24</f>
        <v>0</v>
      </c>
      <c r="D56" s="4">
        <f>FCFF!D24</f>
        <v>0</v>
      </c>
      <c r="E56" s="4">
        <f>FCFF!E24</f>
        <v>0</v>
      </c>
      <c r="F56" s="4">
        <f>FCFF!F24</f>
        <v>0</v>
      </c>
      <c r="G56" s="4">
        <f>FCFF!G24</f>
        <v>0</v>
      </c>
    </row>
    <row r="57" spans="1:7" ht="12">
      <c r="A57" s="4" t="s">
        <v>120</v>
      </c>
      <c r="B57" s="20" t="s">
        <v>29</v>
      </c>
      <c r="C57" s="20" t="s">
        <v>29</v>
      </c>
      <c r="D57" s="20" t="s">
        <v>29</v>
      </c>
      <c r="E57" s="20" t="s">
        <v>29</v>
      </c>
      <c r="F57" s="20" t="s">
        <v>29</v>
      </c>
      <c r="G57" s="20" t="s">
        <v>29</v>
      </c>
    </row>
    <row r="58" spans="1:7">
      <c r="A58" s="4"/>
      <c r="B58" s="4"/>
      <c r="C58" s="4"/>
      <c r="D58" s="4"/>
      <c r="E58" s="4"/>
      <c r="F58" s="4"/>
      <c r="G58" s="4"/>
    </row>
    <row r="59" spans="1:7">
      <c r="A59" s="9" t="s">
        <v>121</v>
      </c>
      <c r="B59" s="14">
        <v>-35</v>
      </c>
      <c r="C59" s="14">
        <v>-12.4</v>
      </c>
      <c r="D59" s="14">
        <v>-26.6</v>
      </c>
      <c r="E59" s="14">
        <v>-92.1</v>
      </c>
      <c r="F59" s="14">
        <v>-116.9</v>
      </c>
      <c r="G59" s="14">
        <v>-59.6</v>
      </c>
    </row>
    <row r="60" spans="1:7">
      <c r="A60" s="9" t="s">
        <v>122</v>
      </c>
      <c r="B60" s="14">
        <v>-38.4</v>
      </c>
      <c r="C60" s="14">
        <v>-27.6</v>
      </c>
      <c r="D60" s="14">
        <v>-26.6</v>
      </c>
      <c r="E60" s="14">
        <v>-92.1</v>
      </c>
      <c r="F60" s="14">
        <v>-116.9</v>
      </c>
      <c r="G60" s="14">
        <v>-59.6</v>
      </c>
    </row>
    <row r="61" spans="1:7">
      <c r="A61" s="4"/>
      <c r="B61" s="4"/>
      <c r="C61" s="4"/>
      <c r="D61" s="4"/>
      <c r="E61" s="4"/>
      <c r="F61" s="4"/>
      <c r="G61" s="4"/>
    </row>
    <row r="62" spans="1:7">
      <c r="A62" s="9" t="s">
        <v>123</v>
      </c>
      <c r="B62" s="4"/>
      <c r="C62" s="4"/>
      <c r="D62" s="4"/>
      <c r="E62" s="4"/>
      <c r="F62" s="4"/>
      <c r="G62" s="4"/>
    </row>
    <row r="63" spans="1:7" ht="12">
      <c r="A63" s="4" t="s">
        <v>124</v>
      </c>
      <c r="B63" s="19">
        <v>-1.07</v>
      </c>
      <c r="C63" s="19">
        <v>-0.34</v>
      </c>
      <c r="D63" s="19">
        <v>-0.7</v>
      </c>
      <c r="E63" s="19">
        <v>-2.25</v>
      </c>
      <c r="F63" s="19">
        <v>-2.69</v>
      </c>
      <c r="G63" s="19" t="s">
        <v>38</v>
      </c>
    </row>
    <row r="64" spans="1:7" ht="12">
      <c r="A64" s="4" t="s">
        <v>125</v>
      </c>
      <c r="B64" s="19">
        <v>-1.17</v>
      </c>
      <c r="C64" s="19">
        <v>-0.75</v>
      </c>
      <c r="D64" s="19">
        <v>-0.7</v>
      </c>
      <c r="E64" s="19">
        <v>-2.25</v>
      </c>
      <c r="F64" s="19">
        <v>-2.69</v>
      </c>
      <c r="G64" s="19" t="s">
        <v>38</v>
      </c>
    </row>
    <row r="65" spans="1:7" ht="12">
      <c r="A65" s="4" t="s">
        <v>126</v>
      </c>
      <c r="B65" s="20">
        <v>32.660196999999997</v>
      </c>
      <c r="C65" s="20">
        <v>36.564683000000002</v>
      </c>
      <c r="D65" s="20">
        <v>37.751787999999998</v>
      </c>
      <c r="E65" s="20">
        <v>40.988235000000003</v>
      </c>
      <c r="F65" s="20">
        <v>43.429808999999999</v>
      </c>
      <c r="G65" s="20" t="s">
        <v>38</v>
      </c>
    </row>
    <row r="66" spans="1:7">
      <c r="A66" s="4"/>
      <c r="B66" s="4"/>
      <c r="C66" s="4"/>
      <c r="D66" s="4"/>
      <c r="E66" s="4"/>
      <c r="F66" s="4"/>
      <c r="G66" s="4"/>
    </row>
    <row r="67" spans="1:7" ht="12">
      <c r="A67" s="4" t="s">
        <v>127</v>
      </c>
      <c r="B67" s="19">
        <v>-1.07</v>
      </c>
      <c r="C67" s="19">
        <v>-0.34</v>
      </c>
      <c r="D67" s="19">
        <v>-0.7</v>
      </c>
      <c r="E67" s="19">
        <v>-2.25</v>
      </c>
      <c r="F67" s="19">
        <v>-2.69</v>
      </c>
      <c r="G67" s="19" t="s">
        <v>38</v>
      </c>
    </row>
    <row r="68" spans="1:7" ht="12">
      <c r="A68" s="4" t="s">
        <v>128</v>
      </c>
      <c r="B68" s="19">
        <v>-1.17</v>
      </c>
      <c r="C68" s="19">
        <v>-0.75</v>
      </c>
      <c r="D68" s="19">
        <v>-0.7</v>
      </c>
      <c r="E68" s="19">
        <v>-2.25</v>
      </c>
      <c r="F68" s="19">
        <v>-2.69</v>
      </c>
      <c r="G68" s="19" t="s">
        <v>38</v>
      </c>
    </row>
    <row r="69" spans="1:7" ht="12">
      <c r="A69" s="4" t="s">
        <v>129</v>
      </c>
      <c r="B69" s="20">
        <v>32.660196999999997</v>
      </c>
      <c r="C69" s="20">
        <v>36.564683000000002</v>
      </c>
      <c r="D69" s="20">
        <v>37.751787999999998</v>
      </c>
      <c r="E69" s="20">
        <v>40.988235000000003</v>
      </c>
      <c r="F69" s="20">
        <v>43.429808999999999</v>
      </c>
      <c r="G69" s="20" t="s">
        <v>38</v>
      </c>
    </row>
    <row r="70" spans="1:7">
      <c r="A70" s="4"/>
      <c r="B70" s="4"/>
      <c r="C70" s="4"/>
      <c r="D70" s="4"/>
      <c r="E70" s="4"/>
      <c r="F70" s="4"/>
      <c r="G70" s="4"/>
    </row>
    <row r="71" spans="1:7" ht="12">
      <c r="A71" s="4" t="s">
        <v>130</v>
      </c>
      <c r="B71" s="19">
        <v>-0.5</v>
      </c>
      <c r="C71" s="19">
        <v>0.15484500000000001</v>
      </c>
      <c r="D71" s="19">
        <v>0.34008300000000002</v>
      </c>
      <c r="E71" s="19">
        <v>-1.34</v>
      </c>
      <c r="F71" s="19">
        <v>-1.42</v>
      </c>
      <c r="G71" s="19" t="s">
        <v>38</v>
      </c>
    </row>
    <row r="72" spans="1:7" ht="12">
      <c r="A72" s="4" t="s">
        <v>131</v>
      </c>
      <c r="B72" s="19">
        <v>-0.5</v>
      </c>
      <c r="C72" s="19">
        <v>0.15484500000000001</v>
      </c>
      <c r="D72" s="19">
        <v>0.34008300000000002</v>
      </c>
      <c r="E72" s="19">
        <v>-1.34</v>
      </c>
      <c r="F72" s="19">
        <v>-1.42</v>
      </c>
      <c r="G72" s="19" t="s">
        <v>38</v>
      </c>
    </row>
    <row r="73" spans="1:7">
      <c r="A73" s="4"/>
      <c r="B73" s="4"/>
      <c r="C73" s="4"/>
      <c r="D73" s="4"/>
      <c r="E73" s="4"/>
      <c r="F73" s="4"/>
      <c r="G73" s="4"/>
    </row>
    <row r="74" spans="1:7" ht="12">
      <c r="A74" s="4" t="s">
        <v>132</v>
      </c>
      <c r="B74" s="19" t="s">
        <v>38</v>
      </c>
      <c r="C74" s="19" t="s">
        <v>38</v>
      </c>
      <c r="D74" s="19" t="s">
        <v>38</v>
      </c>
      <c r="E74" s="19" t="s">
        <v>38</v>
      </c>
      <c r="F74" s="19" t="s">
        <v>38</v>
      </c>
      <c r="G74" s="19" t="s">
        <v>38</v>
      </c>
    </row>
    <row r="75" spans="1:7">
      <c r="A75" s="4"/>
      <c r="B75" s="4">
        <f>FCFF!B13</f>
        <v>-28.210999999999999</v>
      </c>
      <c r="C75" s="4">
        <f>FCFF!C13</f>
        <v>11.529000000000003</v>
      </c>
      <c r="D75" s="4">
        <f>FCFF!D13</f>
        <v>21.513999999999996</v>
      </c>
      <c r="E75" s="4">
        <f>FCFF!E13</f>
        <v>-92.89500000000001</v>
      </c>
      <c r="F75" s="4">
        <f>FCFF!F13</f>
        <v>-97.234999999999985</v>
      </c>
      <c r="G75" s="4">
        <f>FCFF!G13</f>
        <v>-38.182000000000002</v>
      </c>
    </row>
    <row r="76" spans="1:7">
      <c r="A76" s="9" t="s">
        <v>133</v>
      </c>
      <c r="B76" s="4"/>
      <c r="C76" s="4"/>
      <c r="D76" s="4"/>
      <c r="E76" s="4"/>
      <c r="F76" s="4"/>
      <c r="G76" s="4"/>
    </row>
    <row r="77" spans="1:7">
      <c r="A77" s="4" t="s">
        <v>32</v>
      </c>
      <c r="B77" s="20">
        <v>-24.1</v>
      </c>
      <c r="C77" s="20">
        <v>16.895</v>
      </c>
      <c r="D77" s="20">
        <v>29.4</v>
      </c>
      <c r="E77" s="20">
        <v>-77.900000000000006</v>
      </c>
      <c r="F77" s="20">
        <v>-83</v>
      </c>
      <c r="G77" s="20">
        <v>-14.3</v>
      </c>
    </row>
    <row r="78" spans="1:7">
      <c r="A78" s="4" t="s">
        <v>134</v>
      </c>
      <c r="B78" s="20">
        <v>-25.7</v>
      </c>
      <c r="C78" s="20">
        <v>13.275</v>
      </c>
      <c r="D78" s="20">
        <v>27.106999999999999</v>
      </c>
      <c r="E78" s="20">
        <v>-80.099999999999994</v>
      </c>
      <c r="F78" s="20">
        <v>-86.3</v>
      </c>
      <c r="G78" s="20">
        <v>-26.2</v>
      </c>
    </row>
    <row r="79" spans="1:7">
      <c r="A79" s="4" t="s">
        <v>34</v>
      </c>
      <c r="B79" s="20">
        <v>-26.2</v>
      </c>
      <c r="C79" s="20">
        <v>14.188000000000001</v>
      </c>
      <c r="D79" s="20">
        <v>26.975999999999999</v>
      </c>
      <c r="E79" s="20">
        <v>-83.7</v>
      </c>
      <c r="F79" s="20">
        <v>-87.9</v>
      </c>
      <c r="G79" s="20">
        <v>-26.2</v>
      </c>
    </row>
    <row r="80" spans="1:7" ht="12">
      <c r="A80" s="4" t="s">
        <v>135</v>
      </c>
      <c r="B80" s="20">
        <v>-23.8</v>
      </c>
      <c r="C80" s="20">
        <v>17.286000000000001</v>
      </c>
      <c r="D80" s="20">
        <v>29.449000000000002</v>
      </c>
      <c r="E80" s="20">
        <v>-77.900000000000006</v>
      </c>
      <c r="F80" s="20">
        <v>-82.7</v>
      </c>
      <c r="G80" s="20" t="s">
        <v>38</v>
      </c>
    </row>
    <row r="81" spans="1:7" ht="12">
      <c r="A81" s="4" t="s">
        <v>136</v>
      </c>
      <c r="B81" s="29" t="s">
        <v>33</v>
      </c>
      <c r="C81" s="29" t="s">
        <v>33</v>
      </c>
      <c r="D81" s="29" t="s">
        <v>33</v>
      </c>
      <c r="E81" s="29" t="s">
        <v>33</v>
      </c>
      <c r="F81" s="29" t="s">
        <v>33</v>
      </c>
      <c r="G81" s="29" t="s">
        <v>33</v>
      </c>
    </row>
    <row r="82" spans="1:7" ht="12">
      <c r="A82" s="4" t="s">
        <v>137</v>
      </c>
      <c r="B82" s="20">
        <v>-0.9</v>
      </c>
      <c r="C82" s="20">
        <v>0.35499999999999998</v>
      </c>
      <c r="D82" s="20">
        <v>0.58099999999999996</v>
      </c>
      <c r="E82" s="20">
        <v>3.5999999999999997E-2</v>
      </c>
      <c r="F82" s="20">
        <v>0.316</v>
      </c>
      <c r="G82" s="20" t="s">
        <v>29</v>
      </c>
    </row>
    <row r="83" spans="1:7" ht="12">
      <c r="A83" s="4" t="s">
        <v>138</v>
      </c>
      <c r="B83" s="20">
        <v>-10.5</v>
      </c>
      <c r="C83" s="20">
        <v>-4.2</v>
      </c>
      <c r="D83" s="20">
        <v>-5.4</v>
      </c>
      <c r="E83" s="20">
        <v>-18.899999999999999</v>
      </c>
      <c r="F83" s="20">
        <v>-7.2</v>
      </c>
      <c r="G83" s="20" t="s">
        <v>29</v>
      </c>
    </row>
    <row r="84" spans="1:7">
      <c r="A84" s="4"/>
      <c r="B84" s="4"/>
      <c r="C84" s="4"/>
      <c r="D84" s="4"/>
      <c r="E84" s="4"/>
      <c r="F84" s="4"/>
      <c r="G84" s="4"/>
    </row>
    <row r="85" spans="1:7">
      <c r="A85" s="4" t="s">
        <v>139</v>
      </c>
      <c r="B85" s="20">
        <v>-16.399999999999999</v>
      </c>
      <c r="C85" s="20">
        <v>5.6618750000000002</v>
      </c>
      <c r="D85" s="20">
        <v>12.838749999999999</v>
      </c>
      <c r="E85" s="20">
        <v>-54.9</v>
      </c>
      <c r="F85" s="20">
        <v>-61.6</v>
      </c>
      <c r="G85" s="20">
        <v>-24.9</v>
      </c>
    </row>
    <row r="86" spans="1:7" ht="12">
      <c r="A86" s="4" t="s">
        <v>140</v>
      </c>
      <c r="B86" s="20" t="s">
        <v>38</v>
      </c>
      <c r="C86" s="20" t="s">
        <v>38</v>
      </c>
      <c r="D86" s="20">
        <v>3.06</v>
      </c>
      <c r="E86" s="20">
        <v>3.5619999999999998</v>
      </c>
      <c r="F86" s="20">
        <v>2.1739999999999999</v>
      </c>
      <c r="G86" s="20" t="s">
        <v>38</v>
      </c>
    </row>
    <row r="87" spans="1:7">
      <c r="A87" s="4" t="s">
        <v>141</v>
      </c>
      <c r="B87" s="30">
        <v>43563</v>
      </c>
      <c r="C87" s="30">
        <v>43943</v>
      </c>
      <c r="D87" s="30">
        <v>44306</v>
      </c>
      <c r="E87" s="30">
        <v>44666</v>
      </c>
      <c r="F87" s="30">
        <v>44666</v>
      </c>
      <c r="G87" s="30">
        <v>44992</v>
      </c>
    </row>
    <row r="88" spans="1:7" ht="12">
      <c r="A88" s="4" t="s">
        <v>142</v>
      </c>
      <c r="B88" s="23" t="s">
        <v>143</v>
      </c>
      <c r="C88" s="23" t="s">
        <v>144</v>
      </c>
      <c r="D88" s="23" t="s">
        <v>144</v>
      </c>
      <c r="E88" s="23" t="s">
        <v>144</v>
      </c>
      <c r="F88" s="23" t="s">
        <v>145</v>
      </c>
      <c r="G88" s="23" t="s">
        <v>146</v>
      </c>
    </row>
    <row r="89" spans="1:7" ht="12">
      <c r="A89" s="4" t="s">
        <v>147</v>
      </c>
      <c r="B89" s="23" t="s">
        <v>148</v>
      </c>
      <c r="C89" s="23" t="s">
        <v>148</v>
      </c>
      <c r="D89" s="23" t="s">
        <v>148</v>
      </c>
      <c r="E89" s="23" t="s">
        <v>148</v>
      </c>
      <c r="F89" s="23" t="s">
        <v>148</v>
      </c>
      <c r="G89" s="23" t="s">
        <v>148</v>
      </c>
    </row>
    <row r="90" spans="1:7">
      <c r="A90" s="4"/>
      <c r="B90" s="4"/>
      <c r="C90" s="4"/>
      <c r="D90" s="4"/>
      <c r="E90" s="4"/>
      <c r="F90" s="4"/>
      <c r="G90" s="4"/>
    </row>
    <row r="91" spans="1:7">
      <c r="A91" s="9" t="s">
        <v>149</v>
      </c>
      <c r="B91" s="4"/>
      <c r="C91" s="4"/>
      <c r="D91" s="4"/>
      <c r="E91" s="4"/>
      <c r="F91" s="4"/>
      <c r="G91" s="4"/>
    </row>
    <row r="92" spans="1:7">
      <c r="A92" s="4" t="s">
        <v>150</v>
      </c>
      <c r="B92" s="20">
        <v>1.734</v>
      </c>
      <c r="C92" s="20">
        <v>1.9770000000000001</v>
      </c>
      <c r="D92" s="20">
        <v>1.5389999999999999</v>
      </c>
      <c r="E92" s="20">
        <v>1.4339999999999999</v>
      </c>
      <c r="F92" s="20">
        <v>1.871</v>
      </c>
      <c r="G92" s="20">
        <v>2.1</v>
      </c>
    </row>
    <row r="93" spans="1:7">
      <c r="A93" s="4" t="s">
        <v>151</v>
      </c>
      <c r="B93" s="20">
        <v>8.6969999999999992</v>
      </c>
      <c r="C93" s="20">
        <v>8.9789999999999992</v>
      </c>
      <c r="D93" s="20">
        <v>14.773999999999999</v>
      </c>
      <c r="E93" s="20">
        <v>15.933</v>
      </c>
      <c r="F93" s="20">
        <v>12.515000000000001</v>
      </c>
      <c r="G93" s="20">
        <v>14.675000000000001</v>
      </c>
    </row>
    <row r="94" spans="1:7">
      <c r="A94" s="4" t="s">
        <v>152</v>
      </c>
      <c r="B94" s="20">
        <v>48.185000000000002</v>
      </c>
      <c r="C94" s="20">
        <v>35.713000000000001</v>
      </c>
      <c r="D94" s="20">
        <v>57.073</v>
      </c>
      <c r="E94" s="20">
        <v>78.457999999999998</v>
      </c>
      <c r="F94" s="20">
        <v>85.242999999999995</v>
      </c>
      <c r="G94" s="20">
        <v>64.040999999999997</v>
      </c>
    </row>
    <row r="95" spans="1:7" ht="12">
      <c r="A95" s="4" t="s">
        <v>153</v>
      </c>
      <c r="B95" s="20">
        <v>0.32100000000000001</v>
      </c>
      <c r="C95" s="20">
        <v>0.39100000000000001</v>
      </c>
      <c r="D95" s="20">
        <v>4.9000000000000002E-2</v>
      </c>
      <c r="E95" s="20">
        <v>8.3000000000000004E-2</v>
      </c>
      <c r="F95" s="20">
        <v>0.32200000000000001</v>
      </c>
      <c r="G95" s="20" t="s">
        <v>38</v>
      </c>
    </row>
    <row r="96" spans="1:7" ht="12">
      <c r="A96" s="4" t="s">
        <v>154</v>
      </c>
      <c r="B96" s="20">
        <v>5.0276000000000001E-2</v>
      </c>
      <c r="C96" s="20">
        <v>7.0739999999999997E-2</v>
      </c>
      <c r="D96" s="20">
        <v>6.764E-3</v>
      </c>
      <c r="E96" s="20">
        <v>8.8260000000000005E-3</v>
      </c>
      <c r="F96" s="20">
        <v>8.8841000000000003E-2</v>
      </c>
      <c r="G96" s="20" t="s">
        <v>29</v>
      </c>
    </row>
    <row r="97" spans="1:7" ht="12">
      <c r="A97" s="4" t="s">
        <v>155</v>
      </c>
      <c r="B97" s="20">
        <v>0.27072400000000002</v>
      </c>
      <c r="C97" s="20">
        <v>0.32025999999999999</v>
      </c>
      <c r="D97" s="20">
        <v>4.2236000000000003E-2</v>
      </c>
      <c r="E97" s="20">
        <v>7.4174000000000004E-2</v>
      </c>
      <c r="F97" s="20">
        <v>0.23315900000000001</v>
      </c>
      <c r="G97" s="20" t="s">
        <v>29</v>
      </c>
    </row>
    <row r="98" spans="1:7" ht="12">
      <c r="A98" s="4" t="s">
        <v>156</v>
      </c>
      <c r="B98" s="20" t="s">
        <v>38</v>
      </c>
      <c r="C98" s="20" t="s">
        <v>38</v>
      </c>
      <c r="D98" s="20" t="s">
        <v>38</v>
      </c>
      <c r="E98" s="20">
        <v>1.0860000000000001</v>
      </c>
      <c r="F98" s="20">
        <v>1.5129999999999999</v>
      </c>
      <c r="G98" s="20" t="s">
        <v>38</v>
      </c>
    </row>
    <row r="99" spans="1:7">
      <c r="A99" s="4"/>
      <c r="B99" s="4"/>
      <c r="C99" s="4"/>
      <c r="D99" s="4"/>
      <c r="E99" s="4"/>
      <c r="F99" s="4"/>
      <c r="G99" s="4"/>
    </row>
    <row r="100" spans="1:7">
      <c r="A100" s="4" t="s">
        <v>157</v>
      </c>
      <c r="B100" s="20">
        <v>1.0209999999999999</v>
      </c>
      <c r="C100" s="20">
        <v>1.181</v>
      </c>
      <c r="D100" s="20">
        <v>4.8979999999999997</v>
      </c>
      <c r="E100" s="20">
        <v>7.2670000000000003</v>
      </c>
      <c r="F100" s="20">
        <v>1.0649999999999999</v>
      </c>
      <c r="G100" s="20">
        <v>1.9830000000000001</v>
      </c>
    </row>
    <row r="101" spans="1:7">
      <c r="A101" s="9" t="s">
        <v>158</v>
      </c>
      <c r="B101" s="14">
        <v>1.0209999999999999</v>
      </c>
      <c r="C101" s="14">
        <v>1.181</v>
      </c>
      <c r="D101" s="14">
        <v>4.8979999999999997</v>
      </c>
      <c r="E101" s="14">
        <v>7.2670000000000003</v>
      </c>
      <c r="F101" s="14">
        <v>1.0649999999999999</v>
      </c>
      <c r="G101" s="14">
        <v>1.9830000000000001</v>
      </c>
    </row>
    <row r="102" spans="1:7">
      <c r="A102" s="4"/>
      <c r="B102" s="4"/>
      <c r="C102" s="4"/>
      <c r="D102" s="4"/>
      <c r="E102" s="4"/>
      <c r="F102" s="4"/>
      <c r="G102" s="4"/>
    </row>
    <row r="103" spans="1:7">
      <c r="A103" s="11"/>
      <c r="B103" s="11"/>
      <c r="C103" s="11"/>
      <c r="D103" s="11"/>
      <c r="E103" s="11"/>
      <c r="F103" s="11"/>
      <c r="G103" s="11"/>
    </row>
    <row r="104" spans="1:7">
      <c r="A104" t="s">
        <v>159</v>
      </c>
    </row>
    <row r="105" spans="1:7">
      <c r="A105" s="25" t="s">
        <v>67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95"/>
  <sheetViews>
    <sheetView topLeftCell="A62" workbookViewId="0">
      <selection activeCell="G79" sqref="G79"/>
    </sheetView>
  </sheetViews>
  <sheetFormatPr baseColWidth="10" defaultColWidth="8.83203125" defaultRowHeight="11"/>
  <cols>
    <col min="1" max="1" width="45.83203125" customWidth="1"/>
    <col min="2" max="7" width="14.83203125" customWidth="1"/>
  </cols>
  <sheetData>
    <row r="5" spans="1:255" ht="17">
      <c r="A5" s="1" t="s">
        <v>160</v>
      </c>
    </row>
    <row r="7" spans="1:255" ht="12">
      <c r="A7" s="2" t="s">
        <v>161</v>
      </c>
      <c r="B7" s="3" t="s">
        <v>162</v>
      </c>
      <c r="C7" t="s">
        <v>71</v>
      </c>
      <c r="D7" s="4" t="s">
        <v>4</v>
      </c>
      <c r="E7" s="3" t="s">
        <v>163</v>
      </c>
      <c r="F7" t="s">
        <v>73</v>
      </c>
    </row>
    <row r="8" spans="1:255">
      <c r="A8" s="4"/>
      <c r="B8" s="3" t="s">
        <v>164</v>
      </c>
      <c r="C8" t="s">
        <v>75</v>
      </c>
      <c r="D8" s="4" t="s">
        <v>4</v>
      </c>
      <c r="E8" s="3" t="s">
        <v>165</v>
      </c>
      <c r="F8" t="s">
        <v>8</v>
      </c>
    </row>
    <row r="9" spans="1:255">
      <c r="A9" s="4"/>
      <c r="B9" s="3" t="s">
        <v>166</v>
      </c>
      <c r="C9" t="s">
        <v>78</v>
      </c>
      <c r="D9" s="4" t="s">
        <v>4</v>
      </c>
      <c r="E9" s="3" t="s">
        <v>167</v>
      </c>
      <c r="F9" t="s">
        <v>6</v>
      </c>
    </row>
    <row r="10" spans="1:255">
      <c r="A10" s="4"/>
      <c r="B10" s="3" t="s">
        <v>168</v>
      </c>
      <c r="C10" t="s">
        <v>10</v>
      </c>
      <c r="D10" s="4" t="s">
        <v>4</v>
      </c>
      <c r="E10" s="3" t="s">
        <v>169</v>
      </c>
      <c r="F10" s="5" t="s">
        <v>12</v>
      </c>
    </row>
    <row r="11" spans="1:255">
      <c r="A11" s="4"/>
      <c r="B11" s="3" t="s">
        <v>170</v>
      </c>
      <c r="C11" t="s">
        <v>83</v>
      </c>
      <c r="D11" s="4" t="s">
        <v>4</v>
      </c>
      <c r="E11" s="26"/>
      <c r="F11" s="26"/>
    </row>
    <row r="14" spans="1:255">
      <c r="A14" s="6" t="s">
        <v>171</v>
      </c>
      <c r="B14" s="6"/>
      <c r="C14" s="6"/>
      <c r="D14" s="6"/>
      <c r="E14" s="6"/>
      <c r="F14" s="6"/>
      <c r="G14" s="6"/>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row>
    <row r="15" spans="1:255" ht="24">
      <c r="A15" s="7" t="s">
        <v>172</v>
      </c>
      <c r="B15" s="31">
        <v>43100</v>
      </c>
      <c r="C15" s="12" t="s">
        <v>173</v>
      </c>
      <c r="D15" s="12" t="s">
        <v>174</v>
      </c>
      <c r="E15" s="12" t="s">
        <v>175</v>
      </c>
      <c r="F15" s="31">
        <v>44561</v>
      </c>
      <c r="G15" s="12" t="s">
        <v>176</v>
      </c>
    </row>
    <row r="16" spans="1:255" ht="12">
      <c r="A16" s="8" t="s">
        <v>25</v>
      </c>
      <c r="B16" s="13" t="s">
        <v>26</v>
      </c>
      <c r="C16" s="13" t="s">
        <v>26</v>
      </c>
      <c r="D16" s="13" t="s">
        <v>26</v>
      </c>
      <c r="E16" s="13" t="s">
        <v>26</v>
      </c>
      <c r="F16" s="13" t="s">
        <v>26</v>
      </c>
      <c r="G16" s="13" t="s">
        <v>26</v>
      </c>
    </row>
    <row r="17" spans="1:9">
      <c r="A17" s="9" t="s">
        <v>177</v>
      </c>
      <c r="B17" s="4"/>
      <c r="C17" s="4"/>
      <c r="D17" s="4"/>
      <c r="E17" s="4"/>
      <c r="F17" s="4"/>
      <c r="G17" s="4"/>
    </row>
    <row r="18" spans="1:9">
      <c r="A18" s="4" t="s">
        <v>178</v>
      </c>
      <c r="B18" s="20">
        <v>36.19</v>
      </c>
      <c r="C18" s="20">
        <v>118.949</v>
      </c>
      <c r="D18" s="20">
        <v>49.72</v>
      </c>
      <c r="E18" s="20">
        <v>138.67500000000001</v>
      </c>
      <c r="F18" s="20">
        <v>32.872</v>
      </c>
      <c r="G18" s="20">
        <v>28.285</v>
      </c>
    </row>
    <row r="19" spans="1:9" ht="12">
      <c r="A19" s="4" t="s">
        <v>179</v>
      </c>
      <c r="B19" s="20" t="s">
        <v>29</v>
      </c>
      <c r="C19" s="20" t="s">
        <v>29</v>
      </c>
      <c r="D19" s="20">
        <v>4.5999999999999999E-2</v>
      </c>
      <c r="E19" s="20">
        <v>1.4E-2</v>
      </c>
      <c r="F19" s="20" t="s">
        <v>29</v>
      </c>
      <c r="G19" s="20" t="s">
        <v>29</v>
      </c>
    </row>
    <row r="20" spans="1:9">
      <c r="A20" s="9" t="s">
        <v>180</v>
      </c>
      <c r="B20" s="27">
        <v>36.19</v>
      </c>
      <c r="C20" s="27">
        <v>118.949</v>
      </c>
      <c r="D20" s="27">
        <v>49.765999999999998</v>
      </c>
      <c r="E20" s="27">
        <v>138.68899999999999</v>
      </c>
      <c r="F20" s="27">
        <v>32.872</v>
      </c>
      <c r="G20" s="27">
        <v>28.285</v>
      </c>
    </row>
    <row r="21" spans="1:9">
      <c r="A21" s="4"/>
      <c r="B21" s="4"/>
      <c r="C21" s="4"/>
      <c r="D21" s="4"/>
      <c r="E21" s="4"/>
      <c r="F21" s="4"/>
      <c r="G21" s="4"/>
    </row>
    <row r="22" spans="1:9">
      <c r="A22" s="4" t="s">
        <v>181</v>
      </c>
      <c r="B22" s="20">
        <v>25.428999999999998</v>
      </c>
      <c r="C22" s="20">
        <v>5.194</v>
      </c>
      <c r="D22" s="20">
        <v>22.433</v>
      </c>
      <c r="E22" s="20">
        <v>56.758000000000003</v>
      </c>
      <c r="F22" s="20">
        <v>17.163</v>
      </c>
      <c r="G22" s="20">
        <v>67.265000000000001</v>
      </c>
    </row>
    <row r="23" spans="1:9" ht="16">
      <c r="A23" s="4" t="s">
        <v>182</v>
      </c>
      <c r="B23" s="20">
        <v>6.27</v>
      </c>
      <c r="C23" s="20">
        <v>2.72</v>
      </c>
      <c r="D23" s="20">
        <v>2.0489999999999999</v>
      </c>
      <c r="E23" s="20">
        <v>2.3889999999999998</v>
      </c>
      <c r="F23" s="20">
        <v>1.681</v>
      </c>
      <c r="G23" s="20" t="s">
        <v>29</v>
      </c>
      <c r="I23" s="717"/>
    </row>
    <row r="24" spans="1:9" ht="16">
      <c r="A24" s="9" t="s">
        <v>183</v>
      </c>
      <c r="B24" s="27">
        <v>31.699000000000002</v>
      </c>
      <c r="C24" s="27">
        <v>7.9139999999999997</v>
      </c>
      <c r="D24" s="27">
        <v>24.481999999999999</v>
      </c>
      <c r="E24" s="27">
        <v>59.146999999999998</v>
      </c>
      <c r="F24" s="27">
        <v>18.844000000000001</v>
      </c>
      <c r="G24" s="27">
        <v>67.265000000000001</v>
      </c>
      <c r="I24" s="717"/>
    </row>
    <row r="25" spans="1:9" ht="16">
      <c r="A25" s="4"/>
      <c r="B25" s="4"/>
      <c r="C25" s="4"/>
      <c r="D25" s="4"/>
      <c r="E25" s="4"/>
      <c r="F25" s="4"/>
      <c r="G25" s="4"/>
      <c r="I25" s="717"/>
    </row>
    <row r="26" spans="1:9" ht="16">
      <c r="A26" s="4" t="s">
        <v>184</v>
      </c>
      <c r="B26" s="20">
        <v>4.141</v>
      </c>
      <c r="C26" s="20">
        <v>10.945</v>
      </c>
      <c r="D26" s="20">
        <v>16.277000000000001</v>
      </c>
      <c r="E26" s="20">
        <v>35.381999999999998</v>
      </c>
      <c r="F26" s="20">
        <v>43.851999999999997</v>
      </c>
      <c r="G26" s="20">
        <v>50.311999999999998</v>
      </c>
      <c r="I26" s="717"/>
    </row>
    <row r="27" spans="1:9" ht="12">
      <c r="A27" s="4" t="s">
        <v>185</v>
      </c>
      <c r="B27" s="20">
        <v>0.55800000000000005</v>
      </c>
      <c r="C27" s="20">
        <v>1E-3</v>
      </c>
      <c r="D27" s="20" t="s">
        <v>29</v>
      </c>
      <c r="E27" s="20">
        <v>1.5680000000000001</v>
      </c>
      <c r="F27" s="20">
        <v>2.3119999999999998</v>
      </c>
      <c r="G27" s="20" t="s">
        <v>29</v>
      </c>
    </row>
    <row r="28" spans="1:9">
      <c r="A28" s="4" t="s">
        <v>186</v>
      </c>
      <c r="B28" s="20">
        <v>1.6240000000000001</v>
      </c>
      <c r="C28" s="20">
        <v>5.5529999999999999</v>
      </c>
      <c r="D28" s="20">
        <v>0.997</v>
      </c>
      <c r="E28" s="20">
        <v>3.6890000000000001</v>
      </c>
      <c r="F28" s="20">
        <v>1.5089999999999999</v>
      </c>
      <c r="G28" s="20">
        <v>1E-3</v>
      </c>
    </row>
    <row r="29" spans="1:9">
      <c r="A29" s="9" t="s">
        <v>187</v>
      </c>
      <c r="B29" s="27">
        <v>74.212000000000003</v>
      </c>
      <c r="C29" s="27">
        <v>143.36199999999999</v>
      </c>
      <c r="D29" s="27">
        <v>91.522000000000006</v>
      </c>
      <c r="E29" s="27">
        <v>238.47499999999999</v>
      </c>
      <c r="F29" s="27">
        <v>99.388999999999996</v>
      </c>
      <c r="G29" s="27">
        <v>145.863</v>
      </c>
    </row>
    <row r="30" spans="1:9">
      <c r="A30" s="4"/>
      <c r="B30" s="4"/>
      <c r="C30" s="4"/>
      <c r="D30" s="4"/>
      <c r="E30" s="4"/>
      <c r="F30" s="4"/>
      <c r="G30" s="4"/>
    </row>
    <row r="31" spans="1:9" ht="12">
      <c r="A31" s="4" t="s">
        <v>188</v>
      </c>
      <c r="B31" s="20">
        <v>62.783999999999999</v>
      </c>
      <c r="C31" s="20" t="s">
        <v>29</v>
      </c>
      <c r="D31" s="20">
        <v>104.581</v>
      </c>
      <c r="E31" s="20">
        <v>116.07599999999999</v>
      </c>
      <c r="F31" s="20">
        <v>131.81200000000001</v>
      </c>
      <c r="G31" s="20" t="s">
        <v>29</v>
      </c>
    </row>
    <row r="32" spans="1:9" ht="12">
      <c r="A32" s="4" t="s">
        <v>189</v>
      </c>
      <c r="B32" s="20">
        <v>-3.3</v>
      </c>
      <c r="C32" s="20" t="s">
        <v>29</v>
      </c>
      <c r="D32" s="20">
        <v>-10.5</v>
      </c>
      <c r="E32" s="20">
        <v>-16.600000000000001</v>
      </c>
      <c r="F32" s="20">
        <v>-24.1</v>
      </c>
      <c r="G32" s="20" t="s">
        <v>29</v>
      </c>
    </row>
    <row r="33" spans="1:7">
      <c r="A33" s="9" t="s">
        <v>190</v>
      </c>
      <c r="B33" s="27">
        <v>59.518999999999998</v>
      </c>
      <c r="C33" s="27">
        <v>84.396000000000001</v>
      </c>
      <c r="D33" s="27">
        <v>94.037000000000006</v>
      </c>
      <c r="E33" s="27">
        <v>99.492999999999995</v>
      </c>
      <c r="F33" s="27">
        <v>107.676</v>
      </c>
      <c r="G33" s="27">
        <v>106.251</v>
      </c>
    </row>
    <row r="34" spans="1:7">
      <c r="A34" s="4"/>
      <c r="B34" s="4"/>
      <c r="C34" s="4"/>
      <c r="D34" s="4"/>
      <c r="E34" s="4"/>
      <c r="F34" s="4"/>
      <c r="G34" s="4"/>
    </row>
    <row r="35" spans="1:7" ht="12">
      <c r="A35" s="4" t="s">
        <v>191</v>
      </c>
      <c r="B35" s="20" t="s">
        <v>29</v>
      </c>
      <c r="C35" s="20" t="s">
        <v>29</v>
      </c>
      <c r="D35" s="20">
        <v>22.86</v>
      </c>
      <c r="E35" s="20">
        <v>18.088000000000001</v>
      </c>
      <c r="F35" s="20">
        <v>31.898</v>
      </c>
      <c r="G35" s="20">
        <v>21.437000000000001</v>
      </c>
    </row>
    <row r="36" spans="1:7">
      <c r="A36" s="4" t="s">
        <v>192</v>
      </c>
      <c r="B36" s="20">
        <v>5.2329999999999997</v>
      </c>
      <c r="C36" s="20">
        <v>5.2329999999999997</v>
      </c>
      <c r="D36" s="20">
        <v>5.2329999999999997</v>
      </c>
      <c r="E36" s="20">
        <v>5.2329999999999997</v>
      </c>
      <c r="F36" s="20">
        <v>5.2329999999999997</v>
      </c>
      <c r="G36" s="20">
        <v>5.2329999999999997</v>
      </c>
    </row>
    <row r="37" spans="1:7">
      <c r="A37" s="4" t="s">
        <v>193</v>
      </c>
      <c r="B37" s="20">
        <v>78.81</v>
      </c>
      <c r="C37" s="20">
        <v>78.802000000000007</v>
      </c>
      <c r="D37" s="20">
        <v>80.049000000000007</v>
      </c>
      <c r="E37" s="20">
        <v>76.968999999999994</v>
      </c>
      <c r="F37" s="20">
        <v>85.037000000000006</v>
      </c>
      <c r="G37" s="20">
        <v>134.905</v>
      </c>
    </row>
    <row r="38" spans="1:7" ht="12">
      <c r="A38" s="4" t="s">
        <v>194</v>
      </c>
      <c r="B38" s="20" t="s">
        <v>29</v>
      </c>
      <c r="C38" s="20">
        <v>14.35</v>
      </c>
      <c r="D38" s="20">
        <v>48.975000000000001</v>
      </c>
      <c r="E38" s="20">
        <v>0.2</v>
      </c>
      <c r="F38" s="20">
        <v>4.9000000000000002E-2</v>
      </c>
      <c r="G38" s="20">
        <v>2.8279999999999998</v>
      </c>
    </row>
    <row r="39" spans="1:7">
      <c r="A39" s="4" t="s">
        <v>195</v>
      </c>
      <c r="B39" s="20">
        <v>22.718</v>
      </c>
      <c r="C39" s="20">
        <v>27.045000000000002</v>
      </c>
      <c r="D39" s="20">
        <v>34.430999999999997</v>
      </c>
      <c r="E39" s="20">
        <v>50.905000000000001</v>
      </c>
      <c r="F39" s="20">
        <v>63.456000000000003</v>
      </c>
      <c r="G39" s="20">
        <v>16.353999999999999</v>
      </c>
    </row>
    <row r="40" spans="1:7" ht="12">
      <c r="A40" s="4" t="s">
        <v>196</v>
      </c>
      <c r="B40" s="20">
        <v>1.575</v>
      </c>
      <c r="C40" s="20">
        <v>3.105</v>
      </c>
      <c r="D40" s="20">
        <v>7.4409999999999998</v>
      </c>
      <c r="E40" s="20">
        <v>12.036</v>
      </c>
      <c r="F40" s="20">
        <v>19.917000000000002</v>
      </c>
      <c r="G40" s="20" t="s">
        <v>29</v>
      </c>
    </row>
    <row r="41" spans="1:7">
      <c r="A41" s="4" t="s">
        <v>197</v>
      </c>
      <c r="B41" s="20">
        <v>2.645</v>
      </c>
      <c r="C41" s="20">
        <v>3.4350000000000001</v>
      </c>
      <c r="D41" s="20">
        <v>13.095000000000001</v>
      </c>
      <c r="E41" s="20">
        <v>20.585999999999999</v>
      </c>
      <c r="F41" s="20">
        <v>9.2629999999999999</v>
      </c>
      <c r="G41" s="20">
        <v>9.5429999999999993</v>
      </c>
    </row>
    <row r="42" spans="1:7">
      <c r="A42" s="9" t="s">
        <v>198</v>
      </c>
      <c r="B42" s="28">
        <v>244.71199999999999</v>
      </c>
      <c r="C42" s="28">
        <v>359.72800000000001</v>
      </c>
      <c r="D42" s="28">
        <v>397.64299999999997</v>
      </c>
      <c r="E42" s="28">
        <v>521.98500000000001</v>
      </c>
      <c r="F42" s="28">
        <v>421.91800000000001</v>
      </c>
      <c r="G42" s="28">
        <v>442.41399999999999</v>
      </c>
    </row>
    <row r="43" spans="1:7">
      <c r="A43" s="4"/>
      <c r="B43" s="4"/>
      <c r="C43" s="4"/>
      <c r="D43" s="4"/>
      <c r="E43" s="4"/>
      <c r="F43" s="4"/>
      <c r="G43" s="4"/>
    </row>
    <row r="44" spans="1:7">
      <c r="A44" s="9" t="s">
        <v>199</v>
      </c>
      <c r="B44" s="4"/>
      <c r="C44" s="4"/>
      <c r="D44" s="4"/>
      <c r="E44" s="4"/>
      <c r="F44" s="4"/>
      <c r="G44" s="4"/>
    </row>
    <row r="45" spans="1:7">
      <c r="A45" s="4" t="s">
        <v>200</v>
      </c>
      <c r="B45" s="20">
        <v>16.140999999999998</v>
      </c>
      <c r="C45" s="20">
        <v>13.071</v>
      </c>
      <c r="D45" s="20">
        <v>19.449000000000002</v>
      </c>
      <c r="E45" s="20">
        <v>23.324999999999999</v>
      </c>
      <c r="F45" s="20">
        <v>16.914999999999999</v>
      </c>
      <c r="G45" s="20">
        <v>58.082000000000001</v>
      </c>
    </row>
    <row r="46" spans="1:7" ht="12">
      <c r="A46" s="4" t="s">
        <v>201</v>
      </c>
      <c r="B46" s="20">
        <v>0.78700000000000003</v>
      </c>
      <c r="C46" s="20">
        <v>1.367</v>
      </c>
      <c r="D46" s="20">
        <v>1.325</v>
      </c>
      <c r="E46" s="20">
        <v>2.02</v>
      </c>
      <c r="F46" s="20">
        <v>1.85</v>
      </c>
      <c r="G46" s="20" t="s">
        <v>29</v>
      </c>
    </row>
    <row r="47" spans="1:7">
      <c r="A47" s="4" t="s">
        <v>202</v>
      </c>
      <c r="B47" s="20">
        <v>8.66</v>
      </c>
      <c r="C47" s="20">
        <v>9.7539999999999996</v>
      </c>
      <c r="D47" s="20">
        <v>5.0830000000000002</v>
      </c>
      <c r="E47" s="20">
        <v>4</v>
      </c>
      <c r="F47" s="20">
        <v>4</v>
      </c>
      <c r="G47" s="20">
        <v>0</v>
      </c>
    </row>
    <row r="48" spans="1:7">
      <c r="A48" s="4" t="s">
        <v>203</v>
      </c>
      <c r="B48" s="20">
        <v>7.577</v>
      </c>
      <c r="C48" s="20">
        <v>8.3640000000000008</v>
      </c>
      <c r="D48" s="20">
        <v>8.8580000000000005</v>
      </c>
      <c r="E48" s="20">
        <v>32.159999999999997</v>
      </c>
      <c r="F48" s="20">
        <v>60.012999999999998</v>
      </c>
      <c r="G48" s="20">
        <v>64.608000000000004</v>
      </c>
    </row>
    <row r="49" spans="1:7" ht="12">
      <c r="A49" s="4" t="s">
        <v>204</v>
      </c>
      <c r="B49" s="20" t="s">
        <v>29</v>
      </c>
      <c r="C49" s="20">
        <v>2.1349999999999998</v>
      </c>
      <c r="D49" s="20">
        <v>6.7460000000000004</v>
      </c>
      <c r="E49" s="20">
        <v>7.3150000000000004</v>
      </c>
      <c r="F49" s="20">
        <v>6.5609999999999999</v>
      </c>
      <c r="G49" s="20">
        <v>5.1790000000000003</v>
      </c>
    </row>
    <row r="50" spans="1:7" ht="12">
      <c r="A50" s="4" t="s">
        <v>205</v>
      </c>
      <c r="B50" s="20">
        <v>0</v>
      </c>
      <c r="C50" s="20">
        <v>0.33400000000000002</v>
      </c>
      <c r="D50" s="20" t="s">
        <v>29</v>
      </c>
      <c r="E50" s="20" t="s">
        <v>29</v>
      </c>
      <c r="F50" s="20" t="s">
        <v>29</v>
      </c>
      <c r="G50" s="20" t="s">
        <v>29</v>
      </c>
    </row>
    <row r="51" spans="1:7">
      <c r="A51" s="4" t="s">
        <v>206</v>
      </c>
      <c r="B51" s="20">
        <v>11.811</v>
      </c>
      <c r="C51" s="20">
        <v>0</v>
      </c>
      <c r="D51" s="20">
        <v>0</v>
      </c>
      <c r="E51" s="20">
        <v>0</v>
      </c>
      <c r="F51" s="20">
        <v>0</v>
      </c>
      <c r="G51" s="20">
        <v>0</v>
      </c>
    </row>
    <row r="52" spans="1:7">
      <c r="A52" s="4" t="s">
        <v>207</v>
      </c>
      <c r="B52" s="20">
        <v>7.2450000000000001</v>
      </c>
      <c r="C52" s="20">
        <v>1.0840000000000001</v>
      </c>
      <c r="D52" s="20">
        <v>6.3390000000000004</v>
      </c>
      <c r="E52" s="20">
        <v>1.927</v>
      </c>
      <c r="F52" s="20">
        <v>6.4539999999999997</v>
      </c>
      <c r="G52" s="20">
        <v>2.5619999999999998</v>
      </c>
    </row>
    <row r="53" spans="1:7">
      <c r="A53" s="9" t="s">
        <v>208</v>
      </c>
      <c r="B53" s="27">
        <v>52.216999999999999</v>
      </c>
      <c r="C53" s="27">
        <v>36.109000000000002</v>
      </c>
      <c r="D53" s="27">
        <v>47.8</v>
      </c>
      <c r="E53" s="27">
        <v>70.747</v>
      </c>
      <c r="F53" s="27">
        <v>95.793000000000006</v>
      </c>
      <c r="G53" s="27">
        <v>130.43100000000001</v>
      </c>
    </row>
    <row r="54" spans="1:7">
      <c r="A54" s="4"/>
      <c r="B54" s="4"/>
      <c r="C54" s="4"/>
      <c r="D54" s="4"/>
      <c r="E54" s="4"/>
      <c r="F54" s="4"/>
      <c r="G54" s="4"/>
    </row>
    <row r="55" spans="1:7">
      <c r="A55" s="4" t="s">
        <v>209</v>
      </c>
      <c r="B55" s="20">
        <v>69.188999999999993</v>
      </c>
      <c r="C55" s="20">
        <v>118.236</v>
      </c>
      <c r="D55" s="20">
        <v>132.00800000000001</v>
      </c>
      <c r="E55" s="20">
        <v>240.88300000000001</v>
      </c>
      <c r="F55" s="20">
        <v>240.68100000000001</v>
      </c>
      <c r="G55" s="20">
        <v>220.09899999999999</v>
      </c>
    </row>
    <row r="56" spans="1:7">
      <c r="A56" s="4" t="s">
        <v>210</v>
      </c>
      <c r="B56" s="20">
        <v>34.058999999999997</v>
      </c>
      <c r="C56" s="20">
        <v>48.006</v>
      </c>
      <c r="D56" s="20">
        <v>45.728000000000002</v>
      </c>
      <c r="E56" s="20">
        <v>44.281999999999996</v>
      </c>
      <c r="F56" s="20">
        <v>42.353000000000002</v>
      </c>
      <c r="G56" s="20">
        <v>38.253</v>
      </c>
    </row>
    <row r="57" spans="1:7" ht="12">
      <c r="A57" s="4" t="s">
        <v>211</v>
      </c>
      <c r="B57" s="20" t="s">
        <v>29</v>
      </c>
      <c r="C57" s="20">
        <v>4.0170000000000003</v>
      </c>
      <c r="D57" s="20">
        <v>4.056</v>
      </c>
      <c r="E57" s="20">
        <v>3.706</v>
      </c>
      <c r="F57" s="20" t="s">
        <v>29</v>
      </c>
      <c r="G57" s="20" t="s">
        <v>29</v>
      </c>
    </row>
    <row r="58" spans="1:7">
      <c r="A58" s="4" t="s">
        <v>212</v>
      </c>
      <c r="B58" s="20">
        <v>2.0990000000000002</v>
      </c>
      <c r="C58" s="20">
        <v>2.202</v>
      </c>
      <c r="D58" s="20">
        <v>4.1479999999999997</v>
      </c>
      <c r="E58" s="20">
        <v>4.3630000000000004</v>
      </c>
      <c r="F58" s="20">
        <v>6.0890000000000004</v>
      </c>
      <c r="G58" s="20">
        <v>4.42</v>
      </c>
    </row>
    <row r="59" spans="1:7">
      <c r="A59" s="4" t="s">
        <v>213</v>
      </c>
      <c r="B59" s="20">
        <v>0.26600000000000001</v>
      </c>
      <c r="C59" s="20">
        <v>0.26500000000000001</v>
      </c>
      <c r="D59" s="20">
        <v>0.60499999999999998</v>
      </c>
      <c r="E59" s="20">
        <v>0.26700000000000002</v>
      </c>
      <c r="F59" s="20">
        <v>3.1619999999999999</v>
      </c>
      <c r="G59" s="20">
        <v>15.523999999999999</v>
      </c>
    </row>
    <row r="60" spans="1:7">
      <c r="A60" s="9" t="s">
        <v>214</v>
      </c>
      <c r="B60" s="27">
        <v>157.83000000000001</v>
      </c>
      <c r="C60" s="27">
        <v>208.83500000000001</v>
      </c>
      <c r="D60" s="27">
        <v>234.345</v>
      </c>
      <c r="E60" s="27">
        <v>364.24799999999999</v>
      </c>
      <c r="F60" s="27">
        <v>388.07799999999997</v>
      </c>
      <c r="G60" s="27">
        <v>408.72699999999998</v>
      </c>
    </row>
    <row r="61" spans="1:7">
      <c r="A61" s="4"/>
      <c r="B61" s="4"/>
      <c r="C61" s="4"/>
      <c r="D61" s="4"/>
      <c r="E61" s="4"/>
      <c r="F61" s="4"/>
      <c r="G61" s="4"/>
    </row>
    <row r="62" spans="1:7">
      <c r="A62" s="4" t="s">
        <v>215</v>
      </c>
      <c r="B62" s="20">
        <v>25.036000000000001</v>
      </c>
      <c r="C62" s="20">
        <v>26.925000000000001</v>
      </c>
      <c r="D62" s="20">
        <v>28.649000000000001</v>
      </c>
      <c r="E62" s="20">
        <v>31.271000000000001</v>
      </c>
      <c r="F62" s="20">
        <v>32.25</v>
      </c>
      <c r="G62" s="20">
        <v>41.228000000000002</v>
      </c>
    </row>
    <row r="63" spans="1:7">
      <c r="A63" s="4" t="s">
        <v>216</v>
      </c>
      <c r="B63" s="20">
        <v>148.279</v>
      </c>
      <c r="C63" s="20">
        <v>220.334</v>
      </c>
      <c r="D63" s="20">
        <v>258.89800000000002</v>
      </c>
      <c r="E63" s="20">
        <v>332.53500000000003</v>
      </c>
      <c r="F63" s="20">
        <v>340.76900000000001</v>
      </c>
      <c r="G63" s="20">
        <v>408.64699999999999</v>
      </c>
    </row>
    <row r="64" spans="1:7">
      <c r="A64" s="4" t="s">
        <v>217</v>
      </c>
      <c r="B64" s="20">
        <v>-88.7</v>
      </c>
      <c r="C64" s="20">
        <v>-101.1</v>
      </c>
      <c r="D64" s="20">
        <v>-127.7</v>
      </c>
      <c r="E64" s="20">
        <v>-219.8</v>
      </c>
      <c r="F64" s="20">
        <v>-336.6</v>
      </c>
      <c r="G64" s="20">
        <v>-396.3</v>
      </c>
    </row>
    <row r="65" spans="1:7" ht="12">
      <c r="A65" s="4" t="s">
        <v>218</v>
      </c>
      <c r="B65" s="20" t="s">
        <v>29</v>
      </c>
      <c r="C65" s="20" t="s">
        <v>29</v>
      </c>
      <c r="D65" s="20" t="s">
        <v>29</v>
      </c>
      <c r="E65" s="20" t="s">
        <v>29</v>
      </c>
      <c r="F65" s="20" t="s">
        <v>29</v>
      </c>
      <c r="G65" s="20" t="s">
        <v>29</v>
      </c>
    </row>
    <row r="66" spans="1:7">
      <c r="A66" s="4" t="s">
        <v>219</v>
      </c>
      <c r="B66" s="20">
        <v>2.3109999999999999</v>
      </c>
      <c r="C66" s="20">
        <v>4.7430000000000003</v>
      </c>
      <c r="D66" s="20">
        <v>3.4239999999999999</v>
      </c>
      <c r="E66" s="20">
        <v>13.69</v>
      </c>
      <c r="F66" s="20">
        <v>-2.5</v>
      </c>
      <c r="G66" s="20">
        <v>-19.899999999999999</v>
      </c>
    </row>
    <row r="67" spans="1:7">
      <c r="A67" s="9" t="s">
        <v>220</v>
      </c>
      <c r="B67" s="27">
        <v>86.882000000000005</v>
      </c>
      <c r="C67" s="27">
        <v>150.893</v>
      </c>
      <c r="D67" s="27">
        <v>163.298</v>
      </c>
      <c r="E67" s="27">
        <v>157.73699999999999</v>
      </c>
      <c r="F67" s="27">
        <v>33.840000000000003</v>
      </c>
      <c r="G67" s="27">
        <v>33.686999999999998</v>
      </c>
    </row>
    <row r="68" spans="1:7">
      <c r="A68" s="4"/>
      <c r="B68" s="4"/>
      <c r="C68" s="4"/>
      <c r="D68" s="4"/>
      <c r="E68" s="4"/>
      <c r="F68" s="4"/>
      <c r="G68" s="4"/>
    </row>
    <row r="69" spans="1:7">
      <c r="A69" s="9" t="s">
        <v>221</v>
      </c>
      <c r="B69" s="32">
        <v>86.882000000000005</v>
      </c>
      <c r="C69" s="32">
        <v>150.893</v>
      </c>
      <c r="D69" s="32">
        <v>163.298</v>
      </c>
      <c r="E69" s="32">
        <v>157.73699999999999</v>
      </c>
      <c r="F69" s="32">
        <v>33.840000000000003</v>
      </c>
      <c r="G69" s="32">
        <v>33.686999999999998</v>
      </c>
    </row>
    <row r="70" spans="1:7">
      <c r="A70" s="4"/>
      <c r="B70" s="4"/>
      <c r="C70" s="4"/>
      <c r="D70" s="4"/>
      <c r="E70" s="4"/>
      <c r="F70" s="4"/>
      <c r="G70" s="4"/>
    </row>
    <row r="71" spans="1:7">
      <c r="A71" s="9" t="s">
        <v>222</v>
      </c>
      <c r="B71" s="33">
        <v>244.71199999999999</v>
      </c>
      <c r="C71" s="33">
        <v>359.72800000000001</v>
      </c>
      <c r="D71" s="33">
        <v>397.64299999999997</v>
      </c>
      <c r="E71" s="33">
        <v>521.98500000000001</v>
      </c>
      <c r="F71" s="33">
        <v>421.91800000000001</v>
      </c>
      <c r="G71" s="33">
        <v>442.41399999999999</v>
      </c>
    </row>
    <row r="72" spans="1:7">
      <c r="A72" s="4"/>
      <c r="B72" s="4"/>
      <c r="C72" s="4"/>
      <c r="D72" s="4"/>
      <c r="E72" s="4"/>
      <c r="F72" s="4"/>
      <c r="G72" s="4"/>
    </row>
    <row r="73" spans="1:7">
      <c r="A73" s="9" t="s">
        <v>133</v>
      </c>
      <c r="B73" s="4"/>
      <c r="C73" s="4"/>
      <c r="D73" s="4"/>
      <c r="E73" s="4"/>
      <c r="F73" s="4"/>
      <c r="G73" s="4"/>
    </row>
    <row r="74" spans="1:7" ht="12">
      <c r="A74" s="4" t="s">
        <v>223</v>
      </c>
      <c r="B74" s="20">
        <v>34.967081</v>
      </c>
      <c r="C74" s="20">
        <v>37.639494999999997</v>
      </c>
      <c r="D74" s="20">
        <v>39.133245000000002</v>
      </c>
      <c r="E74" s="20">
        <v>42.714097000000002</v>
      </c>
      <c r="F74" s="20">
        <v>44.870648000000003</v>
      </c>
      <c r="G74" s="20" t="s">
        <v>38</v>
      </c>
    </row>
    <row r="75" spans="1:7" ht="12">
      <c r="A75" s="4" t="s">
        <v>224</v>
      </c>
      <c r="B75" s="20">
        <v>34.967081</v>
      </c>
      <c r="C75" s="20">
        <v>37.639494999999997</v>
      </c>
      <c r="D75" s="20">
        <v>39.133245000000002</v>
      </c>
      <c r="E75" s="20">
        <v>42.714097000000002</v>
      </c>
      <c r="F75" s="20">
        <v>44.051259000000002</v>
      </c>
      <c r="G75" s="20" t="s">
        <v>38</v>
      </c>
    </row>
    <row r="76" spans="1:7" ht="12">
      <c r="A76" s="4" t="s">
        <v>225</v>
      </c>
      <c r="B76" s="19">
        <v>2.4846789999999999</v>
      </c>
      <c r="C76" s="19">
        <v>4.0088999999999997</v>
      </c>
      <c r="D76" s="19">
        <v>4.1728709999999998</v>
      </c>
      <c r="E76" s="19">
        <v>3.6928550000000002</v>
      </c>
      <c r="F76" s="19">
        <v>0.76819499999999996</v>
      </c>
      <c r="G76" s="19" t="s">
        <v>38</v>
      </c>
    </row>
    <row r="77" spans="1:7">
      <c r="A77" s="4" t="s">
        <v>226</v>
      </c>
      <c r="B77" s="20">
        <v>2.839</v>
      </c>
      <c r="C77" s="20">
        <v>66.858000000000004</v>
      </c>
      <c r="D77" s="20">
        <v>78.016000000000005</v>
      </c>
      <c r="E77" s="20">
        <v>75.534999999999997</v>
      </c>
      <c r="F77" s="20">
        <v>-56.4</v>
      </c>
      <c r="G77" s="20">
        <v>-106.5</v>
      </c>
    </row>
    <row r="78" spans="1:7" ht="12">
      <c r="A78" s="4" t="s">
        <v>227</v>
      </c>
      <c r="B78" s="19">
        <v>8.1189999999999998E-2</v>
      </c>
      <c r="C78" s="19">
        <v>1.7762720000000001</v>
      </c>
      <c r="D78" s="19">
        <v>1.9935989999999999</v>
      </c>
      <c r="E78" s="19">
        <v>1.7683850000000001</v>
      </c>
      <c r="F78" s="19">
        <v>-1.28</v>
      </c>
      <c r="G78" s="19" t="s">
        <v>38</v>
      </c>
    </row>
    <row r="79" spans="1:7">
      <c r="A79" s="4" t="s">
        <v>228</v>
      </c>
      <c r="B79" s="20">
        <v>119.485</v>
      </c>
      <c r="C79" s="20">
        <v>186.495</v>
      </c>
      <c r="D79" s="20">
        <v>198.423</v>
      </c>
      <c r="E79" s="20">
        <v>328.64</v>
      </c>
      <c r="F79" s="20">
        <v>353.608</v>
      </c>
      <c r="G79" s="20">
        <v>328.13900000000001</v>
      </c>
    </row>
    <row r="80" spans="1:7">
      <c r="A80" s="4" t="s">
        <v>229</v>
      </c>
      <c r="B80" s="20">
        <v>83.295000000000002</v>
      </c>
      <c r="C80" s="20">
        <v>67.546000000000006</v>
      </c>
      <c r="D80" s="20">
        <v>148.65700000000001</v>
      </c>
      <c r="E80" s="20">
        <v>189.95099999999999</v>
      </c>
      <c r="F80" s="20">
        <v>320.73599999999999</v>
      </c>
      <c r="G80" s="20">
        <v>299.85399999999998</v>
      </c>
    </row>
    <row r="81" spans="1:7" ht="12">
      <c r="A81" s="4" t="s">
        <v>230</v>
      </c>
      <c r="B81" s="20">
        <v>2.5680000000000001</v>
      </c>
      <c r="C81" s="20">
        <v>3.1280000000000001</v>
      </c>
      <c r="D81" s="20">
        <v>0.39200000000000002</v>
      </c>
      <c r="E81" s="20">
        <v>0.66400000000000003</v>
      </c>
      <c r="F81" s="20">
        <v>2.5760000000000001</v>
      </c>
      <c r="G81" s="20" t="s">
        <v>38</v>
      </c>
    </row>
    <row r="82" spans="1:7" ht="12">
      <c r="A82" s="4" t="s">
        <v>231</v>
      </c>
      <c r="B82" s="23" t="s">
        <v>232</v>
      </c>
      <c r="C82" s="23" t="s">
        <v>232</v>
      </c>
      <c r="D82" s="23" t="s">
        <v>232</v>
      </c>
      <c r="E82" s="23" t="s">
        <v>232</v>
      </c>
      <c r="F82" s="23" t="s">
        <v>232</v>
      </c>
      <c r="G82" s="23" t="s">
        <v>38</v>
      </c>
    </row>
    <row r="83" spans="1:7" ht="12">
      <c r="A83" s="4" t="s">
        <v>233</v>
      </c>
      <c r="B83" s="20">
        <v>2.1800000000000002</v>
      </c>
      <c r="C83" s="20">
        <v>8.3409999999999993</v>
      </c>
      <c r="D83" s="20">
        <v>15.11</v>
      </c>
      <c r="E83" s="20">
        <v>32.442</v>
      </c>
      <c r="F83" s="20">
        <v>38.887</v>
      </c>
      <c r="G83" s="20" t="s">
        <v>38</v>
      </c>
    </row>
    <row r="84" spans="1:7" ht="12">
      <c r="A84" s="4" t="s">
        <v>234</v>
      </c>
      <c r="B84" s="20" t="s">
        <v>38</v>
      </c>
      <c r="C84" s="20" t="s">
        <v>38</v>
      </c>
      <c r="D84" s="20" t="s">
        <v>38</v>
      </c>
      <c r="E84" s="20">
        <v>2.915</v>
      </c>
      <c r="F84" s="20">
        <v>5.032</v>
      </c>
      <c r="G84" s="20" t="s">
        <v>38</v>
      </c>
    </row>
    <row r="85" spans="1:7" ht="12">
      <c r="A85" s="4" t="s">
        <v>235</v>
      </c>
      <c r="B85" s="20">
        <v>2.35</v>
      </c>
      <c r="C85" s="20">
        <v>2.9710000000000001</v>
      </c>
      <c r="D85" s="20">
        <v>1.3169999999999999</v>
      </c>
      <c r="E85" s="20">
        <v>2.5000000000000001E-2</v>
      </c>
      <c r="F85" s="20">
        <v>5.0000000000000001E-3</v>
      </c>
      <c r="G85" s="20" t="s">
        <v>38</v>
      </c>
    </row>
    <row r="86" spans="1:7" ht="12">
      <c r="A86" s="4" t="s">
        <v>236</v>
      </c>
      <c r="B86" s="20">
        <v>52.345999999999997</v>
      </c>
      <c r="C86" s="20" t="s">
        <v>38</v>
      </c>
      <c r="D86" s="20">
        <v>2.7749999999999999</v>
      </c>
      <c r="E86" s="20">
        <v>3.3170000000000002</v>
      </c>
      <c r="F86" s="20">
        <v>4.4790000000000001</v>
      </c>
      <c r="G86" s="20" t="s">
        <v>38</v>
      </c>
    </row>
    <row r="87" spans="1:7" ht="12">
      <c r="A87" s="4" t="s">
        <v>237</v>
      </c>
      <c r="B87" s="20">
        <v>10.438000000000001</v>
      </c>
      <c r="C87" s="20" t="s">
        <v>38</v>
      </c>
      <c r="D87" s="20">
        <v>25.640999999999998</v>
      </c>
      <c r="E87" s="20">
        <v>34.055</v>
      </c>
      <c r="F87" s="20">
        <v>44.414999999999999</v>
      </c>
      <c r="G87" s="20" t="s">
        <v>38</v>
      </c>
    </row>
    <row r="88" spans="1:7">
      <c r="A88" s="4" t="s">
        <v>238</v>
      </c>
      <c r="B88" s="34">
        <v>104</v>
      </c>
      <c r="C88" s="34">
        <v>129</v>
      </c>
      <c r="D88" s="34">
        <v>172</v>
      </c>
      <c r="E88" s="34">
        <v>229</v>
      </c>
      <c r="F88" s="34">
        <v>248</v>
      </c>
      <c r="G88" s="34">
        <v>230</v>
      </c>
    </row>
    <row r="89" spans="1:7">
      <c r="A89" s="4" t="s">
        <v>141</v>
      </c>
      <c r="B89" s="30">
        <v>43563</v>
      </c>
      <c r="C89" s="30">
        <v>43943</v>
      </c>
      <c r="D89" s="30">
        <v>44306</v>
      </c>
      <c r="E89" s="30">
        <v>44666</v>
      </c>
      <c r="F89" s="30">
        <v>44666</v>
      </c>
      <c r="G89" s="30">
        <v>44992</v>
      </c>
    </row>
    <row r="90" spans="1:7" ht="12">
      <c r="A90" s="4" t="s">
        <v>142</v>
      </c>
      <c r="B90" s="23" t="s">
        <v>144</v>
      </c>
      <c r="C90" s="23" t="s">
        <v>239</v>
      </c>
      <c r="D90" s="23" t="s">
        <v>240</v>
      </c>
      <c r="E90" s="23" t="s">
        <v>240</v>
      </c>
      <c r="F90" s="23" t="s">
        <v>145</v>
      </c>
      <c r="G90" s="23" t="s">
        <v>146</v>
      </c>
    </row>
    <row r="91" spans="1:7" ht="12">
      <c r="A91" s="4" t="s">
        <v>147</v>
      </c>
      <c r="B91" s="23" t="s">
        <v>148</v>
      </c>
      <c r="C91" s="23" t="s">
        <v>148</v>
      </c>
      <c r="D91" s="23" t="s">
        <v>148</v>
      </c>
      <c r="E91" s="23" t="s">
        <v>148</v>
      </c>
      <c r="F91" s="23" t="s">
        <v>148</v>
      </c>
      <c r="G91" s="23" t="s">
        <v>148</v>
      </c>
    </row>
    <row r="92" spans="1:7">
      <c r="A92" s="4"/>
      <c r="B92" s="4"/>
      <c r="C92" s="4"/>
      <c r="D92" s="4"/>
      <c r="E92" s="4"/>
      <c r="F92" s="4"/>
      <c r="G92" s="4"/>
    </row>
    <row r="93" spans="1:7">
      <c r="A93" s="11"/>
      <c r="B93" s="11"/>
      <c r="C93" s="11"/>
      <c r="D93" s="11"/>
      <c r="E93" s="11"/>
      <c r="F93" s="11"/>
      <c r="G93" s="11"/>
    </row>
    <row r="94" spans="1:7">
      <c r="A94" t="s">
        <v>241</v>
      </c>
    </row>
    <row r="95" spans="1:7">
      <c r="A95" s="25" t="s">
        <v>67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75"/>
  <sheetViews>
    <sheetView workbookViewId="0"/>
  </sheetViews>
  <sheetFormatPr baseColWidth="10" defaultColWidth="8.83203125" defaultRowHeight="11"/>
  <cols>
    <col min="1" max="1" width="45.83203125" customWidth="1"/>
    <col min="2" max="7" width="14.83203125" customWidth="1"/>
  </cols>
  <sheetData>
    <row r="5" spans="1:255" ht="17">
      <c r="A5" s="1" t="s">
        <v>242</v>
      </c>
    </row>
    <row r="7" spans="1:255" ht="12">
      <c r="A7" s="2" t="s">
        <v>243</v>
      </c>
      <c r="B7" s="3" t="s">
        <v>244</v>
      </c>
      <c r="C7" t="s">
        <v>71</v>
      </c>
      <c r="D7" s="4" t="s">
        <v>4</v>
      </c>
      <c r="E7" s="3" t="s">
        <v>245</v>
      </c>
      <c r="F7" t="s">
        <v>73</v>
      </c>
    </row>
    <row r="8" spans="1:255">
      <c r="A8" s="4"/>
      <c r="B8" s="3" t="s">
        <v>246</v>
      </c>
      <c r="C8" t="s">
        <v>75</v>
      </c>
      <c r="D8" s="4" t="s">
        <v>4</v>
      </c>
      <c r="E8" s="3" t="s">
        <v>247</v>
      </c>
      <c r="F8" t="s">
        <v>8</v>
      </c>
    </row>
    <row r="9" spans="1:255">
      <c r="A9" s="4"/>
      <c r="B9" s="3" t="s">
        <v>248</v>
      </c>
      <c r="C9" t="s">
        <v>78</v>
      </c>
      <c r="D9" s="4" t="s">
        <v>4</v>
      </c>
      <c r="E9" s="3" t="s">
        <v>249</v>
      </c>
      <c r="F9" t="s">
        <v>6</v>
      </c>
    </row>
    <row r="10" spans="1:255">
      <c r="A10" s="4"/>
      <c r="B10" s="3" t="s">
        <v>250</v>
      </c>
      <c r="C10" t="s">
        <v>10</v>
      </c>
      <c r="D10" s="4" t="s">
        <v>4</v>
      </c>
      <c r="E10" s="3" t="s">
        <v>251</v>
      </c>
      <c r="F10" s="5" t="s">
        <v>12</v>
      </c>
    </row>
    <row r="11" spans="1:255">
      <c r="A11" s="4"/>
      <c r="B11" s="3" t="s">
        <v>252</v>
      </c>
      <c r="C11" t="s">
        <v>83</v>
      </c>
      <c r="D11" s="4" t="s">
        <v>4</v>
      </c>
      <c r="E11" s="26"/>
      <c r="F11" s="26"/>
    </row>
    <row r="14" spans="1:255">
      <c r="A14" s="6" t="s">
        <v>253</v>
      </c>
      <c r="B14" s="6"/>
      <c r="C14" s="6"/>
      <c r="D14" s="6"/>
      <c r="E14" s="6"/>
      <c r="F14" s="6"/>
      <c r="G14" s="6"/>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row>
    <row r="15" spans="1:255" ht="36">
      <c r="A15" s="7" t="s">
        <v>16</v>
      </c>
      <c r="B15" s="12" t="s">
        <v>254</v>
      </c>
      <c r="C15" s="12" t="s">
        <v>86</v>
      </c>
      <c r="D15" s="12" t="s">
        <v>87</v>
      </c>
      <c r="E15" s="12" t="s">
        <v>88</v>
      </c>
      <c r="F15" s="12" t="s">
        <v>89</v>
      </c>
      <c r="G15" s="12" t="s">
        <v>90</v>
      </c>
    </row>
    <row r="16" spans="1:255" ht="12">
      <c r="A16" s="8" t="s">
        <v>25</v>
      </c>
      <c r="B16" s="13" t="s">
        <v>26</v>
      </c>
      <c r="C16" s="13" t="s">
        <v>26</v>
      </c>
      <c r="D16" s="13" t="s">
        <v>26</v>
      </c>
      <c r="E16" s="13" t="s">
        <v>26</v>
      </c>
      <c r="F16" s="13" t="s">
        <v>26</v>
      </c>
      <c r="G16" s="13" t="s">
        <v>26</v>
      </c>
    </row>
    <row r="17" spans="1:7">
      <c r="A17" s="9" t="s">
        <v>91</v>
      </c>
      <c r="B17" s="4"/>
      <c r="C17" s="4"/>
      <c r="D17" s="4"/>
      <c r="E17" s="4"/>
      <c r="F17" s="4"/>
      <c r="G17" s="4"/>
    </row>
    <row r="18" spans="1:7">
      <c r="A18" s="9" t="s">
        <v>36</v>
      </c>
      <c r="B18" s="14">
        <v>-35</v>
      </c>
      <c r="C18" s="14">
        <v>-12.4</v>
      </c>
      <c r="D18" s="14">
        <v>-26.6</v>
      </c>
      <c r="E18" s="14">
        <v>-92.1</v>
      </c>
      <c r="F18" s="14">
        <v>-116.9</v>
      </c>
      <c r="G18" s="14">
        <v>-59.6</v>
      </c>
    </row>
    <row r="19" spans="1:7">
      <c r="A19" s="4" t="s">
        <v>99</v>
      </c>
      <c r="B19" s="20">
        <v>1.536</v>
      </c>
      <c r="C19" s="20">
        <v>3.62</v>
      </c>
      <c r="D19" s="20">
        <v>5.3019999999999996</v>
      </c>
      <c r="E19" s="20">
        <v>5.6970000000000001</v>
      </c>
      <c r="F19" s="20">
        <v>7.7759999999999998</v>
      </c>
      <c r="G19" s="20">
        <v>11.94</v>
      </c>
    </row>
    <row r="20" spans="1:7" ht="12">
      <c r="A20" s="4" t="s">
        <v>255</v>
      </c>
      <c r="B20" s="20">
        <v>0.50600000000000001</v>
      </c>
      <c r="C20" s="20">
        <v>-0.9</v>
      </c>
      <c r="D20" s="20">
        <v>0.13100000000000001</v>
      </c>
      <c r="E20" s="20">
        <v>3.5459999999999998</v>
      </c>
      <c r="F20" s="20">
        <v>1.5740000000000001</v>
      </c>
      <c r="G20" s="20" t="s">
        <v>29</v>
      </c>
    </row>
    <row r="21" spans="1:7">
      <c r="A21" s="9" t="s">
        <v>256</v>
      </c>
      <c r="B21" s="27">
        <v>2.0419999999999998</v>
      </c>
      <c r="C21" s="27">
        <v>2.7069999999999999</v>
      </c>
      <c r="D21" s="27">
        <v>5.4329999999999998</v>
      </c>
      <c r="E21" s="27">
        <v>9.2430000000000003</v>
      </c>
      <c r="F21" s="27">
        <v>9.35</v>
      </c>
      <c r="G21" s="27">
        <v>11.94</v>
      </c>
    </row>
    <row r="22" spans="1:7">
      <c r="A22" s="4"/>
      <c r="B22" s="4"/>
      <c r="C22" s="4"/>
      <c r="D22" s="4"/>
      <c r="E22" s="4"/>
      <c r="F22" s="4"/>
      <c r="G22" s="4"/>
    </row>
    <row r="23" spans="1:7" ht="12">
      <c r="A23" s="4" t="s">
        <v>257</v>
      </c>
      <c r="B23" s="20">
        <v>0.114</v>
      </c>
      <c r="C23" s="20">
        <v>0.14399999999999999</v>
      </c>
      <c r="D23" s="20">
        <v>0.34399999999999997</v>
      </c>
      <c r="E23" s="20">
        <v>0.52400000000000002</v>
      </c>
      <c r="F23" s="20">
        <v>1.0760000000000001</v>
      </c>
      <c r="G23" s="20" t="s">
        <v>29</v>
      </c>
    </row>
    <row r="24" spans="1:7" ht="12">
      <c r="A24" s="4" t="s">
        <v>258</v>
      </c>
      <c r="B24" s="20">
        <v>1.0209999999999999</v>
      </c>
      <c r="C24" s="20">
        <v>1.181</v>
      </c>
      <c r="D24" s="20">
        <v>4.8979999999999997</v>
      </c>
      <c r="E24" s="20">
        <v>7.2670000000000003</v>
      </c>
      <c r="F24" s="20">
        <v>1.0649999999999999</v>
      </c>
      <c r="G24" s="20" t="s">
        <v>29</v>
      </c>
    </row>
    <row r="25" spans="1:7" ht="12">
      <c r="A25" s="4" t="s">
        <v>259</v>
      </c>
      <c r="B25" s="20" t="s">
        <v>29</v>
      </c>
      <c r="C25" s="20">
        <v>-18.5</v>
      </c>
      <c r="D25" s="20" t="s">
        <v>29</v>
      </c>
      <c r="E25" s="20" t="s">
        <v>29</v>
      </c>
      <c r="F25" s="20" t="s">
        <v>29</v>
      </c>
      <c r="G25" s="20" t="s">
        <v>29</v>
      </c>
    </row>
    <row r="26" spans="1:7">
      <c r="A26" s="4" t="s">
        <v>260</v>
      </c>
      <c r="B26" s="20">
        <v>11.432</v>
      </c>
      <c r="C26" s="20">
        <v>47.081000000000003</v>
      </c>
      <c r="D26" s="20">
        <v>22.05</v>
      </c>
      <c r="E26" s="20">
        <v>6.48</v>
      </c>
      <c r="F26" s="20">
        <v>24.846</v>
      </c>
      <c r="G26" s="20">
        <v>-9.1</v>
      </c>
    </row>
    <row r="27" spans="1:7" ht="12">
      <c r="A27" s="4" t="s">
        <v>261</v>
      </c>
      <c r="B27" s="20">
        <v>-25.9</v>
      </c>
      <c r="C27" s="20">
        <v>10.108000000000001</v>
      </c>
      <c r="D27" s="20">
        <v>-59</v>
      </c>
      <c r="E27" s="20">
        <v>7.1310000000000002</v>
      </c>
      <c r="F27" s="20">
        <v>16.669</v>
      </c>
      <c r="G27" s="20" t="s">
        <v>29</v>
      </c>
    </row>
    <row r="28" spans="1:7" ht="12">
      <c r="A28" s="4" t="s">
        <v>262</v>
      </c>
      <c r="B28" s="20">
        <v>2.9000000000000001E-2</v>
      </c>
      <c r="C28" s="20">
        <v>-7.6</v>
      </c>
      <c r="D28" s="20">
        <v>-5.3</v>
      </c>
      <c r="E28" s="20">
        <v>-19.100000000000001</v>
      </c>
      <c r="F28" s="20">
        <v>-8.5</v>
      </c>
      <c r="G28" s="20" t="s">
        <v>29</v>
      </c>
    </row>
    <row r="29" spans="1:7" ht="12">
      <c r="A29" s="4" t="s">
        <v>263</v>
      </c>
      <c r="B29" s="20">
        <v>8.4930000000000003</v>
      </c>
      <c r="C29" s="20">
        <v>-9.1</v>
      </c>
      <c r="D29" s="20">
        <v>11.26</v>
      </c>
      <c r="E29" s="20">
        <v>0.52100000000000002</v>
      </c>
      <c r="F29" s="20">
        <v>-2</v>
      </c>
      <c r="G29" s="20" t="s">
        <v>29</v>
      </c>
    </row>
    <row r="30" spans="1:7" ht="12">
      <c r="A30" s="4" t="s">
        <v>264</v>
      </c>
      <c r="B30" s="20">
        <v>6.7389999999999999</v>
      </c>
      <c r="C30" s="20" t="s">
        <v>29</v>
      </c>
      <c r="D30" s="20" t="s">
        <v>29</v>
      </c>
      <c r="E30" s="20" t="s">
        <v>29</v>
      </c>
      <c r="F30" s="20" t="s">
        <v>29</v>
      </c>
      <c r="G30" s="20" t="s">
        <v>29</v>
      </c>
    </row>
    <row r="31" spans="1:7" ht="12">
      <c r="A31" s="4" t="s">
        <v>265</v>
      </c>
      <c r="B31" s="20" t="s">
        <v>29</v>
      </c>
      <c r="C31" s="20">
        <v>-10.199999999999999</v>
      </c>
      <c r="D31" s="20" t="s">
        <v>29</v>
      </c>
      <c r="E31" s="20" t="s">
        <v>29</v>
      </c>
      <c r="F31" s="20" t="s">
        <v>29</v>
      </c>
      <c r="G31" s="20" t="s">
        <v>29</v>
      </c>
    </row>
    <row r="32" spans="1:7" ht="12">
      <c r="A32" s="4" t="s">
        <v>266</v>
      </c>
      <c r="B32" s="20" t="s">
        <v>29</v>
      </c>
      <c r="C32" s="20" t="s">
        <v>29</v>
      </c>
      <c r="D32" s="20" t="s">
        <v>29</v>
      </c>
      <c r="E32" s="20" t="s">
        <v>29</v>
      </c>
      <c r="F32" s="20" t="s">
        <v>29</v>
      </c>
      <c r="G32" s="20" t="s">
        <v>29</v>
      </c>
    </row>
    <row r="33" spans="1:7">
      <c r="A33" s="9" t="s">
        <v>267</v>
      </c>
      <c r="B33" s="27">
        <v>-31.1</v>
      </c>
      <c r="C33" s="27">
        <v>3.5419999999999998</v>
      </c>
      <c r="D33" s="27">
        <v>-46.8</v>
      </c>
      <c r="E33" s="27">
        <v>-80</v>
      </c>
      <c r="F33" s="27">
        <v>-74.400000000000006</v>
      </c>
      <c r="G33" s="27">
        <v>-56.8</v>
      </c>
    </row>
    <row r="34" spans="1:7">
      <c r="A34" s="4"/>
      <c r="B34" s="4"/>
      <c r="C34" s="4"/>
      <c r="D34" s="4"/>
      <c r="E34" s="4"/>
      <c r="F34" s="4"/>
      <c r="G34" s="4"/>
    </row>
    <row r="35" spans="1:7" ht="12">
      <c r="A35" s="4" t="s">
        <v>268</v>
      </c>
      <c r="B35" s="20">
        <v>-14.8</v>
      </c>
      <c r="C35" s="20">
        <v>-10</v>
      </c>
      <c r="D35" s="20">
        <v>-11.1</v>
      </c>
      <c r="E35" s="20">
        <v>-10.6</v>
      </c>
      <c r="F35" s="20">
        <v>-11.5</v>
      </c>
      <c r="G35" s="20" t="s">
        <v>29</v>
      </c>
    </row>
    <row r="36" spans="1:7" ht="12">
      <c r="A36" s="4" t="s">
        <v>269</v>
      </c>
      <c r="B36" s="20">
        <v>0.312</v>
      </c>
      <c r="C36" s="20">
        <v>19.353000000000002</v>
      </c>
      <c r="D36" s="20" t="s">
        <v>29</v>
      </c>
      <c r="E36" s="20">
        <v>2.3E-2</v>
      </c>
      <c r="F36" s="20" t="s">
        <v>29</v>
      </c>
      <c r="G36" s="20" t="s">
        <v>29</v>
      </c>
    </row>
    <row r="37" spans="1:7" ht="12">
      <c r="A37" s="4" t="s">
        <v>270</v>
      </c>
      <c r="B37" s="20" t="s">
        <v>29</v>
      </c>
      <c r="C37" s="20" t="s">
        <v>29</v>
      </c>
      <c r="D37" s="20" t="s">
        <v>29</v>
      </c>
      <c r="E37" s="20" t="s">
        <v>29</v>
      </c>
      <c r="F37" s="20" t="s">
        <v>29</v>
      </c>
      <c r="G37" s="20" t="s">
        <v>29</v>
      </c>
    </row>
    <row r="38" spans="1:7" ht="12">
      <c r="A38" s="4" t="s">
        <v>271</v>
      </c>
      <c r="B38" s="20" t="s">
        <v>29</v>
      </c>
      <c r="C38" s="20" t="s">
        <v>29</v>
      </c>
      <c r="D38" s="20" t="s">
        <v>29</v>
      </c>
      <c r="E38" s="20" t="s">
        <v>29</v>
      </c>
      <c r="F38" s="20" t="s">
        <v>29</v>
      </c>
      <c r="G38" s="20" t="s">
        <v>29</v>
      </c>
    </row>
    <row r="39" spans="1:7" ht="12">
      <c r="A39" s="4" t="s">
        <v>272</v>
      </c>
      <c r="B39" s="20">
        <v>-1.3</v>
      </c>
      <c r="C39" s="20">
        <v>-0.1</v>
      </c>
      <c r="D39" s="20">
        <v>-4.3</v>
      </c>
      <c r="E39" s="20">
        <v>-5.6</v>
      </c>
      <c r="F39" s="20">
        <v>-9.6999999999999993</v>
      </c>
      <c r="G39" s="20" t="s">
        <v>29</v>
      </c>
    </row>
    <row r="40" spans="1:7" ht="12">
      <c r="A40" s="4" t="s">
        <v>273</v>
      </c>
      <c r="B40" s="20" t="s">
        <v>29</v>
      </c>
      <c r="C40" s="20" t="s">
        <v>29</v>
      </c>
      <c r="D40" s="20" t="s">
        <v>29</v>
      </c>
      <c r="E40" s="20" t="s">
        <v>29</v>
      </c>
      <c r="F40" s="20" t="s">
        <v>29</v>
      </c>
      <c r="G40" s="20" t="s">
        <v>29</v>
      </c>
    </row>
    <row r="41" spans="1:7" ht="12">
      <c r="A41" s="4" t="s">
        <v>274</v>
      </c>
      <c r="B41" s="20" t="s">
        <v>29</v>
      </c>
      <c r="C41" s="20" t="s">
        <v>29</v>
      </c>
      <c r="D41" s="20" t="s">
        <v>29</v>
      </c>
      <c r="E41" s="20" t="s">
        <v>29</v>
      </c>
      <c r="F41" s="20" t="s">
        <v>29</v>
      </c>
      <c r="G41" s="20" t="s">
        <v>29</v>
      </c>
    </row>
    <row r="42" spans="1:7" ht="12">
      <c r="A42" s="4" t="s">
        <v>275</v>
      </c>
      <c r="B42" s="20" t="s">
        <v>29</v>
      </c>
      <c r="C42" s="20">
        <v>-3.7</v>
      </c>
      <c r="D42" s="20">
        <v>-5</v>
      </c>
      <c r="E42" s="20" t="s">
        <v>29</v>
      </c>
      <c r="F42" s="20">
        <v>-33.5</v>
      </c>
      <c r="G42" s="20">
        <v>-25.5</v>
      </c>
    </row>
    <row r="43" spans="1:7">
      <c r="A43" s="9" t="s">
        <v>276</v>
      </c>
      <c r="B43" s="27">
        <v>-15.7</v>
      </c>
      <c r="C43" s="27">
        <v>5.5640000000000001</v>
      </c>
      <c r="D43" s="27">
        <v>-20.5</v>
      </c>
      <c r="E43" s="27">
        <v>-16.2</v>
      </c>
      <c r="F43" s="27">
        <v>-54.7</v>
      </c>
      <c r="G43" s="27">
        <v>-25.5</v>
      </c>
    </row>
    <row r="44" spans="1:7">
      <c r="A44" s="4"/>
      <c r="B44" s="4"/>
      <c r="C44" s="4"/>
      <c r="D44" s="4"/>
      <c r="E44" s="4"/>
      <c r="F44" s="4"/>
      <c r="G44" s="4"/>
    </row>
    <row r="45" spans="1:7" ht="12">
      <c r="A45" s="4" t="s">
        <v>277</v>
      </c>
      <c r="B45" s="20" t="s">
        <v>29</v>
      </c>
      <c r="C45" s="20" t="s">
        <v>29</v>
      </c>
      <c r="D45" s="20" t="s">
        <v>29</v>
      </c>
      <c r="E45" s="20" t="s">
        <v>29</v>
      </c>
      <c r="F45" s="20" t="s">
        <v>29</v>
      </c>
      <c r="G45" s="20" t="s">
        <v>29</v>
      </c>
    </row>
    <row r="46" spans="1:7" ht="12">
      <c r="A46" s="4" t="s">
        <v>278</v>
      </c>
      <c r="B46" s="20">
        <v>11.204000000000001</v>
      </c>
      <c r="C46" s="20">
        <v>3.282</v>
      </c>
      <c r="D46" s="20">
        <v>15.222</v>
      </c>
      <c r="E46" s="20">
        <v>163.792</v>
      </c>
      <c r="F46" s="20">
        <v>83.641000000000005</v>
      </c>
      <c r="G46" s="20" t="s">
        <v>29</v>
      </c>
    </row>
    <row r="47" spans="1:7" ht="12">
      <c r="A47" s="9" t="s">
        <v>279</v>
      </c>
      <c r="B47" s="27">
        <v>11.204000000000001</v>
      </c>
      <c r="C47" s="27">
        <v>3.282</v>
      </c>
      <c r="D47" s="27">
        <v>15.222</v>
      </c>
      <c r="E47" s="27">
        <v>163.792</v>
      </c>
      <c r="F47" s="27">
        <v>83.641000000000005</v>
      </c>
      <c r="G47" s="27" t="s">
        <v>29</v>
      </c>
    </row>
    <row r="48" spans="1:7" ht="12">
      <c r="A48" s="4" t="s">
        <v>280</v>
      </c>
      <c r="B48" s="20" t="s">
        <v>29</v>
      </c>
      <c r="C48" s="20" t="s">
        <v>29</v>
      </c>
      <c r="D48" s="20" t="s">
        <v>29</v>
      </c>
      <c r="E48" s="20" t="s">
        <v>29</v>
      </c>
      <c r="F48" s="20" t="s">
        <v>29</v>
      </c>
      <c r="G48" s="20" t="s">
        <v>29</v>
      </c>
    </row>
    <row r="49" spans="1:7" ht="12">
      <c r="A49" s="4" t="s">
        <v>281</v>
      </c>
      <c r="B49" s="20">
        <v>-0.6</v>
      </c>
      <c r="C49" s="20">
        <v>-1.4</v>
      </c>
      <c r="D49" s="20">
        <v>-14</v>
      </c>
      <c r="E49" s="20">
        <v>-40.799999999999997</v>
      </c>
      <c r="F49" s="20">
        <v>-57.8</v>
      </c>
      <c r="G49" s="20" t="s">
        <v>29</v>
      </c>
    </row>
    <row r="50" spans="1:7" ht="12">
      <c r="A50" s="9" t="s">
        <v>282</v>
      </c>
      <c r="B50" s="27">
        <v>-0.6</v>
      </c>
      <c r="C50" s="27">
        <v>-1.4</v>
      </c>
      <c r="D50" s="27">
        <v>-14</v>
      </c>
      <c r="E50" s="27">
        <v>-40.799999999999997</v>
      </c>
      <c r="F50" s="27">
        <v>-57.8</v>
      </c>
      <c r="G50" s="27" t="s">
        <v>29</v>
      </c>
    </row>
    <row r="51" spans="1:7">
      <c r="A51" s="4"/>
      <c r="B51" s="4"/>
      <c r="C51" s="4"/>
      <c r="D51" s="4"/>
      <c r="E51" s="4"/>
      <c r="F51" s="4"/>
      <c r="G51" s="4"/>
    </row>
    <row r="52" spans="1:7" ht="12">
      <c r="A52" s="4" t="s">
        <v>283</v>
      </c>
      <c r="B52" s="20">
        <v>27.887</v>
      </c>
      <c r="C52" s="20">
        <v>77.5</v>
      </c>
      <c r="D52" s="20">
        <v>0.17</v>
      </c>
      <c r="E52" s="20">
        <v>65.730999999999995</v>
      </c>
      <c r="F52" s="20">
        <v>9.2129999999999992</v>
      </c>
      <c r="G52" s="20" t="s">
        <v>29</v>
      </c>
    </row>
    <row r="53" spans="1:7">
      <c r="A53" s="4"/>
      <c r="B53" s="4"/>
      <c r="C53" s="4"/>
      <c r="D53" s="4"/>
      <c r="E53" s="4"/>
      <c r="F53" s="4"/>
      <c r="G53" s="4"/>
    </row>
    <row r="54" spans="1:7" ht="12">
      <c r="A54" s="9" t="s">
        <v>284</v>
      </c>
      <c r="B54" s="27" t="s">
        <v>29</v>
      </c>
      <c r="C54" s="27" t="s">
        <v>29</v>
      </c>
      <c r="D54" s="27" t="s">
        <v>29</v>
      </c>
      <c r="E54" s="27" t="s">
        <v>29</v>
      </c>
      <c r="F54" s="27" t="s">
        <v>29</v>
      </c>
      <c r="G54" s="27" t="s">
        <v>29</v>
      </c>
    </row>
    <row r="55" spans="1:7">
      <c r="A55" s="4"/>
      <c r="B55" s="4"/>
      <c r="C55" s="4"/>
      <c r="D55" s="4"/>
      <c r="E55" s="4"/>
      <c r="F55" s="4"/>
      <c r="G55" s="4"/>
    </row>
    <row r="56" spans="1:7" ht="12">
      <c r="A56" s="4" t="s">
        <v>285</v>
      </c>
      <c r="B56" s="20" t="s">
        <v>29</v>
      </c>
      <c r="C56" s="20" t="s">
        <v>29</v>
      </c>
      <c r="D56" s="20" t="s">
        <v>29</v>
      </c>
      <c r="E56" s="20" t="s">
        <v>29</v>
      </c>
      <c r="F56" s="20" t="s">
        <v>29</v>
      </c>
      <c r="G56" s="20" t="s">
        <v>29</v>
      </c>
    </row>
    <row r="57" spans="1:7">
      <c r="A57" s="4" t="s">
        <v>286</v>
      </c>
      <c r="B57" s="20">
        <v>-1.3</v>
      </c>
      <c r="C57" s="20">
        <v>-5.8</v>
      </c>
      <c r="D57" s="20">
        <v>-3.3</v>
      </c>
      <c r="E57" s="20">
        <v>-3.5</v>
      </c>
      <c r="F57" s="20">
        <v>-11.8</v>
      </c>
      <c r="G57" s="20">
        <v>77.869</v>
      </c>
    </row>
    <row r="58" spans="1:7">
      <c r="A58" s="9" t="s">
        <v>287</v>
      </c>
      <c r="B58" s="27">
        <v>37.246000000000002</v>
      </c>
      <c r="C58" s="27">
        <v>73.653000000000006</v>
      </c>
      <c r="D58" s="27">
        <v>-1.9</v>
      </c>
      <c r="E58" s="27">
        <v>185.18700000000001</v>
      </c>
      <c r="F58" s="27">
        <v>23.245000000000001</v>
      </c>
      <c r="G58" s="27">
        <v>77.869</v>
      </c>
    </row>
    <row r="59" spans="1:7">
      <c r="A59" s="4"/>
      <c r="B59" s="4"/>
      <c r="C59" s="4"/>
      <c r="D59" s="4"/>
      <c r="E59" s="4"/>
      <c r="F59" s="4"/>
      <c r="G59" s="4"/>
    </row>
    <row r="60" spans="1:7" ht="12">
      <c r="A60" s="4" t="s">
        <v>288</v>
      </c>
      <c r="B60" s="20" t="s">
        <v>29</v>
      </c>
      <c r="C60" s="20" t="s">
        <v>29</v>
      </c>
      <c r="D60" s="20" t="s">
        <v>29</v>
      </c>
      <c r="E60" s="20" t="s">
        <v>29</v>
      </c>
      <c r="F60" s="20">
        <v>2.1000000000000001E-2</v>
      </c>
      <c r="G60" s="20">
        <v>-0.1</v>
      </c>
    </row>
    <row r="61" spans="1:7" ht="12">
      <c r="A61" s="4" t="s">
        <v>289</v>
      </c>
      <c r="B61" s="20" t="s">
        <v>29</v>
      </c>
      <c r="C61" s="20" t="s">
        <v>29</v>
      </c>
      <c r="D61" s="20" t="s">
        <v>29</v>
      </c>
      <c r="E61" s="20">
        <v>0</v>
      </c>
      <c r="F61" s="20" t="s">
        <v>29</v>
      </c>
      <c r="G61" s="20" t="s">
        <v>29</v>
      </c>
    </row>
    <row r="62" spans="1:7">
      <c r="A62" s="9" t="s">
        <v>290</v>
      </c>
      <c r="B62" s="28">
        <v>-9.6</v>
      </c>
      <c r="C62" s="28">
        <v>82.759</v>
      </c>
      <c r="D62" s="28">
        <v>-69.2</v>
      </c>
      <c r="E62" s="28">
        <v>88.953999999999994</v>
      </c>
      <c r="F62" s="28">
        <v>-105.8</v>
      </c>
      <c r="G62" s="28">
        <v>-4.5999999999999996</v>
      </c>
    </row>
    <row r="63" spans="1:7">
      <c r="A63" s="4"/>
      <c r="B63" s="4"/>
      <c r="C63" s="4"/>
      <c r="D63" s="4"/>
      <c r="E63" s="4"/>
      <c r="F63" s="4"/>
      <c r="G63" s="4"/>
    </row>
    <row r="64" spans="1:7">
      <c r="A64" s="9" t="s">
        <v>133</v>
      </c>
      <c r="B64" s="4"/>
      <c r="C64" s="4"/>
      <c r="D64" s="4"/>
      <c r="E64" s="4"/>
      <c r="F64" s="4"/>
      <c r="G64" s="4"/>
    </row>
    <row r="65" spans="1:7" ht="12">
      <c r="A65" s="4" t="s">
        <v>291</v>
      </c>
      <c r="B65" s="20">
        <v>1.2709999999999999</v>
      </c>
      <c r="C65" s="20">
        <v>3.46</v>
      </c>
      <c r="D65" s="20">
        <v>3.3210000000000002</v>
      </c>
      <c r="E65" s="20">
        <v>3.5030000000000001</v>
      </c>
      <c r="F65" s="20">
        <v>11.765000000000001</v>
      </c>
      <c r="G65" s="20" t="s">
        <v>38</v>
      </c>
    </row>
    <row r="66" spans="1:7" ht="12">
      <c r="A66" s="4" t="s">
        <v>292</v>
      </c>
      <c r="B66" s="20">
        <v>8.5000000000000006E-2</v>
      </c>
      <c r="C66" s="20" t="s">
        <v>38</v>
      </c>
      <c r="D66" s="20">
        <v>-0.4</v>
      </c>
      <c r="E66" s="20" t="s">
        <v>38</v>
      </c>
      <c r="F66" s="20" t="s">
        <v>38</v>
      </c>
      <c r="G66" s="20" t="s">
        <v>38</v>
      </c>
    </row>
    <row r="67" spans="1:7">
      <c r="A67" s="4" t="s">
        <v>293</v>
      </c>
      <c r="B67" s="20">
        <v>-41</v>
      </c>
      <c r="C67" s="20">
        <v>-5.9</v>
      </c>
      <c r="D67" s="20">
        <v>3.9183750000000002</v>
      </c>
      <c r="E67" s="20">
        <v>-111.6</v>
      </c>
      <c r="F67" s="20">
        <v>-40.799999999999997</v>
      </c>
      <c r="G67" s="20">
        <v>-32.799999999999997</v>
      </c>
    </row>
    <row r="68" spans="1:7">
      <c r="A68" s="4" t="s">
        <v>294</v>
      </c>
      <c r="B68" s="20">
        <v>-39.9</v>
      </c>
      <c r="C68" s="20">
        <v>-3.7</v>
      </c>
      <c r="D68" s="20">
        <v>5.9939999999999998</v>
      </c>
      <c r="E68" s="20">
        <v>-109.4</v>
      </c>
      <c r="F68" s="20">
        <v>-33.4</v>
      </c>
      <c r="G68" s="20">
        <v>-18.100000000000001</v>
      </c>
    </row>
    <row r="69" spans="1:7">
      <c r="A69" s="4" t="s">
        <v>295</v>
      </c>
      <c r="B69" s="20">
        <v>10.667</v>
      </c>
      <c r="C69" s="20">
        <v>6.5149999999999997</v>
      </c>
      <c r="D69" s="20">
        <v>6.0860000000000003</v>
      </c>
      <c r="E69" s="20">
        <v>57.871000000000002</v>
      </c>
      <c r="F69" s="20">
        <v>-31.2</v>
      </c>
      <c r="G69" s="20">
        <v>15.635999999999999</v>
      </c>
    </row>
    <row r="70" spans="1:7" ht="12">
      <c r="A70" s="4" t="s">
        <v>296</v>
      </c>
      <c r="B70" s="20">
        <v>10.63</v>
      </c>
      <c r="C70" s="20">
        <v>1.917</v>
      </c>
      <c r="D70" s="20">
        <v>1.202</v>
      </c>
      <c r="E70" s="20">
        <v>122.959</v>
      </c>
      <c r="F70" s="20">
        <v>25.798999999999999</v>
      </c>
      <c r="G70" s="20" t="s">
        <v>38</v>
      </c>
    </row>
    <row r="71" spans="1:7">
      <c r="A71" s="4" t="s">
        <v>141</v>
      </c>
      <c r="B71" s="30">
        <v>43563</v>
      </c>
      <c r="C71" s="30">
        <v>43943</v>
      </c>
      <c r="D71" s="30">
        <v>44306</v>
      </c>
      <c r="E71" s="30">
        <v>44666</v>
      </c>
      <c r="F71" s="30">
        <v>44666</v>
      </c>
      <c r="G71" s="30">
        <v>44992</v>
      </c>
    </row>
    <row r="72" spans="1:7" ht="12">
      <c r="A72" s="4" t="s">
        <v>142</v>
      </c>
      <c r="B72" s="23" t="s">
        <v>239</v>
      </c>
      <c r="C72" s="23" t="s">
        <v>144</v>
      </c>
      <c r="D72" s="23" t="s">
        <v>144</v>
      </c>
      <c r="E72" s="23" t="s">
        <v>144</v>
      </c>
      <c r="F72" s="23" t="s">
        <v>145</v>
      </c>
      <c r="G72" s="23" t="s">
        <v>146</v>
      </c>
    </row>
    <row r="73" spans="1:7" ht="12">
      <c r="A73" s="4" t="s">
        <v>147</v>
      </c>
      <c r="B73" s="23" t="s">
        <v>148</v>
      </c>
      <c r="C73" s="23" t="s">
        <v>148</v>
      </c>
      <c r="D73" s="23" t="s">
        <v>148</v>
      </c>
      <c r="E73" s="23" t="s">
        <v>148</v>
      </c>
      <c r="F73" s="23" t="s">
        <v>148</v>
      </c>
      <c r="G73" s="23" t="s">
        <v>148</v>
      </c>
    </row>
    <row r="74" spans="1:7">
      <c r="A74" s="4"/>
      <c r="B74" s="4"/>
      <c r="C74" s="4"/>
      <c r="D74" s="4"/>
      <c r="E74" s="4"/>
      <c r="F74" s="4"/>
      <c r="G74" s="4"/>
    </row>
    <row r="75" spans="1:7" ht="72">
      <c r="A75" s="35" t="s">
        <v>67</v>
      </c>
      <c r="B75" s="11"/>
      <c r="C75" s="11"/>
      <c r="D75" s="11"/>
      <c r="E75" s="11"/>
      <c r="F75" s="11"/>
      <c r="G75"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autoPageBreaks="0"/>
  </sheetPr>
  <dimension ref="A5:IU91"/>
  <sheetViews>
    <sheetView workbookViewId="0"/>
  </sheetViews>
  <sheetFormatPr baseColWidth="10" defaultColWidth="8.83203125" defaultRowHeight="11"/>
  <cols>
    <col min="1" max="1" width="45.83203125" customWidth="1"/>
    <col min="2" max="8" width="14.83203125" customWidth="1"/>
  </cols>
  <sheetData>
    <row r="5" spans="1:255" ht="17">
      <c r="A5" s="1" t="s">
        <v>297</v>
      </c>
    </row>
    <row r="7" spans="1:255">
      <c r="A7" s="4"/>
      <c r="B7" s="3" t="s">
        <v>298</v>
      </c>
      <c r="C7" t="s">
        <v>299</v>
      </c>
      <c r="D7" s="4" t="s">
        <v>4</v>
      </c>
      <c r="E7" s="3" t="s">
        <v>300</v>
      </c>
      <c r="F7" t="s">
        <v>301</v>
      </c>
    </row>
    <row r="8" spans="1:255">
      <c r="A8" s="4"/>
      <c r="B8" s="3" t="s">
        <v>302</v>
      </c>
      <c r="C8" t="s">
        <v>8</v>
      </c>
      <c r="D8" s="4" t="s">
        <v>4</v>
      </c>
      <c r="E8" s="3" t="s">
        <v>303</v>
      </c>
      <c r="F8" s="5" t="s">
        <v>12</v>
      </c>
    </row>
    <row r="9" spans="1:255">
      <c r="A9" s="4"/>
      <c r="B9" s="3" t="s">
        <v>304</v>
      </c>
      <c r="C9" t="s">
        <v>14</v>
      </c>
      <c r="D9" s="4" t="s">
        <v>4</v>
      </c>
      <c r="E9" s="26"/>
      <c r="F9" s="26"/>
    </row>
    <row r="12" spans="1:255">
      <c r="A12" s="6" t="s">
        <v>305</v>
      </c>
      <c r="B12" s="6"/>
      <c r="C12" s="6"/>
      <c r="D12" s="6"/>
      <c r="E12" s="6"/>
      <c r="F12" s="6"/>
      <c r="G12" s="6"/>
      <c r="H12" s="6"/>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row>
    <row r="13" spans="1:255" ht="14">
      <c r="A13" s="36"/>
      <c r="B13" s="37"/>
      <c r="C13" s="37"/>
      <c r="D13" s="37"/>
      <c r="E13" s="37"/>
      <c r="F13" s="37"/>
      <c r="G13" s="37"/>
      <c r="H13" s="3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c r="A14" s="38" t="s">
        <v>306</v>
      </c>
      <c r="B14" s="39"/>
      <c r="C14" s="40">
        <v>44561</v>
      </c>
      <c r="D14" s="40">
        <v>44651</v>
      </c>
      <c r="E14" s="40">
        <v>44742</v>
      </c>
      <c r="F14" s="40">
        <v>44834</v>
      </c>
      <c r="G14" s="40">
        <v>44925</v>
      </c>
      <c r="H14" s="40">
        <v>44995</v>
      </c>
    </row>
    <row r="15" spans="1:255">
      <c r="A15" s="38" t="s">
        <v>307</v>
      </c>
      <c r="B15" s="41" t="s">
        <v>308</v>
      </c>
      <c r="C15" s="42">
        <v>60.232746878787879</v>
      </c>
      <c r="D15" s="42">
        <v>54.776383609375003</v>
      </c>
      <c r="E15" s="42">
        <v>31.525478629032257</v>
      </c>
      <c r="F15" s="42">
        <v>29.792757515151514</v>
      </c>
      <c r="G15" s="42">
        <v>27.696364078125001</v>
      </c>
      <c r="H15" s="42">
        <v>21.08832876</v>
      </c>
    </row>
    <row r="16" spans="1:255">
      <c r="A16" s="41"/>
      <c r="B16" s="41" t="s">
        <v>309</v>
      </c>
      <c r="C16" s="43">
        <v>65.709599999999995</v>
      </c>
      <c r="D16" s="43">
        <v>64.765559999999994</v>
      </c>
      <c r="E16" s="43">
        <v>39.605282000000003</v>
      </c>
      <c r="F16" s="43">
        <v>33.741267000000001</v>
      </c>
      <c r="G16" s="43">
        <v>31.031434999999998</v>
      </c>
      <c r="H16" s="43">
        <v>23.654226999999999</v>
      </c>
    </row>
    <row r="17" spans="1:8">
      <c r="A17" s="41"/>
      <c r="B17" s="41" t="s">
        <v>310</v>
      </c>
      <c r="C17" s="43">
        <v>56.153694000000002</v>
      </c>
      <c r="D17" s="43">
        <v>38.813493000000001</v>
      </c>
      <c r="E17" s="43">
        <v>26.455887000000001</v>
      </c>
      <c r="F17" s="43">
        <v>27.493255000000001</v>
      </c>
      <c r="G17" s="43">
        <v>22.803346999999999</v>
      </c>
      <c r="H17" s="43">
        <v>7.0856969999999997</v>
      </c>
    </row>
    <row r="18" spans="1:8">
      <c r="A18" s="41"/>
      <c r="B18" s="41" t="s">
        <v>311</v>
      </c>
      <c r="C18" s="43">
        <v>60.942199000000002</v>
      </c>
      <c r="D18" s="43">
        <v>38.813493000000001</v>
      </c>
      <c r="E18" s="43">
        <v>30.171355999999999</v>
      </c>
      <c r="F18" s="43">
        <v>29.954536999999998</v>
      </c>
      <c r="G18" s="43">
        <v>23.066119</v>
      </c>
      <c r="H18" s="43">
        <v>7.195506</v>
      </c>
    </row>
    <row r="19" spans="1:8">
      <c r="A19" s="38"/>
      <c r="B19" s="41"/>
      <c r="C19" s="41"/>
      <c r="D19" s="41"/>
      <c r="E19" s="41"/>
      <c r="F19" s="41"/>
      <c r="G19" s="41"/>
      <c r="H19" s="41"/>
    </row>
    <row r="20" spans="1:8">
      <c r="A20" s="38" t="s">
        <v>312</v>
      </c>
      <c r="B20" s="41" t="s">
        <v>308</v>
      </c>
      <c r="C20" s="42">
        <v>6.2944190000000004</v>
      </c>
      <c r="D20" s="42">
        <v>4.6191930000000001</v>
      </c>
      <c r="E20" s="42">
        <v>2.7571599999999998</v>
      </c>
      <c r="F20" s="42">
        <v>4.0689140000000004</v>
      </c>
      <c r="G20" s="42">
        <v>4.0123949999999997</v>
      </c>
      <c r="H20" s="42">
        <v>8.1669119999999999</v>
      </c>
    </row>
    <row r="21" spans="1:8">
      <c r="A21" s="41"/>
      <c r="B21" s="41" t="s">
        <v>309</v>
      </c>
      <c r="C21" s="43">
        <v>7.3185580000000003</v>
      </c>
      <c r="D21" s="43">
        <v>5.5571250000000001</v>
      </c>
      <c r="E21" s="43">
        <v>4.7734040000000002</v>
      </c>
      <c r="F21" s="43">
        <v>4.8655169999999996</v>
      </c>
      <c r="G21" s="43">
        <v>4.5400099999999997</v>
      </c>
      <c r="H21" s="43">
        <v>13.281872</v>
      </c>
    </row>
    <row r="22" spans="1:8">
      <c r="A22" s="41"/>
      <c r="B22" s="41" t="s">
        <v>310</v>
      </c>
      <c r="C22" s="43">
        <v>5.180466</v>
      </c>
      <c r="D22" s="43">
        <v>2.9484720000000002</v>
      </c>
      <c r="E22" s="43">
        <v>1.960834</v>
      </c>
      <c r="F22" s="43">
        <v>3.7987139999999999</v>
      </c>
      <c r="G22" s="43">
        <v>3.429576</v>
      </c>
      <c r="H22" s="43">
        <v>3.7928259999999998</v>
      </c>
    </row>
    <row r="23" spans="1:8">
      <c r="A23" s="41"/>
      <c r="B23" s="41" t="s">
        <v>311</v>
      </c>
      <c r="C23" s="43">
        <v>5.2290669999999997</v>
      </c>
      <c r="D23" s="43">
        <v>2.9484720000000002</v>
      </c>
      <c r="E23" s="43">
        <v>4.3507319999999998</v>
      </c>
      <c r="F23" s="43">
        <v>3.8205119999999999</v>
      </c>
      <c r="G23" s="43">
        <v>3.732091</v>
      </c>
      <c r="H23" s="43">
        <v>9.7527279999999994</v>
      </c>
    </row>
    <row r="24" spans="1:8">
      <c r="A24" s="38"/>
      <c r="B24" s="41"/>
      <c r="C24" s="41"/>
      <c r="D24" s="41"/>
      <c r="E24" s="41"/>
      <c r="F24" s="41"/>
      <c r="G24" s="41"/>
      <c r="H24" s="41"/>
    </row>
    <row r="25" spans="1:8">
      <c r="A25" s="38" t="s">
        <v>313</v>
      </c>
      <c r="B25" s="41" t="s">
        <v>308</v>
      </c>
      <c r="C25" s="44" t="s">
        <v>33</v>
      </c>
      <c r="D25" s="44" t="s">
        <v>33</v>
      </c>
      <c r="E25" s="44" t="s">
        <v>33</v>
      </c>
      <c r="F25" s="44" t="s">
        <v>33</v>
      </c>
      <c r="G25" s="44" t="s">
        <v>33</v>
      </c>
      <c r="H25" s="44" t="s">
        <v>33</v>
      </c>
    </row>
    <row r="26" spans="1:8">
      <c r="A26" s="41"/>
      <c r="B26" s="41" t="s">
        <v>309</v>
      </c>
      <c r="C26" s="45" t="s">
        <v>33</v>
      </c>
      <c r="D26" s="45" t="s">
        <v>33</v>
      </c>
      <c r="E26" s="45" t="s">
        <v>33</v>
      </c>
      <c r="F26" s="45" t="s">
        <v>33</v>
      </c>
      <c r="G26" s="45" t="s">
        <v>33</v>
      </c>
      <c r="H26" s="45" t="s">
        <v>33</v>
      </c>
    </row>
    <row r="27" spans="1:8">
      <c r="A27" s="41"/>
      <c r="B27" s="41" t="s">
        <v>310</v>
      </c>
      <c r="C27" s="45" t="s">
        <v>33</v>
      </c>
      <c r="D27" s="45" t="s">
        <v>33</v>
      </c>
      <c r="E27" s="45" t="s">
        <v>33</v>
      </c>
      <c r="F27" s="45" t="s">
        <v>33</v>
      </c>
      <c r="G27" s="45" t="s">
        <v>33</v>
      </c>
      <c r="H27" s="45" t="s">
        <v>33</v>
      </c>
    </row>
    <row r="28" spans="1:8">
      <c r="A28" s="41"/>
      <c r="B28" s="41" t="s">
        <v>311</v>
      </c>
      <c r="C28" s="45" t="s">
        <v>33</v>
      </c>
      <c r="D28" s="45" t="s">
        <v>33</v>
      </c>
      <c r="E28" s="45" t="s">
        <v>33</v>
      </c>
      <c r="F28" s="45" t="s">
        <v>33</v>
      </c>
      <c r="G28" s="45" t="s">
        <v>33</v>
      </c>
      <c r="H28" s="45" t="s">
        <v>33</v>
      </c>
    </row>
    <row r="29" spans="1:8">
      <c r="A29" s="38"/>
      <c r="B29" s="41"/>
      <c r="C29" s="41"/>
      <c r="D29" s="41"/>
      <c r="E29" s="41"/>
      <c r="F29" s="41"/>
      <c r="G29" s="41"/>
      <c r="H29" s="41"/>
    </row>
    <row r="30" spans="1:8">
      <c r="A30" s="38" t="s">
        <v>314</v>
      </c>
      <c r="B30" s="41" t="s">
        <v>308</v>
      </c>
      <c r="C30" s="42">
        <v>8.4574669999999994</v>
      </c>
      <c r="D30" s="42">
        <v>6.7300110000000002</v>
      </c>
      <c r="E30" s="42">
        <v>4.8774119999999996</v>
      </c>
      <c r="F30" s="42">
        <v>4.2377849999999997</v>
      </c>
      <c r="G30" s="42">
        <v>4.5532459999999997</v>
      </c>
      <c r="H30" s="42">
        <v>4.0996240000000004</v>
      </c>
    </row>
    <row r="31" spans="1:8">
      <c r="A31" s="41"/>
      <c r="B31" s="41" t="s">
        <v>309</v>
      </c>
      <c r="C31" s="43">
        <v>12.532057999999999</v>
      </c>
      <c r="D31" s="43">
        <v>8.3110879999999998</v>
      </c>
      <c r="E31" s="43">
        <v>6.1533420000000003</v>
      </c>
      <c r="F31" s="43">
        <v>4.8149009999999999</v>
      </c>
      <c r="G31" s="43">
        <v>5.2497920000000002</v>
      </c>
      <c r="H31" s="43">
        <v>4.2158980000000001</v>
      </c>
    </row>
    <row r="32" spans="1:8">
      <c r="A32" s="41"/>
      <c r="B32" s="41" t="s">
        <v>310</v>
      </c>
      <c r="C32" s="43">
        <v>6.3847800000000001</v>
      </c>
      <c r="D32" s="43">
        <v>4.3473110000000004</v>
      </c>
      <c r="E32" s="43">
        <v>3.150522</v>
      </c>
      <c r="F32" s="43">
        <v>3.9233030000000002</v>
      </c>
      <c r="G32" s="43">
        <v>3.8577949999999999</v>
      </c>
      <c r="H32" s="43">
        <v>3.965754</v>
      </c>
    </row>
    <row r="33" spans="1:8">
      <c r="A33" s="41"/>
      <c r="B33" s="41" t="s">
        <v>311</v>
      </c>
      <c r="C33" s="43">
        <v>6.4446789999999998</v>
      </c>
      <c r="D33" s="43">
        <v>6.030322</v>
      </c>
      <c r="E33" s="43">
        <v>4.305472</v>
      </c>
      <c r="F33" s="43">
        <v>4.1265020000000003</v>
      </c>
      <c r="G33" s="43">
        <v>3.90225</v>
      </c>
      <c r="H33" s="45" t="s">
        <v>33</v>
      </c>
    </row>
    <row r="34" spans="1:8">
      <c r="A34" s="38"/>
      <c r="B34" s="41"/>
      <c r="C34" s="41"/>
      <c r="D34" s="41"/>
      <c r="E34" s="41"/>
      <c r="F34" s="41"/>
      <c r="G34" s="41"/>
      <c r="H34" s="41"/>
    </row>
    <row r="35" spans="1:8">
      <c r="A35" s="38" t="s">
        <v>315</v>
      </c>
      <c r="B35" s="41" t="s">
        <v>308</v>
      </c>
      <c r="C35" s="44" t="s">
        <v>33</v>
      </c>
      <c r="D35" s="44" t="s">
        <v>33</v>
      </c>
      <c r="E35" s="44" t="s">
        <v>33</v>
      </c>
      <c r="F35" s="44" t="s">
        <v>33</v>
      </c>
      <c r="G35" s="44" t="s">
        <v>33</v>
      </c>
      <c r="H35" s="44" t="s">
        <v>33</v>
      </c>
    </row>
    <row r="36" spans="1:8">
      <c r="A36" s="41"/>
      <c r="B36" s="41" t="s">
        <v>309</v>
      </c>
      <c r="C36" s="45" t="s">
        <v>33</v>
      </c>
      <c r="D36" s="45" t="s">
        <v>33</v>
      </c>
      <c r="E36" s="45" t="s">
        <v>33</v>
      </c>
      <c r="F36" s="45" t="s">
        <v>33</v>
      </c>
      <c r="G36" s="45" t="s">
        <v>33</v>
      </c>
      <c r="H36" s="45" t="s">
        <v>33</v>
      </c>
    </row>
    <row r="37" spans="1:8">
      <c r="A37" s="41"/>
      <c r="B37" s="41" t="s">
        <v>310</v>
      </c>
      <c r="C37" s="45" t="s">
        <v>33</v>
      </c>
      <c r="D37" s="45" t="s">
        <v>33</v>
      </c>
      <c r="E37" s="45" t="s">
        <v>33</v>
      </c>
      <c r="F37" s="45" t="s">
        <v>33</v>
      </c>
      <c r="G37" s="45" t="s">
        <v>33</v>
      </c>
      <c r="H37" s="45" t="s">
        <v>33</v>
      </c>
    </row>
    <row r="38" spans="1:8">
      <c r="A38" s="41"/>
      <c r="B38" s="41" t="s">
        <v>311</v>
      </c>
      <c r="C38" s="45" t="s">
        <v>33</v>
      </c>
      <c r="D38" s="45" t="s">
        <v>33</v>
      </c>
      <c r="E38" s="45" t="s">
        <v>33</v>
      </c>
      <c r="F38" s="45" t="s">
        <v>33</v>
      </c>
      <c r="G38" s="45" t="s">
        <v>33</v>
      </c>
      <c r="H38" s="45" t="s">
        <v>33</v>
      </c>
    </row>
    <row r="39" spans="1:8">
      <c r="A39" s="38"/>
      <c r="B39" s="41"/>
      <c r="C39" s="41"/>
      <c r="D39" s="41"/>
      <c r="E39" s="41"/>
      <c r="F39" s="41"/>
      <c r="G39" s="41"/>
      <c r="H39" s="41"/>
    </row>
    <row r="40" spans="1:8">
      <c r="A40" s="38" t="s">
        <v>316</v>
      </c>
      <c r="B40" s="41" t="s">
        <v>308</v>
      </c>
      <c r="C40" s="42">
        <v>15.504275</v>
      </c>
      <c r="D40" s="42">
        <v>10.161262000000001</v>
      </c>
      <c r="E40" s="42">
        <v>10.368485</v>
      </c>
      <c r="F40" s="42">
        <v>34.159796</v>
      </c>
      <c r="G40" s="42">
        <v>21.377558000000001</v>
      </c>
      <c r="H40" s="44" t="s">
        <v>33</v>
      </c>
    </row>
    <row r="41" spans="1:8">
      <c r="A41" s="41"/>
      <c r="B41" s="41" t="s">
        <v>309</v>
      </c>
      <c r="C41" s="43">
        <v>27.846323999999999</v>
      </c>
      <c r="D41" s="43">
        <v>13.248873</v>
      </c>
      <c r="E41" s="43">
        <v>58.047997000000002</v>
      </c>
      <c r="F41" s="43">
        <v>59.168149999999997</v>
      </c>
      <c r="G41" s="43">
        <v>21.657926</v>
      </c>
      <c r="H41" s="45" t="s">
        <v>33</v>
      </c>
    </row>
    <row r="42" spans="1:8">
      <c r="A42" s="41"/>
      <c r="B42" s="41" t="s">
        <v>310</v>
      </c>
      <c r="C42" s="43">
        <v>11.967753999999999</v>
      </c>
      <c r="D42" s="43">
        <v>4.3156759999999998</v>
      </c>
      <c r="E42" s="43">
        <v>2.9541710000000001</v>
      </c>
      <c r="F42" s="43">
        <v>21.257501000000001</v>
      </c>
      <c r="G42" s="43">
        <v>21.257664999999999</v>
      </c>
      <c r="H42" s="45" t="s">
        <v>33</v>
      </c>
    </row>
    <row r="43" spans="1:8">
      <c r="A43" s="41"/>
      <c r="B43" s="41" t="s">
        <v>311</v>
      </c>
      <c r="C43" s="43">
        <v>12.080030000000001</v>
      </c>
      <c r="D43" s="43">
        <v>4.5943810000000003</v>
      </c>
      <c r="E43" s="43">
        <v>52.908002000000003</v>
      </c>
      <c r="F43" s="43">
        <v>21.379480000000001</v>
      </c>
      <c r="G43" s="45" t="s">
        <v>33</v>
      </c>
      <c r="H43" s="45" t="s">
        <v>33</v>
      </c>
    </row>
    <row r="44" spans="1:8">
      <c r="A44" s="38"/>
      <c r="B44" s="41"/>
      <c r="C44" s="41"/>
      <c r="D44" s="41"/>
      <c r="E44" s="41"/>
      <c r="F44" s="41"/>
      <c r="G44" s="41"/>
      <c r="H44" s="41"/>
    </row>
    <row r="45" spans="1:8">
      <c r="A45" s="38" t="s">
        <v>317</v>
      </c>
      <c r="B45" s="41" t="s">
        <v>308</v>
      </c>
      <c r="C45" s="44" t="s">
        <v>33</v>
      </c>
      <c r="D45" s="44" t="s">
        <v>29</v>
      </c>
      <c r="E45" s="44" t="s">
        <v>33</v>
      </c>
      <c r="F45" s="44" t="s">
        <v>33</v>
      </c>
      <c r="G45" s="44" t="s">
        <v>33</v>
      </c>
      <c r="H45" s="44" t="s">
        <v>29</v>
      </c>
    </row>
    <row r="46" spans="1:8">
      <c r="A46" s="41"/>
      <c r="B46" s="41" t="s">
        <v>309</v>
      </c>
      <c r="C46" s="45" t="s">
        <v>33</v>
      </c>
      <c r="D46" s="45" t="s">
        <v>29</v>
      </c>
      <c r="E46" s="45" t="s">
        <v>33</v>
      </c>
      <c r="F46" s="45" t="s">
        <v>33</v>
      </c>
      <c r="G46" s="45" t="s">
        <v>33</v>
      </c>
      <c r="H46" s="45" t="s">
        <v>29</v>
      </c>
    </row>
    <row r="47" spans="1:8">
      <c r="A47" s="41"/>
      <c r="B47" s="41" t="s">
        <v>310</v>
      </c>
      <c r="C47" s="45" t="s">
        <v>33</v>
      </c>
      <c r="D47" s="45" t="s">
        <v>29</v>
      </c>
      <c r="E47" s="45" t="s">
        <v>33</v>
      </c>
      <c r="F47" s="45" t="s">
        <v>33</v>
      </c>
      <c r="G47" s="45" t="s">
        <v>33</v>
      </c>
      <c r="H47" s="45" t="s">
        <v>29</v>
      </c>
    </row>
    <row r="48" spans="1:8">
      <c r="A48" s="41"/>
      <c r="B48" s="41" t="s">
        <v>311</v>
      </c>
      <c r="C48" s="45" t="s">
        <v>33</v>
      </c>
      <c r="D48" s="45" t="s">
        <v>29</v>
      </c>
      <c r="E48" s="45" t="s">
        <v>33</v>
      </c>
      <c r="F48" s="45" t="s">
        <v>33</v>
      </c>
      <c r="G48" s="45" t="s">
        <v>33</v>
      </c>
      <c r="H48" s="45" t="s">
        <v>29</v>
      </c>
    </row>
    <row r="49" spans="1:8">
      <c r="A49" s="38"/>
      <c r="B49" s="41"/>
      <c r="C49" s="41"/>
      <c r="D49" s="41"/>
      <c r="E49" s="41"/>
      <c r="F49" s="41"/>
      <c r="G49" s="41"/>
      <c r="H49" s="41"/>
    </row>
    <row r="50" spans="1:8">
      <c r="A50" s="38" t="s">
        <v>318</v>
      </c>
      <c r="B50" s="41" t="s">
        <v>308</v>
      </c>
      <c r="C50" s="42">
        <v>10.856714999999999</v>
      </c>
      <c r="D50" s="42">
        <v>6.8264469999999999</v>
      </c>
      <c r="E50" s="42">
        <v>2.925729</v>
      </c>
      <c r="F50" s="42">
        <v>2.5304139999999999</v>
      </c>
      <c r="G50" s="42">
        <v>2.4354589999999998</v>
      </c>
      <c r="H50" s="42">
        <v>1.582992</v>
      </c>
    </row>
    <row r="51" spans="1:8">
      <c r="A51" s="41"/>
      <c r="B51" s="41" t="s">
        <v>309</v>
      </c>
      <c r="C51" s="43">
        <v>18.095237999999998</v>
      </c>
      <c r="D51" s="43">
        <v>8.3102470000000004</v>
      </c>
      <c r="E51" s="43">
        <v>4.244224</v>
      </c>
      <c r="F51" s="43">
        <v>3.2398530000000001</v>
      </c>
      <c r="G51" s="43">
        <v>3.1867610000000002</v>
      </c>
      <c r="H51" s="43">
        <v>1.721041</v>
      </c>
    </row>
    <row r="52" spans="1:8">
      <c r="A52" s="41"/>
      <c r="B52" s="41" t="s">
        <v>310</v>
      </c>
      <c r="C52" s="43">
        <v>7.5946439999999997</v>
      </c>
      <c r="D52" s="43">
        <v>3.3882979999999998</v>
      </c>
      <c r="E52" s="43">
        <v>1.7672410000000001</v>
      </c>
      <c r="F52" s="43">
        <v>2.2066400000000002</v>
      </c>
      <c r="G52" s="43">
        <v>1.560284</v>
      </c>
      <c r="H52" s="43">
        <v>1.453271</v>
      </c>
    </row>
    <row r="53" spans="1:8">
      <c r="A53" s="41"/>
      <c r="B53" s="41" t="s">
        <v>311</v>
      </c>
      <c r="C53" s="43">
        <v>7.6869800000000001</v>
      </c>
      <c r="D53" s="43">
        <v>4.1122110000000003</v>
      </c>
      <c r="E53" s="43">
        <v>2.682655</v>
      </c>
      <c r="F53" s="43">
        <v>2.3321010000000002</v>
      </c>
      <c r="G53" s="43">
        <v>1.6099300000000001</v>
      </c>
      <c r="H53" s="45" t="s">
        <v>33</v>
      </c>
    </row>
    <row r="54" spans="1:8">
      <c r="A54" s="38"/>
      <c r="B54" s="41"/>
      <c r="C54" s="41"/>
      <c r="D54" s="41"/>
      <c r="E54" s="41"/>
      <c r="F54" s="41"/>
      <c r="G54" s="41"/>
      <c r="H54" s="41"/>
    </row>
    <row r="55" spans="1:8">
      <c r="A55" s="38" t="s">
        <v>319</v>
      </c>
      <c r="B55" s="41" t="s">
        <v>308</v>
      </c>
      <c r="C55" s="44" t="s">
        <v>33</v>
      </c>
      <c r="D55" s="44" t="s">
        <v>29</v>
      </c>
      <c r="E55" s="44" t="s">
        <v>33</v>
      </c>
      <c r="F55" s="44" t="s">
        <v>33</v>
      </c>
      <c r="G55" s="44" t="s">
        <v>33</v>
      </c>
      <c r="H55" s="44" t="s">
        <v>29</v>
      </c>
    </row>
    <row r="56" spans="1:8">
      <c r="A56" s="41"/>
      <c r="B56" s="41" t="s">
        <v>309</v>
      </c>
      <c r="C56" s="45" t="s">
        <v>33</v>
      </c>
      <c r="D56" s="45" t="s">
        <v>29</v>
      </c>
      <c r="E56" s="45" t="s">
        <v>33</v>
      </c>
      <c r="F56" s="45" t="s">
        <v>33</v>
      </c>
      <c r="G56" s="45" t="s">
        <v>33</v>
      </c>
      <c r="H56" s="45" t="s">
        <v>29</v>
      </c>
    </row>
    <row r="57" spans="1:8">
      <c r="A57" s="41"/>
      <c r="B57" s="41" t="s">
        <v>310</v>
      </c>
      <c r="C57" s="45" t="s">
        <v>33</v>
      </c>
      <c r="D57" s="45" t="s">
        <v>29</v>
      </c>
      <c r="E57" s="45" t="s">
        <v>33</v>
      </c>
      <c r="F57" s="45" t="s">
        <v>33</v>
      </c>
      <c r="G57" s="45" t="s">
        <v>33</v>
      </c>
      <c r="H57" s="45" t="s">
        <v>29</v>
      </c>
    </row>
    <row r="58" spans="1:8">
      <c r="A58" s="41"/>
      <c r="B58" s="41" t="s">
        <v>311</v>
      </c>
      <c r="C58" s="45" t="s">
        <v>33</v>
      </c>
      <c r="D58" s="45" t="s">
        <v>29</v>
      </c>
      <c r="E58" s="45" t="s">
        <v>33</v>
      </c>
      <c r="F58" s="45" t="s">
        <v>33</v>
      </c>
      <c r="G58" s="45" t="s">
        <v>33</v>
      </c>
      <c r="H58" s="45" t="s">
        <v>29</v>
      </c>
    </row>
    <row r="59" spans="1:8">
      <c r="A59" s="38"/>
      <c r="B59" s="41"/>
      <c r="C59" s="41"/>
      <c r="D59" s="41"/>
      <c r="E59" s="41"/>
      <c r="F59" s="41"/>
      <c r="G59" s="41"/>
      <c r="H59" s="41"/>
    </row>
    <row r="60" spans="1:8">
      <c r="A60" s="38" t="s">
        <v>65</v>
      </c>
      <c r="B60" s="41" t="s">
        <v>308</v>
      </c>
      <c r="C60" s="42">
        <v>8.8051506515151523</v>
      </c>
      <c r="D60" s="44" t="s">
        <v>29</v>
      </c>
      <c r="E60" s="42">
        <v>10.448067884615385</v>
      </c>
      <c r="F60" s="42">
        <v>8.9748405303030303</v>
      </c>
      <c r="G60" s="42">
        <v>7.3930929843750004</v>
      </c>
      <c r="H60" s="44" t="s">
        <v>29</v>
      </c>
    </row>
    <row r="61" spans="1:8">
      <c r="A61" s="41"/>
      <c r="B61" s="41" t="s">
        <v>309</v>
      </c>
      <c r="C61" s="43">
        <v>9.8105270000000004</v>
      </c>
      <c r="D61" s="45" t="s">
        <v>29</v>
      </c>
      <c r="E61" s="43">
        <v>14.26721</v>
      </c>
      <c r="F61" s="43">
        <v>11.429389</v>
      </c>
      <c r="G61" s="43">
        <v>9.3207210000000007</v>
      </c>
      <c r="H61" s="45" t="s">
        <v>29</v>
      </c>
    </row>
    <row r="62" spans="1:8">
      <c r="A62" s="41"/>
      <c r="B62" s="41" t="s">
        <v>310</v>
      </c>
      <c r="C62" s="43">
        <v>8.0624690000000001</v>
      </c>
      <c r="D62" s="45" t="s">
        <v>29</v>
      </c>
      <c r="E62" s="43">
        <v>8.0057790000000004</v>
      </c>
      <c r="F62" s="43">
        <v>7.7844810000000004</v>
      </c>
      <c r="G62" s="43">
        <v>4.5635570000000003</v>
      </c>
      <c r="H62" s="45" t="s">
        <v>29</v>
      </c>
    </row>
    <row r="63" spans="1:8">
      <c r="A63" s="41"/>
      <c r="B63" s="41" t="s">
        <v>311</v>
      </c>
      <c r="C63" s="43">
        <v>8.9097419999999996</v>
      </c>
      <c r="D63" s="45" t="s">
        <v>29</v>
      </c>
      <c r="E63" s="43">
        <v>9.4637419999999999</v>
      </c>
      <c r="F63" s="43">
        <v>8.7399039999999992</v>
      </c>
      <c r="G63" s="43">
        <v>4.7087620000000001</v>
      </c>
      <c r="H63" s="45" t="s">
        <v>29</v>
      </c>
    </row>
    <row r="64" spans="1:8">
      <c r="A64" s="38"/>
      <c r="B64" s="41"/>
      <c r="C64" s="41"/>
      <c r="D64" s="41"/>
      <c r="E64" s="41"/>
      <c r="F64" s="41"/>
      <c r="G64" s="41"/>
      <c r="H64" s="41"/>
    </row>
    <row r="65" spans="1:8">
      <c r="A65" s="38" t="s">
        <v>320</v>
      </c>
      <c r="B65" s="41" t="s">
        <v>308</v>
      </c>
      <c r="C65" s="44" t="s">
        <v>33</v>
      </c>
      <c r="D65" s="44" t="s">
        <v>29</v>
      </c>
      <c r="E65" s="44" t="s">
        <v>33</v>
      </c>
      <c r="F65" s="44" t="s">
        <v>33</v>
      </c>
      <c r="G65" s="44" t="s">
        <v>33</v>
      </c>
      <c r="H65" s="44" t="s">
        <v>29</v>
      </c>
    </row>
    <row r="66" spans="1:8">
      <c r="A66" s="41"/>
      <c r="B66" s="41" t="s">
        <v>309</v>
      </c>
      <c r="C66" s="45" t="s">
        <v>33</v>
      </c>
      <c r="D66" s="45" t="s">
        <v>29</v>
      </c>
      <c r="E66" s="45" t="s">
        <v>33</v>
      </c>
      <c r="F66" s="45" t="s">
        <v>33</v>
      </c>
      <c r="G66" s="45" t="s">
        <v>33</v>
      </c>
      <c r="H66" s="45" t="s">
        <v>29</v>
      </c>
    </row>
    <row r="67" spans="1:8">
      <c r="A67" s="41"/>
      <c r="B67" s="41" t="s">
        <v>310</v>
      </c>
      <c r="C67" s="45" t="s">
        <v>33</v>
      </c>
      <c r="D67" s="45" t="s">
        <v>29</v>
      </c>
      <c r="E67" s="45" t="s">
        <v>33</v>
      </c>
      <c r="F67" s="45" t="s">
        <v>33</v>
      </c>
      <c r="G67" s="45" t="s">
        <v>33</v>
      </c>
      <c r="H67" s="45" t="s">
        <v>29</v>
      </c>
    </row>
    <row r="68" spans="1:8">
      <c r="A68" s="41"/>
      <c r="B68" s="41" t="s">
        <v>311</v>
      </c>
      <c r="C68" s="45" t="s">
        <v>33</v>
      </c>
      <c r="D68" s="45" t="s">
        <v>29</v>
      </c>
      <c r="E68" s="45" t="s">
        <v>33</v>
      </c>
      <c r="F68" s="45" t="s">
        <v>33</v>
      </c>
      <c r="G68" s="45" t="s">
        <v>33</v>
      </c>
      <c r="H68" s="45" t="s">
        <v>29</v>
      </c>
    </row>
    <row r="69" spans="1:8">
      <c r="A69" s="38"/>
      <c r="B69" s="41"/>
      <c r="C69" s="41"/>
      <c r="D69" s="41"/>
      <c r="E69" s="41"/>
      <c r="F69" s="41"/>
      <c r="G69" s="41"/>
      <c r="H69" s="41"/>
    </row>
    <row r="70" spans="1:8">
      <c r="A70" s="38" t="s">
        <v>321</v>
      </c>
      <c r="B70" s="41" t="s">
        <v>308</v>
      </c>
      <c r="C70" s="42">
        <v>23.592832999999999</v>
      </c>
      <c r="D70" s="42">
        <v>12.455249</v>
      </c>
      <c r="E70" s="42">
        <v>2.7045089999999998</v>
      </c>
      <c r="F70" s="44" t="s">
        <v>33</v>
      </c>
      <c r="G70" s="44" t="s">
        <v>33</v>
      </c>
      <c r="H70" s="44" t="s">
        <v>33</v>
      </c>
    </row>
    <row r="71" spans="1:8">
      <c r="A71" s="41"/>
      <c r="B71" s="41" t="s">
        <v>309</v>
      </c>
      <c r="C71" s="43">
        <v>56.351374999999997</v>
      </c>
      <c r="D71" s="43">
        <v>17.165633</v>
      </c>
      <c r="E71" s="43">
        <v>3.8502990000000001</v>
      </c>
      <c r="F71" s="45" t="s">
        <v>33</v>
      </c>
      <c r="G71" s="45" t="s">
        <v>33</v>
      </c>
      <c r="H71" s="45" t="s">
        <v>33</v>
      </c>
    </row>
    <row r="72" spans="1:8">
      <c r="A72" s="41"/>
      <c r="B72" s="41" t="s">
        <v>310</v>
      </c>
      <c r="C72" s="43">
        <v>15.341570000000001</v>
      </c>
      <c r="D72" s="43">
        <v>3.7305389999999998</v>
      </c>
      <c r="E72" s="43">
        <v>2.0508980000000001</v>
      </c>
      <c r="F72" s="45" t="s">
        <v>33</v>
      </c>
      <c r="G72" s="45" t="s">
        <v>33</v>
      </c>
      <c r="H72" s="45" t="s">
        <v>33</v>
      </c>
    </row>
    <row r="73" spans="1:8">
      <c r="A73" s="41"/>
      <c r="B73" s="41" t="s">
        <v>311</v>
      </c>
      <c r="C73" s="43">
        <v>15.528093999999999</v>
      </c>
      <c r="D73" s="43">
        <v>3.7305389999999998</v>
      </c>
      <c r="E73" s="45" t="s">
        <v>33</v>
      </c>
      <c r="F73" s="45" t="s">
        <v>33</v>
      </c>
      <c r="G73" s="45" t="s">
        <v>33</v>
      </c>
      <c r="H73" s="45" t="s">
        <v>33</v>
      </c>
    </row>
    <row r="74" spans="1:8">
      <c r="A74" s="38"/>
      <c r="B74" s="41"/>
      <c r="C74" s="41"/>
      <c r="D74" s="41"/>
      <c r="E74" s="41"/>
      <c r="F74" s="41"/>
      <c r="G74" s="41"/>
      <c r="H74" s="41"/>
    </row>
    <row r="75" spans="1:8">
      <c r="A75" s="38" t="s">
        <v>322</v>
      </c>
      <c r="B75" s="41" t="s">
        <v>308</v>
      </c>
      <c r="C75" s="44" t="s">
        <v>33</v>
      </c>
      <c r="D75" s="44" t="s">
        <v>33</v>
      </c>
      <c r="E75" s="44" t="s">
        <v>33</v>
      </c>
      <c r="F75" s="44" t="s">
        <v>33</v>
      </c>
      <c r="G75" s="44" t="s">
        <v>33</v>
      </c>
      <c r="H75" s="44" t="s">
        <v>33</v>
      </c>
    </row>
    <row r="76" spans="1:8">
      <c r="A76" s="41"/>
      <c r="B76" s="41" t="s">
        <v>309</v>
      </c>
      <c r="C76" s="45" t="s">
        <v>33</v>
      </c>
      <c r="D76" s="45" t="s">
        <v>33</v>
      </c>
      <c r="E76" s="45" t="s">
        <v>33</v>
      </c>
      <c r="F76" s="45" t="s">
        <v>33</v>
      </c>
      <c r="G76" s="45" t="s">
        <v>33</v>
      </c>
      <c r="H76" s="45" t="s">
        <v>33</v>
      </c>
    </row>
    <row r="77" spans="1:8">
      <c r="A77" s="41"/>
      <c r="B77" s="41" t="s">
        <v>310</v>
      </c>
      <c r="C77" s="45" t="s">
        <v>33</v>
      </c>
      <c r="D77" s="45" t="s">
        <v>33</v>
      </c>
      <c r="E77" s="45" t="s">
        <v>33</v>
      </c>
      <c r="F77" s="45" t="s">
        <v>33</v>
      </c>
      <c r="G77" s="45" t="s">
        <v>33</v>
      </c>
      <c r="H77" s="45" t="s">
        <v>33</v>
      </c>
    </row>
    <row r="78" spans="1:8">
      <c r="A78" s="41"/>
      <c r="B78" s="41" t="s">
        <v>311</v>
      </c>
      <c r="C78" s="45" t="s">
        <v>33</v>
      </c>
      <c r="D78" s="45" t="s">
        <v>33</v>
      </c>
      <c r="E78" s="45" t="s">
        <v>33</v>
      </c>
      <c r="F78" s="45" t="s">
        <v>33</v>
      </c>
      <c r="G78" s="45" t="s">
        <v>33</v>
      </c>
      <c r="H78" s="45" t="s">
        <v>33</v>
      </c>
    </row>
    <row r="79" spans="1:8">
      <c r="A79" s="38"/>
      <c r="B79" s="41"/>
      <c r="C79" s="41"/>
      <c r="D79" s="41"/>
      <c r="E79" s="41"/>
      <c r="F79" s="41"/>
      <c r="G79" s="41"/>
      <c r="H79" s="41"/>
    </row>
    <row r="80" spans="1:8">
      <c r="A80" s="38" t="s">
        <v>323</v>
      </c>
      <c r="B80" s="41" t="s">
        <v>308</v>
      </c>
      <c r="C80" s="44" t="s">
        <v>33</v>
      </c>
      <c r="D80" s="44" t="s">
        <v>33</v>
      </c>
      <c r="E80" s="44" t="s">
        <v>33</v>
      </c>
      <c r="F80" s="44" t="s">
        <v>33</v>
      </c>
      <c r="G80" s="44" t="s">
        <v>33</v>
      </c>
      <c r="H80" s="44" t="s">
        <v>33</v>
      </c>
    </row>
    <row r="81" spans="1:8">
      <c r="A81" s="41"/>
      <c r="B81" s="41" t="s">
        <v>309</v>
      </c>
      <c r="C81" s="45" t="s">
        <v>33</v>
      </c>
      <c r="D81" s="45" t="s">
        <v>33</v>
      </c>
      <c r="E81" s="45" t="s">
        <v>33</v>
      </c>
      <c r="F81" s="45" t="s">
        <v>33</v>
      </c>
      <c r="G81" s="45" t="s">
        <v>33</v>
      </c>
      <c r="H81" s="45" t="s">
        <v>33</v>
      </c>
    </row>
    <row r="82" spans="1:8">
      <c r="A82" s="41"/>
      <c r="B82" s="41" t="s">
        <v>310</v>
      </c>
      <c r="C82" s="45" t="s">
        <v>33</v>
      </c>
      <c r="D82" s="45" t="s">
        <v>33</v>
      </c>
      <c r="E82" s="45" t="s">
        <v>33</v>
      </c>
      <c r="F82" s="45" t="s">
        <v>33</v>
      </c>
      <c r="G82" s="45" t="s">
        <v>33</v>
      </c>
      <c r="H82" s="45" t="s">
        <v>33</v>
      </c>
    </row>
    <row r="83" spans="1:8">
      <c r="A83" s="41"/>
      <c r="B83" s="41" t="s">
        <v>311</v>
      </c>
      <c r="C83" s="45" t="s">
        <v>33</v>
      </c>
      <c r="D83" s="45" t="s">
        <v>33</v>
      </c>
      <c r="E83" s="45" t="s">
        <v>33</v>
      </c>
      <c r="F83" s="45" t="s">
        <v>33</v>
      </c>
      <c r="G83" s="45" t="s">
        <v>33</v>
      </c>
      <c r="H83" s="45" t="s">
        <v>33</v>
      </c>
    </row>
    <row r="84" spans="1:8">
      <c r="A84" s="38"/>
      <c r="B84" s="41"/>
      <c r="C84" s="41"/>
      <c r="D84" s="41"/>
      <c r="E84" s="41"/>
      <c r="F84" s="41"/>
      <c r="G84" s="41"/>
      <c r="H84" s="41"/>
    </row>
    <row r="85" spans="1:8">
      <c r="A85" s="46" t="s">
        <v>324</v>
      </c>
    </row>
    <row r="87" spans="1:8">
      <c r="A87" s="46" t="s">
        <v>325</v>
      </c>
    </row>
    <row r="91" spans="1:8" ht="25" customHeight="1">
      <c r="A91" s="47" t="s">
        <v>326</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pageSetUpPr autoPageBreaks="0"/>
  </sheetPr>
  <dimension ref="A5:IU39"/>
  <sheetViews>
    <sheetView topLeftCell="A13" zoomScale="125" workbookViewId="0">
      <selection activeCell="A32" sqref="A32:IV32"/>
    </sheetView>
  </sheetViews>
  <sheetFormatPr baseColWidth="10" defaultColWidth="8.83203125" defaultRowHeight="11"/>
  <cols>
    <col min="1" max="1" width="45.83203125" customWidth="1"/>
    <col min="2" max="7" width="14.83203125" customWidth="1"/>
    <col min="8" max="8" width="9.33203125" customWidth="1"/>
  </cols>
  <sheetData>
    <row r="5" spans="1:255" ht="17">
      <c r="A5" s="1" t="s">
        <v>327</v>
      </c>
    </row>
    <row r="7" spans="1:255" ht="12">
      <c r="A7" s="2" t="s">
        <v>328</v>
      </c>
      <c r="B7" s="3" t="s">
        <v>329</v>
      </c>
      <c r="C7" t="s">
        <v>301</v>
      </c>
      <c r="D7" s="4" t="s">
        <v>4</v>
      </c>
      <c r="E7" s="3" t="s">
        <v>330</v>
      </c>
      <c r="F7" t="s">
        <v>8</v>
      </c>
    </row>
    <row r="8" spans="1:255">
      <c r="A8" s="4"/>
      <c r="B8" s="3" t="s">
        <v>331</v>
      </c>
      <c r="C8" t="s">
        <v>3</v>
      </c>
      <c r="D8" s="4" t="s">
        <v>4</v>
      </c>
      <c r="E8" s="3" t="s">
        <v>332</v>
      </c>
      <c r="F8" t="s">
        <v>6</v>
      </c>
    </row>
    <row r="9" spans="1:255">
      <c r="A9" s="4"/>
      <c r="B9" s="3" t="s">
        <v>333</v>
      </c>
      <c r="C9" t="s">
        <v>10</v>
      </c>
      <c r="D9" s="4" t="s">
        <v>4</v>
      </c>
      <c r="E9" s="3" t="s">
        <v>334</v>
      </c>
      <c r="F9" s="5" t="s">
        <v>12</v>
      </c>
    </row>
    <row r="10" spans="1:255">
      <c r="A10" s="4"/>
      <c r="B10" s="3" t="s">
        <v>335</v>
      </c>
      <c r="C10" t="s">
        <v>14</v>
      </c>
      <c r="D10" s="4" t="s">
        <v>4</v>
      </c>
      <c r="E10" s="26"/>
      <c r="F10" s="26"/>
    </row>
    <row r="13" spans="1:255">
      <c r="A13" s="6" t="s">
        <v>336</v>
      </c>
      <c r="B13" s="6"/>
      <c r="C13" s="6"/>
      <c r="D13" s="6"/>
      <c r="E13" s="6"/>
      <c r="F13" s="6"/>
      <c r="G13" s="6"/>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ht="24">
      <c r="A14" s="7" t="s">
        <v>172</v>
      </c>
      <c r="B14" s="31">
        <v>43830</v>
      </c>
      <c r="C14" s="31">
        <v>44012</v>
      </c>
      <c r="D14" s="31">
        <v>44196</v>
      </c>
      <c r="E14" s="31">
        <v>44377</v>
      </c>
      <c r="F14" s="31">
        <v>44561</v>
      </c>
      <c r="G14" s="31">
        <v>44742</v>
      </c>
    </row>
    <row r="15" spans="1:255" ht="12">
      <c r="A15" s="7" t="s">
        <v>337</v>
      </c>
      <c r="B15" s="31">
        <v>43943</v>
      </c>
      <c r="C15" s="31">
        <v>44217</v>
      </c>
      <c r="D15" s="31">
        <v>44306</v>
      </c>
      <c r="E15" s="31">
        <v>44463</v>
      </c>
      <c r="F15" s="31">
        <v>44670</v>
      </c>
      <c r="G15" s="31">
        <v>44827</v>
      </c>
    </row>
    <row r="16" spans="1:255" ht="12">
      <c r="A16" s="8" t="s">
        <v>25</v>
      </c>
      <c r="B16" s="13" t="s">
        <v>26</v>
      </c>
      <c r="C16" s="13" t="s">
        <v>26</v>
      </c>
      <c r="D16" s="13" t="s">
        <v>26</v>
      </c>
      <c r="E16" s="13" t="s">
        <v>26</v>
      </c>
      <c r="F16" s="13" t="s">
        <v>26</v>
      </c>
      <c r="G16" s="13" t="s">
        <v>26</v>
      </c>
    </row>
    <row r="17" spans="1:7">
      <c r="A17" s="9" t="s">
        <v>338</v>
      </c>
      <c r="B17" s="4"/>
      <c r="C17" s="4"/>
      <c r="D17" s="4"/>
      <c r="E17" s="4"/>
      <c r="F17" s="4"/>
      <c r="G17" s="4"/>
    </row>
    <row r="18" spans="1:7">
      <c r="A18" s="4" t="s">
        <v>43</v>
      </c>
      <c r="B18" s="19">
        <v>21.7</v>
      </c>
      <c r="C18" s="19">
        <v>19.279999</v>
      </c>
      <c r="D18" s="19">
        <v>25.3</v>
      </c>
      <c r="E18" s="19">
        <v>17.799999</v>
      </c>
      <c r="F18" s="19">
        <v>10.96</v>
      </c>
      <c r="G18" s="19">
        <v>6.5999990000000004</v>
      </c>
    </row>
    <row r="19" spans="1:7">
      <c r="A19" s="4" t="s">
        <v>44</v>
      </c>
      <c r="B19" s="20">
        <v>39.133245000000002</v>
      </c>
      <c r="C19" s="20">
        <v>42.714097000000002</v>
      </c>
      <c r="D19" s="20">
        <v>42.714097000000002</v>
      </c>
      <c r="E19" s="20">
        <v>43.737096999999999</v>
      </c>
      <c r="F19" s="20">
        <v>44.870648000000003</v>
      </c>
      <c r="G19" s="20">
        <v>52.963062000000001</v>
      </c>
    </row>
    <row r="20" spans="1:7">
      <c r="A20" s="4"/>
      <c r="B20" s="4"/>
      <c r="C20" s="4"/>
      <c r="D20" s="4"/>
      <c r="E20" s="4"/>
      <c r="F20" s="4"/>
      <c r="G20" s="4"/>
    </row>
    <row r="21" spans="1:7">
      <c r="A21" s="9" t="s">
        <v>45</v>
      </c>
      <c r="B21" s="14">
        <v>849.191416</v>
      </c>
      <c r="C21" s="14">
        <v>823.52778999999998</v>
      </c>
      <c r="D21" s="14">
        <v>1080.6666540000001</v>
      </c>
      <c r="E21" s="14">
        <v>778.52032599999995</v>
      </c>
      <c r="F21" s="14">
        <v>491.78230200000002</v>
      </c>
      <c r="G21" s="14">
        <v>349.55620900000002</v>
      </c>
    </row>
    <row r="22" spans="1:7">
      <c r="A22" s="4" t="s">
        <v>46</v>
      </c>
      <c r="B22" s="20">
        <v>49.765999999999998</v>
      </c>
      <c r="C22" s="20">
        <v>62.591999999999999</v>
      </c>
      <c r="D22" s="20">
        <v>138.68899999999999</v>
      </c>
      <c r="E22" s="20">
        <v>55.83</v>
      </c>
      <c r="F22" s="20">
        <v>32.872</v>
      </c>
      <c r="G22" s="20">
        <v>29.298999999999999</v>
      </c>
    </row>
    <row r="23" spans="1:7">
      <c r="A23" s="4" t="s">
        <v>47</v>
      </c>
      <c r="B23" s="20">
        <v>198.423</v>
      </c>
      <c r="C23" s="20">
        <v>208.86500000000001</v>
      </c>
      <c r="D23" s="20">
        <v>328.64</v>
      </c>
      <c r="E23" s="20">
        <v>313.17200000000003</v>
      </c>
      <c r="F23" s="20">
        <v>353.608</v>
      </c>
      <c r="G23" s="20">
        <v>347.58300000000003</v>
      </c>
    </row>
    <row r="24" spans="1:7" ht="12">
      <c r="A24" s="4" t="s">
        <v>48</v>
      </c>
      <c r="B24" s="20" t="s">
        <v>29</v>
      </c>
      <c r="C24" s="20" t="s">
        <v>29</v>
      </c>
      <c r="D24" s="20" t="s">
        <v>29</v>
      </c>
      <c r="E24" s="20" t="s">
        <v>29</v>
      </c>
      <c r="F24" s="20" t="s">
        <v>29</v>
      </c>
      <c r="G24" s="20" t="s">
        <v>29</v>
      </c>
    </row>
    <row r="25" spans="1:7" ht="12">
      <c r="A25" s="4" t="s">
        <v>49</v>
      </c>
      <c r="B25" s="20" t="s">
        <v>29</v>
      </c>
      <c r="C25" s="20" t="s">
        <v>29</v>
      </c>
      <c r="D25" s="20" t="s">
        <v>29</v>
      </c>
      <c r="E25" s="20" t="s">
        <v>29</v>
      </c>
      <c r="F25" s="20" t="s">
        <v>29</v>
      </c>
      <c r="G25" s="20" t="s">
        <v>29</v>
      </c>
    </row>
    <row r="26" spans="1:7" ht="12">
      <c r="A26" s="4" t="s">
        <v>50</v>
      </c>
      <c r="B26" s="20" t="s">
        <v>29</v>
      </c>
      <c r="C26" s="20" t="s">
        <v>29</v>
      </c>
      <c r="D26" s="20" t="s">
        <v>29</v>
      </c>
      <c r="E26" s="20" t="s">
        <v>29</v>
      </c>
      <c r="F26" s="20" t="s">
        <v>29</v>
      </c>
      <c r="G26" s="20" t="s">
        <v>29</v>
      </c>
    </row>
    <row r="27" spans="1:7">
      <c r="A27" s="9" t="s">
        <v>51</v>
      </c>
      <c r="B27" s="27">
        <v>997.84841600000004</v>
      </c>
      <c r="C27" s="27">
        <v>969.80079000000001</v>
      </c>
      <c r="D27" s="27">
        <v>1270.6176539999999</v>
      </c>
      <c r="E27" s="27">
        <v>1035.8623259999999</v>
      </c>
      <c r="F27" s="27">
        <v>812.51830199999995</v>
      </c>
      <c r="G27" s="27">
        <v>667.84020899999996</v>
      </c>
    </row>
    <row r="28" spans="1:7">
      <c r="A28" s="4"/>
      <c r="B28" s="4"/>
      <c r="C28" s="4"/>
      <c r="D28" s="4"/>
      <c r="E28" s="4"/>
      <c r="F28" s="4"/>
      <c r="G28" s="4"/>
    </row>
    <row r="29" spans="1:7">
      <c r="A29" s="4" t="s">
        <v>52</v>
      </c>
      <c r="B29" s="20">
        <v>163.298</v>
      </c>
      <c r="C29" s="20">
        <v>187.52500000000001</v>
      </c>
      <c r="D29" s="20">
        <v>157.73699999999999</v>
      </c>
      <c r="E29" s="20">
        <v>98.08</v>
      </c>
      <c r="F29" s="20">
        <v>33.840000000000003</v>
      </c>
      <c r="G29" s="20">
        <v>36.125</v>
      </c>
    </row>
    <row r="30" spans="1:7" ht="12">
      <c r="A30" s="4" t="s">
        <v>48</v>
      </c>
      <c r="B30" s="20" t="s">
        <v>29</v>
      </c>
      <c r="C30" s="20" t="s">
        <v>29</v>
      </c>
      <c r="D30" s="20" t="s">
        <v>29</v>
      </c>
      <c r="E30" s="20" t="s">
        <v>29</v>
      </c>
      <c r="F30" s="20" t="s">
        <v>29</v>
      </c>
      <c r="G30" s="20" t="s">
        <v>29</v>
      </c>
    </row>
    <row r="31" spans="1:7" ht="12">
      <c r="A31" s="4" t="s">
        <v>49</v>
      </c>
      <c r="B31" s="20" t="s">
        <v>29</v>
      </c>
      <c r="C31" s="20" t="s">
        <v>29</v>
      </c>
      <c r="D31" s="20" t="s">
        <v>29</v>
      </c>
      <c r="E31" s="20" t="s">
        <v>29</v>
      </c>
      <c r="F31" s="20" t="s">
        <v>29</v>
      </c>
      <c r="G31" s="20" t="s">
        <v>29</v>
      </c>
    </row>
    <row r="32" spans="1:7">
      <c r="A32" s="4" t="s">
        <v>47</v>
      </c>
      <c r="B32" s="20">
        <v>198.423</v>
      </c>
      <c r="C32" s="20">
        <v>208.86500000000001</v>
      </c>
      <c r="D32" s="20">
        <v>328.64</v>
      </c>
      <c r="E32" s="20">
        <v>313.17200000000003</v>
      </c>
      <c r="F32" s="20">
        <v>353.608</v>
      </c>
      <c r="G32" s="20">
        <v>347.58300000000003</v>
      </c>
    </row>
    <row r="33" spans="1:7">
      <c r="A33" s="9" t="s">
        <v>53</v>
      </c>
      <c r="B33" s="27">
        <v>361.721</v>
      </c>
      <c r="C33" s="27">
        <v>396.39</v>
      </c>
      <c r="D33" s="27">
        <v>486.37700000000001</v>
      </c>
      <c r="E33" s="27">
        <v>411.25200000000001</v>
      </c>
      <c r="F33" s="27">
        <v>387.44799999999998</v>
      </c>
      <c r="G33" s="27">
        <v>383.70800000000003</v>
      </c>
    </row>
    <row r="34" spans="1:7">
      <c r="A34" s="4"/>
      <c r="B34" s="4"/>
      <c r="C34" s="4"/>
      <c r="D34" s="4"/>
      <c r="E34" s="4"/>
      <c r="F34" s="4"/>
      <c r="G34" s="4"/>
    </row>
    <row r="35" spans="1:7">
      <c r="A35" s="11"/>
      <c r="B35" s="11"/>
      <c r="C35" s="11"/>
      <c r="D35" s="11"/>
      <c r="E35" s="11"/>
      <c r="F35" s="11"/>
      <c r="G35" s="11"/>
    </row>
    <row r="36" spans="1:7" ht="96">
      <c r="A36" s="48" t="s">
        <v>339</v>
      </c>
    </row>
    <row r="37" spans="1:7" ht="60">
      <c r="A37" s="48" t="s">
        <v>340</v>
      </c>
    </row>
    <row r="39" spans="1:7" ht="25" customHeight="1">
      <c r="A39" s="47" t="s">
        <v>326</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pageSetUpPr autoPageBreaks="0"/>
  </sheetPr>
  <dimension ref="A5:IU104"/>
  <sheetViews>
    <sheetView topLeftCell="A30" workbookViewId="0"/>
  </sheetViews>
  <sheetFormatPr baseColWidth="10" defaultColWidth="8.83203125" defaultRowHeight="11"/>
  <cols>
    <col min="1" max="1" width="45.83203125" customWidth="1"/>
    <col min="2" max="7" width="14.83203125" customWidth="1"/>
  </cols>
  <sheetData>
    <row r="5" spans="1:255" ht="17">
      <c r="A5" s="1" t="s">
        <v>341</v>
      </c>
    </row>
    <row r="7" spans="1:255" ht="12">
      <c r="A7" s="2" t="s">
        <v>342</v>
      </c>
      <c r="B7" s="3" t="s">
        <v>343</v>
      </c>
      <c r="C7" t="s">
        <v>73</v>
      </c>
      <c r="D7" s="4" t="s">
        <v>4</v>
      </c>
      <c r="E7" s="3" t="s">
        <v>344</v>
      </c>
      <c r="F7" t="s">
        <v>75</v>
      </c>
    </row>
    <row r="8" spans="1:255">
      <c r="A8" s="4"/>
      <c r="B8" s="3" t="s">
        <v>345</v>
      </c>
      <c r="C8" t="s">
        <v>78</v>
      </c>
      <c r="D8" s="4" t="s">
        <v>4</v>
      </c>
      <c r="E8" s="3" t="s">
        <v>346</v>
      </c>
      <c r="F8" t="s">
        <v>6</v>
      </c>
    </row>
    <row r="9" spans="1:255">
      <c r="A9" s="4"/>
      <c r="B9" s="3" t="s">
        <v>347</v>
      </c>
      <c r="C9" t="s">
        <v>10</v>
      </c>
      <c r="D9" s="4" t="s">
        <v>4</v>
      </c>
      <c r="E9" s="3" t="s">
        <v>348</v>
      </c>
      <c r="F9" s="5" t="s">
        <v>12</v>
      </c>
    </row>
    <row r="10" spans="1:255">
      <c r="A10" s="4"/>
      <c r="B10" s="3" t="s">
        <v>349</v>
      </c>
      <c r="C10" t="s">
        <v>8</v>
      </c>
      <c r="D10" s="4" t="s">
        <v>4</v>
      </c>
      <c r="E10" s="26"/>
      <c r="F10" s="26"/>
    </row>
    <row r="13" spans="1:255">
      <c r="A13" s="6" t="s">
        <v>350</v>
      </c>
      <c r="B13" s="6"/>
      <c r="C13" s="6"/>
      <c r="D13" s="6"/>
      <c r="E13" s="6"/>
      <c r="F13" s="6"/>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ht="24">
      <c r="A14" s="7" t="s">
        <v>351</v>
      </c>
      <c r="B14" s="841" t="s">
        <v>352</v>
      </c>
      <c r="C14" s="842"/>
      <c r="D14" s="841" t="s">
        <v>353</v>
      </c>
      <c r="E14" s="843"/>
      <c r="F14" s="844" t="s">
        <v>354</v>
      </c>
      <c r="G14" s="843"/>
    </row>
    <row r="15" spans="1:255" ht="12">
      <c r="A15" s="8" t="s">
        <v>355</v>
      </c>
      <c r="B15" s="13" t="s">
        <v>356</v>
      </c>
      <c r="C15" s="13"/>
      <c r="D15" s="13" t="s">
        <v>356</v>
      </c>
      <c r="E15" s="52"/>
      <c r="F15" s="52" t="s">
        <v>356</v>
      </c>
      <c r="G15" s="52"/>
    </row>
    <row r="16" spans="1:255" ht="12">
      <c r="A16" s="7" t="s">
        <v>357</v>
      </c>
      <c r="B16" s="12" t="s">
        <v>358</v>
      </c>
      <c r="C16" s="12" t="s">
        <v>359</v>
      </c>
      <c r="D16" s="12" t="s">
        <v>358</v>
      </c>
      <c r="E16" s="53" t="s">
        <v>359</v>
      </c>
      <c r="F16" s="53" t="s">
        <v>358</v>
      </c>
      <c r="G16" s="53" t="s">
        <v>359</v>
      </c>
    </row>
    <row r="17" spans="1:255">
      <c r="A17" s="9" t="s">
        <v>91</v>
      </c>
      <c r="B17" s="4"/>
      <c r="C17" s="49"/>
      <c r="D17" s="4"/>
      <c r="F17" s="46"/>
    </row>
    <row r="18" spans="1:255">
      <c r="A18" s="4" t="s">
        <v>228</v>
      </c>
      <c r="B18" s="20">
        <v>198.423</v>
      </c>
      <c r="C18" s="15">
        <v>0.54855261375499997</v>
      </c>
      <c r="D18" s="20">
        <v>328.64</v>
      </c>
      <c r="E18" s="54">
        <v>0.67568984553099998</v>
      </c>
      <c r="F18" s="57">
        <v>353.608</v>
      </c>
      <c r="G18" s="54">
        <v>0.912659247176</v>
      </c>
    </row>
    <row r="19" spans="1:255">
      <c r="A19" s="4" t="s">
        <v>360</v>
      </c>
      <c r="B19" s="20">
        <v>163.298</v>
      </c>
      <c r="C19" s="15">
        <v>0.45144738624500003</v>
      </c>
      <c r="D19" s="20">
        <v>157.73699999999999</v>
      </c>
      <c r="E19" s="54">
        <v>0.32431015446900002</v>
      </c>
      <c r="F19" s="57">
        <v>33.840000000000003</v>
      </c>
      <c r="G19" s="54">
        <v>8.7340752824000001E-2</v>
      </c>
    </row>
    <row r="20" spans="1:255">
      <c r="A20" s="9" t="s">
        <v>361</v>
      </c>
      <c r="B20" s="14">
        <v>361.721</v>
      </c>
      <c r="C20" s="50">
        <v>1</v>
      </c>
      <c r="D20" s="14">
        <v>486.37700000000001</v>
      </c>
      <c r="E20" s="55">
        <v>1</v>
      </c>
      <c r="F20" s="58">
        <v>387.44799999999998</v>
      </c>
      <c r="G20" s="55">
        <v>1</v>
      </c>
    </row>
    <row r="21" spans="1:255">
      <c r="A21" s="4"/>
      <c r="B21" s="4"/>
      <c r="C21" s="49"/>
      <c r="D21" s="4"/>
      <c r="F21" s="46"/>
    </row>
    <row r="22" spans="1:255">
      <c r="A22" s="4"/>
      <c r="B22" s="4" t="s">
        <v>91</v>
      </c>
      <c r="C22" s="49"/>
      <c r="D22" s="4" t="s">
        <v>91</v>
      </c>
      <c r="F22" s="46" t="s">
        <v>91</v>
      </c>
    </row>
    <row r="23" spans="1:255" ht="12">
      <c r="A23" s="4" t="s">
        <v>25</v>
      </c>
      <c r="B23" s="23" t="s">
        <v>26</v>
      </c>
      <c r="C23" s="51"/>
      <c r="D23" s="23" t="s">
        <v>26</v>
      </c>
      <c r="E23" s="56"/>
      <c r="F23" s="45" t="s">
        <v>26</v>
      </c>
      <c r="G23" s="56"/>
    </row>
    <row r="24" spans="1:255">
      <c r="A24" s="4" t="s">
        <v>362</v>
      </c>
      <c r="B24" s="20">
        <v>1</v>
      </c>
      <c r="C24" s="15"/>
      <c r="D24" s="20">
        <v>1</v>
      </c>
      <c r="E24" s="54"/>
      <c r="F24" s="57">
        <v>1</v>
      </c>
      <c r="G24" s="54"/>
    </row>
    <row r="25" spans="1:255" ht="12">
      <c r="A25" s="4" t="s">
        <v>363</v>
      </c>
      <c r="B25" s="23" t="s">
        <v>364</v>
      </c>
      <c r="C25" s="15"/>
      <c r="D25" s="23" t="s">
        <v>364</v>
      </c>
      <c r="E25" s="54"/>
      <c r="F25" s="45" t="s">
        <v>364</v>
      </c>
      <c r="G25" s="54"/>
    </row>
    <row r="26" spans="1:255">
      <c r="A26" s="11"/>
      <c r="B26" s="11"/>
      <c r="C26" s="11"/>
      <c r="D26" s="11"/>
    </row>
    <row r="28" spans="1:255">
      <c r="A28" s="6" t="s">
        <v>365</v>
      </c>
      <c r="B28" s="6"/>
      <c r="C28" s="6"/>
      <c r="D28" s="6"/>
      <c r="E28" s="6"/>
      <c r="F28" s="6"/>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row>
    <row r="29" spans="1:255" ht="24">
      <c r="A29" s="7" t="s">
        <v>351</v>
      </c>
      <c r="B29" s="841" t="s">
        <v>352</v>
      </c>
      <c r="C29" s="842"/>
      <c r="D29" s="841" t="s">
        <v>353</v>
      </c>
      <c r="E29" s="843"/>
      <c r="F29" s="844" t="s">
        <v>354</v>
      </c>
      <c r="G29" s="843"/>
    </row>
    <row r="30" spans="1:255" ht="12">
      <c r="A30" s="8" t="s">
        <v>355</v>
      </c>
      <c r="B30" s="13" t="s">
        <v>356</v>
      </c>
      <c r="C30" s="13"/>
      <c r="D30" s="13" t="s">
        <v>356</v>
      </c>
      <c r="E30" s="52"/>
      <c r="F30" s="52" t="s">
        <v>356</v>
      </c>
      <c r="G30" s="52"/>
    </row>
    <row r="31" spans="1:255" ht="12">
      <c r="A31" s="7" t="s">
        <v>357</v>
      </c>
      <c r="B31" s="12" t="s">
        <v>358</v>
      </c>
      <c r="C31" s="12" t="s">
        <v>359</v>
      </c>
      <c r="D31" s="12" t="s">
        <v>358</v>
      </c>
      <c r="E31" s="53" t="s">
        <v>359</v>
      </c>
      <c r="F31" s="53" t="s">
        <v>358</v>
      </c>
      <c r="G31" s="53" t="s">
        <v>359</v>
      </c>
    </row>
    <row r="32" spans="1:255">
      <c r="A32" s="9" t="s">
        <v>91</v>
      </c>
      <c r="B32" s="4"/>
      <c r="C32" s="49"/>
      <c r="D32" s="4"/>
      <c r="F32" s="46"/>
    </row>
    <row r="33" spans="1:7">
      <c r="A33" s="4" t="s">
        <v>366</v>
      </c>
      <c r="B33" s="20">
        <v>0.28399999999999997</v>
      </c>
      <c r="C33" s="15">
        <v>1.431E-3</v>
      </c>
      <c r="D33" s="20">
        <v>0.245</v>
      </c>
      <c r="E33" s="54">
        <v>7.45E-4</v>
      </c>
      <c r="F33" s="57">
        <v>35.137</v>
      </c>
      <c r="G33" s="54">
        <v>9.9366999999999997E-2</v>
      </c>
    </row>
    <row r="34" spans="1:7">
      <c r="A34" s="4" t="s">
        <v>367</v>
      </c>
      <c r="B34" s="20">
        <v>38.755000000000003</v>
      </c>
      <c r="C34" s="15">
        <v>0.19531499999999999</v>
      </c>
      <c r="D34" s="20">
        <v>39.959000000000003</v>
      </c>
      <c r="E34" s="54">
        <v>0.121588</v>
      </c>
      <c r="F34" s="57">
        <v>36.765999999999998</v>
      </c>
      <c r="G34" s="54">
        <v>0.103973</v>
      </c>
    </row>
    <row r="35" spans="1:7" ht="12">
      <c r="A35" s="4" t="s">
        <v>368</v>
      </c>
      <c r="B35" s="20" t="s">
        <v>29</v>
      </c>
      <c r="C35" s="15" t="s">
        <v>29</v>
      </c>
      <c r="D35" s="20">
        <v>111.31</v>
      </c>
      <c r="E35" s="54">
        <v>0.338698</v>
      </c>
      <c r="F35" s="57">
        <v>113.711</v>
      </c>
      <c r="G35" s="54">
        <v>0.321573</v>
      </c>
    </row>
    <row r="36" spans="1:7">
      <c r="A36" s="4" t="s">
        <v>369</v>
      </c>
      <c r="B36" s="20">
        <v>52.473999999999997</v>
      </c>
      <c r="C36" s="15">
        <v>0.264455</v>
      </c>
      <c r="D36" s="20">
        <v>51.597999999999999</v>
      </c>
      <c r="E36" s="54">
        <v>0.157004</v>
      </c>
      <c r="F36" s="57">
        <v>48.914999999999999</v>
      </c>
      <c r="G36" s="54">
        <v>0.13833100000000001</v>
      </c>
    </row>
    <row r="37" spans="1:7">
      <c r="A37" s="4" t="s">
        <v>370</v>
      </c>
      <c r="B37" s="20">
        <v>106.91</v>
      </c>
      <c r="C37" s="15">
        <v>0.538798</v>
      </c>
      <c r="D37" s="20">
        <v>124.952</v>
      </c>
      <c r="E37" s="54">
        <v>0.38020900000000002</v>
      </c>
      <c r="F37" s="57">
        <v>118.504</v>
      </c>
      <c r="G37" s="54">
        <v>0.33512799999999998</v>
      </c>
    </row>
    <row r="38" spans="1:7">
      <c r="A38" s="9" t="s">
        <v>371</v>
      </c>
      <c r="B38" s="14">
        <v>198.423</v>
      </c>
      <c r="C38" s="50">
        <v>1</v>
      </c>
      <c r="D38" s="14">
        <v>328.06400000000002</v>
      </c>
      <c r="E38" s="55">
        <v>0.998247</v>
      </c>
      <c r="F38" s="58">
        <v>353.03300000000002</v>
      </c>
      <c r="G38" s="55">
        <v>0.99837299999999995</v>
      </c>
    </row>
    <row r="39" spans="1:7">
      <c r="A39" s="4"/>
      <c r="B39" s="4"/>
      <c r="C39" s="49"/>
      <c r="D39" s="4"/>
      <c r="F39" s="46"/>
    </row>
    <row r="40" spans="1:7" ht="12">
      <c r="A40" s="4" t="s">
        <v>372</v>
      </c>
      <c r="B40" s="20" t="s">
        <v>29</v>
      </c>
      <c r="C40" s="15" t="s">
        <v>29</v>
      </c>
      <c r="D40" s="20">
        <v>0.57599999999999996</v>
      </c>
      <c r="E40" s="54">
        <v>1.7520000000000001E-3</v>
      </c>
      <c r="F40" s="57">
        <v>0.57499999999999996</v>
      </c>
      <c r="G40" s="54">
        <v>1.6260000000000001E-3</v>
      </c>
    </row>
    <row r="41" spans="1:7">
      <c r="A41" s="9" t="s">
        <v>373</v>
      </c>
      <c r="B41" s="14">
        <v>198.423</v>
      </c>
      <c r="C41" s="50">
        <v>1</v>
      </c>
      <c r="D41" s="14">
        <v>328.64</v>
      </c>
      <c r="E41" s="55">
        <v>1</v>
      </c>
      <c r="F41" s="58">
        <v>353.608</v>
      </c>
      <c r="G41" s="55">
        <v>1</v>
      </c>
    </row>
    <row r="42" spans="1:7">
      <c r="A42" s="4"/>
      <c r="B42" s="4"/>
      <c r="C42" s="49"/>
      <c r="D42" s="4"/>
      <c r="F42" s="46"/>
    </row>
    <row r="43" spans="1:7">
      <c r="A43" s="9" t="s">
        <v>374</v>
      </c>
      <c r="B43" s="4"/>
      <c r="C43" s="49"/>
      <c r="D43" s="4"/>
      <c r="F43" s="46"/>
    </row>
    <row r="44" spans="1:7" ht="12">
      <c r="A44" s="4" t="s">
        <v>375</v>
      </c>
      <c r="B44" s="20" t="s">
        <v>29</v>
      </c>
      <c r="C44" s="15" t="s">
        <v>29</v>
      </c>
      <c r="D44" s="20" t="s">
        <v>29</v>
      </c>
      <c r="E44" s="54" t="s">
        <v>29</v>
      </c>
      <c r="F44" s="57">
        <v>50</v>
      </c>
      <c r="G44" s="54" t="s">
        <v>29</v>
      </c>
    </row>
    <row r="45" spans="1:7" ht="12">
      <c r="A45" s="9" t="s">
        <v>376</v>
      </c>
      <c r="B45" s="14" t="s">
        <v>29</v>
      </c>
      <c r="C45" s="50" t="s">
        <v>29</v>
      </c>
      <c r="D45" s="14" t="s">
        <v>29</v>
      </c>
      <c r="E45" s="55" t="s">
        <v>29</v>
      </c>
      <c r="F45" s="58">
        <v>50</v>
      </c>
      <c r="G45" s="55" t="s">
        <v>29</v>
      </c>
    </row>
    <row r="46" spans="1:7">
      <c r="A46" s="4"/>
      <c r="B46" s="4"/>
      <c r="C46" s="49"/>
      <c r="D46" s="4"/>
      <c r="F46" s="46"/>
    </row>
    <row r="47" spans="1:7">
      <c r="A47" s="9" t="s">
        <v>377</v>
      </c>
      <c r="B47" s="4"/>
      <c r="C47" s="49"/>
      <c r="D47" s="4"/>
      <c r="F47" s="46"/>
    </row>
    <row r="48" spans="1:7" ht="12">
      <c r="A48" s="4" t="s">
        <v>378</v>
      </c>
      <c r="B48" s="20">
        <v>49.765999999999998</v>
      </c>
      <c r="C48" s="15" t="s">
        <v>29</v>
      </c>
      <c r="D48" s="20">
        <v>138.68899999999999</v>
      </c>
      <c r="E48" s="54" t="s">
        <v>29</v>
      </c>
      <c r="F48" s="57">
        <v>32.872</v>
      </c>
      <c r="G48" s="54" t="s">
        <v>29</v>
      </c>
    </row>
    <row r="49" spans="1:7" ht="12">
      <c r="A49" s="4" t="s">
        <v>229</v>
      </c>
      <c r="B49" s="20">
        <v>148.65700000000001</v>
      </c>
      <c r="C49" s="15" t="s">
        <v>29</v>
      </c>
      <c r="D49" s="20">
        <v>189.95099999999999</v>
      </c>
      <c r="E49" s="54" t="s">
        <v>29</v>
      </c>
      <c r="F49" s="57">
        <v>320.73599999999999</v>
      </c>
      <c r="G49" s="54" t="s">
        <v>29</v>
      </c>
    </row>
    <row r="50" spans="1:7">
      <c r="A50" s="4" t="s">
        <v>379</v>
      </c>
      <c r="B50" s="20">
        <v>185.654</v>
      </c>
      <c r="C50" s="15">
        <v>0.93564700000000001</v>
      </c>
      <c r="D50" s="20">
        <v>315.02800000000002</v>
      </c>
      <c r="E50" s="54">
        <v>0.95857999999999999</v>
      </c>
      <c r="F50" s="57">
        <v>340.666</v>
      </c>
      <c r="G50" s="54">
        <v>0.96340000000000003</v>
      </c>
    </row>
    <row r="51" spans="1:7">
      <c r="A51" s="4" t="s">
        <v>380</v>
      </c>
      <c r="B51" s="20">
        <v>12.769</v>
      </c>
      <c r="C51" s="15">
        <v>6.4352000000000006E-2</v>
      </c>
      <c r="D51" s="20">
        <v>13.036</v>
      </c>
      <c r="E51" s="54">
        <v>3.9666E-2</v>
      </c>
      <c r="F51" s="57">
        <v>12.367000000000001</v>
      </c>
      <c r="G51" s="54">
        <v>3.4972999999999997E-2</v>
      </c>
    </row>
    <row r="52" spans="1:7">
      <c r="A52" s="4" t="s">
        <v>381</v>
      </c>
      <c r="B52" s="20">
        <v>12.769</v>
      </c>
      <c r="C52" s="15">
        <v>6.4352000000000006E-2</v>
      </c>
      <c r="D52" s="20">
        <v>13.036</v>
      </c>
      <c r="E52" s="54">
        <v>3.9666E-2</v>
      </c>
      <c r="F52" s="57">
        <v>12.367000000000001</v>
      </c>
      <c r="G52" s="54">
        <v>3.4972999999999997E-2</v>
      </c>
    </row>
    <row r="53" spans="1:7" ht="12">
      <c r="A53" s="4" t="s">
        <v>382</v>
      </c>
      <c r="B53" s="20" t="s">
        <v>29</v>
      </c>
      <c r="C53" s="15" t="s">
        <v>29</v>
      </c>
      <c r="D53" s="20">
        <v>111.31</v>
      </c>
      <c r="E53" s="54">
        <v>0.338698</v>
      </c>
      <c r="F53" s="57">
        <v>113.711</v>
      </c>
      <c r="G53" s="54">
        <v>0.321573</v>
      </c>
    </row>
    <row r="54" spans="1:7">
      <c r="A54" s="4" t="s">
        <v>383</v>
      </c>
      <c r="B54" s="20">
        <v>5.0830000000000002</v>
      </c>
      <c r="C54" s="15">
        <v>2.5616E-2</v>
      </c>
      <c r="D54" s="20">
        <v>4</v>
      </c>
      <c r="E54" s="54">
        <v>1.2171E-2</v>
      </c>
      <c r="F54" s="57">
        <v>4</v>
      </c>
      <c r="G54" s="54">
        <v>1.1311E-2</v>
      </c>
    </row>
    <row r="55" spans="1:7">
      <c r="A55" s="4" t="s">
        <v>384</v>
      </c>
      <c r="B55" s="20">
        <v>15.603999999999999</v>
      </c>
      <c r="C55" s="15">
        <v>7.8640000000000002E-2</v>
      </c>
      <c r="D55" s="20">
        <v>39.475000000000001</v>
      </c>
      <c r="E55" s="54">
        <v>0.120116</v>
      </c>
      <c r="F55" s="57">
        <v>66.573999999999998</v>
      </c>
      <c r="G55" s="54">
        <v>0.18826999999999999</v>
      </c>
    </row>
    <row r="56" spans="1:7">
      <c r="A56" s="4" t="s">
        <v>385</v>
      </c>
      <c r="B56" s="20">
        <v>177.73599999999999</v>
      </c>
      <c r="C56" s="15">
        <v>0.89574200000000004</v>
      </c>
      <c r="D56" s="20">
        <v>285.16500000000002</v>
      </c>
      <c r="E56" s="54">
        <v>0.86771200000000004</v>
      </c>
      <c r="F56" s="57">
        <v>283.03399999999999</v>
      </c>
      <c r="G56" s="54">
        <v>0.80041700000000005</v>
      </c>
    </row>
    <row r="57" spans="1:7">
      <c r="A57" s="4" t="s">
        <v>386</v>
      </c>
      <c r="B57" s="20">
        <v>39.039000000000001</v>
      </c>
      <c r="C57" s="15">
        <v>0.196746</v>
      </c>
      <c r="D57" s="20">
        <v>40.204000000000001</v>
      </c>
      <c r="E57" s="54">
        <v>0.122334</v>
      </c>
      <c r="F57" s="57">
        <v>71.903000000000006</v>
      </c>
      <c r="G57" s="54">
        <v>0.20333999999999999</v>
      </c>
    </row>
    <row r="58" spans="1:7">
      <c r="A58" s="4" t="s">
        <v>387</v>
      </c>
      <c r="B58" s="20">
        <v>70.840999999999994</v>
      </c>
      <c r="C58" s="15">
        <v>0.35702</v>
      </c>
      <c r="D58" s="20">
        <v>69.033000000000001</v>
      </c>
      <c r="E58" s="54">
        <v>0.21005599999999999</v>
      </c>
      <c r="F58" s="57">
        <v>101.179</v>
      </c>
      <c r="G58" s="54">
        <v>0.28613300000000003</v>
      </c>
    </row>
    <row r="59" spans="1:7">
      <c r="A59" s="4" t="s">
        <v>388</v>
      </c>
      <c r="B59" s="20">
        <v>5.806</v>
      </c>
      <c r="C59" s="15">
        <v>2.9260000000000001E-2</v>
      </c>
      <c r="D59" s="20">
        <v>4.5439999999999996</v>
      </c>
      <c r="E59" s="54">
        <v>1.3826E-2</v>
      </c>
      <c r="F59" s="57">
        <v>39.959000000000003</v>
      </c>
      <c r="G59" s="54">
        <v>0.11300300000000001</v>
      </c>
    </row>
    <row r="60" spans="1:7">
      <c r="A60" s="4" t="s">
        <v>389</v>
      </c>
      <c r="B60" s="20">
        <v>58.28</v>
      </c>
      <c r="C60" s="15">
        <v>0.293715</v>
      </c>
      <c r="D60" s="20">
        <v>56.142000000000003</v>
      </c>
      <c r="E60" s="54">
        <v>0.17083100000000001</v>
      </c>
      <c r="F60" s="57">
        <v>88.873999999999995</v>
      </c>
      <c r="G60" s="54">
        <v>0.251334</v>
      </c>
    </row>
    <row r="61" spans="1:7">
      <c r="A61" s="4" t="s">
        <v>390</v>
      </c>
      <c r="B61" s="20">
        <v>127.58199999999999</v>
      </c>
      <c r="C61" s="15">
        <v>0.64297899999999997</v>
      </c>
      <c r="D61" s="20">
        <v>259.03100000000001</v>
      </c>
      <c r="E61" s="54">
        <v>0.78818999999999995</v>
      </c>
      <c r="F61" s="57">
        <v>251.85400000000001</v>
      </c>
      <c r="G61" s="54">
        <v>0.71223999999999998</v>
      </c>
    </row>
    <row r="62" spans="1:7" ht="12">
      <c r="A62" s="4" t="s">
        <v>391</v>
      </c>
      <c r="B62" s="20" t="s">
        <v>29</v>
      </c>
      <c r="C62" s="15" t="s">
        <v>29</v>
      </c>
      <c r="D62" s="20">
        <v>111.31</v>
      </c>
      <c r="E62" s="54">
        <v>0.338698</v>
      </c>
      <c r="F62" s="57">
        <v>113.711</v>
      </c>
      <c r="G62" s="54">
        <v>0.321573</v>
      </c>
    </row>
    <row r="63" spans="1:7">
      <c r="A63" s="4" t="s">
        <v>392</v>
      </c>
      <c r="B63" s="20">
        <v>72.552999999999997</v>
      </c>
      <c r="C63" s="15">
        <v>0.36564799999999997</v>
      </c>
      <c r="D63" s="20">
        <v>182.65799999999999</v>
      </c>
      <c r="E63" s="54">
        <v>0.55579900000000004</v>
      </c>
      <c r="F63" s="57">
        <v>181.143</v>
      </c>
      <c r="G63" s="54">
        <v>0.51227</v>
      </c>
    </row>
    <row r="64" spans="1:7">
      <c r="A64" s="4" t="s">
        <v>393</v>
      </c>
      <c r="B64" s="20">
        <v>5.0830000000000002</v>
      </c>
      <c r="C64" s="15">
        <v>2.5616E-2</v>
      </c>
      <c r="D64" s="20">
        <v>4</v>
      </c>
      <c r="E64" s="54">
        <v>1.2171E-2</v>
      </c>
      <c r="F64" s="57">
        <v>39</v>
      </c>
      <c r="G64" s="54">
        <v>0.110291</v>
      </c>
    </row>
    <row r="65" spans="1:7">
      <c r="A65" s="4"/>
      <c r="B65" s="4"/>
      <c r="C65" s="49"/>
      <c r="D65" s="4"/>
      <c r="F65" s="46"/>
    </row>
    <row r="66" spans="1:7">
      <c r="A66" s="9" t="s">
        <v>394</v>
      </c>
      <c r="B66" s="4"/>
      <c r="C66" s="49"/>
      <c r="D66" s="4"/>
      <c r="F66" s="46"/>
    </row>
    <row r="67" spans="1:7" ht="12">
      <c r="A67" s="4" t="s">
        <v>395</v>
      </c>
      <c r="B67" s="22">
        <v>4.5869039999999996</v>
      </c>
      <c r="C67" s="15" t="s">
        <v>29</v>
      </c>
      <c r="D67" s="23" t="s">
        <v>33</v>
      </c>
      <c r="E67" s="54" t="s">
        <v>29</v>
      </c>
      <c r="F67" s="45" t="s">
        <v>33</v>
      </c>
      <c r="G67" s="54" t="s">
        <v>29</v>
      </c>
    </row>
    <row r="68" spans="1:7" ht="12">
      <c r="A68" s="4" t="s">
        <v>396</v>
      </c>
      <c r="B68" s="22">
        <v>6.122465</v>
      </c>
      <c r="C68" s="15" t="s">
        <v>29</v>
      </c>
      <c r="D68" s="23" t="s">
        <v>33</v>
      </c>
      <c r="E68" s="54" t="s">
        <v>29</v>
      </c>
      <c r="F68" s="45" t="s">
        <v>33</v>
      </c>
      <c r="G68" s="54" t="s">
        <v>29</v>
      </c>
    </row>
    <row r="69" spans="1:7" ht="12">
      <c r="A69" s="4" t="s">
        <v>397</v>
      </c>
      <c r="B69" s="22">
        <v>5.7284699999999997</v>
      </c>
      <c r="C69" s="15" t="s">
        <v>29</v>
      </c>
      <c r="D69" s="23" t="s">
        <v>33</v>
      </c>
      <c r="E69" s="54" t="s">
        <v>29</v>
      </c>
      <c r="F69" s="45" t="s">
        <v>33</v>
      </c>
      <c r="G69" s="54" t="s">
        <v>29</v>
      </c>
    </row>
    <row r="70" spans="1:7" ht="12">
      <c r="A70" s="4" t="s">
        <v>398</v>
      </c>
      <c r="B70" s="22">
        <v>1.798265</v>
      </c>
      <c r="C70" s="15" t="s">
        <v>29</v>
      </c>
      <c r="D70" s="22" t="s">
        <v>33</v>
      </c>
      <c r="E70" s="54" t="s">
        <v>29</v>
      </c>
      <c r="F70" s="59" t="s">
        <v>33</v>
      </c>
      <c r="G70" s="54" t="s">
        <v>29</v>
      </c>
    </row>
    <row r="71" spans="1:7" ht="12">
      <c r="A71" s="4" t="s">
        <v>399</v>
      </c>
      <c r="B71" s="22">
        <v>0.39399499999999998</v>
      </c>
      <c r="C71" s="15" t="s">
        <v>29</v>
      </c>
      <c r="D71" s="23" t="s">
        <v>33</v>
      </c>
      <c r="E71" s="54" t="s">
        <v>29</v>
      </c>
      <c r="F71" s="45" t="s">
        <v>33</v>
      </c>
      <c r="G71" s="54" t="s">
        <v>29</v>
      </c>
    </row>
    <row r="72" spans="1:7" ht="12">
      <c r="A72" s="4" t="s">
        <v>400</v>
      </c>
      <c r="B72" s="22">
        <v>0.39399499999999998</v>
      </c>
      <c r="C72" s="15" t="s">
        <v>29</v>
      </c>
      <c r="D72" s="23" t="s">
        <v>33</v>
      </c>
      <c r="E72" s="54" t="s">
        <v>29</v>
      </c>
      <c r="F72" s="45" t="s">
        <v>33</v>
      </c>
      <c r="G72" s="54" t="s">
        <v>29</v>
      </c>
    </row>
    <row r="73" spans="1:7" ht="12">
      <c r="A73" s="4" t="s">
        <v>401</v>
      </c>
      <c r="B73" s="22">
        <v>6.9821520000000001</v>
      </c>
      <c r="C73" s="15" t="s">
        <v>29</v>
      </c>
      <c r="D73" s="23" t="s">
        <v>33</v>
      </c>
      <c r="E73" s="54" t="s">
        <v>29</v>
      </c>
      <c r="F73" s="45" t="s">
        <v>33</v>
      </c>
      <c r="G73" s="54" t="s">
        <v>29</v>
      </c>
    </row>
    <row r="74" spans="1:7" ht="12">
      <c r="A74" s="4" t="s">
        <v>402</v>
      </c>
      <c r="B74" s="22">
        <v>9.3195709999999998</v>
      </c>
      <c r="C74" s="15" t="s">
        <v>29</v>
      </c>
      <c r="D74" s="23" t="s">
        <v>33</v>
      </c>
      <c r="E74" s="54" t="s">
        <v>29</v>
      </c>
      <c r="F74" s="45" t="s">
        <v>33</v>
      </c>
      <c r="G74" s="54" t="s">
        <v>29</v>
      </c>
    </row>
    <row r="75" spans="1:7" ht="12">
      <c r="A75" s="4" t="s">
        <v>403</v>
      </c>
      <c r="B75" s="22">
        <v>8.7198340000000005</v>
      </c>
      <c r="C75" s="15" t="s">
        <v>29</v>
      </c>
      <c r="D75" s="23" t="s">
        <v>33</v>
      </c>
      <c r="E75" s="54" t="s">
        <v>29</v>
      </c>
      <c r="F75" s="45" t="s">
        <v>33</v>
      </c>
      <c r="G75" s="54" t="s">
        <v>29</v>
      </c>
    </row>
    <row r="76" spans="1:7" ht="12">
      <c r="A76" s="4" t="s">
        <v>404</v>
      </c>
      <c r="B76" s="22">
        <v>2.7373059999999998</v>
      </c>
      <c r="C76" s="15" t="s">
        <v>29</v>
      </c>
      <c r="D76" s="22" t="s">
        <v>33</v>
      </c>
      <c r="E76" s="54" t="s">
        <v>29</v>
      </c>
      <c r="F76" s="59" t="s">
        <v>33</v>
      </c>
      <c r="G76" s="54" t="s">
        <v>29</v>
      </c>
    </row>
    <row r="77" spans="1:7" ht="12">
      <c r="A77" s="4" t="s">
        <v>405</v>
      </c>
      <c r="B77" s="22">
        <v>0.59973600000000005</v>
      </c>
      <c r="C77" s="15" t="s">
        <v>29</v>
      </c>
      <c r="D77" s="23" t="s">
        <v>33</v>
      </c>
      <c r="E77" s="54" t="s">
        <v>29</v>
      </c>
      <c r="F77" s="45" t="s">
        <v>33</v>
      </c>
      <c r="G77" s="54" t="s">
        <v>29</v>
      </c>
    </row>
    <row r="78" spans="1:7" ht="12">
      <c r="A78" s="4" t="s">
        <v>406</v>
      </c>
      <c r="B78" s="22">
        <v>0.59973600000000005</v>
      </c>
      <c r="C78" s="15" t="s">
        <v>29</v>
      </c>
      <c r="D78" s="23" t="s">
        <v>33</v>
      </c>
      <c r="E78" s="54" t="s">
        <v>29</v>
      </c>
      <c r="F78" s="45" t="s">
        <v>33</v>
      </c>
      <c r="G78" s="54" t="s">
        <v>29</v>
      </c>
    </row>
    <row r="79" spans="1:7">
      <c r="A79" s="4"/>
      <c r="B79" s="4"/>
      <c r="C79" s="49"/>
      <c r="D79" s="4"/>
      <c r="F79" s="46"/>
    </row>
    <row r="80" spans="1:7">
      <c r="A80" s="9" t="s">
        <v>407</v>
      </c>
      <c r="B80" s="4"/>
      <c r="C80" s="49"/>
      <c r="D80" s="4"/>
      <c r="F80" s="46"/>
    </row>
    <row r="81" spans="1:7">
      <c r="A81" s="4" t="s">
        <v>408</v>
      </c>
      <c r="B81" s="20">
        <v>17.241461999999999</v>
      </c>
      <c r="C81" s="15">
        <v>8.6892457024000003E-2</v>
      </c>
      <c r="D81" s="20">
        <v>30.321173000000002</v>
      </c>
      <c r="E81" s="54">
        <v>9.2262576070999996E-2</v>
      </c>
      <c r="F81" s="57">
        <v>19.664874000000001</v>
      </c>
      <c r="G81" s="54">
        <v>5.5612073255999997E-2</v>
      </c>
    </row>
    <row r="82" spans="1:7">
      <c r="A82" s="4" t="s">
        <v>409</v>
      </c>
      <c r="B82" s="20">
        <v>17.954149000000001</v>
      </c>
      <c r="C82" s="15">
        <v>9.0484213019999996E-2</v>
      </c>
      <c r="D82" s="20">
        <v>26.408306</v>
      </c>
      <c r="E82" s="54">
        <v>8.0356335200000004E-2</v>
      </c>
      <c r="F82" s="57">
        <v>75.723230999999998</v>
      </c>
      <c r="G82" s="54">
        <v>0.214144564037</v>
      </c>
    </row>
    <row r="83" spans="1:7">
      <c r="A83" s="4" t="s">
        <v>410</v>
      </c>
      <c r="B83" s="20">
        <v>19.392434000000002</v>
      </c>
      <c r="C83" s="15">
        <v>9.7732793072999993E-2</v>
      </c>
      <c r="D83" s="20">
        <v>51.842323999999998</v>
      </c>
      <c r="E83" s="54">
        <v>0.15774806475200001</v>
      </c>
      <c r="F83" s="57">
        <v>71.868819999999999</v>
      </c>
      <c r="G83" s="54">
        <v>0.20324432705100001</v>
      </c>
    </row>
    <row r="84" spans="1:7">
      <c r="A84" s="4" t="s">
        <v>411</v>
      </c>
      <c r="B84" s="20">
        <v>19.392434000000002</v>
      </c>
      <c r="C84" s="15">
        <v>9.7732793072999993E-2</v>
      </c>
      <c r="D84" s="20">
        <v>51.842323999999998</v>
      </c>
      <c r="E84" s="54">
        <v>0.15774806475200001</v>
      </c>
      <c r="F84" s="57">
        <v>71.868819999999999</v>
      </c>
      <c r="G84" s="54">
        <v>0.20324432705100001</v>
      </c>
    </row>
    <row r="85" spans="1:7">
      <c r="A85" s="4" t="s">
        <v>412</v>
      </c>
      <c r="B85" s="20">
        <v>19.392434000000002</v>
      </c>
      <c r="C85" s="15">
        <v>9.7732793072999993E-2</v>
      </c>
      <c r="D85" s="20">
        <v>51.842323</v>
      </c>
      <c r="E85" s="54">
        <v>0.15774806170899999</v>
      </c>
      <c r="F85" s="57">
        <v>71.868819000000002</v>
      </c>
      <c r="G85" s="54">
        <v>0.20324432422300001</v>
      </c>
    </row>
    <row r="86" spans="1:7">
      <c r="A86" s="4" t="s">
        <v>413</v>
      </c>
      <c r="B86" s="20">
        <v>93.372912999999997</v>
      </c>
      <c r="C86" s="15">
        <v>0.47057504926299998</v>
      </c>
      <c r="D86" s="20">
        <v>212.25645</v>
      </c>
      <c r="E86" s="54">
        <v>0.64586310248300005</v>
      </c>
      <c r="F86" s="57">
        <v>310.99456400000003</v>
      </c>
      <c r="G86" s="54">
        <v>0.87948961562000005</v>
      </c>
    </row>
    <row r="87" spans="1:7">
      <c r="A87" s="4" t="s">
        <v>414</v>
      </c>
      <c r="B87" s="20">
        <v>92.238088000000005</v>
      </c>
      <c r="C87" s="15">
        <v>0.46485582820499999</v>
      </c>
      <c r="D87" s="20">
        <v>116.38355</v>
      </c>
      <c r="E87" s="54">
        <v>0.354136897517</v>
      </c>
      <c r="F87" s="57">
        <v>42.613436999999998</v>
      </c>
      <c r="G87" s="54">
        <v>0.120510387208</v>
      </c>
    </row>
    <row r="88" spans="1:7">
      <c r="A88" s="4"/>
      <c r="B88" s="4"/>
      <c r="C88" s="49"/>
      <c r="D88" s="4"/>
      <c r="F88" s="46"/>
    </row>
    <row r="89" spans="1:7" ht="12">
      <c r="A89" s="4" t="s">
        <v>415</v>
      </c>
      <c r="B89" s="20">
        <v>6.7460000000000004</v>
      </c>
      <c r="C89" s="15" t="s">
        <v>29</v>
      </c>
      <c r="D89" s="20">
        <v>7.3150000000000004</v>
      </c>
      <c r="E89" s="54" t="s">
        <v>29</v>
      </c>
      <c r="F89" s="57">
        <v>6.5609999999999999</v>
      </c>
      <c r="G89" s="54" t="s">
        <v>29</v>
      </c>
    </row>
    <row r="90" spans="1:7" ht="12">
      <c r="A90" s="4" t="s">
        <v>416</v>
      </c>
      <c r="B90" s="20">
        <v>5.2057289999999998</v>
      </c>
      <c r="C90" s="15" t="s">
        <v>29</v>
      </c>
      <c r="D90" s="20">
        <v>5.8805839999999998</v>
      </c>
      <c r="E90" s="54" t="s">
        <v>29</v>
      </c>
      <c r="F90" s="57">
        <v>5.9850640000000004</v>
      </c>
      <c r="G90" s="54" t="s">
        <v>29</v>
      </c>
    </row>
    <row r="91" spans="1:7" ht="12">
      <c r="A91" s="4" t="s">
        <v>417</v>
      </c>
      <c r="B91" s="20">
        <v>5.1559439999999999</v>
      </c>
      <c r="C91" s="15" t="s">
        <v>29</v>
      </c>
      <c r="D91" s="20">
        <v>5.1477909999999998</v>
      </c>
      <c r="E91" s="54" t="s">
        <v>29</v>
      </c>
      <c r="F91" s="57">
        <v>5.2237359999999997</v>
      </c>
      <c r="G91" s="54" t="s">
        <v>29</v>
      </c>
    </row>
    <row r="92" spans="1:7" ht="12">
      <c r="A92" s="4" t="s">
        <v>418</v>
      </c>
      <c r="B92" s="20">
        <v>5.1559439999999999</v>
      </c>
      <c r="C92" s="15" t="s">
        <v>29</v>
      </c>
      <c r="D92" s="20">
        <v>5.1477909999999998</v>
      </c>
      <c r="E92" s="54" t="s">
        <v>29</v>
      </c>
      <c r="F92" s="57">
        <v>5.2237359999999997</v>
      </c>
      <c r="G92" s="54" t="s">
        <v>29</v>
      </c>
    </row>
    <row r="93" spans="1:7" ht="12">
      <c r="A93" s="4" t="s">
        <v>419</v>
      </c>
      <c r="B93" s="20">
        <v>5.1559439999999999</v>
      </c>
      <c r="C93" s="15" t="s">
        <v>29</v>
      </c>
      <c r="D93" s="20">
        <v>5.1477899999999996</v>
      </c>
      <c r="E93" s="54" t="s">
        <v>29</v>
      </c>
      <c r="F93" s="57">
        <v>5.2237349999999996</v>
      </c>
      <c r="G93" s="54" t="s">
        <v>29</v>
      </c>
    </row>
    <row r="94" spans="1:7" ht="12">
      <c r="A94" s="4" t="s">
        <v>420</v>
      </c>
      <c r="B94" s="20">
        <v>27.419561000000002</v>
      </c>
      <c r="C94" s="15" t="s">
        <v>29</v>
      </c>
      <c r="D94" s="20">
        <v>28.638956</v>
      </c>
      <c r="E94" s="54" t="s">
        <v>29</v>
      </c>
      <c r="F94" s="57">
        <v>28.217271</v>
      </c>
      <c r="G94" s="54" t="s">
        <v>29</v>
      </c>
    </row>
    <row r="95" spans="1:7" ht="12">
      <c r="A95" s="4" t="s">
        <v>421</v>
      </c>
      <c r="B95" s="20">
        <v>25.054438999999999</v>
      </c>
      <c r="C95" s="15" t="s">
        <v>29</v>
      </c>
      <c r="D95" s="20">
        <v>22.958044000000001</v>
      </c>
      <c r="E95" s="54" t="s">
        <v>29</v>
      </c>
      <c r="F95" s="57">
        <v>20.696729000000001</v>
      </c>
      <c r="G95" s="54" t="s">
        <v>29</v>
      </c>
    </row>
    <row r="96" spans="1:7" ht="12">
      <c r="A96" s="4" t="s">
        <v>422</v>
      </c>
      <c r="B96" s="20" t="s">
        <v>29</v>
      </c>
      <c r="C96" s="15" t="s">
        <v>29</v>
      </c>
      <c r="D96" s="20" t="s">
        <v>29</v>
      </c>
      <c r="E96" s="54" t="s">
        <v>29</v>
      </c>
      <c r="F96" s="57">
        <v>7.7789999999999999</v>
      </c>
      <c r="G96" s="54" t="s">
        <v>29</v>
      </c>
    </row>
    <row r="97" spans="1:7">
      <c r="A97" s="4"/>
      <c r="B97" s="4"/>
      <c r="C97" s="49"/>
      <c r="D97" s="4"/>
      <c r="F97" s="46"/>
    </row>
    <row r="98" spans="1:7">
      <c r="A98" s="9" t="s">
        <v>423</v>
      </c>
      <c r="B98" s="4"/>
      <c r="C98" s="49"/>
      <c r="D98" s="4"/>
      <c r="F98" s="46"/>
    </row>
    <row r="99" spans="1:7" ht="12">
      <c r="A99" s="4" t="s">
        <v>141</v>
      </c>
      <c r="B99" s="30">
        <v>44306</v>
      </c>
      <c r="C99" s="15" t="s">
        <v>29</v>
      </c>
      <c r="D99" s="30">
        <v>44666</v>
      </c>
      <c r="E99" s="54" t="s">
        <v>29</v>
      </c>
      <c r="F99" s="60">
        <v>44666</v>
      </c>
      <c r="G99" s="54" t="s">
        <v>29</v>
      </c>
    </row>
    <row r="100" spans="1:7">
      <c r="A100" s="4"/>
      <c r="B100" s="4" t="s">
        <v>91</v>
      </c>
      <c r="C100" s="49"/>
      <c r="D100" s="4" t="s">
        <v>91</v>
      </c>
      <c r="F100" s="46" t="s">
        <v>91</v>
      </c>
    </row>
    <row r="101" spans="1:7" ht="12">
      <c r="A101" s="4" t="s">
        <v>25</v>
      </c>
      <c r="B101" s="23" t="s">
        <v>26</v>
      </c>
      <c r="C101" s="51"/>
      <c r="D101" s="23" t="s">
        <v>26</v>
      </c>
      <c r="E101" s="56"/>
      <c r="F101" s="45" t="s">
        <v>26</v>
      </c>
      <c r="G101" s="56"/>
    </row>
    <row r="102" spans="1:7">
      <c r="A102" s="4" t="s">
        <v>362</v>
      </c>
      <c r="B102" s="20">
        <v>1</v>
      </c>
      <c r="C102" s="15"/>
      <c r="D102" s="20">
        <v>1</v>
      </c>
      <c r="E102" s="54"/>
      <c r="F102" s="57">
        <v>1</v>
      </c>
      <c r="G102" s="54"/>
    </row>
    <row r="103" spans="1:7" ht="12">
      <c r="A103" s="4" t="s">
        <v>363</v>
      </c>
      <c r="B103" s="23" t="s">
        <v>364</v>
      </c>
      <c r="C103" s="15"/>
      <c r="D103" s="23" t="s">
        <v>364</v>
      </c>
      <c r="E103" s="54"/>
      <c r="F103" s="45" t="s">
        <v>364</v>
      </c>
      <c r="G103" s="54"/>
    </row>
    <row r="104" spans="1:7" ht="72">
      <c r="A104" s="35" t="s">
        <v>67</v>
      </c>
      <c r="B104" s="11"/>
      <c r="C104" s="11"/>
      <c r="D104" s="11"/>
    </row>
  </sheetData>
  <mergeCells count="6">
    <mergeCell ref="B14:C14"/>
    <mergeCell ref="D14:E14"/>
    <mergeCell ref="F14:G14"/>
    <mergeCell ref="B29:C29"/>
    <mergeCell ref="D29:E29"/>
    <mergeCell ref="F29:G29"/>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pageSetUpPr autoPageBreaks="0"/>
  </sheetPr>
  <dimension ref="A5:IU73"/>
  <sheetViews>
    <sheetView workbookViewId="0"/>
  </sheetViews>
  <sheetFormatPr baseColWidth="10" defaultColWidth="8.83203125" defaultRowHeight="11"/>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c r="A5" s="1" t="s">
        <v>424</v>
      </c>
    </row>
    <row r="7" spans="1:255" ht="24">
      <c r="A7" s="2" t="s">
        <v>425</v>
      </c>
      <c r="B7" s="3" t="s">
        <v>426</v>
      </c>
      <c r="C7" t="s">
        <v>75</v>
      </c>
      <c r="D7" s="4" t="s">
        <v>4</v>
      </c>
      <c r="E7" s="3" t="s">
        <v>427</v>
      </c>
      <c r="F7" t="s">
        <v>428</v>
      </c>
    </row>
    <row r="8" spans="1:255">
      <c r="A8" s="4"/>
      <c r="B8" s="3" t="s">
        <v>429</v>
      </c>
      <c r="C8" t="s">
        <v>78</v>
      </c>
      <c r="D8" s="4" t="s">
        <v>4</v>
      </c>
      <c r="E8" s="3" t="s">
        <v>430</v>
      </c>
      <c r="F8" t="s">
        <v>6</v>
      </c>
    </row>
    <row r="9" spans="1:255">
      <c r="A9" s="4"/>
      <c r="B9" s="3" t="s">
        <v>431</v>
      </c>
      <c r="C9" t="s">
        <v>10</v>
      </c>
      <c r="D9" s="4" t="s">
        <v>4</v>
      </c>
      <c r="E9" s="3" t="s">
        <v>432</v>
      </c>
      <c r="F9" s="5" t="s">
        <v>12</v>
      </c>
    </row>
    <row r="12" spans="1:255">
      <c r="A12" s="6" t="s">
        <v>433</v>
      </c>
      <c r="B12" s="6"/>
      <c r="C12" s="6"/>
      <c r="D12" s="6"/>
      <c r="E12" s="6"/>
      <c r="F12" s="6"/>
      <c r="G12" s="6"/>
      <c r="H12" s="6"/>
      <c r="I12" s="6"/>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row>
    <row r="13" spans="1:255" ht="30">
      <c r="A13" s="61" t="s">
        <v>434</v>
      </c>
      <c r="B13" s="61" t="s">
        <v>435</v>
      </c>
      <c r="C13" s="62" t="s">
        <v>436</v>
      </c>
      <c r="D13" s="62" t="s">
        <v>437</v>
      </c>
      <c r="E13" s="62" t="s">
        <v>438</v>
      </c>
      <c r="F13" s="62" t="s">
        <v>439</v>
      </c>
      <c r="G13" s="62" t="s">
        <v>440</v>
      </c>
      <c r="H13" s="62" t="s">
        <v>441</v>
      </c>
      <c r="I13" s="62" t="s">
        <v>442</v>
      </c>
      <c r="J13" s="62" t="s">
        <v>443</v>
      </c>
    </row>
    <row r="14" spans="1:255" ht="12">
      <c r="A14" s="49" t="s">
        <v>444</v>
      </c>
      <c r="B14" s="49" t="s">
        <v>445</v>
      </c>
      <c r="C14" s="63">
        <v>0.2</v>
      </c>
      <c r="D14" s="64" t="s">
        <v>446</v>
      </c>
      <c r="E14" s="64" t="s">
        <v>38</v>
      </c>
      <c r="F14" s="64">
        <v>2024</v>
      </c>
      <c r="G14" s="64" t="s">
        <v>447</v>
      </c>
      <c r="H14" s="64" t="s">
        <v>448</v>
      </c>
      <c r="I14" s="64" t="s">
        <v>448</v>
      </c>
      <c r="J14" s="64" t="s">
        <v>26</v>
      </c>
    </row>
    <row r="15" spans="1:255" ht="12">
      <c r="A15" s="49" t="s">
        <v>449</v>
      </c>
      <c r="B15" s="49" t="s">
        <v>450</v>
      </c>
      <c r="C15" s="63">
        <v>113.7</v>
      </c>
      <c r="D15" s="64" t="s">
        <v>451</v>
      </c>
      <c r="E15" s="64" t="s">
        <v>38</v>
      </c>
      <c r="F15" s="65">
        <v>46008</v>
      </c>
      <c r="G15" s="64" t="s">
        <v>447</v>
      </c>
      <c r="H15" s="64" t="s">
        <v>448</v>
      </c>
      <c r="I15" s="64" t="s">
        <v>442</v>
      </c>
      <c r="J15" s="64" t="s">
        <v>26</v>
      </c>
    </row>
    <row r="16" spans="1:255" ht="12">
      <c r="A16" s="49" t="s">
        <v>452</v>
      </c>
      <c r="B16" s="49" t="s">
        <v>445</v>
      </c>
      <c r="C16" s="63">
        <v>1.9</v>
      </c>
      <c r="D16" s="64" t="s">
        <v>453</v>
      </c>
      <c r="E16" s="64" t="s">
        <v>38</v>
      </c>
      <c r="F16" s="64">
        <v>2026</v>
      </c>
      <c r="G16" s="64" t="s">
        <v>447</v>
      </c>
      <c r="H16" s="64" t="s">
        <v>448</v>
      </c>
      <c r="I16" s="64" t="s">
        <v>448</v>
      </c>
      <c r="J16" s="64" t="s">
        <v>26</v>
      </c>
    </row>
    <row r="17" spans="1:10" ht="12">
      <c r="A17" s="49" t="s">
        <v>454</v>
      </c>
      <c r="B17" s="49" t="s">
        <v>455</v>
      </c>
      <c r="C17" s="63">
        <v>22</v>
      </c>
      <c r="D17" s="64" t="s">
        <v>456</v>
      </c>
      <c r="E17" s="64" t="s">
        <v>38</v>
      </c>
      <c r="F17" s="64">
        <v>2032</v>
      </c>
      <c r="G17" s="64" t="s">
        <v>447</v>
      </c>
      <c r="H17" s="64" t="s">
        <v>457</v>
      </c>
      <c r="I17" s="64" t="s">
        <v>448</v>
      </c>
      <c r="J17" s="64" t="s">
        <v>26</v>
      </c>
    </row>
    <row r="18" spans="1:10" ht="12">
      <c r="A18" s="49" t="s">
        <v>454</v>
      </c>
      <c r="B18" s="49" t="s">
        <v>455</v>
      </c>
      <c r="C18" s="63">
        <v>5.5</v>
      </c>
      <c r="D18" s="64" t="s">
        <v>458</v>
      </c>
      <c r="E18" s="64" t="s">
        <v>38</v>
      </c>
      <c r="F18" s="64">
        <v>2026</v>
      </c>
      <c r="G18" s="64" t="s">
        <v>447</v>
      </c>
      <c r="H18" s="64" t="s">
        <v>457</v>
      </c>
      <c r="I18" s="64" t="s">
        <v>448</v>
      </c>
      <c r="J18" s="64" t="s">
        <v>26</v>
      </c>
    </row>
    <row r="19" spans="1:10" ht="12">
      <c r="A19" s="49" t="s">
        <v>454</v>
      </c>
      <c r="B19" s="49" t="s">
        <v>455</v>
      </c>
      <c r="C19" s="63">
        <v>8.1999999999999993</v>
      </c>
      <c r="D19" s="64" t="s">
        <v>459</v>
      </c>
      <c r="E19" s="64" t="s">
        <v>38</v>
      </c>
      <c r="F19" s="64">
        <v>2034</v>
      </c>
      <c r="G19" s="64" t="s">
        <v>447</v>
      </c>
      <c r="H19" s="64" t="s">
        <v>457</v>
      </c>
      <c r="I19" s="64" t="s">
        <v>448</v>
      </c>
      <c r="J19" s="64" t="s">
        <v>26</v>
      </c>
    </row>
    <row r="20" spans="1:10" ht="12">
      <c r="A20" s="49" t="s">
        <v>454</v>
      </c>
      <c r="B20" s="49" t="s">
        <v>455</v>
      </c>
      <c r="C20" s="63">
        <v>0.3</v>
      </c>
      <c r="D20" s="64" t="s">
        <v>460</v>
      </c>
      <c r="E20" s="64" t="s">
        <v>38</v>
      </c>
      <c r="F20" s="64">
        <v>2026</v>
      </c>
      <c r="G20" s="64" t="s">
        <v>447</v>
      </c>
      <c r="H20" s="64" t="s">
        <v>457</v>
      </c>
      <c r="I20" s="64" t="s">
        <v>448</v>
      </c>
      <c r="J20" s="64" t="s">
        <v>26</v>
      </c>
    </row>
    <row r="21" spans="1:10" ht="12">
      <c r="A21" s="49" t="s">
        <v>454</v>
      </c>
      <c r="B21" s="49" t="s">
        <v>455</v>
      </c>
      <c r="C21" s="63">
        <v>0.3</v>
      </c>
      <c r="D21" s="64" t="s">
        <v>461</v>
      </c>
      <c r="E21" s="64" t="s">
        <v>38</v>
      </c>
      <c r="F21" s="64">
        <v>2021</v>
      </c>
      <c r="G21" s="64" t="s">
        <v>447</v>
      </c>
      <c r="H21" s="64" t="s">
        <v>457</v>
      </c>
      <c r="I21" s="64" t="s">
        <v>448</v>
      </c>
      <c r="J21" s="64" t="s">
        <v>26</v>
      </c>
    </row>
    <row r="22" spans="1:10" ht="12">
      <c r="A22" s="49" t="s">
        <v>454</v>
      </c>
      <c r="B22" s="49" t="s">
        <v>455</v>
      </c>
      <c r="C22" s="63">
        <v>5.7</v>
      </c>
      <c r="D22" s="64" t="s">
        <v>460</v>
      </c>
      <c r="E22" s="64" t="s">
        <v>38</v>
      </c>
      <c r="F22" s="64">
        <v>2026</v>
      </c>
      <c r="G22" s="64" t="s">
        <v>447</v>
      </c>
      <c r="H22" s="64" t="s">
        <v>457</v>
      </c>
      <c r="I22" s="64" t="s">
        <v>448</v>
      </c>
      <c r="J22" s="64" t="s">
        <v>26</v>
      </c>
    </row>
    <row r="23" spans="1:10" ht="12">
      <c r="A23" s="49" t="s">
        <v>454</v>
      </c>
      <c r="B23" s="49" t="s">
        <v>455</v>
      </c>
      <c r="C23" s="63">
        <v>1.9</v>
      </c>
      <c r="D23" s="64" t="s">
        <v>462</v>
      </c>
      <c r="E23" s="64" t="s">
        <v>38</v>
      </c>
      <c r="F23" s="64" t="s">
        <v>29</v>
      </c>
      <c r="G23" s="64" t="s">
        <v>447</v>
      </c>
      <c r="H23" s="64" t="s">
        <v>457</v>
      </c>
      <c r="I23" s="64" t="s">
        <v>448</v>
      </c>
      <c r="J23" s="64" t="s">
        <v>26</v>
      </c>
    </row>
    <row r="24" spans="1:10" ht="12">
      <c r="A24" s="49" t="s">
        <v>454</v>
      </c>
      <c r="B24" s="49" t="s">
        <v>455</v>
      </c>
      <c r="C24" s="63">
        <v>5.0999999999999996</v>
      </c>
      <c r="D24" s="64" t="s">
        <v>463</v>
      </c>
      <c r="E24" s="64" t="s">
        <v>38</v>
      </c>
      <c r="F24" s="64">
        <v>2026</v>
      </c>
      <c r="G24" s="64" t="s">
        <v>447</v>
      </c>
      <c r="H24" s="64" t="s">
        <v>457</v>
      </c>
      <c r="I24" s="64" t="s">
        <v>448</v>
      </c>
      <c r="J24" s="64" t="s">
        <v>26</v>
      </c>
    </row>
    <row r="25" spans="1:10" ht="12">
      <c r="A25" s="49" t="s">
        <v>464</v>
      </c>
      <c r="B25" s="49" t="s">
        <v>445</v>
      </c>
      <c r="C25" s="63">
        <v>3.2</v>
      </c>
      <c r="D25" s="64" t="s">
        <v>465</v>
      </c>
      <c r="E25" s="64" t="s">
        <v>38</v>
      </c>
      <c r="F25" s="64">
        <v>2027</v>
      </c>
      <c r="G25" s="64" t="s">
        <v>447</v>
      </c>
      <c r="H25" s="64" t="s">
        <v>448</v>
      </c>
      <c r="I25" s="64" t="s">
        <v>448</v>
      </c>
      <c r="J25" s="64" t="s">
        <v>26</v>
      </c>
    </row>
    <row r="26" spans="1:10" ht="24">
      <c r="A26" s="49" t="s">
        <v>466</v>
      </c>
      <c r="B26" s="49" t="s">
        <v>445</v>
      </c>
      <c r="C26" s="63">
        <v>0.8</v>
      </c>
      <c r="D26" s="64" t="s">
        <v>461</v>
      </c>
      <c r="E26" s="64" t="s">
        <v>38</v>
      </c>
      <c r="F26" s="64">
        <v>2023</v>
      </c>
      <c r="G26" s="64" t="s">
        <v>447</v>
      </c>
      <c r="H26" s="64" t="s">
        <v>457</v>
      </c>
      <c r="I26" s="64" t="s">
        <v>448</v>
      </c>
      <c r="J26" s="64" t="s">
        <v>26</v>
      </c>
    </row>
    <row r="27" spans="1:10" ht="12">
      <c r="A27" s="49" t="s">
        <v>467</v>
      </c>
      <c r="B27" s="49" t="s">
        <v>468</v>
      </c>
      <c r="C27" s="63">
        <v>110</v>
      </c>
      <c r="D27" s="64" t="s">
        <v>38</v>
      </c>
      <c r="E27" s="64" t="s">
        <v>38</v>
      </c>
      <c r="F27" s="64" t="s">
        <v>29</v>
      </c>
      <c r="G27" s="64" t="s">
        <v>447</v>
      </c>
      <c r="H27" s="64" t="s">
        <v>448</v>
      </c>
      <c r="I27" s="64" t="s">
        <v>448</v>
      </c>
      <c r="J27" s="64" t="s">
        <v>26</v>
      </c>
    </row>
    <row r="28" spans="1:10" ht="12">
      <c r="A28" s="49" t="s">
        <v>469</v>
      </c>
      <c r="B28" s="49" t="s">
        <v>468</v>
      </c>
      <c r="C28" s="64" t="s">
        <v>29</v>
      </c>
      <c r="D28" s="64" t="s">
        <v>38</v>
      </c>
      <c r="E28" s="64" t="s">
        <v>38</v>
      </c>
      <c r="F28" s="64" t="s">
        <v>29</v>
      </c>
      <c r="G28" s="64" t="s">
        <v>447</v>
      </c>
      <c r="H28" s="64" t="s">
        <v>448</v>
      </c>
      <c r="I28" s="64" t="s">
        <v>448</v>
      </c>
      <c r="J28" s="64" t="s">
        <v>26</v>
      </c>
    </row>
    <row r="29" spans="1:10" ht="24">
      <c r="A29" s="49" t="s">
        <v>470</v>
      </c>
      <c r="B29" s="49" t="s">
        <v>468</v>
      </c>
      <c r="C29" s="63">
        <v>8.5</v>
      </c>
      <c r="D29" s="64" t="s">
        <v>38</v>
      </c>
      <c r="E29" s="64" t="s">
        <v>38</v>
      </c>
      <c r="F29" s="64" t="s">
        <v>29</v>
      </c>
      <c r="G29" s="64" t="s">
        <v>447</v>
      </c>
      <c r="H29" s="64" t="s">
        <v>448</v>
      </c>
      <c r="I29" s="64" t="s">
        <v>448</v>
      </c>
      <c r="J29" s="64" t="s">
        <v>26</v>
      </c>
    </row>
    <row r="30" spans="1:10" ht="24">
      <c r="A30" s="49" t="s">
        <v>471</v>
      </c>
      <c r="B30" s="49" t="s">
        <v>445</v>
      </c>
      <c r="C30" s="63">
        <v>5.9</v>
      </c>
      <c r="D30" s="64" t="s">
        <v>38</v>
      </c>
      <c r="E30" s="64" t="s">
        <v>38</v>
      </c>
      <c r="F30" s="64" t="s">
        <v>29</v>
      </c>
      <c r="G30" s="64" t="s">
        <v>447</v>
      </c>
      <c r="H30" s="64" t="s">
        <v>448</v>
      </c>
      <c r="I30" s="64" t="s">
        <v>448</v>
      </c>
      <c r="J30" s="64" t="s">
        <v>26</v>
      </c>
    </row>
    <row r="31" spans="1:10" ht="24">
      <c r="A31" s="49" t="s">
        <v>472</v>
      </c>
      <c r="B31" s="49" t="s">
        <v>445</v>
      </c>
      <c r="C31" s="63">
        <v>8.5</v>
      </c>
      <c r="D31" s="64" t="s">
        <v>38</v>
      </c>
      <c r="E31" s="64" t="s">
        <v>38</v>
      </c>
      <c r="F31" s="64">
        <v>2029</v>
      </c>
      <c r="G31" s="64" t="s">
        <v>447</v>
      </c>
      <c r="H31" s="64" t="s">
        <v>448</v>
      </c>
      <c r="I31" s="64" t="s">
        <v>448</v>
      </c>
      <c r="J31" s="64" t="s">
        <v>26</v>
      </c>
    </row>
    <row r="32" spans="1:10" ht="24">
      <c r="A32" s="49" t="s">
        <v>473</v>
      </c>
      <c r="B32" s="49" t="s">
        <v>445</v>
      </c>
      <c r="C32" s="63">
        <v>7.6</v>
      </c>
      <c r="D32" s="64" t="s">
        <v>474</v>
      </c>
      <c r="E32" s="64" t="s">
        <v>38</v>
      </c>
      <c r="F32" s="64">
        <v>2035</v>
      </c>
      <c r="G32" s="64" t="s">
        <v>475</v>
      </c>
      <c r="H32" s="64" t="s">
        <v>457</v>
      </c>
      <c r="I32" s="64" t="s">
        <v>448</v>
      </c>
      <c r="J32" s="64" t="s">
        <v>26</v>
      </c>
    </row>
    <row r="33" spans="1:255" ht="24">
      <c r="A33" s="49" t="s">
        <v>473</v>
      </c>
      <c r="B33" s="49" t="s">
        <v>445</v>
      </c>
      <c r="C33" s="63">
        <v>0.6</v>
      </c>
      <c r="D33" s="64" t="s">
        <v>474</v>
      </c>
      <c r="E33" s="64" t="s">
        <v>38</v>
      </c>
      <c r="F33" s="64">
        <v>2035</v>
      </c>
      <c r="G33" s="64" t="s">
        <v>475</v>
      </c>
      <c r="H33" s="64" t="s">
        <v>457</v>
      </c>
      <c r="I33" s="64" t="s">
        <v>448</v>
      </c>
      <c r="J33" s="64" t="s">
        <v>26</v>
      </c>
    </row>
    <row r="34" spans="1:255" ht="36">
      <c r="A34" s="49" t="s">
        <v>476</v>
      </c>
      <c r="B34" s="49" t="s">
        <v>445</v>
      </c>
      <c r="C34" s="63">
        <v>1.7</v>
      </c>
      <c r="D34" s="64" t="s">
        <v>459</v>
      </c>
      <c r="E34" s="64" t="s">
        <v>38</v>
      </c>
      <c r="F34" s="64">
        <v>2026</v>
      </c>
      <c r="G34" s="64" t="s">
        <v>475</v>
      </c>
      <c r="H34" s="64" t="s">
        <v>457</v>
      </c>
      <c r="I34" s="64" t="s">
        <v>448</v>
      </c>
      <c r="J34" s="64" t="s">
        <v>26</v>
      </c>
    </row>
    <row r="35" spans="1:255" ht="24">
      <c r="A35" s="49" t="s">
        <v>477</v>
      </c>
      <c r="B35" s="49" t="s">
        <v>445</v>
      </c>
      <c r="C35" s="63">
        <v>2.4</v>
      </c>
      <c r="D35" s="64" t="s">
        <v>459</v>
      </c>
      <c r="E35" s="64" t="s">
        <v>38</v>
      </c>
      <c r="F35" s="64">
        <v>2034</v>
      </c>
      <c r="G35" s="64" t="s">
        <v>475</v>
      </c>
      <c r="H35" s="64" t="s">
        <v>457</v>
      </c>
      <c r="I35" s="64" t="s">
        <v>448</v>
      </c>
      <c r="J35" s="64" t="s">
        <v>26</v>
      </c>
    </row>
    <row r="36" spans="1:255" ht="24">
      <c r="A36" s="49" t="s">
        <v>478</v>
      </c>
      <c r="B36" s="49" t="s">
        <v>445</v>
      </c>
      <c r="C36" s="63">
        <v>4</v>
      </c>
      <c r="D36" s="64" t="s">
        <v>38</v>
      </c>
      <c r="E36" s="64" t="s">
        <v>38</v>
      </c>
      <c r="F36" s="64">
        <v>2022</v>
      </c>
      <c r="G36" s="64" t="s">
        <v>447</v>
      </c>
      <c r="H36" s="64" t="s">
        <v>457</v>
      </c>
      <c r="I36" s="64" t="s">
        <v>448</v>
      </c>
      <c r="J36" s="64" t="s">
        <v>26</v>
      </c>
    </row>
    <row r="37" spans="1:255" ht="24">
      <c r="A37" s="49" t="s">
        <v>479</v>
      </c>
      <c r="B37" s="49" t="s">
        <v>480</v>
      </c>
      <c r="C37" s="63">
        <v>35</v>
      </c>
      <c r="D37" s="64" t="s">
        <v>38</v>
      </c>
      <c r="E37" s="64" t="s">
        <v>38</v>
      </c>
      <c r="F37" s="65">
        <v>45016</v>
      </c>
      <c r="G37" s="64" t="s">
        <v>447</v>
      </c>
      <c r="H37" s="64" t="s">
        <v>457</v>
      </c>
      <c r="I37" s="64" t="s">
        <v>448</v>
      </c>
      <c r="J37" s="64" t="s">
        <v>26</v>
      </c>
    </row>
    <row r="38" spans="1:255" ht="36">
      <c r="A38" s="49" t="s">
        <v>481</v>
      </c>
      <c r="B38" s="49" t="s">
        <v>445</v>
      </c>
      <c r="C38" s="63">
        <v>0.1</v>
      </c>
      <c r="D38" s="64" t="s">
        <v>482</v>
      </c>
      <c r="E38" s="64" t="s">
        <v>38</v>
      </c>
      <c r="F38" s="64">
        <v>2022</v>
      </c>
      <c r="G38" s="64" t="s">
        <v>475</v>
      </c>
      <c r="H38" s="64" t="s">
        <v>448</v>
      </c>
      <c r="I38" s="64" t="s">
        <v>448</v>
      </c>
      <c r="J38" s="64" t="s">
        <v>26</v>
      </c>
    </row>
    <row r="39" spans="1:255" ht="12">
      <c r="A39" s="49" t="s">
        <v>483</v>
      </c>
      <c r="B39" s="49" t="s">
        <v>480</v>
      </c>
      <c r="C39" s="63">
        <v>0.1</v>
      </c>
      <c r="D39" s="64" t="s">
        <v>484</v>
      </c>
      <c r="E39" s="64" t="s">
        <v>38</v>
      </c>
      <c r="F39" s="64">
        <v>2023</v>
      </c>
      <c r="G39" s="64" t="s">
        <v>447</v>
      </c>
      <c r="H39" s="64" t="s">
        <v>457</v>
      </c>
      <c r="I39" s="64" t="s">
        <v>448</v>
      </c>
      <c r="J39" s="64" t="s">
        <v>26</v>
      </c>
    </row>
    <row r="40" spans="1:255">
      <c r="A40" s="48"/>
      <c r="B40" s="48"/>
      <c r="C40" s="48"/>
      <c r="D40" s="48"/>
      <c r="E40" s="48"/>
      <c r="F40" s="48"/>
      <c r="G40" s="48"/>
      <c r="H40" s="48"/>
      <c r="I40" s="48"/>
      <c r="J40" s="48"/>
    </row>
    <row r="44" spans="1:255">
      <c r="A44" s="6" t="s">
        <v>485</v>
      </c>
      <c r="B44" s="6"/>
      <c r="C44" s="6"/>
      <c r="D44" s="6"/>
      <c r="E44" s="6"/>
      <c r="F44" s="6"/>
      <c r="G44" s="6"/>
      <c r="H44" s="6"/>
      <c r="I44" s="6"/>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7"/>
      <c r="DT44" s="67"/>
      <c r="DU44" s="67"/>
      <c r="DV44" s="67"/>
      <c r="DW44" s="67"/>
      <c r="DX44" s="67"/>
      <c r="DY44" s="67"/>
      <c r="DZ44" s="67"/>
      <c r="EA44" s="67"/>
      <c r="EB44" s="67"/>
      <c r="EC44" s="67"/>
      <c r="ED44" s="67"/>
      <c r="EE44" s="67"/>
      <c r="EF44" s="67"/>
      <c r="EG44" s="67"/>
      <c r="EH44" s="67"/>
      <c r="EI44" s="67"/>
      <c r="EJ44" s="67"/>
      <c r="EK44" s="67"/>
      <c r="EL44" s="67"/>
      <c r="EM44" s="67"/>
      <c r="EN44" s="67"/>
      <c r="EO44" s="67"/>
      <c r="EP44" s="67"/>
      <c r="EQ44" s="67"/>
      <c r="ER44" s="67"/>
      <c r="ES44" s="67"/>
      <c r="ET44" s="67"/>
      <c r="EU44" s="67"/>
      <c r="EV44" s="67"/>
      <c r="EW44" s="67"/>
      <c r="EX44" s="67"/>
      <c r="EY44" s="67"/>
      <c r="EZ44" s="67"/>
      <c r="FA44" s="67"/>
      <c r="FB44" s="67"/>
      <c r="FC44" s="67"/>
      <c r="FD44" s="67"/>
      <c r="FE44" s="67"/>
      <c r="FF44" s="67"/>
      <c r="FG44" s="67"/>
      <c r="FH44" s="67"/>
      <c r="FI44" s="67"/>
      <c r="FJ44" s="67"/>
      <c r="FK44" s="67"/>
      <c r="FL44" s="67"/>
      <c r="FM44" s="67"/>
      <c r="FN44" s="67"/>
      <c r="FO44" s="67"/>
      <c r="FP44" s="67"/>
      <c r="FQ44" s="67"/>
      <c r="FR44" s="67"/>
      <c r="FS44" s="67"/>
      <c r="FT44" s="67"/>
      <c r="FU44" s="67"/>
      <c r="FV44" s="67"/>
      <c r="FW44" s="67"/>
      <c r="FX44" s="67"/>
      <c r="FY44" s="67"/>
      <c r="FZ44" s="67"/>
      <c r="GA44" s="67"/>
      <c r="GB44" s="67"/>
      <c r="GC44" s="67"/>
      <c r="GD44" s="67"/>
      <c r="GE44" s="67"/>
      <c r="GF44" s="67"/>
      <c r="GG44" s="67"/>
      <c r="GH44" s="67"/>
      <c r="GI44" s="67"/>
      <c r="GJ44" s="67"/>
      <c r="GK44" s="67"/>
      <c r="GL44" s="67"/>
      <c r="GM44" s="67"/>
      <c r="GN44" s="67"/>
      <c r="GO44" s="67"/>
      <c r="GP44" s="67"/>
      <c r="GQ44" s="67"/>
      <c r="GR44" s="67"/>
      <c r="GS44" s="67"/>
      <c r="GT44" s="67"/>
      <c r="GU44" s="67"/>
      <c r="GV44" s="67"/>
      <c r="GW44" s="67"/>
      <c r="GX44" s="67"/>
      <c r="GY44" s="67"/>
      <c r="GZ44" s="67"/>
      <c r="HA44" s="67"/>
      <c r="HB44" s="67"/>
      <c r="HC44" s="67"/>
      <c r="HD44" s="67"/>
      <c r="HE44" s="67"/>
      <c r="HF44" s="67"/>
      <c r="HG44" s="67"/>
      <c r="HH44" s="67"/>
      <c r="HI44" s="67"/>
      <c r="HJ44" s="67"/>
      <c r="HK44" s="67"/>
      <c r="HL44" s="67"/>
      <c r="HM44" s="67"/>
      <c r="HN44" s="67"/>
      <c r="HO44" s="67"/>
      <c r="HP44" s="67"/>
      <c r="HQ44" s="67"/>
      <c r="HR44" s="67"/>
      <c r="HS44" s="67"/>
      <c r="HT44" s="67"/>
      <c r="HU44" s="67"/>
      <c r="HV44" s="67"/>
      <c r="HW44" s="67"/>
      <c r="HX44" s="67"/>
      <c r="HY44" s="67"/>
      <c r="HZ44" s="67"/>
      <c r="IA44" s="67"/>
      <c r="IB44" s="67"/>
      <c r="IC44" s="67"/>
      <c r="ID44" s="67"/>
      <c r="IE44" s="67"/>
      <c r="IF44" s="67"/>
      <c r="IG44" s="67"/>
      <c r="IH44" s="67"/>
      <c r="II44" s="67"/>
      <c r="IJ44" s="67"/>
      <c r="IK44" s="67"/>
      <c r="IL44" s="67"/>
      <c r="IM44" s="67"/>
      <c r="IN44" s="67"/>
      <c r="IO44" s="67"/>
      <c r="IP44" s="67"/>
      <c r="IQ44" s="67"/>
      <c r="IR44" s="67"/>
      <c r="IS44" s="67"/>
      <c r="IT44" s="67"/>
      <c r="IU44" s="67"/>
    </row>
    <row r="45" spans="1:255" ht="30">
      <c r="A45" s="61" t="s">
        <v>434</v>
      </c>
      <c r="B45" s="61" t="s">
        <v>435</v>
      </c>
      <c r="C45" s="62" t="s">
        <v>436</v>
      </c>
      <c r="D45" s="62" t="s">
        <v>437</v>
      </c>
      <c r="E45" s="62" t="s">
        <v>438</v>
      </c>
      <c r="F45" s="62" t="s">
        <v>439</v>
      </c>
      <c r="G45" s="62" t="s">
        <v>440</v>
      </c>
      <c r="H45" s="62" t="s">
        <v>441</v>
      </c>
      <c r="I45" s="62" t="s">
        <v>442</v>
      </c>
      <c r="J45" s="62" t="s">
        <v>443</v>
      </c>
    </row>
    <row r="46" spans="1:255" ht="12">
      <c r="A46" s="49" t="s">
        <v>444</v>
      </c>
      <c r="B46" s="49" t="s">
        <v>445</v>
      </c>
      <c r="C46" s="63">
        <v>0.2</v>
      </c>
      <c r="D46" s="64" t="s">
        <v>446</v>
      </c>
      <c r="E46" s="64" t="s">
        <v>38</v>
      </c>
      <c r="F46" s="64">
        <v>2024</v>
      </c>
      <c r="G46" s="64" t="s">
        <v>447</v>
      </c>
      <c r="H46" s="64" t="s">
        <v>448</v>
      </c>
      <c r="I46" s="64" t="s">
        <v>448</v>
      </c>
      <c r="J46" s="64" t="s">
        <v>26</v>
      </c>
    </row>
    <row r="47" spans="1:255" ht="12">
      <c r="A47" s="49" t="s">
        <v>449</v>
      </c>
      <c r="B47" s="49" t="s">
        <v>450</v>
      </c>
      <c r="C47" s="63">
        <v>111.3</v>
      </c>
      <c r="D47" s="64" t="s">
        <v>451</v>
      </c>
      <c r="E47" s="64" t="s">
        <v>38</v>
      </c>
      <c r="F47" s="65">
        <v>46008</v>
      </c>
      <c r="G47" s="64" t="s">
        <v>447</v>
      </c>
      <c r="H47" s="64" t="s">
        <v>448</v>
      </c>
      <c r="I47" s="64" t="s">
        <v>442</v>
      </c>
      <c r="J47" s="64" t="s">
        <v>26</v>
      </c>
    </row>
    <row r="48" spans="1:255" ht="12">
      <c r="A48" s="49" t="s">
        <v>452</v>
      </c>
      <c r="B48" s="49" t="s">
        <v>445</v>
      </c>
      <c r="C48" s="63">
        <v>2.2000000000000002</v>
      </c>
      <c r="D48" s="64" t="s">
        <v>453</v>
      </c>
      <c r="E48" s="64" t="s">
        <v>38</v>
      </c>
      <c r="F48" s="64">
        <v>2026</v>
      </c>
      <c r="G48" s="64" t="s">
        <v>447</v>
      </c>
      <c r="H48" s="64" t="s">
        <v>448</v>
      </c>
      <c r="I48" s="64" t="s">
        <v>448</v>
      </c>
      <c r="J48" s="64" t="s">
        <v>26</v>
      </c>
    </row>
    <row r="49" spans="1:10" ht="12">
      <c r="A49" s="49" t="s">
        <v>454</v>
      </c>
      <c r="B49" s="49" t="s">
        <v>455</v>
      </c>
      <c r="C49" s="63">
        <v>23.4</v>
      </c>
      <c r="D49" s="64" t="s">
        <v>456</v>
      </c>
      <c r="E49" s="64" t="s">
        <v>38</v>
      </c>
      <c r="F49" s="64">
        <v>2032</v>
      </c>
      <c r="G49" s="64" t="s">
        <v>447</v>
      </c>
      <c r="H49" s="64" t="s">
        <v>457</v>
      </c>
      <c r="I49" s="64" t="s">
        <v>448</v>
      </c>
      <c r="J49" s="64" t="s">
        <v>26</v>
      </c>
    </row>
    <row r="50" spans="1:10" ht="12">
      <c r="A50" s="49" t="s">
        <v>454</v>
      </c>
      <c r="B50" s="49" t="s">
        <v>455</v>
      </c>
      <c r="C50" s="63">
        <v>6.8</v>
      </c>
      <c r="D50" s="64" t="s">
        <v>458</v>
      </c>
      <c r="E50" s="64" t="s">
        <v>38</v>
      </c>
      <c r="F50" s="64">
        <v>2026</v>
      </c>
      <c r="G50" s="64" t="s">
        <v>447</v>
      </c>
      <c r="H50" s="64" t="s">
        <v>457</v>
      </c>
      <c r="I50" s="64" t="s">
        <v>448</v>
      </c>
      <c r="J50" s="64" t="s">
        <v>26</v>
      </c>
    </row>
    <row r="51" spans="1:10" ht="12">
      <c r="A51" s="49" t="s">
        <v>454</v>
      </c>
      <c r="B51" s="49" t="s">
        <v>455</v>
      </c>
      <c r="C51" s="63">
        <v>8.6</v>
      </c>
      <c r="D51" s="64" t="s">
        <v>459</v>
      </c>
      <c r="E51" s="64" t="s">
        <v>38</v>
      </c>
      <c r="F51" s="64">
        <v>2034</v>
      </c>
      <c r="G51" s="64" t="s">
        <v>447</v>
      </c>
      <c r="H51" s="64" t="s">
        <v>457</v>
      </c>
      <c r="I51" s="64" t="s">
        <v>448</v>
      </c>
      <c r="J51" s="64" t="s">
        <v>26</v>
      </c>
    </row>
    <row r="52" spans="1:10" ht="12">
      <c r="A52" s="49" t="s">
        <v>454</v>
      </c>
      <c r="B52" s="49" t="s">
        <v>455</v>
      </c>
      <c r="C52" s="63">
        <v>0.3</v>
      </c>
      <c r="D52" s="64" t="s">
        <v>460</v>
      </c>
      <c r="E52" s="64" t="s">
        <v>38</v>
      </c>
      <c r="F52" s="64">
        <v>2026</v>
      </c>
      <c r="G52" s="64" t="s">
        <v>447</v>
      </c>
      <c r="H52" s="64" t="s">
        <v>457</v>
      </c>
      <c r="I52" s="64" t="s">
        <v>448</v>
      </c>
      <c r="J52" s="64" t="s">
        <v>26</v>
      </c>
    </row>
    <row r="53" spans="1:10" ht="12">
      <c r="A53" s="49" t="s">
        <v>454</v>
      </c>
      <c r="B53" s="49" t="s">
        <v>455</v>
      </c>
      <c r="C53" s="63">
        <v>0.8</v>
      </c>
      <c r="D53" s="64" t="s">
        <v>461</v>
      </c>
      <c r="E53" s="64" t="s">
        <v>38</v>
      </c>
      <c r="F53" s="64">
        <v>2021</v>
      </c>
      <c r="G53" s="64" t="s">
        <v>447</v>
      </c>
      <c r="H53" s="64" t="s">
        <v>457</v>
      </c>
      <c r="I53" s="64" t="s">
        <v>448</v>
      </c>
      <c r="J53" s="64" t="s">
        <v>26</v>
      </c>
    </row>
    <row r="54" spans="1:10" ht="12">
      <c r="A54" s="49" t="s">
        <v>454</v>
      </c>
      <c r="B54" s="49" t="s">
        <v>455</v>
      </c>
      <c r="C54" s="63">
        <v>6.7</v>
      </c>
      <c r="D54" s="64" t="s">
        <v>460</v>
      </c>
      <c r="E54" s="64" t="s">
        <v>38</v>
      </c>
      <c r="F54" s="64">
        <v>2026</v>
      </c>
      <c r="G54" s="64" t="s">
        <v>447</v>
      </c>
      <c r="H54" s="64" t="s">
        <v>457</v>
      </c>
      <c r="I54" s="64" t="s">
        <v>448</v>
      </c>
      <c r="J54" s="64" t="s">
        <v>26</v>
      </c>
    </row>
    <row r="55" spans="1:10" ht="12">
      <c r="A55" s="49" t="s">
        <v>454</v>
      </c>
      <c r="B55" s="49" t="s">
        <v>455</v>
      </c>
      <c r="C55" s="63">
        <v>2.5</v>
      </c>
      <c r="D55" s="64" t="s">
        <v>462</v>
      </c>
      <c r="E55" s="64" t="s">
        <v>38</v>
      </c>
      <c r="F55" s="64" t="s">
        <v>29</v>
      </c>
      <c r="G55" s="64" t="s">
        <v>447</v>
      </c>
      <c r="H55" s="64" t="s">
        <v>457</v>
      </c>
      <c r="I55" s="64" t="s">
        <v>448</v>
      </c>
      <c r="J55" s="64" t="s">
        <v>26</v>
      </c>
    </row>
    <row r="56" spans="1:10" ht="12">
      <c r="A56" s="49" t="s">
        <v>454</v>
      </c>
      <c r="B56" s="49" t="s">
        <v>455</v>
      </c>
      <c r="C56" s="63">
        <v>2.6</v>
      </c>
      <c r="D56" s="64" t="s">
        <v>463</v>
      </c>
      <c r="E56" s="64" t="s">
        <v>38</v>
      </c>
      <c r="F56" s="64">
        <v>2026</v>
      </c>
      <c r="G56" s="64" t="s">
        <v>447</v>
      </c>
      <c r="H56" s="64" t="s">
        <v>457</v>
      </c>
      <c r="I56" s="64" t="s">
        <v>448</v>
      </c>
      <c r="J56" s="64" t="s">
        <v>26</v>
      </c>
    </row>
    <row r="57" spans="1:10" ht="12">
      <c r="A57" s="49" t="s">
        <v>464</v>
      </c>
      <c r="B57" s="49" t="s">
        <v>445</v>
      </c>
      <c r="C57" s="63">
        <v>3.7</v>
      </c>
      <c r="D57" s="64" t="s">
        <v>465</v>
      </c>
      <c r="E57" s="64" t="s">
        <v>38</v>
      </c>
      <c r="F57" s="64">
        <v>2027</v>
      </c>
      <c r="G57" s="64" t="s">
        <v>447</v>
      </c>
      <c r="H57" s="64" t="s">
        <v>448</v>
      </c>
      <c r="I57" s="64" t="s">
        <v>448</v>
      </c>
      <c r="J57" s="64" t="s">
        <v>26</v>
      </c>
    </row>
    <row r="58" spans="1:10" ht="24">
      <c r="A58" s="49" t="s">
        <v>466</v>
      </c>
      <c r="B58" s="49" t="s">
        <v>445</v>
      </c>
      <c r="C58" s="63">
        <v>0.3</v>
      </c>
      <c r="D58" s="64" t="s">
        <v>461</v>
      </c>
      <c r="E58" s="64" t="s">
        <v>38</v>
      </c>
      <c r="F58" s="64">
        <v>2023</v>
      </c>
      <c r="G58" s="64" t="s">
        <v>447</v>
      </c>
      <c r="H58" s="64" t="s">
        <v>457</v>
      </c>
      <c r="I58" s="64" t="s">
        <v>448</v>
      </c>
      <c r="J58" s="64" t="s">
        <v>26</v>
      </c>
    </row>
    <row r="59" spans="1:10" ht="12">
      <c r="A59" s="49" t="s">
        <v>486</v>
      </c>
      <c r="B59" s="49" t="s">
        <v>468</v>
      </c>
      <c r="C59" s="63">
        <v>0.3</v>
      </c>
      <c r="D59" s="64" t="s">
        <v>38</v>
      </c>
      <c r="E59" s="64" t="s">
        <v>38</v>
      </c>
      <c r="F59" s="64" t="s">
        <v>29</v>
      </c>
      <c r="G59" s="64" t="s">
        <v>447</v>
      </c>
      <c r="H59" s="64" t="s">
        <v>448</v>
      </c>
      <c r="I59" s="64" t="s">
        <v>448</v>
      </c>
      <c r="J59" s="64" t="s">
        <v>26</v>
      </c>
    </row>
    <row r="60" spans="1:10" ht="12">
      <c r="A60" s="49" t="s">
        <v>467</v>
      </c>
      <c r="B60" s="49" t="s">
        <v>468</v>
      </c>
      <c r="C60" s="63">
        <v>115.7</v>
      </c>
      <c r="D60" s="64" t="s">
        <v>38</v>
      </c>
      <c r="E60" s="64" t="s">
        <v>38</v>
      </c>
      <c r="F60" s="64" t="s">
        <v>29</v>
      </c>
      <c r="G60" s="64" t="s">
        <v>447</v>
      </c>
      <c r="H60" s="64" t="s">
        <v>448</v>
      </c>
      <c r="I60" s="64" t="s">
        <v>448</v>
      </c>
      <c r="J60" s="64" t="s">
        <v>26</v>
      </c>
    </row>
    <row r="61" spans="1:10" ht="12">
      <c r="A61" s="49" t="s">
        <v>469</v>
      </c>
      <c r="B61" s="49" t="s">
        <v>468</v>
      </c>
      <c r="C61" s="63">
        <v>3.1</v>
      </c>
      <c r="D61" s="64" t="s">
        <v>38</v>
      </c>
      <c r="E61" s="64" t="s">
        <v>38</v>
      </c>
      <c r="F61" s="64" t="s">
        <v>29</v>
      </c>
      <c r="G61" s="64" t="s">
        <v>447</v>
      </c>
      <c r="H61" s="64" t="s">
        <v>448</v>
      </c>
      <c r="I61" s="64" t="s">
        <v>448</v>
      </c>
      <c r="J61" s="64" t="s">
        <v>26</v>
      </c>
    </row>
    <row r="62" spans="1:10" ht="24">
      <c r="A62" s="49" t="s">
        <v>470</v>
      </c>
      <c r="B62" s="49" t="s">
        <v>468</v>
      </c>
      <c r="C62" s="63">
        <v>5.7</v>
      </c>
      <c r="D62" s="64" t="s">
        <v>38</v>
      </c>
      <c r="E62" s="64" t="s">
        <v>38</v>
      </c>
      <c r="F62" s="64" t="s">
        <v>29</v>
      </c>
      <c r="G62" s="64" t="s">
        <v>447</v>
      </c>
      <c r="H62" s="64" t="s">
        <v>448</v>
      </c>
      <c r="I62" s="64" t="s">
        <v>448</v>
      </c>
      <c r="J62" s="64" t="s">
        <v>26</v>
      </c>
    </row>
    <row r="63" spans="1:10" ht="24">
      <c r="A63" s="49" t="s">
        <v>471</v>
      </c>
      <c r="B63" s="49" t="s">
        <v>445</v>
      </c>
      <c r="C63" s="63">
        <v>6.5</v>
      </c>
      <c r="D63" s="64" t="s">
        <v>38</v>
      </c>
      <c r="E63" s="64" t="s">
        <v>38</v>
      </c>
      <c r="F63" s="64" t="s">
        <v>29</v>
      </c>
      <c r="G63" s="64" t="s">
        <v>447</v>
      </c>
      <c r="H63" s="64" t="s">
        <v>448</v>
      </c>
      <c r="I63" s="64" t="s">
        <v>448</v>
      </c>
      <c r="J63" s="64" t="s">
        <v>26</v>
      </c>
    </row>
    <row r="64" spans="1:10" ht="24">
      <c r="A64" s="49" t="s">
        <v>472</v>
      </c>
      <c r="B64" s="49" t="s">
        <v>445</v>
      </c>
      <c r="C64" s="63">
        <v>10</v>
      </c>
      <c r="D64" s="64" t="s">
        <v>38</v>
      </c>
      <c r="E64" s="64" t="s">
        <v>38</v>
      </c>
      <c r="F64" s="64">
        <v>2029</v>
      </c>
      <c r="G64" s="64" t="s">
        <v>447</v>
      </c>
      <c r="H64" s="64" t="s">
        <v>448</v>
      </c>
      <c r="I64" s="64" t="s">
        <v>448</v>
      </c>
      <c r="J64" s="64" t="s">
        <v>26</v>
      </c>
    </row>
    <row r="65" spans="1:10" ht="24">
      <c r="A65" s="49" t="s">
        <v>473</v>
      </c>
      <c r="B65" s="49" t="s">
        <v>445</v>
      </c>
      <c r="C65" s="63">
        <v>8.1999999999999993</v>
      </c>
      <c r="D65" s="64" t="s">
        <v>474</v>
      </c>
      <c r="E65" s="64" t="s">
        <v>38</v>
      </c>
      <c r="F65" s="64">
        <v>2035</v>
      </c>
      <c r="G65" s="64" t="s">
        <v>475</v>
      </c>
      <c r="H65" s="64" t="s">
        <v>457</v>
      </c>
      <c r="I65" s="64" t="s">
        <v>448</v>
      </c>
      <c r="J65" s="64" t="s">
        <v>26</v>
      </c>
    </row>
    <row r="66" spans="1:10" ht="24">
      <c r="A66" s="49" t="s">
        <v>473</v>
      </c>
      <c r="B66" s="49" t="s">
        <v>445</v>
      </c>
      <c r="C66" s="63">
        <v>0.6</v>
      </c>
      <c r="D66" s="64" t="s">
        <v>474</v>
      </c>
      <c r="E66" s="64" t="s">
        <v>38</v>
      </c>
      <c r="F66" s="64">
        <v>2035</v>
      </c>
      <c r="G66" s="64" t="s">
        <v>475</v>
      </c>
      <c r="H66" s="64" t="s">
        <v>457</v>
      </c>
      <c r="I66" s="64" t="s">
        <v>448</v>
      </c>
      <c r="J66" s="64" t="s">
        <v>26</v>
      </c>
    </row>
    <row r="67" spans="1:10" ht="36">
      <c r="A67" s="49" t="s">
        <v>476</v>
      </c>
      <c r="B67" s="49" t="s">
        <v>445</v>
      </c>
      <c r="C67" s="63">
        <v>1.7</v>
      </c>
      <c r="D67" s="64" t="s">
        <v>459</v>
      </c>
      <c r="E67" s="64" t="s">
        <v>38</v>
      </c>
      <c r="F67" s="64">
        <v>2026</v>
      </c>
      <c r="G67" s="64" t="s">
        <v>475</v>
      </c>
      <c r="H67" s="64" t="s">
        <v>457</v>
      </c>
      <c r="I67" s="64" t="s">
        <v>448</v>
      </c>
      <c r="J67" s="64" t="s">
        <v>26</v>
      </c>
    </row>
    <row r="68" spans="1:10" ht="24">
      <c r="A68" s="49" t="s">
        <v>477</v>
      </c>
      <c r="B68" s="49" t="s">
        <v>445</v>
      </c>
      <c r="C68" s="63">
        <v>2.4</v>
      </c>
      <c r="D68" s="64" t="s">
        <v>459</v>
      </c>
      <c r="E68" s="64" t="s">
        <v>38</v>
      </c>
      <c r="F68" s="64">
        <v>2034</v>
      </c>
      <c r="G68" s="64" t="s">
        <v>475</v>
      </c>
      <c r="H68" s="64" t="s">
        <v>457</v>
      </c>
      <c r="I68" s="64" t="s">
        <v>448</v>
      </c>
      <c r="J68" s="64" t="s">
        <v>26</v>
      </c>
    </row>
    <row r="69" spans="1:10" ht="24">
      <c r="A69" s="49" t="s">
        <v>478</v>
      </c>
      <c r="B69" s="49" t="s">
        <v>445</v>
      </c>
      <c r="C69" s="63">
        <v>4</v>
      </c>
      <c r="D69" s="64" t="s">
        <v>38</v>
      </c>
      <c r="E69" s="64" t="s">
        <v>38</v>
      </c>
      <c r="F69" s="64">
        <v>2022</v>
      </c>
      <c r="G69" s="64" t="s">
        <v>447</v>
      </c>
      <c r="H69" s="64" t="s">
        <v>457</v>
      </c>
      <c r="I69" s="64" t="s">
        <v>448</v>
      </c>
      <c r="J69" s="64" t="s">
        <v>26</v>
      </c>
    </row>
    <row r="70" spans="1:10" ht="36">
      <c r="A70" s="49" t="s">
        <v>481</v>
      </c>
      <c r="B70" s="49" t="s">
        <v>445</v>
      </c>
      <c r="C70" s="63">
        <v>0.1</v>
      </c>
      <c r="D70" s="64" t="s">
        <v>482</v>
      </c>
      <c r="E70" s="64" t="s">
        <v>38</v>
      </c>
      <c r="F70" s="64">
        <v>2022</v>
      </c>
      <c r="G70" s="64" t="s">
        <v>475</v>
      </c>
      <c r="H70" s="64" t="s">
        <v>448</v>
      </c>
      <c r="I70" s="64" t="s">
        <v>448</v>
      </c>
      <c r="J70" s="64" t="s">
        <v>26</v>
      </c>
    </row>
    <row r="71" spans="1:10" ht="12">
      <c r="A71" s="49" t="s">
        <v>483</v>
      </c>
      <c r="B71" s="49" t="s">
        <v>480</v>
      </c>
      <c r="C71" s="63">
        <v>0.2</v>
      </c>
      <c r="D71" s="64" t="s">
        <v>484</v>
      </c>
      <c r="E71" s="64" t="s">
        <v>38</v>
      </c>
      <c r="F71" s="64">
        <v>2023</v>
      </c>
      <c r="G71" s="64" t="s">
        <v>447</v>
      </c>
      <c r="H71" s="64" t="s">
        <v>457</v>
      </c>
      <c r="I71" s="64" t="s">
        <v>448</v>
      </c>
      <c r="J71" s="64" t="s">
        <v>26</v>
      </c>
    </row>
    <row r="72" spans="1:10">
      <c r="A72" s="48"/>
      <c r="B72" s="48"/>
      <c r="C72" s="48"/>
      <c r="D72" s="48"/>
      <c r="E72" s="48"/>
      <c r="F72" s="48"/>
      <c r="G72" s="48"/>
      <c r="H72" s="48"/>
      <c r="I72" s="48"/>
      <c r="J72" s="48"/>
    </row>
    <row r="73" spans="1:10">
      <c r="A73" s="25" t="s">
        <v>67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pageSetUpPr autoPageBreaks="0"/>
  </sheetPr>
  <dimension ref="A5:IU161"/>
  <sheetViews>
    <sheetView workbookViewId="0"/>
  </sheetViews>
  <sheetFormatPr baseColWidth="10" defaultColWidth="8.83203125" defaultRowHeight="11"/>
  <cols>
    <col min="1" max="1" width="45.83203125" customWidth="1"/>
    <col min="2" max="7" width="14.83203125" customWidth="1"/>
  </cols>
  <sheetData>
    <row r="5" spans="1:255" ht="17">
      <c r="A5" s="1" t="s">
        <v>487</v>
      </c>
    </row>
    <row r="7" spans="1:255">
      <c r="A7" s="4"/>
      <c r="B7" s="3" t="s">
        <v>488</v>
      </c>
      <c r="C7" t="s">
        <v>73</v>
      </c>
      <c r="D7" s="4" t="s">
        <v>4</v>
      </c>
      <c r="E7" s="3" t="s">
        <v>489</v>
      </c>
      <c r="F7" t="s">
        <v>75</v>
      </c>
    </row>
    <row r="8" spans="1:255">
      <c r="A8" s="4"/>
      <c r="B8" s="3" t="s">
        <v>490</v>
      </c>
      <c r="C8" t="s">
        <v>8</v>
      </c>
      <c r="D8" s="4" t="s">
        <v>4</v>
      </c>
      <c r="E8" s="3" t="s">
        <v>491</v>
      </c>
      <c r="F8" s="5" t="s">
        <v>12</v>
      </c>
    </row>
    <row r="9" spans="1:255">
      <c r="A9" s="4"/>
      <c r="B9" s="3" t="s">
        <v>492</v>
      </c>
      <c r="C9" t="s">
        <v>83</v>
      </c>
      <c r="D9" s="4" t="s">
        <v>4</v>
      </c>
      <c r="E9" s="26"/>
      <c r="F9" s="26"/>
    </row>
    <row r="12" spans="1:255">
      <c r="A12" s="6" t="s">
        <v>493</v>
      </c>
      <c r="B12" s="6"/>
      <c r="C12" s="6"/>
      <c r="D12" s="6"/>
      <c r="E12" s="6"/>
      <c r="F12" s="6"/>
      <c r="G12" s="6"/>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row>
    <row r="13" spans="1:255" ht="36">
      <c r="A13" s="7" t="s">
        <v>16</v>
      </c>
      <c r="B13" s="12" t="s">
        <v>494</v>
      </c>
      <c r="C13" s="12" t="s">
        <v>86</v>
      </c>
      <c r="D13" s="12" t="s">
        <v>87</v>
      </c>
      <c r="E13" s="12" t="s">
        <v>88</v>
      </c>
      <c r="F13" s="12" t="s">
        <v>89</v>
      </c>
      <c r="G13" s="12" t="s">
        <v>90</v>
      </c>
    </row>
    <row r="14" spans="1:255">
      <c r="A14" s="9" t="s">
        <v>495</v>
      </c>
      <c r="B14" s="4"/>
      <c r="C14" s="4"/>
      <c r="D14" s="4"/>
      <c r="E14" s="4"/>
      <c r="F14" s="4"/>
      <c r="G14" s="4"/>
    </row>
    <row r="15" spans="1:255">
      <c r="A15" s="4" t="s">
        <v>496</v>
      </c>
      <c r="B15" s="29">
        <v>-7.8345999999999999E-2</v>
      </c>
      <c r="C15" s="29">
        <v>2.9340999999999999E-2</v>
      </c>
      <c r="D15" s="29">
        <v>4.4521999999999999E-2</v>
      </c>
      <c r="E15" s="29">
        <v>-0.11373800000000001</v>
      </c>
      <c r="F15" s="29">
        <v>-0.116373</v>
      </c>
      <c r="G15" s="29">
        <v>-3.7956999999999998E-2</v>
      </c>
    </row>
    <row r="16" spans="1:255">
      <c r="A16" s="4" t="s">
        <v>497</v>
      </c>
      <c r="B16" s="29">
        <v>-9.2229000000000005E-2</v>
      </c>
      <c r="C16" s="29">
        <v>3.2614999999999998E-2</v>
      </c>
      <c r="D16" s="29">
        <v>4.8231999999999997E-2</v>
      </c>
      <c r="E16" s="29">
        <v>-0.123331</v>
      </c>
      <c r="F16" s="29">
        <v>-0.12570500000000001</v>
      </c>
      <c r="G16" s="29">
        <v>-4.3784999999999998E-2</v>
      </c>
    </row>
    <row r="17" spans="1:7">
      <c r="A17" s="4" t="s">
        <v>498</v>
      </c>
      <c r="B17" s="29">
        <v>-0.42646600000000001</v>
      </c>
      <c r="C17" s="29">
        <v>-0.23220199999999999</v>
      </c>
      <c r="D17" s="29">
        <v>-0.16909399999999999</v>
      </c>
      <c r="E17" s="29">
        <v>-0.573681</v>
      </c>
      <c r="F17" s="29">
        <v>-1.2201360000000001</v>
      </c>
      <c r="G17" s="29">
        <v>-1.7658119999999999</v>
      </c>
    </row>
    <row r="18" spans="1:7">
      <c r="A18" s="4" t="s">
        <v>499</v>
      </c>
      <c r="B18" s="29">
        <v>-0.42646600000000001</v>
      </c>
      <c r="C18" s="29">
        <v>-0.23220199999999999</v>
      </c>
      <c r="D18" s="29">
        <v>-0.16909399999999999</v>
      </c>
      <c r="E18" s="29">
        <v>-0.573681</v>
      </c>
      <c r="F18" s="29">
        <v>-1.2201360000000001</v>
      </c>
      <c r="G18" s="29">
        <v>-1.7658119999999999</v>
      </c>
    </row>
    <row r="19" spans="1:7">
      <c r="A19" s="4"/>
      <c r="B19" s="4"/>
      <c r="C19" s="4"/>
      <c r="D19" s="4"/>
      <c r="E19" s="4"/>
      <c r="F19" s="4"/>
      <c r="G19" s="4"/>
    </row>
    <row r="20" spans="1:7">
      <c r="A20" s="9" t="s">
        <v>500</v>
      </c>
      <c r="B20" s="4"/>
      <c r="C20" s="4"/>
      <c r="D20" s="4"/>
      <c r="E20" s="4"/>
      <c r="F20" s="4"/>
      <c r="G20" s="4"/>
    </row>
    <row r="21" spans="1:7">
      <c r="A21" s="4" t="s">
        <v>501</v>
      </c>
      <c r="B21" s="29">
        <v>0.91901200000000005</v>
      </c>
      <c r="C21" s="29">
        <v>0.97285500000000003</v>
      </c>
      <c r="D21" s="29">
        <v>0.97423300000000002</v>
      </c>
      <c r="E21" s="29">
        <v>0.61716499999999996</v>
      </c>
      <c r="F21" s="29">
        <v>0.306334</v>
      </c>
      <c r="G21" s="29">
        <v>0.70710600000000001</v>
      </c>
    </row>
    <row r="22" spans="1:7">
      <c r="A22" s="4" t="s">
        <v>502</v>
      </c>
      <c r="B22" s="29">
        <v>0.32554100000000002</v>
      </c>
      <c r="C22" s="29">
        <v>0.189301</v>
      </c>
      <c r="D22" s="29">
        <v>0.16901099999999999</v>
      </c>
      <c r="E22" s="29">
        <v>1.9232549999999999</v>
      </c>
      <c r="F22" s="29">
        <v>0.63463899999999995</v>
      </c>
      <c r="G22" s="29">
        <v>0.250384</v>
      </c>
    </row>
    <row r="23" spans="1:7" ht="12">
      <c r="A23" s="4" t="s">
        <v>503</v>
      </c>
      <c r="B23" s="29">
        <v>-0.75276100000000001</v>
      </c>
      <c r="C23" s="29">
        <v>0.29191699999999998</v>
      </c>
      <c r="D23" s="29">
        <v>0.30459999999999998</v>
      </c>
      <c r="E23" s="29" t="s">
        <v>33</v>
      </c>
      <c r="F23" s="29" t="s">
        <v>33</v>
      </c>
      <c r="G23" s="29">
        <v>-0.213531</v>
      </c>
    </row>
    <row r="24" spans="1:7" ht="12">
      <c r="A24" s="4" t="s">
        <v>504</v>
      </c>
      <c r="B24" s="29">
        <v>-0.80069900000000005</v>
      </c>
      <c r="C24" s="29">
        <v>0.22936899999999999</v>
      </c>
      <c r="D24" s="29">
        <v>0.28084300000000001</v>
      </c>
      <c r="E24" s="29" t="s">
        <v>33</v>
      </c>
      <c r="F24" s="29" t="s">
        <v>33</v>
      </c>
      <c r="G24" s="29">
        <v>-0.39174799999999999</v>
      </c>
    </row>
    <row r="25" spans="1:7" ht="12">
      <c r="A25" s="4" t="s">
        <v>505</v>
      </c>
      <c r="B25" s="29">
        <v>-0.81649000000000005</v>
      </c>
      <c r="C25" s="29">
        <v>0.245144</v>
      </c>
      <c r="D25" s="29">
        <v>0.27948600000000001</v>
      </c>
      <c r="E25" s="29" t="s">
        <v>33</v>
      </c>
      <c r="F25" s="29" t="s">
        <v>33</v>
      </c>
      <c r="G25" s="29">
        <v>-0.39174799999999999</v>
      </c>
    </row>
    <row r="26" spans="1:7" ht="12">
      <c r="A26" s="4" t="s">
        <v>506</v>
      </c>
      <c r="B26" s="29">
        <v>-1.1971780000000001</v>
      </c>
      <c r="C26" s="29">
        <v>-0.47698499999999999</v>
      </c>
      <c r="D26" s="29">
        <v>-0.27521699999999999</v>
      </c>
      <c r="E26" s="29" t="s">
        <v>33</v>
      </c>
      <c r="F26" s="29" t="s">
        <v>33</v>
      </c>
      <c r="G26" s="29">
        <v>-0.88988999999999996</v>
      </c>
    </row>
    <row r="27" spans="1:7" ht="12">
      <c r="A27" s="4" t="s">
        <v>507</v>
      </c>
      <c r="B27" s="29">
        <v>-1.092503</v>
      </c>
      <c r="C27" s="29">
        <v>-0.213611</v>
      </c>
      <c r="D27" s="29">
        <v>-0.27521699999999999</v>
      </c>
      <c r="E27" s="29" t="s">
        <v>33</v>
      </c>
      <c r="F27" s="29" t="s">
        <v>33</v>
      </c>
      <c r="G27" s="29">
        <v>-0.88988999999999996</v>
      </c>
    </row>
    <row r="28" spans="1:7" ht="12">
      <c r="A28" s="4" t="s">
        <v>508</v>
      </c>
      <c r="B28" s="29">
        <v>-1.1971780000000001</v>
      </c>
      <c r="C28" s="29">
        <v>-0.47698499999999999</v>
      </c>
      <c r="D28" s="29">
        <v>-0.27521699999999999</v>
      </c>
      <c r="E28" s="29" t="s">
        <v>33</v>
      </c>
      <c r="F28" s="29" t="s">
        <v>33</v>
      </c>
      <c r="G28" s="29">
        <v>-0.88988999999999996</v>
      </c>
    </row>
    <row r="29" spans="1:7" ht="12">
      <c r="A29" s="4" t="s">
        <v>509</v>
      </c>
      <c r="B29" s="29">
        <v>-0.51036499999999996</v>
      </c>
      <c r="C29" s="29">
        <v>9.7826999999999997E-2</v>
      </c>
      <c r="D29" s="29">
        <v>0.133016</v>
      </c>
      <c r="E29" s="29" t="s">
        <v>33</v>
      </c>
      <c r="F29" s="29">
        <v>-2.7164109999999999</v>
      </c>
      <c r="G29" s="29">
        <v>-0.37143399999999999</v>
      </c>
    </row>
    <row r="30" spans="1:7" ht="12">
      <c r="A30" s="4" t="s">
        <v>510</v>
      </c>
      <c r="B30" s="29">
        <v>-1.2785709999999999</v>
      </c>
      <c r="C30" s="29">
        <v>-0.101544</v>
      </c>
      <c r="D30" s="29">
        <v>4.0596E-2</v>
      </c>
      <c r="E30" s="29" t="s">
        <v>33</v>
      </c>
      <c r="F30" s="29">
        <v>-1.797715</v>
      </c>
      <c r="G30" s="29">
        <v>-0.48890899999999998</v>
      </c>
    </row>
    <row r="31" spans="1:7" ht="12">
      <c r="A31" s="4" t="s">
        <v>511</v>
      </c>
      <c r="B31" s="29">
        <v>-1.245217</v>
      </c>
      <c r="C31" s="29">
        <v>-6.4180000000000001E-2</v>
      </c>
      <c r="D31" s="29">
        <v>6.2101000000000003E-2</v>
      </c>
      <c r="E31" s="29" t="s">
        <v>33</v>
      </c>
      <c r="F31" s="29">
        <v>-1.4733320000000001</v>
      </c>
      <c r="G31" s="29">
        <v>-0.27041100000000001</v>
      </c>
    </row>
    <row r="32" spans="1:7">
      <c r="A32" s="4"/>
      <c r="B32" s="4"/>
      <c r="C32" s="4"/>
      <c r="D32" s="4"/>
      <c r="E32" s="4"/>
      <c r="F32" s="4"/>
      <c r="G32" s="4"/>
    </row>
    <row r="33" spans="1:7">
      <c r="A33" s="9" t="s">
        <v>512</v>
      </c>
      <c r="B33" s="4"/>
      <c r="C33" s="4"/>
      <c r="D33" s="4"/>
      <c r="E33" s="4"/>
      <c r="F33" s="4"/>
      <c r="G33" s="4"/>
    </row>
    <row r="34" spans="1:7">
      <c r="A34" s="4" t="s">
        <v>513</v>
      </c>
      <c r="B34" s="22">
        <v>0.153528</v>
      </c>
      <c r="C34" s="22">
        <v>0.19150200000000001</v>
      </c>
      <c r="D34" s="22">
        <v>0.25488100000000002</v>
      </c>
      <c r="E34" s="22">
        <v>1.9637999999999999E-2</v>
      </c>
      <c r="F34" s="22">
        <v>4.8030000000000003E-2</v>
      </c>
      <c r="G34" s="22">
        <v>0.155026</v>
      </c>
    </row>
    <row r="35" spans="1:7">
      <c r="A35" s="4" t="s">
        <v>514</v>
      </c>
      <c r="B35" s="22">
        <v>0.83791800000000005</v>
      </c>
      <c r="C35" s="22">
        <v>0.80430800000000002</v>
      </c>
      <c r="D35" s="22">
        <v>1.0818620000000001</v>
      </c>
      <c r="E35" s="22">
        <v>9.3317999999999998E-2</v>
      </c>
      <c r="F35" s="22">
        <v>0.218835</v>
      </c>
      <c r="G35" s="22">
        <v>0.62635300000000005</v>
      </c>
    </row>
    <row r="36" spans="1:7">
      <c r="A36" s="4" t="s">
        <v>515</v>
      </c>
      <c r="B36" s="22">
        <v>2.2145269999999999</v>
      </c>
      <c r="C36" s="22">
        <v>3.779903</v>
      </c>
      <c r="D36" s="22">
        <v>6.9873669999999999</v>
      </c>
      <c r="E36" s="22">
        <v>0.22805600000000001</v>
      </c>
      <c r="F36" s="22">
        <v>0.61330300000000004</v>
      </c>
      <c r="G36" s="22">
        <v>1.58708</v>
      </c>
    </row>
    <row r="37" spans="1:7">
      <c r="A37" s="4" t="s">
        <v>516</v>
      </c>
      <c r="B37" s="22">
        <v>0.62447299999999994</v>
      </c>
      <c r="C37" s="22">
        <v>0.20827200000000001</v>
      </c>
      <c r="D37" s="22">
        <v>0.18271899999999999</v>
      </c>
      <c r="E37" s="22">
        <v>0.13383900000000001</v>
      </c>
      <c r="F37" s="22">
        <v>0.39689999999999998</v>
      </c>
      <c r="G37" s="22">
        <v>0.41678300000000001</v>
      </c>
    </row>
    <row r="38" spans="1:7">
      <c r="A38" s="4"/>
      <c r="B38" s="4"/>
      <c r="C38" s="4"/>
      <c r="D38" s="4"/>
      <c r="E38" s="4"/>
      <c r="F38" s="4"/>
      <c r="G38" s="4"/>
    </row>
    <row r="39" spans="1:7">
      <c r="A39" s="9" t="s">
        <v>517</v>
      </c>
      <c r="B39" s="4"/>
      <c r="C39" s="4"/>
      <c r="D39" s="4"/>
      <c r="E39" s="4"/>
      <c r="F39" s="4"/>
      <c r="G39" s="4"/>
    </row>
    <row r="40" spans="1:7">
      <c r="A40" s="4" t="s">
        <v>518</v>
      </c>
      <c r="B40" s="22">
        <v>1.421222</v>
      </c>
      <c r="C40" s="22">
        <v>3.970256</v>
      </c>
      <c r="D40" s="22">
        <v>1.9146860000000001</v>
      </c>
      <c r="E40" s="22">
        <v>3.3708140000000002</v>
      </c>
      <c r="F40" s="22">
        <v>1.037539</v>
      </c>
      <c r="G40" s="22">
        <v>1.1183149999999999</v>
      </c>
    </row>
    <row r="41" spans="1:7">
      <c r="A41" s="4" t="s">
        <v>519</v>
      </c>
      <c r="B41" s="22">
        <v>1.3001320000000001</v>
      </c>
      <c r="C41" s="22">
        <v>3.513334</v>
      </c>
      <c r="D41" s="22">
        <v>1.5533049999999999</v>
      </c>
      <c r="E41" s="22">
        <v>2.7963870000000002</v>
      </c>
      <c r="F41" s="22">
        <v>0.53987200000000002</v>
      </c>
      <c r="G41" s="22">
        <v>0.73257099999999997</v>
      </c>
    </row>
    <row r="42" spans="1:7" ht="12">
      <c r="A42" s="4" t="s">
        <v>520</v>
      </c>
      <c r="B42" s="22" t="s">
        <v>33</v>
      </c>
      <c r="C42" s="22">
        <v>9.8090999999999998E-2</v>
      </c>
      <c r="D42" s="22" t="s">
        <v>33</v>
      </c>
      <c r="E42" s="22" t="s">
        <v>33</v>
      </c>
      <c r="F42" s="22" t="s">
        <v>33</v>
      </c>
      <c r="G42" s="22" t="s">
        <v>33</v>
      </c>
    </row>
    <row r="43" spans="1:7" ht="12">
      <c r="A43" s="4" t="s">
        <v>521</v>
      </c>
      <c r="B43" s="20">
        <v>164.82049499999999</v>
      </c>
      <c r="C43" s="20">
        <v>96.562939999999998</v>
      </c>
      <c r="D43" s="20">
        <v>52.236975000000001</v>
      </c>
      <c r="E43" s="20" t="s">
        <v>33</v>
      </c>
      <c r="F43" s="20">
        <v>595.13761</v>
      </c>
      <c r="G43" s="20">
        <v>229.98175499999999</v>
      </c>
    </row>
    <row r="44" spans="1:7" ht="12">
      <c r="A44" s="4" t="s">
        <v>522</v>
      </c>
      <c r="B44" s="20">
        <v>584.49202000000002</v>
      </c>
      <c r="C44" s="20" t="s">
        <v>33</v>
      </c>
      <c r="D44" s="20" t="s">
        <v>33</v>
      </c>
      <c r="E44" s="20" t="s">
        <v>33</v>
      </c>
      <c r="F44" s="20" t="s">
        <v>33</v>
      </c>
      <c r="G44" s="20" t="s">
        <v>33</v>
      </c>
    </row>
    <row r="45" spans="1:7" ht="12">
      <c r="A45" s="4" t="s">
        <v>523</v>
      </c>
      <c r="B45" s="20" t="s">
        <v>33</v>
      </c>
      <c r="C45" s="20" t="s">
        <v>33</v>
      </c>
      <c r="D45" s="20" t="s">
        <v>33</v>
      </c>
      <c r="E45" s="20">
        <v>346.93908599999997</v>
      </c>
      <c r="F45" s="20">
        <v>303.53801499999997</v>
      </c>
      <c r="G45" s="20">
        <v>524.74590000000001</v>
      </c>
    </row>
    <row r="46" spans="1:7">
      <c r="A46" s="4" t="s">
        <v>524</v>
      </c>
      <c r="B46" s="20">
        <v>-1061</v>
      </c>
      <c r="C46" s="20">
        <v>1212.51394</v>
      </c>
      <c r="D46" s="20">
        <v>1290.79476</v>
      </c>
      <c r="E46" s="20">
        <v>3992.5523579999999</v>
      </c>
      <c r="F46" s="20">
        <v>1211.2258549999999</v>
      </c>
      <c r="G46" s="20">
        <v>580.99021000000005</v>
      </c>
    </row>
    <row r="47" spans="1:7">
      <c r="A47" s="4"/>
      <c r="B47" s="4"/>
      <c r="C47" s="4"/>
      <c r="D47" s="4"/>
      <c r="E47" s="4"/>
      <c r="F47" s="4"/>
      <c r="G47" s="4"/>
    </row>
    <row r="48" spans="1:7">
      <c r="A48" s="9" t="s">
        <v>525</v>
      </c>
      <c r="B48" s="4"/>
      <c r="C48" s="4"/>
      <c r="D48" s="4"/>
      <c r="E48" s="4"/>
      <c r="F48" s="4"/>
      <c r="G48" s="4"/>
    </row>
    <row r="49" spans="1:7">
      <c r="A49" s="4" t="s">
        <v>526</v>
      </c>
      <c r="B49" s="29">
        <v>1.375256</v>
      </c>
      <c r="C49" s="29">
        <v>1.2359420000000001</v>
      </c>
      <c r="D49" s="29">
        <v>1.2150970000000001</v>
      </c>
      <c r="E49" s="29">
        <v>2.0834679999999999</v>
      </c>
      <c r="F49" s="29">
        <v>10.449408</v>
      </c>
      <c r="G49" s="29">
        <v>9.7408190000000001</v>
      </c>
    </row>
    <row r="50" spans="1:7">
      <c r="A50" s="4" t="s">
        <v>527</v>
      </c>
      <c r="B50" s="29">
        <v>0.57899199999999995</v>
      </c>
      <c r="C50" s="29">
        <v>0.55276099999999995</v>
      </c>
      <c r="D50" s="29">
        <v>0.54855200000000004</v>
      </c>
      <c r="E50" s="29">
        <v>0.67568899999999998</v>
      </c>
      <c r="F50" s="29">
        <v>0.912659</v>
      </c>
      <c r="G50" s="29">
        <v>0.90689699999999995</v>
      </c>
    </row>
    <row r="51" spans="1:7">
      <c r="A51" s="4" t="s">
        <v>528</v>
      </c>
      <c r="B51" s="29">
        <v>1.1883699999999999</v>
      </c>
      <c r="C51" s="29">
        <v>1.101721</v>
      </c>
      <c r="D51" s="29">
        <v>1.0884149999999999</v>
      </c>
      <c r="E51" s="29">
        <v>1.8078510000000001</v>
      </c>
      <c r="F51" s="29">
        <v>8.3638879999999993</v>
      </c>
      <c r="G51" s="29">
        <v>7.6691890000000003</v>
      </c>
    </row>
    <row r="52" spans="1:7">
      <c r="A52" s="4" t="s">
        <v>529</v>
      </c>
      <c r="B52" s="29">
        <v>0.50031199999999998</v>
      </c>
      <c r="C52" s="29">
        <v>0.492732</v>
      </c>
      <c r="D52" s="29">
        <v>0.49136200000000002</v>
      </c>
      <c r="E52" s="29">
        <v>0.58630400000000005</v>
      </c>
      <c r="F52" s="29">
        <v>0.73050800000000005</v>
      </c>
      <c r="G52" s="29">
        <v>0.71402200000000005</v>
      </c>
    </row>
    <row r="53" spans="1:7">
      <c r="A53" s="4" t="s">
        <v>530</v>
      </c>
      <c r="B53" s="29">
        <v>0.64496200000000004</v>
      </c>
      <c r="C53" s="29">
        <v>0.58053500000000002</v>
      </c>
      <c r="D53" s="29">
        <v>0.58933500000000005</v>
      </c>
      <c r="E53" s="29">
        <v>0.69781300000000002</v>
      </c>
      <c r="F53" s="29">
        <v>0.919794</v>
      </c>
      <c r="G53" s="29">
        <v>0.92385600000000001</v>
      </c>
    </row>
    <row r="54" spans="1:7">
      <c r="A54" s="4"/>
      <c r="B54" s="4"/>
      <c r="C54" s="4"/>
      <c r="D54" s="4"/>
      <c r="E54" s="4"/>
      <c r="F54" s="4"/>
      <c r="G54" s="4"/>
    </row>
    <row r="55" spans="1:7" ht="12">
      <c r="A55" s="4" t="s">
        <v>531</v>
      </c>
      <c r="B55" s="23" t="s">
        <v>33</v>
      </c>
      <c r="C55" s="22">
        <v>4.1005779999999996</v>
      </c>
      <c r="D55" s="22">
        <v>8.1228540000000002</v>
      </c>
      <c r="E55" s="23" t="s">
        <v>33</v>
      </c>
      <c r="F55" s="23" t="s">
        <v>33</v>
      </c>
      <c r="G55" s="23" t="s">
        <v>33</v>
      </c>
    </row>
    <row r="56" spans="1:7" ht="12">
      <c r="A56" s="4" t="s">
        <v>532</v>
      </c>
      <c r="B56" s="23" t="s">
        <v>33</v>
      </c>
      <c r="C56" s="22">
        <v>4.8829469999999997</v>
      </c>
      <c r="D56" s="22">
        <v>9.7588069999999991</v>
      </c>
      <c r="E56" s="23" t="s">
        <v>33</v>
      </c>
      <c r="F56" s="23" t="s">
        <v>33</v>
      </c>
      <c r="G56" s="23" t="s">
        <v>33</v>
      </c>
    </row>
    <row r="57" spans="1:7" ht="12">
      <c r="A57" s="4" t="s">
        <v>533</v>
      </c>
      <c r="B57" s="23" t="s">
        <v>33</v>
      </c>
      <c r="C57" s="22">
        <v>1.990173</v>
      </c>
      <c r="D57" s="22">
        <v>6.4110199999999997</v>
      </c>
      <c r="E57" s="23" t="s">
        <v>33</v>
      </c>
      <c r="F57" s="23" t="s">
        <v>33</v>
      </c>
      <c r="G57" s="23" t="s">
        <v>33</v>
      </c>
    </row>
    <row r="58" spans="1:7" ht="12">
      <c r="A58" s="4" t="s">
        <v>534</v>
      </c>
      <c r="B58" s="23" t="s">
        <v>33</v>
      </c>
      <c r="C58" s="22">
        <v>11.038472000000001</v>
      </c>
      <c r="D58" s="22">
        <v>6.122465</v>
      </c>
      <c r="E58" s="23" t="s">
        <v>33</v>
      </c>
      <c r="F58" s="23" t="s">
        <v>33</v>
      </c>
      <c r="G58" s="23" t="s">
        <v>33</v>
      </c>
    </row>
    <row r="59" spans="1:7" ht="12">
      <c r="A59" s="4" t="s">
        <v>535</v>
      </c>
      <c r="B59" s="23" t="s">
        <v>33</v>
      </c>
      <c r="C59" s="22">
        <v>3.9979870000000002</v>
      </c>
      <c r="D59" s="22">
        <v>4.5869039999999996</v>
      </c>
      <c r="E59" s="23" t="s">
        <v>33</v>
      </c>
      <c r="F59" s="23" t="s">
        <v>33</v>
      </c>
      <c r="G59" s="23" t="s">
        <v>33</v>
      </c>
    </row>
    <row r="60" spans="1:7" ht="12">
      <c r="A60" s="4" t="s">
        <v>536</v>
      </c>
      <c r="B60" s="23" t="s">
        <v>33</v>
      </c>
      <c r="C60" s="22">
        <v>27.083212</v>
      </c>
      <c r="D60" s="22">
        <v>9.3195709999999998</v>
      </c>
      <c r="E60" s="23" t="s">
        <v>33</v>
      </c>
      <c r="F60" s="23" t="s">
        <v>33</v>
      </c>
      <c r="G60" s="23" t="s">
        <v>33</v>
      </c>
    </row>
    <row r="61" spans="1:7" ht="12">
      <c r="A61" s="4" t="s">
        <v>537</v>
      </c>
      <c r="B61" s="23" t="s">
        <v>33</v>
      </c>
      <c r="C61" s="22">
        <v>9.8091779999999993</v>
      </c>
      <c r="D61" s="22">
        <v>6.9821520000000001</v>
      </c>
      <c r="E61" s="23" t="s">
        <v>33</v>
      </c>
      <c r="F61" s="23" t="s">
        <v>33</v>
      </c>
      <c r="G61" s="23" t="s">
        <v>33</v>
      </c>
    </row>
    <row r="62" spans="1:7">
      <c r="A62" s="4"/>
      <c r="B62" s="4"/>
      <c r="C62" s="4"/>
      <c r="D62" s="4"/>
      <c r="E62" s="4"/>
      <c r="F62" s="4"/>
      <c r="G62" s="4"/>
    </row>
    <row r="63" spans="1:7">
      <c r="A63" s="4" t="s">
        <v>538</v>
      </c>
      <c r="B63" s="19">
        <v>0.60354200000000002</v>
      </c>
      <c r="C63" s="19">
        <v>2.9733040000000002</v>
      </c>
      <c r="D63" s="19">
        <v>2.6970779999999999</v>
      </c>
      <c r="E63" s="19">
        <v>0.654698</v>
      </c>
      <c r="F63" s="19">
        <v>-0.31</v>
      </c>
      <c r="G63" s="19">
        <v>-0.59</v>
      </c>
    </row>
    <row r="64" spans="1:7">
      <c r="A64" s="4"/>
      <c r="B64" s="4"/>
      <c r="C64" s="4"/>
      <c r="D64" s="4"/>
      <c r="E64" s="4"/>
      <c r="F64" s="4"/>
      <c r="G64" s="4"/>
    </row>
    <row r="65" spans="1:7">
      <c r="A65" s="9" t="s">
        <v>539</v>
      </c>
      <c r="B65" s="4"/>
      <c r="C65" s="4"/>
      <c r="D65" s="4"/>
      <c r="E65" s="4"/>
      <c r="F65" s="4"/>
      <c r="G65" s="4"/>
    </row>
    <row r="66" spans="1:7">
      <c r="A66" s="4" t="s">
        <v>94</v>
      </c>
      <c r="B66" s="29">
        <v>0.42611700000000002</v>
      </c>
      <c r="C66" s="29">
        <v>0.80625400000000003</v>
      </c>
      <c r="D66" s="29">
        <v>0.66770300000000005</v>
      </c>
      <c r="E66" s="29">
        <v>-0.90644499999999995</v>
      </c>
      <c r="F66" s="29">
        <v>1.5102990000000001</v>
      </c>
      <c r="G66" s="29">
        <v>1.955576</v>
      </c>
    </row>
    <row r="67" spans="1:7">
      <c r="A67" s="4" t="s">
        <v>96</v>
      </c>
      <c r="B67" s="29">
        <v>1.19116</v>
      </c>
      <c r="C67" s="29">
        <v>0.91207899999999997</v>
      </c>
      <c r="D67" s="29">
        <v>0.67006399999999999</v>
      </c>
      <c r="E67" s="29">
        <v>-0.94073399999999996</v>
      </c>
      <c r="F67" s="29">
        <v>0.246007</v>
      </c>
      <c r="G67" s="29">
        <v>5.822292</v>
      </c>
    </row>
    <row r="68" spans="1:7" ht="12">
      <c r="A68" s="4" t="s">
        <v>540</v>
      </c>
      <c r="B68" s="29" t="s">
        <v>33</v>
      </c>
      <c r="C68" s="29" t="s">
        <v>33</v>
      </c>
      <c r="D68" s="29">
        <v>0.74015900000000001</v>
      </c>
      <c r="E68" s="29" t="s">
        <v>33</v>
      </c>
      <c r="F68" s="29" t="s">
        <v>33</v>
      </c>
      <c r="G68" s="29" t="s">
        <v>33</v>
      </c>
    </row>
    <row r="69" spans="1:7" ht="12">
      <c r="A69" s="4" t="s">
        <v>541</v>
      </c>
      <c r="B69" s="29" t="s">
        <v>33</v>
      </c>
      <c r="C69" s="29" t="s">
        <v>33</v>
      </c>
      <c r="D69" s="29">
        <v>1.0419579999999999</v>
      </c>
      <c r="E69" s="29" t="s">
        <v>33</v>
      </c>
      <c r="F69" s="29" t="s">
        <v>33</v>
      </c>
      <c r="G69" s="29" t="s">
        <v>33</v>
      </c>
    </row>
    <row r="70" spans="1:7" ht="12">
      <c r="A70" s="4" t="s">
        <v>542</v>
      </c>
      <c r="B70" s="29" t="s">
        <v>33</v>
      </c>
      <c r="C70" s="29" t="s">
        <v>33</v>
      </c>
      <c r="D70" s="29">
        <v>0.90132500000000004</v>
      </c>
      <c r="E70" s="29" t="s">
        <v>33</v>
      </c>
      <c r="F70" s="29" t="s">
        <v>33</v>
      </c>
      <c r="G70" s="29" t="s">
        <v>33</v>
      </c>
    </row>
    <row r="71" spans="1:7" ht="12">
      <c r="A71" s="4" t="s">
        <v>114</v>
      </c>
      <c r="B71" s="29" t="s">
        <v>33</v>
      </c>
      <c r="C71" s="29" t="s">
        <v>33</v>
      </c>
      <c r="D71" s="29" t="s">
        <v>33</v>
      </c>
      <c r="E71" s="29" t="s">
        <v>33</v>
      </c>
      <c r="F71" s="29" t="s">
        <v>33</v>
      </c>
      <c r="G71" s="29" t="s">
        <v>33</v>
      </c>
    </row>
    <row r="72" spans="1:7" ht="12">
      <c r="A72" s="4" t="s">
        <v>119</v>
      </c>
      <c r="B72" s="29" t="s">
        <v>33</v>
      </c>
      <c r="C72" s="29" t="s">
        <v>33</v>
      </c>
      <c r="D72" s="29" t="s">
        <v>33</v>
      </c>
      <c r="E72" s="29" t="s">
        <v>33</v>
      </c>
      <c r="F72" s="29" t="s">
        <v>33</v>
      </c>
      <c r="G72" s="29" t="s">
        <v>33</v>
      </c>
    </row>
    <row r="73" spans="1:7" ht="12">
      <c r="A73" s="4" t="s">
        <v>543</v>
      </c>
      <c r="B73" s="29" t="s">
        <v>33</v>
      </c>
      <c r="C73" s="29" t="s">
        <v>33</v>
      </c>
      <c r="D73" s="29">
        <v>1.267579</v>
      </c>
      <c r="E73" s="29" t="s">
        <v>33</v>
      </c>
      <c r="F73" s="29" t="s">
        <v>33</v>
      </c>
      <c r="G73" s="29" t="s">
        <v>33</v>
      </c>
    </row>
    <row r="74" spans="1:7" ht="12">
      <c r="A74" s="4" t="s">
        <v>544</v>
      </c>
      <c r="B74" s="29" t="s">
        <v>33</v>
      </c>
      <c r="C74" s="29" t="s">
        <v>33</v>
      </c>
      <c r="D74" s="29" t="s">
        <v>33</v>
      </c>
      <c r="E74" s="29" t="s">
        <v>33</v>
      </c>
      <c r="F74" s="29" t="s">
        <v>33</v>
      </c>
      <c r="G74" s="23" t="s">
        <v>38</v>
      </c>
    </row>
    <row r="75" spans="1:7">
      <c r="A75" s="4"/>
      <c r="B75" s="4"/>
      <c r="C75" s="4"/>
      <c r="D75" s="4"/>
      <c r="E75" s="4"/>
      <c r="F75" s="4"/>
      <c r="G75" s="4"/>
    </row>
    <row r="76" spans="1:7">
      <c r="A76" s="4" t="s">
        <v>545</v>
      </c>
      <c r="B76" s="29">
        <v>6.2467930000000003</v>
      </c>
      <c r="C76" s="29">
        <v>-0.79574599999999995</v>
      </c>
      <c r="D76" s="29">
        <v>3.3190210000000002</v>
      </c>
      <c r="E76" s="29">
        <v>1.530111</v>
      </c>
      <c r="F76" s="29">
        <v>-0.69761099999999998</v>
      </c>
      <c r="G76" s="29">
        <v>2.9191859999999998</v>
      </c>
    </row>
    <row r="77" spans="1:7">
      <c r="A77" s="4" t="s">
        <v>546</v>
      </c>
      <c r="B77" s="29">
        <v>-6.9550000000000002E-3</v>
      </c>
      <c r="C77" s="29">
        <v>1.643081</v>
      </c>
      <c r="D77" s="29">
        <v>0.48716300000000001</v>
      </c>
      <c r="E77" s="29">
        <v>1.1737420000000001</v>
      </c>
      <c r="F77" s="29">
        <v>0.23938699999999999</v>
      </c>
      <c r="G77" s="29">
        <v>0.147313</v>
      </c>
    </row>
    <row r="78" spans="1:7">
      <c r="A78" s="4" t="s">
        <v>547</v>
      </c>
      <c r="B78" s="29">
        <v>2.5091679999999998</v>
      </c>
      <c r="C78" s="29">
        <v>0.41796699999999998</v>
      </c>
      <c r="D78" s="29">
        <v>0.114235</v>
      </c>
      <c r="E78" s="29">
        <v>5.8019000000000001E-2</v>
      </c>
      <c r="F78" s="29">
        <v>8.2246E-2</v>
      </c>
      <c r="G78" s="29">
        <v>-1.3235E-2</v>
      </c>
    </row>
    <row r="79" spans="1:7">
      <c r="A79" s="4" t="s">
        <v>548</v>
      </c>
      <c r="B79" s="29">
        <v>0.41700999999999999</v>
      </c>
      <c r="C79" s="29">
        <v>0.47000500000000001</v>
      </c>
      <c r="D79" s="29">
        <v>0.10539900000000001</v>
      </c>
      <c r="E79" s="29">
        <v>0.312697</v>
      </c>
      <c r="F79" s="29">
        <v>-0.19170499999999999</v>
      </c>
      <c r="G79" s="29">
        <v>4.8578000000000003E-2</v>
      </c>
    </row>
    <row r="80" spans="1:7">
      <c r="A80" s="4"/>
      <c r="B80" s="4"/>
      <c r="C80" s="4"/>
      <c r="D80" s="4"/>
      <c r="E80" s="4"/>
      <c r="F80" s="4"/>
      <c r="G80" s="4"/>
    </row>
    <row r="81" spans="1:7" ht="12">
      <c r="A81" s="4" t="s">
        <v>549</v>
      </c>
      <c r="B81" s="29">
        <v>-0.67186800000000002</v>
      </c>
      <c r="C81" s="29">
        <v>22.549841000000001</v>
      </c>
      <c r="D81" s="29">
        <v>0.16689100000000001</v>
      </c>
      <c r="E81" s="29">
        <v>-3.1801999999999997E-2</v>
      </c>
      <c r="F81" s="29" t="s">
        <v>33</v>
      </c>
      <c r="G81" s="29" t="s">
        <v>33</v>
      </c>
    </row>
    <row r="82" spans="1:7">
      <c r="A82" s="4" t="s">
        <v>550</v>
      </c>
      <c r="B82" s="29">
        <v>-6.5935999999999995E-2</v>
      </c>
      <c r="C82" s="29">
        <v>0.736757</v>
      </c>
      <c r="D82" s="29">
        <v>8.2210000000000005E-2</v>
      </c>
      <c r="E82" s="29">
        <v>-3.4055000000000002E-2</v>
      </c>
      <c r="F82" s="29">
        <v>-0.785466</v>
      </c>
      <c r="G82" s="29">
        <v>-4.522E-3</v>
      </c>
    </row>
    <row r="83" spans="1:7" ht="12">
      <c r="A83" s="4" t="s">
        <v>267</v>
      </c>
      <c r="B83" s="29" t="s">
        <v>33</v>
      </c>
      <c r="C83" s="29" t="s">
        <v>33</v>
      </c>
      <c r="D83" s="29" t="s">
        <v>33</v>
      </c>
      <c r="E83" s="29" t="s">
        <v>33</v>
      </c>
      <c r="F83" s="29" t="s">
        <v>33</v>
      </c>
      <c r="G83" s="29" t="s">
        <v>33</v>
      </c>
    </row>
    <row r="84" spans="1:7" ht="12">
      <c r="A84" s="4" t="s">
        <v>551</v>
      </c>
      <c r="B84" s="29">
        <v>7.3068999999999995E-2</v>
      </c>
      <c r="C84" s="29">
        <v>-0.32385399999999998</v>
      </c>
      <c r="D84" s="29">
        <v>0.1108</v>
      </c>
      <c r="E84" s="29">
        <v>-4.2543999999999998E-2</v>
      </c>
      <c r="F84" s="29">
        <v>7.8722E-2</v>
      </c>
      <c r="G84" s="23" t="s">
        <v>38</v>
      </c>
    </row>
    <row r="85" spans="1:7" ht="12">
      <c r="A85" s="4" t="s">
        <v>552</v>
      </c>
      <c r="B85" s="29" t="s">
        <v>33</v>
      </c>
      <c r="C85" s="29" t="s">
        <v>33</v>
      </c>
      <c r="D85" s="29" t="s">
        <v>33</v>
      </c>
      <c r="E85" s="29" t="s">
        <v>33</v>
      </c>
      <c r="F85" s="29" t="s">
        <v>33</v>
      </c>
      <c r="G85" s="29" t="s">
        <v>33</v>
      </c>
    </row>
    <row r="86" spans="1:7" ht="12">
      <c r="A86" s="4" t="s">
        <v>553</v>
      </c>
      <c r="B86" s="29" t="s">
        <v>33</v>
      </c>
      <c r="C86" s="29" t="s">
        <v>33</v>
      </c>
      <c r="D86" s="29" t="s">
        <v>33</v>
      </c>
      <c r="E86" s="29" t="s">
        <v>33</v>
      </c>
      <c r="F86" s="29" t="s">
        <v>33</v>
      </c>
      <c r="G86" s="29" t="s">
        <v>33</v>
      </c>
    </row>
    <row r="87" spans="1:7" ht="12">
      <c r="A87" s="4" t="s">
        <v>554</v>
      </c>
      <c r="B87" s="23" t="s">
        <v>38</v>
      </c>
      <c r="C87" s="23" t="s">
        <v>38</v>
      </c>
      <c r="D87" s="23" t="s">
        <v>38</v>
      </c>
      <c r="E87" s="23" t="s">
        <v>38</v>
      </c>
      <c r="F87" s="23" t="s">
        <v>38</v>
      </c>
      <c r="G87" s="23" t="s">
        <v>38</v>
      </c>
    </row>
    <row r="88" spans="1:7">
      <c r="A88" s="4"/>
      <c r="B88" s="4"/>
      <c r="C88" s="4"/>
      <c r="D88" s="4"/>
      <c r="E88" s="4"/>
      <c r="F88" s="4"/>
      <c r="G88" s="4"/>
    </row>
    <row r="89" spans="1:7">
      <c r="A89" s="9" t="s">
        <v>555</v>
      </c>
      <c r="B89" s="4"/>
      <c r="C89" s="4"/>
      <c r="D89" s="4"/>
      <c r="E89" s="4"/>
      <c r="F89" s="4"/>
      <c r="G89" s="4"/>
    </row>
    <row r="90" spans="1:7">
      <c r="A90" s="4" t="s">
        <v>94</v>
      </c>
      <c r="B90" s="29">
        <v>0.25219599999999998</v>
      </c>
      <c r="C90" s="29">
        <v>0.60497000000000001</v>
      </c>
      <c r="D90" s="29">
        <v>0.73559699999999995</v>
      </c>
      <c r="E90" s="29">
        <v>-0.60500299999999996</v>
      </c>
      <c r="F90" s="29">
        <v>-0.51538499999999998</v>
      </c>
      <c r="G90" s="29">
        <v>1.723854</v>
      </c>
    </row>
    <row r="91" spans="1:7">
      <c r="A91" s="4" t="s">
        <v>96</v>
      </c>
      <c r="B91" s="29">
        <v>0.69578399999999996</v>
      </c>
      <c r="C91" s="29">
        <v>1.046869</v>
      </c>
      <c r="D91" s="29">
        <v>0.78698000000000001</v>
      </c>
      <c r="E91" s="29">
        <v>-0.685392</v>
      </c>
      <c r="F91" s="29">
        <v>-0.72825399999999996</v>
      </c>
      <c r="G91" s="29">
        <v>1.915584</v>
      </c>
    </row>
    <row r="92" spans="1:7" ht="12">
      <c r="A92" s="4" t="s">
        <v>540</v>
      </c>
      <c r="B92" s="29" t="s">
        <v>33</v>
      </c>
      <c r="C92" s="29" t="s">
        <v>33</v>
      </c>
      <c r="D92" s="29" t="s">
        <v>33</v>
      </c>
      <c r="E92" s="29" t="s">
        <v>33</v>
      </c>
      <c r="F92" s="29" t="s">
        <v>33</v>
      </c>
      <c r="G92" s="29" t="s">
        <v>33</v>
      </c>
    </row>
    <row r="93" spans="1:7" ht="12">
      <c r="A93" s="4" t="s">
        <v>541</v>
      </c>
      <c r="B93" s="29" t="s">
        <v>33</v>
      </c>
      <c r="C93" s="29" t="s">
        <v>33</v>
      </c>
      <c r="D93" s="29" t="s">
        <v>33</v>
      </c>
      <c r="E93" s="29" t="s">
        <v>33</v>
      </c>
      <c r="F93" s="29" t="s">
        <v>33</v>
      </c>
      <c r="G93" s="29" t="s">
        <v>33</v>
      </c>
    </row>
    <row r="94" spans="1:7" ht="12">
      <c r="A94" s="4" t="s">
        <v>542</v>
      </c>
      <c r="B94" s="29" t="s">
        <v>33</v>
      </c>
      <c r="C94" s="29" t="s">
        <v>33</v>
      </c>
      <c r="D94" s="29" t="s">
        <v>33</v>
      </c>
      <c r="E94" s="29" t="s">
        <v>33</v>
      </c>
      <c r="F94" s="29" t="s">
        <v>33</v>
      </c>
      <c r="G94" s="29" t="s">
        <v>33</v>
      </c>
    </row>
    <row r="95" spans="1:7" ht="12">
      <c r="A95" s="4" t="s">
        <v>114</v>
      </c>
      <c r="B95" s="29" t="s">
        <v>33</v>
      </c>
      <c r="C95" s="29" t="s">
        <v>33</v>
      </c>
      <c r="D95" s="29" t="s">
        <v>33</v>
      </c>
      <c r="E95" s="29" t="s">
        <v>33</v>
      </c>
      <c r="F95" s="29" t="s">
        <v>33</v>
      </c>
      <c r="G95" s="29" t="s">
        <v>33</v>
      </c>
    </row>
    <row r="96" spans="1:7" ht="12">
      <c r="A96" s="4" t="s">
        <v>119</v>
      </c>
      <c r="B96" s="29" t="s">
        <v>33</v>
      </c>
      <c r="C96" s="29" t="s">
        <v>33</v>
      </c>
      <c r="D96" s="29" t="s">
        <v>33</v>
      </c>
      <c r="E96" s="29" t="s">
        <v>33</v>
      </c>
      <c r="F96" s="29" t="s">
        <v>33</v>
      </c>
      <c r="G96" s="29" t="s">
        <v>33</v>
      </c>
    </row>
    <row r="97" spans="1:7" ht="12">
      <c r="A97" s="4" t="s">
        <v>543</v>
      </c>
      <c r="B97" s="29" t="s">
        <v>33</v>
      </c>
      <c r="C97" s="29" t="s">
        <v>33</v>
      </c>
      <c r="D97" s="29" t="s">
        <v>33</v>
      </c>
      <c r="E97" s="29" t="s">
        <v>33</v>
      </c>
      <c r="F97" s="29" t="s">
        <v>33</v>
      </c>
      <c r="G97" s="29" t="s">
        <v>33</v>
      </c>
    </row>
    <row r="98" spans="1:7" ht="12">
      <c r="A98" s="4" t="s">
        <v>544</v>
      </c>
      <c r="B98" s="29" t="s">
        <v>33</v>
      </c>
      <c r="C98" s="29" t="s">
        <v>33</v>
      </c>
      <c r="D98" s="29" t="s">
        <v>33</v>
      </c>
      <c r="E98" s="29" t="s">
        <v>33</v>
      </c>
      <c r="F98" s="29" t="s">
        <v>33</v>
      </c>
      <c r="G98" s="23" t="s">
        <v>38</v>
      </c>
    </row>
    <row r="99" spans="1:7">
      <c r="A99" s="4"/>
      <c r="B99" s="4"/>
      <c r="C99" s="4"/>
      <c r="D99" s="4"/>
      <c r="E99" s="4"/>
      <c r="F99" s="4"/>
      <c r="G99" s="4"/>
    </row>
    <row r="100" spans="1:7">
      <c r="A100" s="4" t="s">
        <v>545</v>
      </c>
      <c r="B100" s="29">
        <v>1.0671390000000001</v>
      </c>
      <c r="C100" s="29">
        <v>0.21663199999999999</v>
      </c>
      <c r="D100" s="29">
        <v>-6.0755000000000003E-2</v>
      </c>
      <c r="E100" s="29">
        <v>2.3056930000000002</v>
      </c>
      <c r="F100" s="29">
        <v>-0.12531300000000001</v>
      </c>
      <c r="G100" s="29">
        <v>8.8632000000000002E-2</v>
      </c>
    </row>
    <row r="101" spans="1:7">
      <c r="A101" s="4" t="s">
        <v>546</v>
      </c>
      <c r="B101" s="29">
        <v>0.21676400000000001</v>
      </c>
      <c r="C101" s="29">
        <v>0.62009300000000001</v>
      </c>
      <c r="D101" s="29">
        <v>0.98259799999999997</v>
      </c>
      <c r="E101" s="29">
        <v>0.79797300000000004</v>
      </c>
      <c r="F101" s="29">
        <v>0.641374</v>
      </c>
      <c r="G101" s="29">
        <v>0.19246199999999999</v>
      </c>
    </row>
    <row r="102" spans="1:7">
      <c r="A102" s="4" t="s">
        <v>547</v>
      </c>
      <c r="B102" s="29">
        <v>3.08142</v>
      </c>
      <c r="C102" s="29">
        <v>1.230669</v>
      </c>
      <c r="D102" s="29">
        <v>0.25696000000000002</v>
      </c>
      <c r="E102" s="29">
        <v>8.5763000000000006E-2</v>
      </c>
      <c r="F102" s="29">
        <v>7.0064000000000001E-2</v>
      </c>
      <c r="G102" s="29">
        <v>3.3404000000000003E-2</v>
      </c>
    </row>
    <row r="103" spans="1:7">
      <c r="A103" s="4" t="s">
        <v>548</v>
      </c>
      <c r="B103" s="29">
        <v>9.1011999999999996E-2</v>
      </c>
      <c r="C103" s="29">
        <v>0.44326399999999999</v>
      </c>
      <c r="D103" s="29">
        <v>0.27473199999999998</v>
      </c>
      <c r="E103" s="29">
        <v>0.204597</v>
      </c>
      <c r="F103" s="29">
        <v>3.0071000000000001E-2</v>
      </c>
      <c r="G103" s="29">
        <v>-7.9369999999999996E-2</v>
      </c>
    </row>
    <row r="104" spans="1:7">
      <c r="A104" s="4"/>
      <c r="B104" s="4"/>
      <c r="C104" s="4"/>
      <c r="D104" s="4"/>
      <c r="E104" s="4"/>
      <c r="F104" s="4"/>
      <c r="G104" s="4"/>
    </row>
    <row r="105" spans="1:7" ht="12">
      <c r="A105" s="4" t="s">
        <v>549</v>
      </c>
      <c r="B105" s="29">
        <v>-0.73731999999999998</v>
      </c>
      <c r="C105" s="29">
        <v>1.7798309999999999</v>
      </c>
      <c r="D105" s="29">
        <v>4.242146</v>
      </c>
      <c r="E105" s="29">
        <v>6.2911999999999996E-2</v>
      </c>
      <c r="F105" s="29" t="s">
        <v>33</v>
      </c>
      <c r="G105" s="29" t="s">
        <v>33</v>
      </c>
    </row>
    <row r="106" spans="1:7">
      <c r="A106" s="4" t="s">
        <v>550</v>
      </c>
      <c r="B106" s="29">
        <v>-0.17417099999999999</v>
      </c>
      <c r="C106" s="29">
        <v>0.273673</v>
      </c>
      <c r="D106" s="29">
        <v>0.37096200000000001</v>
      </c>
      <c r="E106" s="29">
        <v>2.2426999999999999E-2</v>
      </c>
      <c r="F106" s="29">
        <v>-0.54477699999999996</v>
      </c>
      <c r="G106" s="29">
        <v>-0.53786999999999996</v>
      </c>
    </row>
    <row r="107" spans="1:7" ht="12">
      <c r="A107" s="4" t="s">
        <v>267</v>
      </c>
      <c r="B107" s="29" t="s">
        <v>33</v>
      </c>
      <c r="C107" s="29" t="s">
        <v>33</v>
      </c>
      <c r="D107" s="29" t="s">
        <v>33</v>
      </c>
      <c r="E107" s="29" t="s">
        <v>33</v>
      </c>
      <c r="F107" s="29" t="s">
        <v>33</v>
      </c>
      <c r="G107" s="29" t="s">
        <v>33</v>
      </c>
    </row>
    <row r="108" spans="1:7" ht="12">
      <c r="A108" s="4" t="s">
        <v>551</v>
      </c>
      <c r="B108" s="29">
        <v>1.602255</v>
      </c>
      <c r="C108" s="29">
        <v>-0.14820700000000001</v>
      </c>
      <c r="D108" s="29">
        <v>-0.13336100000000001</v>
      </c>
      <c r="E108" s="29">
        <v>3.1281999999999997E-2</v>
      </c>
      <c r="F108" s="29">
        <v>1.6282000000000001E-2</v>
      </c>
      <c r="G108" s="23" t="s">
        <v>38</v>
      </c>
    </row>
    <row r="109" spans="1:7" ht="12">
      <c r="A109" s="4" t="s">
        <v>552</v>
      </c>
      <c r="B109" s="29" t="s">
        <v>33</v>
      </c>
      <c r="C109" s="29" t="s">
        <v>33</v>
      </c>
      <c r="D109" s="29" t="s">
        <v>33</v>
      </c>
      <c r="E109" s="29" t="s">
        <v>33</v>
      </c>
      <c r="F109" s="29" t="s">
        <v>33</v>
      </c>
      <c r="G109" s="29" t="s">
        <v>33</v>
      </c>
    </row>
    <row r="110" spans="1:7" ht="12">
      <c r="A110" s="4" t="s">
        <v>553</v>
      </c>
      <c r="B110" s="29" t="s">
        <v>33</v>
      </c>
      <c r="C110" s="29" t="s">
        <v>33</v>
      </c>
      <c r="D110" s="29" t="s">
        <v>33</v>
      </c>
      <c r="E110" s="29" t="s">
        <v>33</v>
      </c>
      <c r="F110" s="29" t="s">
        <v>33</v>
      </c>
      <c r="G110" s="29" t="s">
        <v>33</v>
      </c>
    </row>
    <row r="111" spans="1:7" ht="12">
      <c r="A111" s="4" t="s">
        <v>554</v>
      </c>
      <c r="B111" s="23" t="s">
        <v>38</v>
      </c>
      <c r="C111" s="23" t="s">
        <v>38</v>
      </c>
      <c r="D111" s="23" t="s">
        <v>38</v>
      </c>
      <c r="E111" s="23" t="s">
        <v>38</v>
      </c>
      <c r="F111" s="23" t="s">
        <v>38</v>
      </c>
      <c r="G111" s="23" t="s">
        <v>38</v>
      </c>
    </row>
    <row r="112" spans="1:7">
      <c r="A112" s="4"/>
      <c r="B112" s="4"/>
      <c r="C112" s="4"/>
      <c r="D112" s="4"/>
      <c r="E112" s="4"/>
      <c r="F112" s="4"/>
      <c r="G112" s="4"/>
    </row>
    <row r="113" spans="1:7">
      <c r="A113" s="9" t="s">
        <v>556</v>
      </c>
      <c r="B113" s="4"/>
      <c r="C113" s="4"/>
      <c r="D113" s="4"/>
      <c r="E113" s="4"/>
      <c r="F113" s="4"/>
      <c r="G113" s="4"/>
    </row>
    <row r="114" spans="1:7">
      <c r="A114" s="4" t="s">
        <v>94</v>
      </c>
      <c r="B114" s="29">
        <v>0.18950400000000001</v>
      </c>
      <c r="C114" s="29">
        <v>0.41484199999999999</v>
      </c>
      <c r="D114" s="29">
        <v>0.62561500000000003</v>
      </c>
      <c r="E114" s="29">
        <v>-0.34437499999999999</v>
      </c>
      <c r="F114" s="29">
        <v>-0.26834799999999998</v>
      </c>
      <c r="G114" s="29">
        <v>-0.11458699999999999</v>
      </c>
    </row>
    <row r="115" spans="1:7">
      <c r="A115" s="4" t="s">
        <v>96</v>
      </c>
      <c r="B115" s="29">
        <v>0.48182700000000001</v>
      </c>
      <c r="C115" s="29">
        <v>0.76501699999999995</v>
      </c>
      <c r="D115" s="29">
        <v>0.91266000000000003</v>
      </c>
      <c r="E115" s="29">
        <v>-0.42586299999999999</v>
      </c>
      <c r="F115" s="29">
        <v>-0.50223899999999999</v>
      </c>
      <c r="G115" s="29">
        <v>-0.204293</v>
      </c>
    </row>
    <row r="116" spans="1:7" ht="12">
      <c r="A116" s="4" t="s">
        <v>540</v>
      </c>
      <c r="B116" s="29" t="s">
        <v>33</v>
      </c>
      <c r="C116" s="29" t="s">
        <v>33</v>
      </c>
      <c r="D116" s="29" t="s">
        <v>33</v>
      </c>
      <c r="E116" s="29" t="s">
        <v>33</v>
      </c>
      <c r="F116" s="29" t="s">
        <v>33</v>
      </c>
      <c r="G116" s="29" t="s">
        <v>33</v>
      </c>
    </row>
    <row r="117" spans="1:7" ht="12">
      <c r="A117" s="4" t="s">
        <v>541</v>
      </c>
      <c r="B117" s="29" t="s">
        <v>33</v>
      </c>
      <c r="C117" s="29" t="s">
        <v>33</v>
      </c>
      <c r="D117" s="29" t="s">
        <v>33</v>
      </c>
      <c r="E117" s="29" t="s">
        <v>33</v>
      </c>
      <c r="F117" s="29" t="s">
        <v>33</v>
      </c>
      <c r="G117" s="29" t="s">
        <v>33</v>
      </c>
    </row>
    <row r="118" spans="1:7" ht="12">
      <c r="A118" s="4" t="s">
        <v>542</v>
      </c>
      <c r="B118" s="29" t="s">
        <v>33</v>
      </c>
      <c r="C118" s="29" t="s">
        <v>33</v>
      </c>
      <c r="D118" s="29" t="s">
        <v>33</v>
      </c>
      <c r="E118" s="29" t="s">
        <v>33</v>
      </c>
      <c r="F118" s="29" t="s">
        <v>33</v>
      </c>
      <c r="G118" s="29" t="s">
        <v>33</v>
      </c>
    </row>
    <row r="119" spans="1:7" ht="12">
      <c r="A119" s="4" t="s">
        <v>114</v>
      </c>
      <c r="B119" s="29" t="s">
        <v>33</v>
      </c>
      <c r="C119" s="29" t="s">
        <v>33</v>
      </c>
      <c r="D119" s="29" t="s">
        <v>33</v>
      </c>
      <c r="E119" s="29" t="s">
        <v>33</v>
      </c>
      <c r="F119" s="29" t="s">
        <v>33</v>
      </c>
      <c r="G119" s="29" t="s">
        <v>33</v>
      </c>
    </row>
    <row r="120" spans="1:7" ht="12">
      <c r="A120" s="4" t="s">
        <v>119</v>
      </c>
      <c r="B120" s="29" t="s">
        <v>33</v>
      </c>
      <c r="C120" s="29" t="s">
        <v>33</v>
      </c>
      <c r="D120" s="29" t="s">
        <v>33</v>
      </c>
      <c r="E120" s="29" t="s">
        <v>33</v>
      </c>
      <c r="F120" s="29" t="s">
        <v>33</v>
      </c>
      <c r="G120" s="29" t="s">
        <v>33</v>
      </c>
    </row>
    <row r="121" spans="1:7" ht="12">
      <c r="A121" s="4" t="s">
        <v>543</v>
      </c>
      <c r="B121" s="29" t="s">
        <v>33</v>
      </c>
      <c r="C121" s="29" t="s">
        <v>33</v>
      </c>
      <c r="D121" s="29" t="s">
        <v>33</v>
      </c>
      <c r="E121" s="29" t="s">
        <v>33</v>
      </c>
      <c r="F121" s="29" t="s">
        <v>33</v>
      </c>
      <c r="G121" s="29" t="s">
        <v>33</v>
      </c>
    </row>
    <row r="122" spans="1:7" ht="12">
      <c r="A122" s="4" t="s">
        <v>544</v>
      </c>
      <c r="B122" s="29" t="s">
        <v>33</v>
      </c>
      <c r="C122" s="29" t="s">
        <v>33</v>
      </c>
      <c r="D122" s="29" t="s">
        <v>33</v>
      </c>
      <c r="E122" s="29" t="s">
        <v>33</v>
      </c>
      <c r="F122" s="29" t="s">
        <v>33</v>
      </c>
      <c r="G122" s="23" t="s">
        <v>38</v>
      </c>
    </row>
    <row r="123" spans="1:7">
      <c r="A123" s="4"/>
      <c r="B123" s="4"/>
      <c r="C123" s="4"/>
      <c r="D123" s="4"/>
      <c r="E123" s="4"/>
      <c r="F123" s="4"/>
      <c r="G123" s="4"/>
    </row>
    <row r="124" spans="1:7">
      <c r="A124" s="4" t="s">
        <v>545</v>
      </c>
      <c r="B124" s="29">
        <v>1.1152120000000001</v>
      </c>
      <c r="C124" s="29">
        <v>-4.4339000000000003E-2</v>
      </c>
      <c r="D124" s="29">
        <v>0.85595699999999997</v>
      </c>
      <c r="E124" s="29">
        <v>0.306871</v>
      </c>
      <c r="F124" s="29">
        <v>0.48946499999999998</v>
      </c>
      <c r="G124" s="29">
        <v>0.44200699999999998</v>
      </c>
    </row>
    <row r="125" spans="1:7">
      <c r="A125" s="4" t="s">
        <v>546</v>
      </c>
      <c r="B125" s="29">
        <v>0.32928400000000002</v>
      </c>
      <c r="C125" s="29">
        <v>0.575824</v>
      </c>
      <c r="D125" s="29">
        <v>0.57451200000000002</v>
      </c>
      <c r="E125" s="29">
        <v>1.044368</v>
      </c>
      <c r="F125" s="29">
        <v>0.58827099999999999</v>
      </c>
      <c r="G125" s="29">
        <v>0.45668500000000001</v>
      </c>
    </row>
    <row r="126" spans="1:7">
      <c r="A126" s="4" t="s">
        <v>547</v>
      </c>
      <c r="B126" s="29">
        <v>1.9133530000000001</v>
      </c>
      <c r="C126" s="29">
        <v>1.8692139999999999</v>
      </c>
      <c r="D126" s="29">
        <v>0.76990099999999995</v>
      </c>
      <c r="E126" s="29">
        <v>0.186804</v>
      </c>
      <c r="F126" s="29">
        <v>8.4589999999999999E-2</v>
      </c>
      <c r="G126" s="29">
        <v>4.1544999999999999E-2</v>
      </c>
    </row>
    <row r="127" spans="1:7">
      <c r="A127" s="4" t="s">
        <v>548</v>
      </c>
      <c r="B127" s="29">
        <v>1.4981180000000001</v>
      </c>
      <c r="C127" s="29">
        <v>0.205016</v>
      </c>
      <c r="D127" s="29">
        <v>0.320496</v>
      </c>
      <c r="E127" s="29">
        <v>0.28726400000000002</v>
      </c>
      <c r="F127" s="29">
        <v>5.4592000000000002E-2</v>
      </c>
      <c r="G127" s="29">
        <v>3.6202999999999999E-2</v>
      </c>
    </row>
    <row r="128" spans="1:7">
      <c r="A128" s="4"/>
      <c r="B128" s="4"/>
      <c r="C128" s="4"/>
      <c r="D128" s="4"/>
      <c r="E128" s="4"/>
      <c r="F128" s="4"/>
      <c r="G128" s="4"/>
    </row>
    <row r="129" spans="1:7" ht="12">
      <c r="A129" s="4" t="s">
        <v>549</v>
      </c>
      <c r="B129" s="29">
        <v>-5.3015E-2</v>
      </c>
      <c r="C129" s="29">
        <v>0.17566100000000001</v>
      </c>
      <c r="D129" s="29">
        <v>1.0814010000000001</v>
      </c>
      <c r="E129" s="29">
        <v>1.9853430000000001</v>
      </c>
      <c r="F129" s="29" t="s">
        <v>33</v>
      </c>
      <c r="G129" s="29" t="s">
        <v>33</v>
      </c>
    </row>
    <row r="130" spans="1:7">
      <c r="A130" s="4" t="s">
        <v>550</v>
      </c>
      <c r="B130" s="29">
        <v>1.5054860000000001</v>
      </c>
      <c r="C130" s="29">
        <v>5.8050999999999998E-2</v>
      </c>
      <c r="D130" s="29">
        <v>0.20635700000000001</v>
      </c>
      <c r="E130" s="29">
        <v>0.21992900000000001</v>
      </c>
      <c r="F130" s="29">
        <v>-0.39244400000000002</v>
      </c>
      <c r="G130" s="29">
        <v>-0.40912799999999999</v>
      </c>
    </row>
    <row r="131" spans="1:7" ht="12">
      <c r="A131" s="4" t="s">
        <v>267</v>
      </c>
      <c r="B131" s="29" t="s">
        <v>33</v>
      </c>
      <c r="C131" s="29" t="s">
        <v>33</v>
      </c>
      <c r="D131" s="29" t="s">
        <v>33</v>
      </c>
      <c r="E131" s="29" t="s">
        <v>33</v>
      </c>
      <c r="F131" s="29" t="s">
        <v>33</v>
      </c>
      <c r="G131" s="29" t="s">
        <v>33</v>
      </c>
    </row>
    <row r="132" spans="1:7" ht="12">
      <c r="A132" s="4" t="s">
        <v>551</v>
      </c>
      <c r="B132" s="29">
        <v>1.256138</v>
      </c>
      <c r="C132" s="29">
        <v>0.66052999999999995</v>
      </c>
      <c r="D132" s="29">
        <v>-6.9389000000000006E-2</v>
      </c>
      <c r="E132" s="29">
        <v>-0.104089</v>
      </c>
      <c r="F132" s="29">
        <v>4.6858999999999998E-2</v>
      </c>
      <c r="G132" s="23" t="s">
        <v>38</v>
      </c>
    </row>
    <row r="133" spans="1:7" ht="12">
      <c r="A133" s="4" t="s">
        <v>552</v>
      </c>
      <c r="B133" s="29" t="s">
        <v>33</v>
      </c>
      <c r="C133" s="29" t="s">
        <v>33</v>
      </c>
      <c r="D133" s="29" t="s">
        <v>33</v>
      </c>
      <c r="E133" s="29" t="s">
        <v>33</v>
      </c>
      <c r="F133" s="29" t="s">
        <v>33</v>
      </c>
      <c r="G133" s="29" t="s">
        <v>33</v>
      </c>
    </row>
    <row r="134" spans="1:7" ht="12">
      <c r="A134" s="4" t="s">
        <v>553</v>
      </c>
      <c r="B134" s="29" t="s">
        <v>33</v>
      </c>
      <c r="C134" s="29" t="s">
        <v>33</v>
      </c>
      <c r="D134" s="29" t="s">
        <v>33</v>
      </c>
      <c r="E134" s="29" t="s">
        <v>33</v>
      </c>
      <c r="F134" s="29" t="s">
        <v>33</v>
      </c>
      <c r="G134" s="29" t="s">
        <v>33</v>
      </c>
    </row>
    <row r="135" spans="1:7" ht="12">
      <c r="A135" s="4" t="s">
        <v>554</v>
      </c>
      <c r="B135" s="23" t="s">
        <v>38</v>
      </c>
      <c r="C135" s="23" t="s">
        <v>38</v>
      </c>
      <c r="D135" s="23" t="s">
        <v>38</v>
      </c>
      <c r="E135" s="23" t="s">
        <v>38</v>
      </c>
      <c r="F135" s="23" t="s">
        <v>38</v>
      </c>
      <c r="G135" s="23" t="s">
        <v>38</v>
      </c>
    </row>
    <row r="136" spans="1:7">
      <c r="A136" s="4"/>
      <c r="B136" s="4"/>
      <c r="C136" s="4"/>
      <c r="D136" s="4"/>
      <c r="E136" s="4"/>
      <c r="F136" s="4"/>
      <c r="G136" s="4"/>
    </row>
    <row r="137" spans="1:7">
      <c r="A137" s="9" t="s">
        <v>557</v>
      </c>
      <c r="B137" s="4"/>
      <c r="C137" s="4"/>
      <c r="D137" s="4"/>
      <c r="E137" s="4"/>
      <c r="F137" s="4"/>
      <c r="G137" s="4"/>
    </row>
    <row r="138" spans="1:7">
      <c r="A138" s="4" t="s">
        <v>94</v>
      </c>
      <c r="B138" s="29">
        <v>0.16781399999999999</v>
      </c>
      <c r="C138" s="29">
        <v>0.267704</v>
      </c>
      <c r="D138" s="29">
        <v>0.38356400000000002</v>
      </c>
      <c r="E138" s="29">
        <v>-0.150697</v>
      </c>
      <c r="F138" s="29">
        <v>1.774E-3</v>
      </c>
      <c r="G138" s="29">
        <v>0.15895599999999999</v>
      </c>
    </row>
    <row r="139" spans="1:7">
      <c r="A139" s="4" t="s">
        <v>96</v>
      </c>
      <c r="B139" s="29">
        <v>0.32122600000000001</v>
      </c>
      <c r="C139" s="29">
        <v>0.45538400000000001</v>
      </c>
      <c r="D139" s="29">
        <v>0.59707900000000003</v>
      </c>
      <c r="E139" s="29">
        <v>-0.114563</v>
      </c>
      <c r="F139" s="29">
        <v>-0.123709</v>
      </c>
      <c r="G139" s="29">
        <v>9.9765000000000006E-2</v>
      </c>
    </row>
    <row r="140" spans="1:7" ht="12">
      <c r="A140" s="4" t="s">
        <v>540</v>
      </c>
      <c r="B140" s="29" t="s">
        <v>33</v>
      </c>
      <c r="C140" s="29">
        <v>2.4821610000000001</v>
      </c>
      <c r="D140" s="29" t="s">
        <v>33</v>
      </c>
      <c r="E140" s="29" t="s">
        <v>33</v>
      </c>
      <c r="F140" s="29" t="s">
        <v>33</v>
      </c>
      <c r="G140" s="29" t="s">
        <v>33</v>
      </c>
    </row>
    <row r="141" spans="1:7" ht="12">
      <c r="A141" s="4" t="s">
        <v>541</v>
      </c>
      <c r="B141" s="29" t="s">
        <v>33</v>
      </c>
      <c r="C141" s="29" t="s">
        <v>33</v>
      </c>
      <c r="D141" s="29" t="s">
        <v>33</v>
      </c>
      <c r="E141" s="29" t="s">
        <v>33</v>
      </c>
      <c r="F141" s="29" t="s">
        <v>33</v>
      </c>
      <c r="G141" s="29" t="s">
        <v>33</v>
      </c>
    </row>
    <row r="142" spans="1:7" ht="12">
      <c r="A142" s="4" t="s">
        <v>542</v>
      </c>
      <c r="B142" s="29" t="s">
        <v>33</v>
      </c>
      <c r="C142" s="29" t="s">
        <v>33</v>
      </c>
      <c r="D142" s="29" t="s">
        <v>33</v>
      </c>
      <c r="E142" s="29" t="s">
        <v>33</v>
      </c>
      <c r="F142" s="29" t="s">
        <v>33</v>
      </c>
      <c r="G142" s="29" t="s">
        <v>33</v>
      </c>
    </row>
    <row r="143" spans="1:7" ht="12">
      <c r="A143" s="4" t="s">
        <v>114</v>
      </c>
      <c r="B143" s="29" t="s">
        <v>33</v>
      </c>
      <c r="C143" s="29" t="s">
        <v>33</v>
      </c>
      <c r="D143" s="29" t="s">
        <v>33</v>
      </c>
      <c r="E143" s="29" t="s">
        <v>33</v>
      </c>
      <c r="F143" s="29" t="s">
        <v>33</v>
      </c>
      <c r="G143" s="29" t="s">
        <v>33</v>
      </c>
    </row>
    <row r="144" spans="1:7" ht="12">
      <c r="A144" s="4" t="s">
        <v>119</v>
      </c>
      <c r="B144" s="29" t="s">
        <v>33</v>
      </c>
      <c r="C144" s="29" t="s">
        <v>33</v>
      </c>
      <c r="D144" s="29" t="s">
        <v>33</v>
      </c>
      <c r="E144" s="29" t="s">
        <v>33</v>
      </c>
      <c r="F144" s="29" t="s">
        <v>33</v>
      </c>
      <c r="G144" s="29" t="s">
        <v>33</v>
      </c>
    </row>
    <row r="145" spans="1:7" ht="12">
      <c r="A145" s="4" t="s">
        <v>543</v>
      </c>
      <c r="B145" s="29" t="s">
        <v>33</v>
      </c>
      <c r="C145" s="29" t="s">
        <v>33</v>
      </c>
      <c r="D145" s="29" t="s">
        <v>33</v>
      </c>
      <c r="E145" s="29" t="s">
        <v>33</v>
      </c>
      <c r="F145" s="29" t="s">
        <v>33</v>
      </c>
      <c r="G145" s="29" t="s">
        <v>33</v>
      </c>
    </row>
    <row r="146" spans="1:7" ht="12">
      <c r="A146" s="4" t="s">
        <v>544</v>
      </c>
      <c r="B146" s="29" t="s">
        <v>33</v>
      </c>
      <c r="C146" s="29" t="s">
        <v>33</v>
      </c>
      <c r="D146" s="29" t="s">
        <v>33</v>
      </c>
      <c r="E146" s="29" t="s">
        <v>33</v>
      </c>
      <c r="F146" s="29" t="s">
        <v>33</v>
      </c>
      <c r="G146" s="23" t="s">
        <v>38</v>
      </c>
    </row>
    <row r="147" spans="1:7">
      <c r="A147" s="4"/>
      <c r="B147" s="4"/>
      <c r="C147" s="4"/>
      <c r="D147" s="4"/>
      <c r="E147" s="4"/>
      <c r="F147" s="4"/>
      <c r="G147" s="4"/>
    </row>
    <row r="148" spans="1:7">
      <c r="A148" s="4" t="s">
        <v>545</v>
      </c>
      <c r="B148" s="29">
        <v>0.59686499999999998</v>
      </c>
      <c r="C148" s="29">
        <v>0.110966</v>
      </c>
      <c r="D148" s="29">
        <v>0.52870600000000001</v>
      </c>
      <c r="E148" s="29">
        <v>0.56995600000000002</v>
      </c>
      <c r="F148" s="29">
        <v>0.37366899999999997</v>
      </c>
      <c r="G148" s="29">
        <v>0.21476400000000001</v>
      </c>
    </row>
    <row r="149" spans="1:7">
      <c r="A149" s="4" t="s">
        <v>546</v>
      </c>
      <c r="B149" s="29">
        <v>0.11415500000000001</v>
      </c>
      <c r="C149" s="29">
        <v>0.35310599999999998</v>
      </c>
      <c r="D149" s="29">
        <v>0.55978399999999995</v>
      </c>
      <c r="E149" s="29">
        <v>0.66118500000000002</v>
      </c>
      <c r="F149" s="29">
        <v>0.60092400000000001</v>
      </c>
      <c r="G149" s="29">
        <v>0.64783299999999999</v>
      </c>
    </row>
    <row r="150" spans="1:7">
      <c r="A150" s="4" t="s">
        <v>547</v>
      </c>
      <c r="B150" s="29">
        <v>1.234688</v>
      </c>
      <c r="C150" s="29">
        <v>1.25264</v>
      </c>
      <c r="D150" s="29">
        <v>1.0814429999999999</v>
      </c>
      <c r="E150" s="29">
        <v>0.94514500000000001</v>
      </c>
      <c r="F150" s="29">
        <v>0.447216</v>
      </c>
      <c r="G150" s="29">
        <v>0.122886</v>
      </c>
    </row>
    <row r="151" spans="1:7">
      <c r="A151" s="4" t="s">
        <v>548</v>
      </c>
      <c r="B151" s="29">
        <v>0.90916600000000003</v>
      </c>
      <c r="C151" s="29">
        <v>0.97722600000000004</v>
      </c>
      <c r="D151" s="29">
        <v>0.90869</v>
      </c>
      <c r="E151" s="29">
        <v>0.204849</v>
      </c>
      <c r="F151" s="29">
        <v>0.19560900000000001</v>
      </c>
      <c r="G151" s="29">
        <v>0.12573100000000001</v>
      </c>
    </row>
    <row r="152" spans="1:7">
      <c r="A152" s="4"/>
      <c r="B152" s="4"/>
      <c r="C152" s="4"/>
      <c r="D152" s="4"/>
      <c r="E152" s="4"/>
      <c r="F152" s="4"/>
      <c r="G152" s="4"/>
    </row>
    <row r="153" spans="1:7" ht="12">
      <c r="A153" s="4" t="s">
        <v>549</v>
      </c>
      <c r="B153" s="29">
        <v>0.88910800000000001</v>
      </c>
      <c r="C153" s="29">
        <v>1.4463900000000001</v>
      </c>
      <c r="D153" s="29">
        <v>0.87762799999999996</v>
      </c>
      <c r="E153" s="29">
        <v>0.129193</v>
      </c>
      <c r="F153" s="29" t="s">
        <v>33</v>
      </c>
      <c r="G153" s="29" t="s">
        <v>33</v>
      </c>
    </row>
    <row r="154" spans="1:7">
      <c r="A154" s="4" t="s">
        <v>550</v>
      </c>
      <c r="B154" s="29">
        <v>1.1250199999999999</v>
      </c>
      <c r="C154" s="29">
        <v>1.272813</v>
      </c>
      <c r="D154" s="29">
        <v>0.96854499999999999</v>
      </c>
      <c r="E154" s="29">
        <v>4.3654999999999999E-2</v>
      </c>
      <c r="F154" s="29">
        <v>-0.183088</v>
      </c>
      <c r="G154" s="29">
        <v>-0.17261799999999999</v>
      </c>
    </row>
    <row r="155" spans="1:7" ht="12">
      <c r="A155" s="4" t="s">
        <v>267</v>
      </c>
      <c r="B155" s="29" t="s">
        <v>33</v>
      </c>
      <c r="C155" s="29">
        <v>0.47000799999999998</v>
      </c>
      <c r="D155" s="29" t="s">
        <v>33</v>
      </c>
      <c r="E155" s="29" t="s">
        <v>33</v>
      </c>
      <c r="F155" s="29" t="s">
        <v>33</v>
      </c>
      <c r="G155" s="29" t="s">
        <v>33</v>
      </c>
    </row>
    <row r="156" spans="1:7" ht="12">
      <c r="A156" s="4" t="s">
        <v>551</v>
      </c>
      <c r="B156" s="29">
        <v>1.6803600000000001</v>
      </c>
      <c r="C156" s="29">
        <v>0.77504099999999998</v>
      </c>
      <c r="D156" s="29">
        <v>0.53870300000000004</v>
      </c>
      <c r="E156" s="29">
        <v>0.37245800000000001</v>
      </c>
      <c r="F156" s="29">
        <v>-3.6022999999999999E-2</v>
      </c>
      <c r="G156" s="23" t="s">
        <v>38</v>
      </c>
    </row>
    <row r="157" spans="1:7" ht="12">
      <c r="A157" s="4" t="s">
        <v>552</v>
      </c>
      <c r="B157" s="29" t="s">
        <v>33</v>
      </c>
      <c r="C157" s="29" t="s">
        <v>33</v>
      </c>
      <c r="D157" s="29" t="s">
        <v>33</v>
      </c>
      <c r="E157" s="29" t="s">
        <v>33</v>
      </c>
      <c r="F157" s="29" t="s">
        <v>33</v>
      </c>
      <c r="G157" s="29" t="s">
        <v>33</v>
      </c>
    </row>
    <row r="158" spans="1:7" ht="12">
      <c r="A158" s="4" t="s">
        <v>553</v>
      </c>
      <c r="B158" s="29" t="s">
        <v>33</v>
      </c>
      <c r="C158" s="29" t="s">
        <v>33</v>
      </c>
      <c r="D158" s="29" t="s">
        <v>33</v>
      </c>
      <c r="E158" s="29" t="s">
        <v>33</v>
      </c>
      <c r="F158" s="29" t="s">
        <v>33</v>
      </c>
      <c r="G158" s="29" t="s">
        <v>33</v>
      </c>
    </row>
    <row r="159" spans="1:7" ht="12">
      <c r="A159" s="4" t="s">
        <v>554</v>
      </c>
      <c r="B159" s="23" t="s">
        <v>38</v>
      </c>
      <c r="C159" s="23" t="s">
        <v>38</v>
      </c>
      <c r="D159" s="23" t="s">
        <v>38</v>
      </c>
      <c r="E159" s="23" t="s">
        <v>38</v>
      </c>
      <c r="F159" s="23" t="s">
        <v>38</v>
      </c>
      <c r="G159" s="23" t="s">
        <v>38</v>
      </c>
    </row>
    <row r="160" spans="1:7">
      <c r="A160" s="4"/>
      <c r="B160" s="4"/>
      <c r="C160" s="4"/>
      <c r="D160" s="4"/>
      <c r="E160" s="4"/>
      <c r="F160" s="4"/>
      <c r="G160" s="4"/>
    </row>
    <row r="161" spans="1:7" ht="72">
      <c r="A161" s="35" t="s">
        <v>67</v>
      </c>
      <c r="B161" s="11"/>
      <c r="C161" s="11"/>
      <c r="D161" s="11"/>
      <c r="E161" s="11"/>
      <c r="F161" s="11"/>
      <c r="G161"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pageSetUpPr autoPageBreaks="0"/>
  </sheetPr>
  <dimension ref="A5:IU53"/>
  <sheetViews>
    <sheetView topLeftCell="A4" zoomScale="105" workbookViewId="0"/>
  </sheetViews>
  <sheetFormatPr baseColWidth="10" defaultColWidth="8.83203125" defaultRowHeight="11"/>
  <cols>
    <col min="1" max="1" width="45.83203125" customWidth="1"/>
    <col min="2" max="7" width="14.83203125" customWidth="1"/>
  </cols>
  <sheetData>
    <row r="5" spans="1:255" ht="17">
      <c r="A5" s="1" t="s">
        <v>558</v>
      </c>
    </row>
    <row r="7" spans="1:255" ht="12">
      <c r="A7" s="2" t="s">
        <v>559</v>
      </c>
      <c r="B7" s="3" t="s">
        <v>560</v>
      </c>
      <c r="C7" t="s">
        <v>73</v>
      </c>
      <c r="D7" s="4" t="s">
        <v>4</v>
      </c>
      <c r="E7" s="3" t="s">
        <v>561</v>
      </c>
      <c r="F7" t="s">
        <v>75</v>
      </c>
    </row>
    <row r="8" spans="1:255">
      <c r="A8" s="4"/>
      <c r="B8" s="3" t="s">
        <v>562</v>
      </c>
      <c r="C8" t="s">
        <v>78</v>
      </c>
      <c r="D8" s="4" t="s">
        <v>4</v>
      </c>
      <c r="E8" s="3" t="s">
        <v>563</v>
      </c>
      <c r="F8" t="s">
        <v>6</v>
      </c>
    </row>
    <row r="9" spans="1:255">
      <c r="A9" s="4"/>
      <c r="B9" s="3" t="s">
        <v>564</v>
      </c>
      <c r="C9" t="s">
        <v>8</v>
      </c>
      <c r="D9" s="4" t="s">
        <v>4</v>
      </c>
      <c r="E9" s="3" t="s">
        <v>565</v>
      </c>
      <c r="F9" t="s">
        <v>10</v>
      </c>
    </row>
    <row r="10" spans="1:255">
      <c r="A10" s="4"/>
      <c r="B10" s="3" t="s">
        <v>566</v>
      </c>
      <c r="C10" s="5" t="s">
        <v>12</v>
      </c>
      <c r="D10" s="4" t="s">
        <v>4</v>
      </c>
      <c r="E10" s="3" t="s">
        <v>567</v>
      </c>
      <c r="F10" t="s">
        <v>83</v>
      </c>
    </row>
    <row r="13" spans="1:255">
      <c r="A13" s="6" t="s">
        <v>568</v>
      </c>
      <c r="B13" s="6"/>
      <c r="C13" s="6"/>
      <c r="D13" s="6"/>
      <c r="E13" s="6"/>
      <c r="F13" s="6"/>
      <c r="G13" s="6"/>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ht="36">
      <c r="A14" s="7" t="s">
        <v>16</v>
      </c>
      <c r="B14" s="12" t="s">
        <v>494</v>
      </c>
      <c r="C14" s="12" t="s">
        <v>86</v>
      </c>
      <c r="D14" s="12" t="s">
        <v>87</v>
      </c>
      <c r="E14" s="12" t="s">
        <v>88</v>
      </c>
      <c r="F14" s="12" t="s">
        <v>89</v>
      </c>
      <c r="G14" s="12" t="s">
        <v>90</v>
      </c>
    </row>
    <row r="15" spans="1:255" ht="12">
      <c r="A15" s="8" t="s">
        <v>25</v>
      </c>
      <c r="B15" s="13" t="s">
        <v>26</v>
      </c>
      <c r="C15" s="13" t="s">
        <v>26</v>
      </c>
      <c r="D15" s="13" t="s">
        <v>26</v>
      </c>
      <c r="E15" s="13" t="s">
        <v>26</v>
      </c>
      <c r="F15" s="13" t="s">
        <v>26</v>
      </c>
      <c r="G15" s="13" t="s">
        <v>26</v>
      </c>
    </row>
    <row r="16" spans="1:255">
      <c r="A16" s="9" t="s">
        <v>569</v>
      </c>
      <c r="B16" s="4"/>
      <c r="C16" s="4"/>
      <c r="D16" s="4"/>
      <c r="E16" s="4"/>
      <c r="F16" s="4"/>
      <c r="G16" s="4"/>
    </row>
    <row r="17" spans="1:7" ht="12">
      <c r="A17" s="4" t="s">
        <v>570</v>
      </c>
      <c r="B17" s="20" t="s">
        <v>29</v>
      </c>
      <c r="C17" s="20">
        <v>6.4999999999999997E-4</v>
      </c>
      <c r="D17" s="20">
        <v>1.2389889999999999</v>
      </c>
      <c r="E17" s="20">
        <v>1.307825</v>
      </c>
      <c r="F17" s="20">
        <v>2.7015199999999999</v>
      </c>
      <c r="G17" s="20" t="s">
        <v>29</v>
      </c>
    </row>
    <row r="18" spans="1:7" ht="12">
      <c r="A18" s="4" t="s">
        <v>571</v>
      </c>
      <c r="B18" s="20" t="s">
        <v>29</v>
      </c>
      <c r="C18" s="20">
        <v>1.2383390000000001</v>
      </c>
      <c r="D18" s="20">
        <v>0.16522300000000001</v>
      </c>
      <c r="E18" s="20">
        <v>1.3936949999999999</v>
      </c>
      <c r="F18" s="20">
        <v>0.01</v>
      </c>
      <c r="G18" s="20" t="s">
        <v>29</v>
      </c>
    </row>
    <row r="19" spans="1:7" ht="12">
      <c r="A19" s="4" t="s">
        <v>572</v>
      </c>
      <c r="B19" s="20">
        <v>4.3899999999999999E-4</v>
      </c>
      <c r="C19" s="20" t="s">
        <v>29</v>
      </c>
      <c r="D19" s="20">
        <v>3.0000000000000001E-5</v>
      </c>
      <c r="E19" s="20" t="s">
        <v>29</v>
      </c>
      <c r="F19" s="20">
        <v>6.2E-4</v>
      </c>
      <c r="G19" s="20" t="s">
        <v>29</v>
      </c>
    </row>
    <row r="20" spans="1:7" ht="12">
      <c r="A20" s="4" t="s">
        <v>573</v>
      </c>
      <c r="B20" s="20" t="s">
        <v>29</v>
      </c>
      <c r="C20" s="20" t="s">
        <v>29</v>
      </c>
      <c r="D20" s="20">
        <v>9.6356999999999998E-2</v>
      </c>
      <c r="E20" s="20" t="s">
        <v>29</v>
      </c>
      <c r="F20" s="20" t="s">
        <v>29</v>
      </c>
      <c r="G20" s="20" t="s">
        <v>29</v>
      </c>
    </row>
    <row r="21" spans="1:7" ht="12">
      <c r="A21" s="4" t="s">
        <v>574</v>
      </c>
      <c r="B21" s="20" t="s">
        <v>29</v>
      </c>
      <c r="C21" s="20">
        <v>1.2389889999999999</v>
      </c>
      <c r="D21" s="20">
        <v>1.307825</v>
      </c>
      <c r="E21" s="20">
        <v>2.7015199999999999</v>
      </c>
      <c r="F21" s="20">
        <v>2.7109000000000001</v>
      </c>
      <c r="G21" s="20" t="s">
        <v>29</v>
      </c>
    </row>
    <row r="22" spans="1:7" ht="12">
      <c r="A22" s="4" t="s">
        <v>575</v>
      </c>
      <c r="B22" s="19" t="s">
        <v>29</v>
      </c>
      <c r="C22" s="19" t="s">
        <v>29</v>
      </c>
      <c r="D22" s="19" t="s">
        <v>29</v>
      </c>
      <c r="E22" s="19">
        <v>18.77</v>
      </c>
      <c r="F22" s="19">
        <v>24.3</v>
      </c>
      <c r="G22" s="19" t="s">
        <v>29</v>
      </c>
    </row>
    <row r="23" spans="1:7" ht="12">
      <c r="A23" s="4" t="s">
        <v>576</v>
      </c>
      <c r="B23" s="19" t="s">
        <v>29</v>
      </c>
      <c r="C23" s="19" t="s">
        <v>29</v>
      </c>
      <c r="D23" s="19" t="s">
        <v>29</v>
      </c>
      <c r="E23" s="19">
        <v>24.8</v>
      </c>
      <c r="F23" s="19">
        <v>19</v>
      </c>
      <c r="G23" s="19" t="s">
        <v>29</v>
      </c>
    </row>
    <row r="24" spans="1:7">
      <c r="A24" s="4"/>
      <c r="B24" s="4"/>
      <c r="C24" s="4"/>
      <c r="D24" s="4"/>
      <c r="E24" s="4"/>
      <c r="F24" s="4"/>
      <c r="G24" s="4"/>
    </row>
    <row r="25" spans="1:7">
      <c r="A25" s="9" t="s">
        <v>577</v>
      </c>
      <c r="B25" s="4"/>
      <c r="C25" s="4"/>
      <c r="D25" s="4"/>
      <c r="E25" s="4"/>
      <c r="F25" s="4"/>
      <c r="G25" s="4"/>
    </row>
    <row r="26" spans="1:7" ht="12">
      <c r="A26" s="4" t="s">
        <v>570</v>
      </c>
      <c r="B26" s="20" t="s">
        <v>29</v>
      </c>
      <c r="C26" s="20">
        <v>6.4999999999999997E-4</v>
      </c>
      <c r="D26" s="20">
        <v>1.2389889999999999</v>
      </c>
      <c r="E26" s="20">
        <v>1.307825</v>
      </c>
      <c r="F26" s="20">
        <v>2.7015199999999999</v>
      </c>
      <c r="G26" s="20" t="s">
        <v>29</v>
      </c>
    </row>
    <row r="27" spans="1:7" ht="12">
      <c r="A27" s="4" t="s">
        <v>571</v>
      </c>
      <c r="B27" s="20" t="s">
        <v>29</v>
      </c>
      <c r="C27" s="20">
        <v>1.2383390000000001</v>
      </c>
      <c r="D27" s="20">
        <v>0.16522300000000001</v>
      </c>
      <c r="E27" s="20">
        <v>1.3936949999999999</v>
      </c>
      <c r="F27" s="20">
        <v>0.01</v>
      </c>
      <c r="G27" s="20" t="s">
        <v>29</v>
      </c>
    </row>
    <row r="28" spans="1:7" ht="12">
      <c r="A28" s="4" t="s">
        <v>572</v>
      </c>
      <c r="B28" s="20">
        <v>4.3899999999999999E-4</v>
      </c>
      <c r="C28" s="20" t="s">
        <v>29</v>
      </c>
      <c r="D28" s="20">
        <v>3.0000000000000001E-5</v>
      </c>
      <c r="E28" s="20" t="s">
        <v>29</v>
      </c>
      <c r="F28" s="20">
        <v>6.2E-4</v>
      </c>
      <c r="G28" s="20" t="s">
        <v>29</v>
      </c>
    </row>
    <row r="29" spans="1:7" ht="12">
      <c r="A29" s="4" t="s">
        <v>573</v>
      </c>
      <c r="B29" s="20" t="s">
        <v>29</v>
      </c>
      <c r="C29" s="20" t="s">
        <v>29</v>
      </c>
      <c r="D29" s="20">
        <v>9.6356999999999998E-2</v>
      </c>
      <c r="E29" s="20" t="s">
        <v>29</v>
      </c>
      <c r="F29" s="20" t="s">
        <v>29</v>
      </c>
      <c r="G29" s="20" t="s">
        <v>29</v>
      </c>
    </row>
    <row r="30" spans="1:7" ht="12">
      <c r="A30" s="4" t="s">
        <v>574</v>
      </c>
      <c r="B30" s="20" t="s">
        <v>29</v>
      </c>
      <c r="C30" s="20">
        <v>1.2389889999999999</v>
      </c>
      <c r="D30" s="20">
        <v>1.307825</v>
      </c>
      <c r="E30" s="20">
        <v>2.7015199999999999</v>
      </c>
      <c r="F30" s="20">
        <v>2.7109000000000001</v>
      </c>
      <c r="G30" s="20" t="s">
        <v>29</v>
      </c>
    </row>
    <row r="31" spans="1:7">
      <c r="A31" s="4"/>
      <c r="B31" s="4"/>
      <c r="C31" s="4"/>
      <c r="D31" s="4"/>
      <c r="E31" s="4"/>
      <c r="F31" s="4"/>
      <c r="G31" s="4"/>
    </row>
    <row r="32" spans="1:7">
      <c r="A32" s="9" t="s">
        <v>578</v>
      </c>
      <c r="B32" s="4"/>
      <c r="C32" s="4"/>
      <c r="D32" s="4"/>
      <c r="E32" s="4"/>
      <c r="F32" s="4"/>
      <c r="G32" s="4"/>
    </row>
    <row r="33" spans="1:7">
      <c r="A33" s="4" t="s">
        <v>579</v>
      </c>
      <c r="B33" s="20">
        <v>1.0209999999999999</v>
      </c>
      <c r="C33" s="20">
        <v>1.181</v>
      </c>
      <c r="D33" s="20">
        <v>4.8979999999999997</v>
      </c>
      <c r="E33" s="20">
        <v>7.2670000000000003</v>
      </c>
      <c r="F33" s="20">
        <v>1.0649999999999999</v>
      </c>
      <c r="G33" s="20">
        <v>1.9830000000000001</v>
      </c>
    </row>
    <row r="34" spans="1:7">
      <c r="A34" s="4"/>
      <c r="B34" s="4"/>
      <c r="C34" s="4"/>
      <c r="D34" s="4"/>
      <c r="E34" s="4"/>
      <c r="F34" s="4"/>
      <c r="G34" s="4"/>
    </row>
    <row r="35" spans="1:7">
      <c r="A35" s="9" t="s">
        <v>580</v>
      </c>
      <c r="B35" s="4"/>
      <c r="C35" s="4"/>
      <c r="D35" s="4"/>
      <c r="E35" s="4"/>
      <c r="F35" s="4"/>
      <c r="G35" s="4"/>
    </row>
    <row r="36" spans="1:7" ht="12">
      <c r="A36" s="4" t="s">
        <v>581</v>
      </c>
      <c r="B36" s="20" t="s">
        <v>29</v>
      </c>
      <c r="C36" s="20" t="s">
        <v>29</v>
      </c>
      <c r="D36" s="20" t="s">
        <v>29</v>
      </c>
      <c r="E36" s="20">
        <v>112</v>
      </c>
      <c r="F36" s="20">
        <v>119</v>
      </c>
      <c r="G36" s="20" t="s">
        <v>29</v>
      </c>
    </row>
    <row r="37" spans="1:7" ht="12">
      <c r="A37" s="4" t="s">
        <v>582</v>
      </c>
      <c r="B37" s="20" t="s">
        <v>29</v>
      </c>
      <c r="C37" s="20" t="s">
        <v>29</v>
      </c>
      <c r="D37" s="20" t="s">
        <v>29</v>
      </c>
      <c r="E37" s="20">
        <v>112</v>
      </c>
      <c r="F37" s="20">
        <v>119</v>
      </c>
      <c r="G37" s="20" t="s">
        <v>29</v>
      </c>
    </row>
    <row r="38" spans="1:7" ht="12">
      <c r="A38" s="4" t="s">
        <v>583</v>
      </c>
      <c r="B38" s="23" t="s">
        <v>29</v>
      </c>
      <c r="C38" s="23" t="s">
        <v>29</v>
      </c>
      <c r="D38" s="23" t="s">
        <v>29</v>
      </c>
      <c r="E38" s="66">
        <v>2027</v>
      </c>
      <c r="F38" s="66">
        <v>2028</v>
      </c>
      <c r="G38" s="23" t="s">
        <v>29</v>
      </c>
    </row>
    <row r="39" spans="1:7">
      <c r="A39" s="4"/>
      <c r="B39" s="4"/>
      <c r="C39" s="4"/>
      <c r="D39" s="4"/>
      <c r="E39" s="4"/>
      <c r="F39" s="4"/>
      <c r="G39" s="4"/>
    </row>
    <row r="40" spans="1:7">
      <c r="A40" s="9" t="s">
        <v>584</v>
      </c>
      <c r="B40" s="4"/>
      <c r="C40" s="4"/>
      <c r="D40" s="4"/>
      <c r="E40" s="4"/>
      <c r="F40" s="4"/>
      <c r="G40" s="4"/>
    </row>
    <row r="41" spans="1:7" ht="12">
      <c r="A41" s="4" t="s">
        <v>585</v>
      </c>
      <c r="B41" s="20" t="s">
        <v>29</v>
      </c>
      <c r="C41" s="20" t="s">
        <v>29</v>
      </c>
      <c r="D41" s="20">
        <v>46.454999999999998</v>
      </c>
      <c r="E41" s="20">
        <v>36.758000000000003</v>
      </c>
      <c r="F41" s="20">
        <v>31.898</v>
      </c>
      <c r="G41" s="20" t="s">
        <v>29</v>
      </c>
    </row>
    <row r="42" spans="1:7" ht="12">
      <c r="A42" s="4" t="s">
        <v>586</v>
      </c>
      <c r="B42" s="20">
        <v>70.070999999999998</v>
      </c>
      <c r="C42" s="20" t="s">
        <v>29</v>
      </c>
      <c r="D42" s="20" t="s">
        <v>29</v>
      </c>
      <c r="E42" s="20">
        <v>9.0649999999999995</v>
      </c>
      <c r="F42" s="20">
        <v>0.1</v>
      </c>
      <c r="G42" s="20" t="s">
        <v>29</v>
      </c>
    </row>
    <row r="43" spans="1:7" ht="12">
      <c r="A43" s="4" t="s">
        <v>587</v>
      </c>
      <c r="B43" s="20" t="s">
        <v>29</v>
      </c>
      <c r="C43" s="20" t="s">
        <v>29</v>
      </c>
      <c r="D43" s="20">
        <v>7.9989999999999997</v>
      </c>
      <c r="E43" s="20">
        <v>7.9989999999999997</v>
      </c>
      <c r="F43" s="20" t="s">
        <v>29</v>
      </c>
      <c r="G43" s="20" t="s">
        <v>29</v>
      </c>
    </row>
    <row r="44" spans="1:7" ht="12">
      <c r="A44" s="4" t="s">
        <v>588</v>
      </c>
      <c r="B44" s="20">
        <v>70.070999999999998</v>
      </c>
      <c r="C44" s="20" t="s">
        <v>29</v>
      </c>
      <c r="D44" s="20">
        <v>54.454000000000001</v>
      </c>
      <c r="E44" s="20">
        <v>53.822000000000003</v>
      </c>
      <c r="F44" s="20">
        <v>31.998000000000001</v>
      </c>
      <c r="G44" s="20" t="s">
        <v>29</v>
      </c>
    </row>
    <row r="45" spans="1:7">
      <c r="A45" s="4"/>
      <c r="B45" s="4"/>
      <c r="C45" s="4"/>
      <c r="D45" s="4"/>
      <c r="E45" s="4"/>
      <c r="F45" s="4"/>
      <c r="G45" s="4"/>
    </row>
    <row r="46" spans="1:7" ht="12">
      <c r="A46" s="4" t="s">
        <v>589</v>
      </c>
      <c r="B46" s="20" t="s">
        <v>29</v>
      </c>
      <c r="C46" s="20" t="s">
        <v>29</v>
      </c>
      <c r="D46" s="20" t="s">
        <v>29</v>
      </c>
      <c r="E46" s="20" t="s">
        <v>29</v>
      </c>
      <c r="F46" s="20">
        <v>4.7830000000000004</v>
      </c>
      <c r="G46" s="20" t="s">
        <v>29</v>
      </c>
    </row>
    <row r="47" spans="1:7" ht="12">
      <c r="A47" s="4" t="s">
        <v>590</v>
      </c>
      <c r="B47" s="20">
        <v>52.665999999999997</v>
      </c>
      <c r="C47" s="20">
        <v>95.626999999999995</v>
      </c>
      <c r="D47" s="20">
        <v>106.49</v>
      </c>
      <c r="E47" s="20">
        <v>124.604</v>
      </c>
      <c r="F47" s="20">
        <v>110.004</v>
      </c>
      <c r="G47" s="20" t="s">
        <v>29</v>
      </c>
    </row>
    <row r="48" spans="1:7" ht="12">
      <c r="A48" s="4" t="s">
        <v>591</v>
      </c>
      <c r="B48" s="20">
        <v>52.665999999999997</v>
      </c>
      <c r="C48" s="20">
        <v>95.626999999999995</v>
      </c>
      <c r="D48" s="20">
        <v>106.49</v>
      </c>
      <c r="E48" s="20">
        <v>124.604</v>
      </c>
      <c r="F48" s="20">
        <v>114.78700000000001</v>
      </c>
      <c r="G48" s="20" t="s">
        <v>29</v>
      </c>
    </row>
    <row r="49" spans="1:7" ht="12">
      <c r="A49" s="4" t="s">
        <v>592</v>
      </c>
      <c r="B49" s="20">
        <v>-25.5</v>
      </c>
      <c r="C49" s="20">
        <v>-46.6</v>
      </c>
      <c r="D49" s="20">
        <v>-52</v>
      </c>
      <c r="E49" s="20">
        <v>-23</v>
      </c>
      <c r="F49" s="20">
        <v>-25.6</v>
      </c>
      <c r="G49" s="20" t="s">
        <v>29</v>
      </c>
    </row>
    <row r="50" spans="1:7">
      <c r="A50" s="4"/>
      <c r="B50" s="4"/>
      <c r="C50" s="4"/>
      <c r="D50" s="4"/>
      <c r="E50" s="4"/>
      <c r="F50" s="4"/>
      <c r="G50" s="4"/>
    </row>
    <row r="51" spans="1:7">
      <c r="A51" s="4"/>
      <c r="B51" s="4" t="s">
        <v>91</v>
      </c>
      <c r="C51" s="4" t="s">
        <v>91</v>
      </c>
      <c r="D51" s="4" t="s">
        <v>91</v>
      </c>
      <c r="E51" s="4" t="s">
        <v>91</v>
      </c>
      <c r="F51" s="4" t="s">
        <v>91</v>
      </c>
      <c r="G51" s="4" t="s">
        <v>91</v>
      </c>
    </row>
    <row r="52" spans="1:7">
      <c r="A52" s="4" t="s">
        <v>141</v>
      </c>
      <c r="B52" s="30">
        <v>43563</v>
      </c>
      <c r="C52" s="30">
        <v>43943</v>
      </c>
      <c r="D52" s="30">
        <v>44306</v>
      </c>
      <c r="E52" s="30">
        <v>44666</v>
      </c>
      <c r="F52" s="30">
        <v>44666</v>
      </c>
      <c r="G52" s="30">
        <v>44992</v>
      </c>
    </row>
    <row r="53" spans="1:7" ht="72">
      <c r="A53" s="35" t="s">
        <v>67</v>
      </c>
      <c r="B53" s="11"/>
      <c r="C53" s="11"/>
      <c r="D53" s="11"/>
      <c r="E53" s="11"/>
      <c r="F53" s="11"/>
      <c r="G53"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autoPageBreaks="0"/>
  </sheetPr>
  <dimension ref="A5:IU27"/>
  <sheetViews>
    <sheetView workbookViewId="0"/>
  </sheetViews>
  <sheetFormatPr baseColWidth="10" defaultColWidth="8.83203125" defaultRowHeight="11"/>
  <cols>
    <col min="1" max="1" width="45.83203125" customWidth="1"/>
    <col min="2" max="7" width="14.83203125" customWidth="1"/>
  </cols>
  <sheetData>
    <row r="5" spans="1:255" ht="17">
      <c r="A5" s="1" t="s">
        <v>593</v>
      </c>
    </row>
    <row r="7" spans="1:255" ht="12">
      <c r="A7" s="2" t="s">
        <v>594</v>
      </c>
      <c r="B7" s="3" t="s">
        <v>595</v>
      </c>
      <c r="C7" t="s">
        <v>73</v>
      </c>
      <c r="D7" s="4" t="s">
        <v>4</v>
      </c>
      <c r="E7" s="3" t="s">
        <v>596</v>
      </c>
      <c r="F7" t="s">
        <v>75</v>
      </c>
    </row>
    <row r="8" spans="1:255">
      <c r="A8" s="4"/>
      <c r="B8" s="3" t="s">
        <v>597</v>
      </c>
      <c r="C8" t="s">
        <v>78</v>
      </c>
      <c r="D8" s="4" t="s">
        <v>4</v>
      </c>
      <c r="E8" s="3" t="s">
        <v>598</v>
      </c>
      <c r="F8" t="s">
        <v>6</v>
      </c>
    </row>
    <row r="9" spans="1:255">
      <c r="A9" s="4"/>
      <c r="B9" s="3" t="s">
        <v>599</v>
      </c>
      <c r="C9" t="s">
        <v>8</v>
      </c>
      <c r="D9" s="4" t="s">
        <v>4</v>
      </c>
      <c r="E9" s="3" t="s">
        <v>600</v>
      </c>
      <c r="F9" t="s">
        <v>10</v>
      </c>
    </row>
    <row r="10" spans="1:255">
      <c r="A10" s="4"/>
      <c r="B10" s="3" t="s">
        <v>601</v>
      </c>
      <c r="C10" s="5" t="s">
        <v>12</v>
      </c>
      <c r="D10" s="4" t="s">
        <v>4</v>
      </c>
      <c r="E10" s="3" t="s">
        <v>602</v>
      </c>
      <c r="F10" t="s">
        <v>83</v>
      </c>
    </row>
    <row r="13" spans="1:255">
      <c r="A13" s="6" t="s">
        <v>603</v>
      </c>
      <c r="B13" s="6"/>
      <c r="C13" s="6"/>
      <c r="D13" s="6"/>
      <c r="E13" s="6"/>
      <c r="F13" s="6"/>
      <c r="G13" s="6"/>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ht="36">
      <c r="A14" s="7" t="s">
        <v>16</v>
      </c>
      <c r="B14" s="12" t="s">
        <v>494</v>
      </c>
      <c r="C14" s="12" t="s">
        <v>86</v>
      </c>
      <c r="D14" s="12" t="s">
        <v>87</v>
      </c>
      <c r="E14" s="12" t="s">
        <v>88</v>
      </c>
      <c r="F14" s="12" t="s">
        <v>89</v>
      </c>
      <c r="G14" s="12" t="s">
        <v>90</v>
      </c>
    </row>
    <row r="15" spans="1:255" ht="12">
      <c r="A15" s="8" t="s">
        <v>25</v>
      </c>
      <c r="B15" s="13" t="s">
        <v>26</v>
      </c>
      <c r="C15" s="13" t="s">
        <v>26</v>
      </c>
      <c r="D15" s="13" t="s">
        <v>26</v>
      </c>
      <c r="E15" s="13" t="s">
        <v>26</v>
      </c>
      <c r="F15" s="13" t="s">
        <v>26</v>
      </c>
      <c r="G15" s="13" t="s">
        <v>26</v>
      </c>
    </row>
    <row r="16" spans="1:255">
      <c r="A16" s="9" t="s">
        <v>604</v>
      </c>
      <c r="B16" s="4"/>
      <c r="C16" s="4"/>
      <c r="D16" s="4"/>
      <c r="E16" s="4"/>
      <c r="F16" s="4"/>
      <c r="G16" s="4"/>
    </row>
    <row r="17" spans="1:7" ht="12">
      <c r="A17" s="4" t="s">
        <v>605</v>
      </c>
      <c r="B17" s="34" t="s">
        <v>29</v>
      </c>
      <c r="C17" s="34" t="s">
        <v>29</v>
      </c>
      <c r="D17" s="34">
        <v>4</v>
      </c>
      <c r="E17" s="34">
        <v>5</v>
      </c>
      <c r="F17" s="34">
        <v>4</v>
      </c>
      <c r="G17" s="34" t="s">
        <v>29</v>
      </c>
    </row>
    <row r="18" spans="1:7" ht="12">
      <c r="A18" s="4" t="s">
        <v>606</v>
      </c>
      <c r="B18" s="34" t="s">
        <v>29</v>
      </c>
      <c r="C18" s="34" t="s">
        <v>29</v>
      </c>
      <c r="D18" s="34" t="s">
        <v>29</v>
      </c>
      <c r="E18" s="34" t="s">
        <v>29</v>
      </c>
      <c r="F18" s="34">
        <v>2</v>
      </c>
      <c r="G18" s="34" t="s">
        <v>29</v>
      </c>
    </row>
    <row r="19" spans="1:7" ht="12">
      <c r="A19" s="4" t="s">
        <v>607</v>
      </c>
      <c r="B19" s="34">
        <v>3</v>
      </c>
      <c r="C19" s="34">
        <v>3</v>
      </c>
      <c r="D19" s="34" t="s">
        <v>29</v>
      </c>
      <c r="E19" s="34" t="s">
        <v>29</v>
      </c>
      <c r="F19" s="34" t="s">
        <v>29</v>
      </c>
      <c r="G19" s="34" t="s">
        <v>29</v>
      </c>
    </row>
    <row r="20" spans="1:7" ht="12">
      <c r="A20" s="4" t="s">
        <v>608</v>
      </c>
      <c r="B20" s="34">
        <v>1</v>
      </c>
      <c r="C20" s="34">
        <v>2</v>
      </c>
      <c r="D20" s="34">
        <v>1</v>
      </c>
      <c r="E20" s="34">
        <v>2</v>
      </c>
      <c r="F20" s="34" t="s">
        <v>29</v>
      </c>
      <c r="G20" s="34" t="s">
        <v>29</v>
      </c>
    </row>
    <row r="21" spans="1:7" ht="12">
      <c r="A21" s="4" t="s">
        <v>609</v>
      </c>
      <c r="B21" s="34">
        <v>1</v>
      </c>
      <c r="C21" s="34">
        <v>1</v>
      </c>
      <c r="D21" s="34">
        <v>2</v>
      </c>
      <c r="E21" s="34">
        <v>2</v>
      </c>
      <c r="F21" s="34">
        <v>1</v>
      </c>
      <c r="G21" s="34" t="s">
        <v>29</v>
      </c>
    </row>
    <row r="22" spans="1:7" ht="12">
      <c r="A22" s="4" t="s">
        <v>610</v>
      </c>
      <c r="B22" s="34">
        <v>1</v>
      </c>
      <c r="C22" s="34" t="s">
        <v>29</v>
      </c>
      <c r="D22" s="34" t="s">
        <v>29</v>
      </c>
      <c r="E22" s="34" t="s">
        <v>29</v>
      </c>
      <c r="F22" s="34" t="s">
        <v>29</v>
      </c>
      <c r="G22" s="34" t="s">
        <v>29</v>
      </c>
    </row>
    <row r="23" spans="1:7" ht="12">
      <c r="A23" s="4" t="s">
        <v>611</v>
      </c>
      <c r="B23" s="34">
        <v>2</v>
      </c>
      <c r="C23" s="34" t="s">
        <v>29</v>
      </c>
      <c r="D23" s="34" t="s">
        <v>29</v>
      </c>
      <c r="E23" s="34" t="s">
        <v>29</v>
      </c>
      <c r="F23" s="34" t="s">
        <v>29</v>
      </c>
      <c r="G23" s="34" t="s">
        <v>29</v>
      </c>
    </row>
    <row r="24" spans="1:7">
      <c r="A24" s="4"/>
      <c r="B24" s="4"/>
      <c r="C24" s="4"/>
      <c r="D24" s="4"/>
      <c r="E24" s="4"/>
      <c r="F24" s="4"/>
      <c r="G24" s="4"/>
    </row>
    <row r="25" spans="1:7">
      <c r="A25" s="4"/>
      <c r="B25" s="4" t="s">
        <v>91</v>
      </c>
      <c r="C25" s="4" t="s">
        <v>91</v>
      </c>
      <c r="D25" s="4" t="s">
        <v>91</v>
      </c>
      <c r="E25" s="4" t="s">
        <v>91</v>
      </c>
      <c r="F25" s="4" t="s">
        <v>91</v>
      </c>
      <c r="G25" s="4" t="s">
        <v>91</v>
      </c>
    </row>
    <row r="26" spans="1:7">
      <c r="A26" s="4" t="s">
        <v>141</v>
      </c>
      <c r="B26" s="30">
        <v>43563</v>
      </c>
      <c r="C26" s="30">
        <v>43943</v>
      </c>
      <c r="D26" s="30">
        <v>44306</v>
      </c>
      <c r="E26" s="30">
        <v>44666</v>
      </c>
      <c r="F26" s="30">
        <v>44666</v>
      </c>
      <c r="G26" s="30">
        <v>44992</v>
      </c>
    </row>
    <row r="27" spans="1:7" ht="72">
      <c r="A27" s="35" t="s">
        <v>67</v>
      </c>
      <c r="B27" s="11"/>
      <c r="C27" s="11"/>
      <c r="D27" s="11"/>
      <c r="E27" s="11"/>
      <c r="F27" s="11"/>
      <c r="G27"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autoPageBreaks="0"/>
  </sheetPr>
  <dimension ref="A5:IU21"/>
  <sheetViews>
    <sheetView workbookViewId="0"/>
  </sheetViews>
  <sheetFormatPr baseColWidth="10" defaultColWidth="8.83203125" defaultRowHeight="11"/>
  <cols>
    <col min="1" max="1" width="45.83203125" customWidth="1"/>
    <col min="2" max="7" width="14.83203125" customWidth="1"/>
  </cols>
  <sheetData>
    <row r="5" spans="1:255" ht="17">
      <c r="A5" s="1" t="s">
        <v>612</v>
      </c>
    </row>
    <row r="7" spans="1:255" ht="12">
      <c r="A7" s="2" t="s">
        <v>613</v>
      </c>
      <c r="B7" s="3" t="s">
        <v>614</v>
      </c>
      <c r="C7" t="s">
        <v>73</v>
      </c>
      <c r="D7" s="4" t="s">
        <v>4</v>
      </c>
      <c r="E7" s="3" t="s">
        <v>615</v>
      </c>
      <c r="F7" t="s">
        <v>75</v>
      </c>
    </row>
    <row r="8" spans="1:255">
      <c r="A8" s="4"/>
      <c r="B8" s="3" t="s">
        <v>616</v>
      </c>
      <c r="C8" t="s">
        <v>78</v>
      </c>
      <c r="D8" s="4" t="s">
        <v>4</v>
      </c>
      <c r="E8" s="3" t="s">
        <v>617</v>
      </c>
      <c r="F8" t="s">
        <v>6</v>
      </c>
    </row>
    <row r="9" spans="1:255">
      <c r="A9" s="4"/>
      <c r="B9" s="3" t="s">
        <v>618</v>
      </c>
      <c r="C9" t="s">
        <v>8</v>
      </c>
      <c r="D9" s="4" t="s">
        <v>4</v>
      </c>
      <c r="E9" s="3" t="s">
        <v>619</v>
      </c>
      <c r="F9" t="s">
        <v>10</v>
      </c>
    </row>
    <row r="10" spans="1:255">
      <c r="A10" s="4"/>
      <c r="B10" s="3" t="s">
        <v>620</v>
      </c>
      <c r="C10" s="5" t="s">
        <v>12</v>
      </c>
      <c r="D10" s="4" t="s">
        <v>4</v>
      </c>
      <c r="E10" s="3" t="s">
        <v>621</v>
      </c>
      <c r="F10" t="s">
        <v>83</v>
      </c>
    </row>
    <row r="13" spans="1:255">
      <c r="A13" s="6" t="s">
        <v>622</v>
      </c>
      <c r="B13" s="6"/>
      <c r="C13" s="6"/>
      <c r="D13" s="6"/>
      <c r="E13" s="6"/>
      <c r="F13" s="6"/>
      <c r="G13" s="6"/>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ht="36">
      <c r="A14" s="7" t="s">
        <v>16</v>
      </c>
      <c r="B14" s="12" t="s">
        <v>494</v>
      </c>
      <c r="C14" s="12" t="s">
        <v>86</v>
      </c>
      <c r="D14" s="12" t="s">
        <v>87</v>
      </c>
      <c r="E14" s="12" t="s">
        <v>88</v>
      </c>
      <c r="F14" s="12" t="s">
        <v>89</v>
      </c>
      <c r="G14" s="12" t="s">
        <v>90</v>
      </c>
    </row>
    <row r="15" spans="1:255" ht="12">
      <c r="A15" s="8" t="s">
        <v>25</v>
      </c>
      <c r="B15" s="13" t="s">
        <v>26</v>
      </c>
      <c r="C15" s="13" t="s">
        <v>26</v>
      </c>
      <c r="D15" s="13" t="s">
        <v>26</v>
      </c>
      <c r="E15" s="13" t="s">
        <v>26</v>
      </c>
      <c r="F15" s="13" t="s">
        <v>26</v>
      </c>
      <c r="G15" s="13" t="s">
        <v>26</v>
      </c>
    </row>
    <row r="16" spans="1:255">
      <c r="A16" s="9" t="s">
        <v>623</v>
      </c>
      <c r="B16" s="4"/>
      <c r="C16" s="4"/>
      <c r="D16" s="4"/>
      <c r="E16" s="4"/>
      <c r="F16" s="4"/>
      <c r="G16" s="4"/>
    </row>
    <row r="17" spans="1:7">
      <c r="A17" s="9" t="s">
        <v>624</v>
      </c>
      <c r="B17" s="4"/>
      <c r="C17" s="4"/>
      <c r="D17" s="4"/>
      <c r="E17" s="4"/>
      <c r="F17" s="4"/>
      <c r="G17" s="4"/>
    </row>
    <row r="18" spans="1:7" ht="12">
      <c r="A18" s="4" t="s">
        <v>625</v>
      </c>
      <c r="B18" s="20">
        <v>0.156</v>
      </c>
      <c r="C18" s="20">
        <v>0.19600000000000001</v>
      </c>
      <c r="D18" s="20">
        <v>0.249</v>
      </c>
      <c r="E18" s="20">
        <v>0.34200000000000003</v>
      </c>
      <c r="F18" s="20">
        <v>0.38500000000000001</v>
      </c>
      <c r="G18" s="20" t="s">
        <v>29</v>
      </c>
    </row>
    <row r="19" spans="1:7" ht="12">
      <c r="A19" s="9" t="s">
        <v>626</v>
      </c>
      <c r="B19" s="27">
        <v>0.156</v>
      </c>
      <c r="C19" s="27">
        <v>0.19600000000000001</v>
      </c>
      <c r="D19" s="27">
        <v>0.249</v>
      </c>
      <c r="E19" s="27">
        <v>0.34200000000000003</v>
      </c>
      <c r="F19" s="27">
        <v>0.38500000000000001</v>
      </c>
      <c r="G19" s="27" t="s">
        <v>29</v>
      </c>
    </row>
    <row r="20" spans="1:7">
      <c r="A20" s="4"/>
      <c r="B20" s="4"/>
      <c r="C20" s="4"/>
      <c r="D20" s="4"/>
      <c r="E20" s="4"/>
      <c r="F20" s="4"/>
      <c r="G20" s="4"/>
    </row>
    <row r="21" spans="1:7" ht="72">
      <c r="A21" s="35" t="s">
        <v>67</v>
      </c>
      <c r="B21" s="11"/>
      <c r="C21" s="11"/>
      <c r="D21" s="11"/>
      <c r="E21" s="11"/>
      <c r="F21" s="11"/>
      <c r="G21"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pageSetUpPr autoPageBreaks="0"/>
  </sheetPr>
  <dimension ref="A5:IU85"/>
  <sheetViews>
    <sheetView topLeftCell="A51" zoomScale="93" workbookViewId="0">
      <selection activeCell="A67" sqref="A67:A68"/>
    </sheetView>
  </sheetViews>
  <sheetFormatPr baseColWidth="10" defaultColWidth="8.83203125" defaultRowHeight="11"/>
  <cols>
    <col min="1" max="1" width="45.83203125" customWidth="1"/>
    <col min="2" max="7" width="14.83203125" customWidth="1"/>
  </cols>
  <sheetData>
    <row r="5" spans="1:255" ht="17">
      <c r="A5" s="1" t="s">
        <v>627</v>
      </c>
    </row>
    <row r="7" spans="1:255" ht="12">
      <c r="A7" s="2" t="s">
        <v>628</v>
      </c>
      <c r="B7" s="3" t="s">
        <v>629</v>
      </c>
      <c r="C7" t="s">
        <v>630</v>
      </c>
      <c r="D7" s="4" t="s">
        <v>4</v>
      </c>
      <c r="E7" s="3" t="s">
        <v>631</v>
      </c>
      <c r="F7" t="s">
        <v>73</v>
      </c>
    </row>
    <row r="8" spans="1:255">
      <c r="A8" s="4"/>
      <c r="B8" s="3" t="s">
        <v>632</v>
      </c>
      <c r="C8" t="s">
        <v>75</v>
      </c>
      <c r="D8" s="4" t="s">
        <v>4</v>
      </c>
      <c r="E8" s="3" t="s">
        <v>633</v>
      </c>
      <c r="F8" t="s">
        <v>8</v>
      </c>
    </row>
    <row r="9" spans="1:255">
      <c r="A9" s="4"/>
      <c r="B9" s="3" t="s">
        <v>634</v>
      </c>
      <c r="C9" t="s">
        <v>78</v>
      </c>
      <c r="D9" s="4" t="s">
        <v>4</v>
      </c>
      <c r="E9" s="3" t="s">
        <v>635</v>
      </c>
      <c r="F9" t="s">
        <v>6</v>
      </c>
    </row>
    <row r="10" spans="1:255">
      <c r="A10" s="4"/>
      <c r="B10" s="3" t="s">
        <v>636</v>
      </c>
      <c r="C10" t="s">
        <v>10</v>
      </c>
      <c r="D10" s="4" t="s">
        <v>4</v>
      </c>
      <c r="E10" s="3" t="s">
        <v>637</v>
      </c>
      <c r="F10" s="5" t="s">
        <v>12</v>
      </c>
    </row>
    <row r="13" spans="1:255">
      <c r="A13" s="6" t="s">
        <v>638</v>
      </c>
      <c r="B13" s="6"/>
      <c r="C13" s="6"/>
      <c r="D13" s="6"/>
      <c r="E13" s="6"/>
      <c r="F13" s="6"/>
      <c r="G13" s="6"/>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row>
    <row r="14" spans="1:255" ht="36">
      <c r="A14" s="7" t="s">
        <v>16</v>
      </c>
      <c r="B14" s="12" t="s">
        <v>85</v>
      </c>
      <c r="C14" s="12" t="s">
        <v>86</v>
      </c>
      <c r="D14" s="12" t="s">
        <v>87</v>
      </c>
      <c r="E14" s="12" t="s">
        <v>88</v>
      </c>
      <c r="F14" s="12" t="s">
        <v>89</v>
      </c>
      <c r="G14" s="12" t="s">
        <v>90</v>
      </c>
    </row>
    <row r="15" spans="1:255" ht="12">
      <c r="A15" s="8" t="s">
        <v>25</v>
      </c>
      <c r="B15" s="13" t="s">
        <v>26</v>
      </c>
      <c r="C15" s="13" t="s">
        <v>26</v>
      </c>
      <c r="D15" s="13" t="s">
        <v>26</v>
      </c>
      <c r="E15" s="13" t="s">
        <v>26</v>
      </c>
      <c r="F15" s="13" t="s">
        <v>26</v>
      </c>
      <c r="G15" s="13" t="s">
        <v>26</v>
      </c>
    </row>
    <row r="16" spans="1:255">
      <c r="A16" s="9" t="s">
        <v>639</v>
      </c>
      <c r="B16" s="4"/>
      <c r="C16" s="4"/>
      <c r="D16" s="4"/>
      <c r="E16" s="4"/>
      <c r="F16" s="4"/>
      <c r="G16" s="4"/>
    </row>
    <row r="17" spans="1:7" ht="12">
      <c r="A17" s="4" t="s">
        <v>640</v>
      </c>
      <c r="B17" s="20" t="s">
        <v>29</v>
      </c>
      <c r="C17" s="20" t="s">
        <v>29</v>
      </c>
      <c r="D17" s="20">
        <v>3.6070000000000002</v>
      </c>
      <c r="E17" s="20">
        <v>3.5760000000000001</v>
      </c>
      <c r="F17" s="20">
        <v>17.207000000000001</v>
      </c>
      <c r="G17" s="20" t="s">
        <v>29</v>
      </c>
    </row>
    <row r="18" spans="1:7" ht="12">
      <c r="A18" s="4" t="s">
        <v>641</v>
      </c>
      <c r="B18" s="20" t="s">
        <v>29</v>
      </c>
      <c r="C18" s="20" t="s">
        <v>29</v>
      </c>
      <c r="D18" s="20">
        <v>91.644999999999996</v>
      </c>
      <c r="E18" s="20">
        <v>5.4459999999999997</v>
      </c>
      <c r="F18" s="20">
        <v>4.6420000000000003</v>
      </c>
      <c r="G18" s="20" t="s">
        <v>29</v>
      </c>
    </row>
    <row r="19" spans="1:7" ht="12">
      <c r="A19" s="4" t="s">
        <v>642</v>
      </c>
      <c r="B19" s="20" t="s">
        <v>29</v>
      </c>
      <c r="C19" s="20" t="s">
        <v>29</v>
      </c>
      <c r="D19" s="20">
        <v>1.268</v>
      </c>
      <c r="E19" s="20">
        <v>8.0000000000000002E-3</v>
      </c>
      <c r="F19" s="20">
        <v>0.81899999999999995</v>
      </c>
      <c r="G19" s="20" t="s">
        <v>29</v>
      </c>
    </row>
    <row r="20" spans="1:7" ht="12">
      <c r="A20" s="4" t="s">
        <v>643</v>
      </c>
      <c r="B20" s="20">
        <v>32.042000000000002</v>
      </c>
      <c r="C20" s="20">
        <v>57.875999999999998</v>
      </c>
      <c r="D20" s="20" t="s">
        <v>29</v>
      </c>
      <c r="E20" s="20" t="s">
        <v>29</v>
      </c>
      <c r="F20" s="20" t="s">
        <v>29</v>
      </c>
      <c r="G20" s="20" t="s">
        <v>29</v>
      </c>
    </row>
    <row r="21" spans="1:7" ht="12">
      <c r="A21" s="9" t="s">
        <v>644</v>
      </c>
      <c r="B21" s="14">
        <v>32.042000000000002</v>
      </c>
      <c r="C21" s="14">
        <v>57.875999999999998</v>
      </c>
      <c r="D21" s="14">
        <v>96.52</v>
      </c>
      <c r="E21" s="14">
        <v>9.0299999999999994</v>
      </c>
      <c r="F21" s="14">
        <v>22.667999999999999</v>
      </c>
      <c r="G21" s="14" t="s">
        <v>29</v>
      </c>
    </row>
    <row r="22" spans="1:7">
      <c r="A22" s="4"/>
      <c r="B22" s="4"/>
      <c r="C22" s="4"/>
      <c r="D22" s="4"/>
      <c r="E22" s="4"/>
      <c r="F22" s="4"/>
      <c r="G22" s="4"/>
    </row>
    <row r="23" spans="1:7">
      <c r="A23" s="9" t="s">
        <v>645</v>
      </c>
      <c r="B23" s="4"/>
      <c r="C23" s="4"/>
      <c r="D23" s="4"/>
      <c r="E23" s="4"/>
      <c r="F23" s="4"/>
      <c r="G23" s="4"/>
    </row>
    <row r="24" spans="1:7" ht="12">
      <c r="A24" s="4" t="s">
        <v>643</v>
      </c>
      <c r="B24" s="20">
        <v>29.446999999999999</v>
      </c>
      <c r="C24" s="20">
        <v>56.305999999999997</v>
      </c>
      <c r="D24" s="20" t="s">
        <v>29</v>
      </c>
      <c r="E24" s="20" t="s">
        <v>29</v>
      </c>
      <c r="F24" s="20" t="s">
        <v>29</v>
      </c>
      <c r="G24" s="20" t="s">
        <v>29</v>
      </c>
    </row>
    <row r="25" spans="1:7" ht="12">
      <c r="A25" s="9" t="s">
        <v>646</v>
      </c>
      <c r="B25" s="14">
        <v>29.446999999999999</v>
      </c>
      <c r="C25" s="14">
        <v>56.305999999999997</v>
      </c>
      <c r="D25" s="14" t="s">
        <v>29</v>
      </c>
      <c r="E25" s="14" t="s">
        <v>29</v>
      </c>
      <c r="F25" s="14" t="s">
        <v>29</v>
      </c>
      <c r="G25" s="14" t="s">
        <v>29</v>
      </c>
    </row>
    <row r="26" spans="1:7">
      <c r="A26" s="4"/>
      <c r="B26" s="4"/>
      <c r="C26" s="4"/>
      <c r="D26" s="4"/>
      <c r="E26" s="4"/>
      <c r="F26" s="4"/>
      <c r="G26" s="4"/>
    </row>
    <row r="27" spans="1:7">
      <c r="A27" s="9" t="s">
        <v>647</v>
      </c>
      <c r="B27" s="4"/>
      <c r="C27" s="4"/>
      <c r="D27" s="4"/>
      <c r="E27" s="4"/>
      <c r="F27" s="4"/>
      <c r="G27" s="4"/>
    </row>
    <row r="28" spans="1:7" ht="12">
      <c r="A28" s="4" t="s">
        <v>643</v>
      </c>
      <c r="B28" s="20">
        <v>-26.2</v>
      </c>
      <c r="C28" s="20">
        <v>14.188000000000001</v>
      </c>
      <c r="D28" s="20" t="s">
        <v>29</v>
      </c>
      <c r="E28" s="20" t="s">
        <v>29</v>
      </c>
      <c r="F28" s="20" t="s">
        <v>29</v>
      </c>
      <c r="G28" s="20" t="s">
        <v>29</v>
      </c>
    </row>
    <row r="29" spans="1:7" ht="12">
      <c r="A29" s="9" t="s">
        <v>648</v>
      </c>
      <c r="B29" s="14">
        <v>-26.2</v>
      </c>
      <c r="C29" s="14">
        <v>14.188000000000001</v>
      </c>
      <c r="D29" s="14" t="s">
        <v>29</v>
      </c>
      <c r="E29" s="14" t="s">
        <v>29</v>
      </c>
      <c r="F29" s="14" t="s">
        <v>29</v>
      </c>
      <c r="G29" s="14" t="s">
        <v>29</v>
      </c>
    </row>
    <row r="30" spans="1:7">
      <c r="A30" s="4"/>
      <c r="B30" s="4"/>
      <c r="C30" s="4"/>
      <c r="D30" s="4"/>
      <c r="E30" s="4"/>
      <c r="F30" s="4"/>
      <c r="G30" s="4"/>
    </row>
    <row r="31" spans="1:7">
      <c r="A31" s="9" t="s">
        <v>103</v>
      </c>
      <c r="B31" s="4"/>
      <c r="C31" s="4"/>
      <c r="D31" s="4"/>
      <c r="E31" s="4"/>
      <c r="F31" s="4"/>
      <c r="G31" s="4"/>
    </row>
    <row r="32" spans="1:7" ht="12">
      <c r="A32" s="4" t="s">
        <v>643</v>
      </c>
      <c r="B32" s="20">
        <v>-1.7</v>
      </c>
      <c r="C32" s="20">
        <v>-3.5</v>
      </c>
      <c r="D32" s="20" t="s">
        <v>29</v>
      </c>
      <c r="E32" s="20" t="s">
        <v>29</v>
      </c>
      <c r="F32" s="20" t="s">
        <v>29</v>
      </c>
      <c r="G32" s="20" t="s">
        <v>29</v>
      </c>
    </row>
    <row r="33" spans="1:7" ht="12">
      <c r="A33" s="9" t="s">
        <v>649</v>
      </c>
      <c r="B33" s="14">
        <v>-1.7</v>
      </c>
      <c r="C33" s="14">
        <v>-3.5</v>
      </c>
      <c r="D33" s="14" t="s">
        <v>29</v>
      </c>
      <c r="E33" s="14" t="s">
        <v>29</v>
      </c>
      <c r="F33" s="14" t="s">
        <v>29</v>
      </c>
      <c r="G33" s="14" t="s">
        <v>29</v>
      </c>
    </row>
    <row r="34" spans="1:7">
      <c r="A34" s="4"/>
      <c r="B34" s="4"/>
      <c r="C34" s="4"/>
      <c r="D34" s="4"/>
      <c r="E34" s="4"/>
      <c r="F34" s="4"/>
      <c r="G34" s="4"/>
    </row>
    <row r="35" spans="1:7">
      <c r="A35" s="9" t="s">
        <v>650</v>
      </c>
      <c r="B35" s="4"/>
      <c r="C35" s="4"/>
      <c r="D35" s="4"/>
      <c r="E35" s="4"/>
      <c r="F35" s="4"/>
      <c r="G35" s="4"/>
    </row>
    <row r="36" spans="1:7" ht="12">
      <c r="A36" s="4" t="s">
        <v>643</v>
      </c>
      <c r="B36" s="20">
        <v>-51.5</v>
      </c>
      <c r="C36" s="20">
        <v>-37.5</v>
      </c>
      <c r="D36" s="20" t="s">
        <v>29</v>
      </c>
      <c r="E36" s="20" t="s">
        <v>29</v>
      </c>
      <c r="F36" s="20" t="s">
        <v>29</v>
      </c>
      <c r="G36" s="20" t="s">
        <v>29</v>
      </c>
    </row>
    <row r="37" spans="1:7" ht="12">
      <c r="A37" s="9" t="s">
        <v>651</v>
      </c>
      <c r="B37" s="14">
        <v>-51.5</v>
      </c>
      <c r="C37" s="14">
        <v>-37.5</v>
      </c>
      <c r="D37" s="14" t="s">
        <v>29</v>
      </c>
      <c r="E37" s="14" t="s">
        <v>29</v>
      </c>
      <c r="F37" s="14" t="s">
        <v>29</v>
      </c>
      <c r="G37" s="14" t="s">
        <v>29</v>
      </c>
    </row>
    <row r="38" spans="1:7">
      <c r="A38" s="4"/>
      <c r="B38" s="4"/>
      <c r="C38" s="4"/>
      <c r="D38" s="4"/>
      <c r="E38" s="4"/>
      <c r="F38" s="4"/>
      <c r="G38" s="4"/>
    </row>
    <row r="39" spans="1:7">
      <c r="A39" s="9" t="s">
        <v>652</v>
      </c>
      <c r="B39" s="4"/>
      <c r="C39" s="4"/>
      <c r="D39" s="4"/>
      <c r="E39" s="4"/>
      <c r="F39" s="4"/>
      <c r="G39" s="4"/>
    </row>
    <row r="40" spans="1:7" ht="12">
      <c r="A40" s="4" t="s">
        <v>643</v>
      </c>
      <c r="B40" s="20">
        <v>-13.1</v>
      </c>
      <c r="C40" s="20">
        <v>-9.9</v>
      </c>
      <c r="D40" s="20" t="s">
        <v>29</v>
      </c>
      <c r="E40" s="20" t="s">
        <v>29</v>
      </c>
      <c r="F40" s="20" t="s">
        <v>29</v>
      </c>
      <c r="G40" s="20" t="s">
        <v>29</v>
      </c>
    </row>
    <row r="41" spans="1:7" ht="12">
      <c r="A41" s="9" t="s">
        <v>653</v>
      </c>
      <c r="B41" s="14">
        <v>-13.1</v>
      </c>
      <c r="C41" s="14">
        <v>-9.9</v>
      </c>
      <c r="D41" s="14" t="s">
        <v>29</v>
      </c>
      <c r="E41" s="14" t="s">
        <v>29</v>
      </c>
      <c r="F41" s="14" t="s">
        <v>29</v>
      </c>
      <c r="G41" s="14" t="s">
        <v>29</v>
      </c>
    </row>
    <row r="42" spans="1:7">
      <c r="A42" s="4"/>
      <c r="B42" s="4"/>
      <c r="C42" s="4"/>
      <c r="D42" s="4"/>
      <c r="E42" s="4"/>
      <c r="F42" s="4"/>
      <c r="G42" s="4"/>
    </row>
    <row r="43" spans="1:7">
      <c r="A43" s="9" t="s">
        <v>654</v>
      </c>
      <c r="B43" s="4"/>
      <c r="C43" s="4"/>
      <c r="D43" s="4"/>
      <c r="E43" s="4"/>
      <c r="F43" s="4"/>
      <c r="G43" s="4"/>
    </row>
    <row r="44" spans="1:7" ht="12">
      <c r="A44" s="4" t="s">
        <v>643</v>
      </c>
      <c r="B44" s="20">
        <v>-35</v>
      </c>
      <c r="C44" s="20">
        <v>-12.4</v>
      </c>
      <c r="D44" s="20" t="s">
        <v>29</v>
      </c>
      <c r="E44" s="20" t="s">
        <v>29</v>
      </c>
      <c r="F44" s="20" t="s">
        <v>29</v>
      </c>
      <c r="G44" s="20" t="s">
        <v>29</v>
      </c>
    </row>
    <row r="45" spans="1:7" ht="12">
      <c r="A45" s="9" t="s">
        <v>655</v>
      </c>
      <c r="B45" s="14">
        <v>-35</v>
      </c>
      <c r="C45" s="14">
        <v>-12.4</v>
      </c>
      <c r="D45" s="14" t="s">
        <v>29</v>
      </c>
      <c r="E45" s="14" t="s">
        <v>29</v>
      </c>
      <c r="F45" s="14" t="s">
        <v>29</v>
      </c>
      <c r="G45" s="14" t="s">
        <v>29</v>
      </c>
    </row>
    <row r="46" spans="1:7">
      <c r="A46" s="4"/>
      <c r="B46" s="4"/>
      <c r="C46" s="4"/>
      <c r="D46" s="4"/>
      <c r="E46" s="4"/>
      <c r="F46" s="4"/>
      <c r="G46" s="4"/>
    </row>
    <row r="47" spans="1:7">
      <c r="A47" s="9" t="s">
        <v>656</v>
      </c>
      <c r="B47" s="4"/>
      <c r="C47" s="4"/>
      <c r="D47" s="4"/>
      <c r="E47" s="4"/>
      <c r="F47" s="4"/>
      <c r="G47" s="4"/>
    </row>
    <row r="48" spans="1:7" ht="12">
      <c r="A48" s="4" t="s">
        <v>643</v>
      </c>
      <c r="B48" s="20">
        <v>244.71199999999999</v>
      </c>
      <c r="C48" s="20">
        <v>359.72800000000001</v>
      </c>
      <c r="D48" s="20">
        <v>397.64299999999997</v>
      </c>
      <c r="E48" s="20" t="s">
        <v>29</v>
      </c>
      <c r="F48" s="20" t="s">
        <v>29</v>
      </c>
      <c r="G48" s="20" t="s">
        <v>29</v>
      </c>
    </row>
    <row r="49" spans="1:255" ht="12">
      <c r="A49" s="9" t="s">
        <v>548</v>
      </c>
      <c r="B49" s="14">
        <v>244.71199999999999</v>
      </c>
      <c r="C49" s="14">
        <v>359.72800000000001</v>
      </c>
      <c r="D49" s="14">
        <v>397.64299999999997</v>
      </c>
      <c r="E49" s="14" t="s">
        <v>29</v>
      </c>
      <c r="F49" s="14" t="s">
        <v>29</v>
      </c>
      <c r="G49" s="14" t="s">
        <v>29</v>
      </c>
    </row>
    <row r="50" spans="1:255">
      <c r="A50" s="4"/>
      <c r="B50" s="4"/>
      <c r="C50" s="4"/>
      <c r="D50" s="4"/>
      <c r="E50" s="4"/>
      <c r="F50" s="4"/>
      <c r="G50" s="4"/>
    </row>
    <row r="51" spans="1:255">
      <c r="A51" s="9" t="s">
        <v>657</v>
      </c>
      <c r="B51" s="4"/>
      <c r="C51" s="4"/>
      <c r="D51" s="4"/>
      <c r="E51" s="4"/>
      <c r="F51" s="4"/>
      <c r="G51" s="4"/>
    </row>
    <row r="52" spans="1:255" ht="12">
      <c r="A52" s="4" t="s">
        <v>643</v>
      </c>
      <c r="B52" s="20">
        <v>2.0419999999999998</v>
      </c>
      <c r="C52" s="20">
        <v>2.7069999999999999</v>
      </c>
      <c r="D52" s="20" t="s">
        <v>29</v>
      </c>
      <c r="E52" s="20" t="s">
        <v>29</v>
      </c>
      <c r="F52" s="20" t="s">
        <v>29</v>
      </c>
      <c r="G52" s="20" t="s">
        <v>29</v>
      </c>
    </row>
    <row r="53" spans="1:255" ht="12">
      <c r="A53" s="9" t="s">
        <v>658</v>
      </c>
      <c r="B53" s="14">
        <v>2.0419999999999998</v>
      </c>
      <c r="C53" s="14">
        <v>2.7069999999999999</v>
      </c>
      <c r="D53" s="14" t="s">
        <v>29</v>
      </c>
      <c r="E53" s="14" t="s">
        <v>29</v>
      </c>
      <c r="F53" s="14" t="s">
        <v>29</v>
      </c>
      <c r="G53" s="14" t="s">
        <v>29</v>
      </c>
    </row>
    <row r="54" spans="1:255">
      <c r="A54" s="4"/>
      <c r="B54" s="4"/>
      <c r="C54" s="4"/>
      <c r="D54" s="4"/>
      <c r="E54" s="4"/>
      <c r="F54" s="4"/>
      <c r="G54" s="4"/>
    </row>
    <row r="55" spans="1:255">
      <c r="A55" s="9" t="s">
        <v>268</v>
      </c>
      <c r="B55" s="4"/>
      <c r="C55" s="4"/>
      <c r="D55" s="4"/>
      <c r="E55" s="4"/>
      <c r="F55" s="4"/>
      <c r="G55" s="4"/>
    </row>
    <row r="56" spans="1:255" ht="12">
      <c r="A56" s="4" t="s">
        <v>643</v>
      </c>
      <c r="B56" s="20">
        <v>-16.100000000000001</v>
      </c>
      <c r="C56" s="20">
        <v>-10.1</v>
      </c>
      <c r="D56" s="20" t="s">
        <v>29</v>
      </c>
      <c r="E56" s="20" t="s">
        <v>29</v>
      </c>
      <c r="F56" s="20" t="s">
        <v>29</v>
      </c>
      <c r="G56" s="20" t="s">
        <v>29</v>
      </c>
    </row>
    <row r="57" spans="1:255" ht="12">
      <c r="A57" s="9" t="s">
        <v>659</v>
      </c>
      <c r="B57" s="14">
        <v>-16.100000000000001</v>
      </c>
      <c r="C57" s="14">
        <v>-10.1</v>
      </c>
      <c r="D57" s="14" t="s">
        <v>29</v>
      </c>
      <c r="E57" s="14" t="s">
        <v>29</v>
      </c>
      <c r="F57" s="14" t="s">
        <v>29</v>
      </c>
      <c r="G57" s="14" t="s">
        <v>29</v>
      </c>
    </row>
    <row r="58" spans="1:255">
      <c r="A58" s="4"/>
      <c r="B58" s="4"/>
      <c r="C58" s="4"/>
      <c r="D58" s="4"/>
      <c r="E58" s="4"/>
      <c r="F58" s="4"/>
      <c r="G58" s="4"/>
    </row>
    <row r="59" spans="1:255">
      <c r="A59" s="4"/>
      <c r="B59" s="4" t="s">
        <v>91</v>
      </c>
      <c r="C59" s="4" t="s">
        <v>91</v>
      </c>
      <c r="D59" s="4" t="s">
        <v>91</v>
      </c>
      <c r="E59" s="4" t="s">
        <v>91</v>
      </c>
      <c r="F59" s="4" t="s">
        <v>91</v>
      </c>
      <c r="G59" s="4" t="s">
        <v>91</v>
      </c>
    </row>
    <row r="60" spans="1:255">
      <c r="A60" s="4" t="s">
        <v>141</v>
      </c>
      <c r="B60" s="30">
        <v>43563</v>
      </c>
      <c r="C60" s="30">
        <v>43943</v>
      </c>
      <c r="D60" s="30">
        <v>44306</v>
      </c>
      <c r="E60" s="30">
        <v>44666</v>
      </c>
      <c r="F60" s="30">
        <v>44666</v>
      </c>
      <c r="G60" s="30">
        <v>44992</v>
      </c>
    </row>
    <row r="61" spans="1:255">
      <c r="A61" s="11"/>
      <c r="B61" s="11"/>
      <c r="C61" s="11"/>
      <c r="D61" s="11"/>
      <c r="E61" s="11"/>
      <c r="F61" s="11"/>
      <c r="G61" s="11"/>
    </row>
    <row r="63" spans="1:255">
      <c r="A63" s="6" t="s">
        <v>660</v>
      </c>
      <c r="B63" s="6"/>
      <c r="C63" s="6"/>
      <c r="D63" s="6"/>
      <c r="E63" s="6"/>
      <c r="F63" s="6"/>
      <c r="G63" s="6"/>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67"/>
      <c r="BQ63" s="67"/>
      <c r="BR63" s="67"/>
      <c r="BS63" s="67"/>
      <c r="BT63" s="67"/>
      <c r="BU63" s="67"/>
      <c r="BV63" s="67"/>
      <c r="BW63" s="67"/>
      <c r="BX63" s="67"/>
      <c r="BY63" s="67"/>
      <c r="BZ63" s="67"/>
      <c r="CA63" s="67"/>
      <c r="CB63" s="67"/>
      <c r="CC63" s="67"/>
      <c r="CD63" s="67"/>
      <c r="CE63" s="67"/>
      <c r="CF63" s="67"/>
      <c r="CG63" s="67"/>
      <c r="CH63" s="67"/>
      <c r="CI63" s="67"/>
      <c r="CJ63" s="67"/>
      <c r="CK63" s="67"/>
      <c r="CL63" s="67"/>
      <c r="CM63" s="67"/>
      <c r="CN63" s="67"/>
      <c r="CO63" s="67"/>
      <c r="CP63" s="67"/>
      <c r="CQ63" s="67"/>
      <c r="CR63" s="67"/>
      <c r="CS63" s="67"/>
      <c r="CT63" s="67"/>
      <c r="CU63" s="67"/>
      <c r="CV63" s="67"/>
      <c r="CW63" s="67"/>
      <c r="CX63" s="67"/>
      <c r="CY63" s="67"/>
      <c r="CZ63" s="67"/>
      <c r="DA63" s="67"/>
      <c r="DB63" s="67"/>
      <c r="DC63" s="67"/>
      <c r="DD63" s="67"/>
      <c r="DE63" s="67"/>
      <c r="DF63" s="67"/>
      <c r="DG63" s="67"/>
      <c r="DH63" s="67"/>
      <c r="DI63" s="67"/>
      <c r="DJ63" s="67"/>
      <c r="DK63" s="67"/>
      <c r="DL63" s="67"/>
      <c r="DM63" s="67"/>
      <c r="DN63" s="67"/>
      <c r="DO63" s="67"/>
      <c r="DP63" s="67"/>
      <c r="DQ63" s="67"/>
      <c r="DR63" s="67"/>
      <c r="DS63" s="67"/>
      <c r="DT63" s="67"/>
      <c r="DU63" s="67"/>
      <c r="DV63" s="67"/>
      <c r="DW63" s="67"/>
      <c r="DX63" s="67"/>
      <c r="DY63" s="67"/>
      <c r="DZ63" s="67"/>
      <c r="EA63" s="67"/>
      <c r="EB63" s="67"/>
      <c r="EC63" s="67"/>
      <c r="ED63" s="67"/>
      <c r="EE63" s="67"/>
      <c r="EF63" s="67"/>
      <c r="EG63" s="67"/>
      <c r="EH63" s="67"/>
      <c r="EI63" s="67"/>
      <c r="EJ63" s="67"/>
      <c r="EK63" s="67"/>
      <c r="EL63" s="67"/>
      <c r="EM63" s="67"/>
      <c r="EN63" s="67"/>
      <c r="EO63" s="67"/>
      <c r="EP63" s="67"/>
      <c r="EQ63" s="67"/>
      <c r="ER63" s="67"/>
      <c r="ES63" s="67"/>
      <c r="ET63" s="67"/>
      <c r="EU63" s="67"/>
      <c r="EV63" s="67"/>
      <c r="EW63" s="67"/>
      <c r="EX63" s="67"/>
      <c r="EY63" s="67"/>
      <c r="EZ63" s="67"/>
      <c r="FA63" s="67"/>
      <c r="FB63" s="67"/>
      <c r="FC63" s="67"/>
      <c r="FD63" s="67"/>
      <c r="FE63" s="67"/>
      <c r="FF63" s="67"/>
      <c r="FG63" s="67"/>
      <c r="FH63" s="67"/>
      <c r="FI63" s="67"/>
      <c r="FJ63" s="67"/>
      <c r="FK63" s="67"/>
      <c r="FL63" s="67"/>
      <c r="FM63" s="67"/>
      <c r="FN63" s="67"/>
      <c r="FO63" s="67"/>
      <c r="FP63" s="67"/>
      <c r="FQ63" s="67"/>
      <c r="FR63" s="67"/>
      <c r="FS63" s="67"/>
      <c r="FT63" s="67"/>
      <c r="FU63" s="67"/>
      <c r="FV63" s="67"/>
      <c r="FW63" s="67"/>
      <c r="FX63" s="67"/>
      <c r="FY63" s="67"/>
      <c r="FZ63" s="67"/>
      <c r="GA63" s="67"/>
      <c r="GB63" s="67"/>
      <c r="GC63" s="67"/>
      <c r="GD63" s="67"/>
      <c r="GE63" s="67"/>
      <c r="GF63" s="67"/>
      <c r="GG63" s="67"/>
      <c r="GH63" s="67"/>
      <c r="GI63" s="67"/>
      <c r="GJ63" s="67"/>
      <c r="GK63" s="67"/>
      <c r="GL63" s="67"/>
      <c r="GM63" s="67"/>
      <c r="GN63" s="67"/>
      <c r="GO63" s="67"/>
      <c r="GP63" s="67"/>
      <c r="GQ63" s="67"/>
      <c r="GR63" s="67"/>
      <c r="GS63" s="67"/>
      <c r="GT63" s="67"/>
      <c r="GU63" s="67"/>
      <c r="GV63" s="67"/>
      <c r="GW63" s="67"/>
      <c r="GX63" s="67"/>
      <c r="GY63" s="67"/>
      <c r="GZ63" s="67"/>
      <c r="HA63" s="67"/>
      <c r="HB63" s="67"/>
      <c r="HC63" s="67"/>
      <c r="HD63" s="67"/>
      <c r="HE63" s="67"/>
      <c r="HF63" s="67"/>
      <c r="HG63" s="67"/>
      <c r="HH63" s="67"/>
      <c r="HI63" s="67"/>
      <c r="HJ63" s="67"/>
      <c r="HK63" s="67"/>
      <c r="HL63" s="67"/>
      <c r="HM63" s="67"/>
      <c r="HN63" s="67"/>
      <c r="HO63" s="67"/>
      <c r="HP63" s="67"/>
      <c r="HQ63" s="67"/>
      <c r="HR63" s="67"/>
      <c r="HS63" s="67"/>
      <c r="HT63" s="67"/>
      <c r="HU63" s="67"/>
      <c r="HV63" s="67"/>
      <c r="HW63" s="67"/>
      <c r="HX63" s="67"/>
      <c r="HY63" s="67"/>
      <c r="HZ63" s="67"/>
      <c r="IA63" s="67"/>
      <c r="IB63" s="67"/>
      <c r="IC63" s="67"/>
      <c r="ID63" s="67"/>
      <c r="IE63" s="67"/>
      <c r="IF63" s="67"/>
      <c r="IG63" s="67"/>
      <c r="IH63" s="67"/>
      <c r="II63" s="67"/>
      <c r="IJ63" s="67"/>
      <c r="IK63" s="67"/>
      <c r="IL63" s="67"/>
      <c r="IM63" s="67"/>
      <c r="IN63" s="67"/>
      <c r="IO63" s="67"/>
      <c r="IP63" s="67"/>
      <c r="IQ63" s="67"/>
      <c r="IR63" s="67"/>
      <c r="IS63" s="67"/>
      <c r="IT63" s="67"/>
      <c r="IU63" s="67"/>
    </row>
    <row r="64" spans="1:255" ht="36">
      <c r="A64" s="7" t="s">
        <v>16</v>
      </c>
      <c r="B64" s="12" t="s">
        <v>85</v>
      </c>
      <c r="C64" s="12" t="s">
        <v>86</v>
      </c>
      <c r="D64" s="12" t="s">
        <v>87</v>
      </c>
      <c r="E64" s="12" t="s">
        <v>88</v>
      </c>
      <c r="F64" s="12" t="s">
        <v>89</v>
      </c>
      <c r="G64" s="12" t="s">
        <v>90</v>
      </c>
    </row>
    <row r="65" spans="1:13" ht="12">
      <c r="A65" s="8" t="s">
        <v>25</v>
      </c>
      <c r="B65" s="13" t="s">
        <v>26</v>
      </c>
      <c r="C65" s="13" t="s">
        <v>26</v>
      </c>
      <c r="D65" s="13" t="s">
        <v>26</v>
      </c>
      <c r="E65" s="13" t="s">
        <v>26</v>
      </c>
      <c r="F65" s="13" t="s">
        <v>26</v>
      </c>
      <c r="G65" s="13" t="s">
        <v>26</v>
      </c>
    </row>
    <row r="66" spans="1:13">
      <c r="A66" s="9" t="s">
        <v>639</v>
      </c>
      <c r="B66" s="4"/>
      <c r="C66" s="4"/>
      <c r="D66" s="4"/>
      <c r="E66" s="4"/>
      <c r="F66" s="4"/>
      <c r="G66" s="4"/>
      <c r="I66" s="152">
        <f>B67/B71</f>
        <v>5.272135214761979E-2</v>
      </c>
      <c r="J66" s="152">
        <f>C67/C71</f>
        <v>0.74825053995680346</v>
      </c>
      <c r="K66" s="152">
        <f>D67/D71</f>
        <v>0.20355366763365104</v>
      </c>
      <c r="L66" s="152">
        <f>F68/F71</f>
        <v>0.54570319392976885</v>
      </c>
      <c r="M66" s="152">
        <f>E68/E71</f>
        <v>0.61085271317829459</v>
      </c>
    </row>
    <row r="67" spans="1:13" ht="12">
      <c r="A67" s="4" t="s">
        <v>661</v>
      </c>
      <c r="B67" s="20">
        <v>1.7</v>
      </c>
      <c r="C67" s="20">
        <v>43.305</v>
      </c>
      <c r="D67" s="20">
        <v>19.646999999999998</v>
      </c>
      <c r="E67" s="20" t="s">
        <v>29</v>
      </c>
      <c r="F67" s="20" t="s">
        <v>29</v>
      </c>
      <c r="G67" s="20" t="s">
        <v>29</v>
      </c>
      <c r="I67" s="152">
        <f>B68/B71</f>
        <v>0.94727864785238036</v>
      </c>
      <c r="J67" s="152">
        <f>C68/C71</f>
        <v>0.25174946004319654</v>
      </c>
      <c r="K67" s="152">
        <f>D68/D71</f>
        <v>0.79644633236634899</v>
      </c>
      <c r="L67" s="152">
        <f>SUM(F69:F70)/F71</f>
        <v>0.45429680607023121</v>
      </c>
      <c r="M67" s="152">
        <f>SUM(E69:E70)/E71</f>
        <v>0.38914728682170541</v>
      </c>
    </row>
    <row r="68" spans="1:13" ht="12">
      <c r="A68" s="4" t="s">
        <v>662</v>
      </c>
      <c r="B68" s="20">
        <v>30.545000000000002</v>
      </c>
      <c r="C68" s="20">
        <v>14.57</v>
      </c>
      <c r="D68" s="20">
        <v>76.873000000000005</v>
      </c>
      <c r="E68" s="20">
        <v>5.516</v>
      </c>
      <c r="F68" s="20">
        <v>12.37</v>
      </c>
      <c r="G68" s="20" t="s">
        <v>29</v>
      </c>
    </row>
    <row r="69" spans="1:13" ht="12">
      <c r="A69" s="4" t="s">
        <v>663</v>
      </c>
      <c r="B69" s="20" t="s">
        <v>29</v>
      </c>
      <c r="C69" s="20" t="s">
        <v>29</v>
      </c>
      <c r="D69" s="20" t="s">
        <v>29</v>
      </c>
      <c r="E69" s="20">
        <v>1.8779999999999999</v>
      </c>
      <c r="F69" s="20">
        <v>1.012</v>
      </c>
      <c r="G69" s="20" t="s">
        <v>29</v>
      </c>
    </row>
    <row r="70" spans="1:13" ht="12">
      <c r="A70" s="4" t="s">
        <v>664</v>
      </c>
      <c r="B70" s="20" t="s">
        <v>29</v>
      </c>
      <c r="C70" s="20" t="s">
        <v>29</v>
      </c>
      <c r="D70" s="20" t="s">
        <v>29</v>
      </c>
      <c r="E70" s="20">
        <v>1.6359999999999999</v>
      </c>
      <c r="F70" s="20">
        <v>9.2859999999999996</v>
      </c>
      <c r="G70" s="20" t="s">
        <v>29</v>
      </c>
    </row>
    <row r="71" spans="1:13" ht="12">
      <c r="A71" s="9" t="s">
        <v>644</v>
      </c>
      <c r="B71" s="14">
        <v>32.244999999999997</v>
      </c>
      <c r="C71" s="14">
        <v>57.875</v>
      </c>
      <c r="D71" s="14">
        <v>96.52</v>
      </c>
      <c r="E71" s="14">
        <v>9.0299999999999994</v>
      </c>
      <c r="F71" s="14">
        <v>22.667999999999999</v>
      </c>
      <c r="G71" s="14" t="s">
        <v>29</v>
      </c>
      <c r="J71" s="153">
        <f>AVERAGE(I66:M66)</f>
        <v>0.43221629336922751</v>
      </c>
    </row>
    <row r="72" spans="1:13">
      <c r="A72" s="4"/>
      <c r="B72" s="4"/>
      <c r="C72" s="4"/>
      <c r="D72" s="4"/>
      <c r="E72" s="4"/>
      <c r="F72" s="4"/>
      <c r="G72" s="4"/>
      <c r="J72" s="153">
        <f>AVERAGE(I67:M67)</f>
        <v>0.56778370663077249</v>
      </c>
    </row>
    <row r="73" spans="1:13">
      <c r="A73" s="9" t="s">
        <v>656</v>
      </c>
      <c r="B73" s="4"/>
      <c r="C73" s="4"/>
      <c r="D73" s="4"/>
      <c r="E73" s="4"/>
      <c r="F73" s="4"/>
      <c r="G73" s="4"/>
    </row>
    <row r="74" spans="1:13" ht="12">
      <c r="A74" s="4" t="s">
        <v>663</v>
      </c>
      <c r="B74" s="20">
        <v>161.52799999999999</v>
      </c>
      <c r="C74" s="20">
        <v>208.34800000000001</v>
      </c>
      <c r="D74" s="20">
        <v>306.10700000000003</v>
      </c>
      <c r="E74" s="20">
        <v>283.50900000000001</v>
      </c>
      <c r="F74" s="20" t="s">
        <v>29</v>
      </c>
      <c r="G74" s="20" t="s">
        <v>29</v>
      </c>
    </row>
    <row r="75" spans="1:13" ht="12">
      <c r="A75" s="4" t="s">
        <v>665</v>
      </c>
      <c r="B75" s="20">
        <v>0.47799999999999998</v>
      </c>
      <c r="C75" s="20">
        <v>6.0000000000000001E-3</v>
      </c>
      <c r="D75" s="20" t="s">
        <v>29</v>
      </c>
      <c r="E75" s="20" t="s">
        <v>29</v>
      </c>
      <c r="F75" s="20" t="s">
        <v>29</v>
      </c>
      <c r="G75" s="20" t="s">
        <v>29</v>
      </c>
    </row>
    <row r="76" spans="1:13" ht="12">
      <c r="A76" s="4" t="s">
        <v>666</v>
      </c>
      <c r="B76" s="20">
        <v>8.9999999999999993E-3</v>
      </c>
      <c r="C76" s="20">
        <v>6.0000000000000001E-3</v>
      </c>
      <c r="D76" s="20">
        <v>6.0000000000000001E-3</v>
      </c>
      <c r="E76" s="20" t="s">
        <v>29</v>
      </c>
      <c r="F76" s="20" t="s">
        <v>29</v>
      </c>
      <c r="G76" s="20" t="s">
        <v>29</v>
      </c>
    </row>
    <row r="77" spans="1:13" ht="12">
      <c r="A77" s="4" t="s">
        <v>667</v>
      </c>
      <c r="B77" s="20">
        <v>7.9980000000000002</v>
      </c>
      <c r="C77" s="20">
        <v>7.9980000000000002</v>
      </c>
      <c r="D77" s="20" t="s">
        <v>29</v>
      </c>
      <c r="E77" s="20" t="s">
        <v>29</v>
      </c>
      <c r="F77" s="20" t="s">
        <v>29</v>
      </c>
      <c r="G77" s="20" t="s">
        <v>29</v>
      </c>
    </row>
    <row r="78" spans="1:13" ht="12">
      <c r="A78" s="4" t="s">
        <v>668</v>
      </c>
      <c r="B78" s="20">
        <v>0.01</v>
      </c>
      <c r="C78" s="20">
        <v>8.0000000000000002E-3</v>
      </c>
      <c r="D78" s="20">
        <v>7.0000000000000001E-3</v>
      </c>
      <c r="E78" s="20" t="s">
        <v>29</v>
      </c>
      <c r="F78" s="20" t="s">
        <v>29</v>
      </c>
      <c r="G78" s="20" t="s">
        <v>29</v>
      </c>
    </row>
    <row r="79" spans="1:13" ht="12">
      <c r="A79" s="4" t="s">
        <v>669</v>
      </c>
      <c r="B79" s="20">
        <v>0.47699999999999998</v>
      </c>
      <c r="C79" s="20" t="s">
        <v>29</v>
      </c>
      <c r="D79" s="20" t="s">
        <v>29</v>
      </c>
      <c r="E79" s="20" t="s">
        <v>29</v>
      </c>
      <c r="F79" s="20" t="s">
        <v>29</v>
      </c>
      <c r="G79" s="20" t="s">
        <v>29</v>
      </c>
    </row>
    <row r="80" spans="1:13" ht="12">
      <c r="A80" s="9" t="s">
        <v>548</v>
      </c>
      <c r="B80" s="14">
        <v>170.5</v>
      </c>
      <c r="C80" s="14">
        <v>216.36600000000001</v>
      </c>
      <c r="D80" s="14">
        <v>306.12</v>
      </c>
      <c r="E80" s="14">
        <v>283.50900000000001</v>
      </c>
      <c r="F80" s="14" t="s">
        <v>29</v>
      </c>
      <c r="G80" s="14" t="s">
        <v>29</v>
      </c>
    </row>
    <row r="81" spans="1:7">
      <c r="A81" s="4"/>
      <c r="B81" s="4"/>
      <c r="C81" s="4"/>
      <c r="D81" s="4"/>
      <c r="E81" s="4"/>
      <c r="F81" s="4"/>
      <c r="G81" s="4"/>
    </row>
    <row r="82" spans="1:7">
      <c r="A82" s="4"/>
      <c r="B82" s="4" t="s">
        <v>91</v>
      </c>
      <c r="C82" s="4" t="s">
        <v>91</v>
      </c>
      <c r="D82" s="4" t="s">
        <v>91</v>
      </c>
      <c r="E82" s="4" t="s">
        <v>91</v>
      </c>
      <c r="F82" s="4" t="s">
        <v>91</v>
      </c>
      <c r="G82" s="4" t="s">
        <v>91</v>
      </c>
    </row>
    <row r="83" spans="1:7">
      <c r="A83" s="4" t="s">
        <v>141</v>
      </c>
      <c r="B83" s="30">
        <v>43563</v>
      </c>
      <c r="C83" s="30">
        <v>43943</v>
      </c>
      <c r="D83" s="30">
        <v>44306</v>
      </c>
      <c r="E83" s="30">
        <v>44666</v>
      </c>
      <c r="F83" s="30">
        <v>44666</v>
      </c>
      <c r="G83" s="30">
        <v>44992</v>
      </c>
    </row>
    <row r="84" spans="1:7">
      <c r="A84" s="11"/>
      <c r="B84" s="11"/>
      <c r="C84" s="11"/>
      <c r="D84" s="11"/>
      <c r="E84" s="11"/>
      <c r="F84" s="11"/>
      <c r="G84" s="11"/>
    </row>
    <row r="85" spans="1:7">
      <c r="A85" s="25" t="s">
        <v>67</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22</vt:i4>
      </vt:variant>
      <vt:variant>
        <vt:lpstr>Plages nommées</vt:lpstr>
      </vt:variant>
      <vt:variant>
        <vt:i4>13</vt:i4>
      </vt:variant>
    </vt:vector>
  </HeadingPairs>
  <TitlesOfParts>
    <vt:vector size="35" baseType="lpstr">
      <vt:lpstr>FCFF</vt:lpstr>
      <vt:lpstr>NCW</vt:lpstr>
      <vt:lpstr>Forecast NWC</vt:lpstr>
      <vt:lpstr>Assumptions</vt:lpstr>
      <vt:lpstr>ERP</vt:lpstr>
      <vt:lpstr>beta</vt:lpstr>
      <vt:lpstr>WACC</vt:lpstr>
      <vt:lpstr>MV of debt</vt:lpstr>
      <vt:lpstr>Fair value</vt: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Sheet'!Impression_des_titres</vt:lpstr>
      <vt:lpstr>'Capital Structure Details'!Impression_des_titres</vt:lpstr>
      <vt:lpstr>'Capital Structure Summary'!Impression_des_titres</vt:lpstr>
      <vt:lpstr>'Cash Flow'!Impression_des_titres</vt:lpstr>
      <vt:lpstr>'Historical Capitalization'!Impression_des_titres</vt:lpstr>
      <vt:lpstr>'Income Statement'!Impression_des_titres</vt:lpstr>
      <vt:lpstr>'Industry Specific'!Impression_des_titres</vt:lpstr>
      <vt:lpstr>'Key Stats'!Impression_des_titres</vt:lpstr>
      <vt:lpstr>Multiples!Impression_des_titres</vt:lpstr>
      <vt:lpstr>'Pension OPEB'!Impression_des_titres</vt:lpstr>
      <vt:lpstr>Ratios!Impression_des_titres</vt:lpstr>
      <vt:lpstr>Segments!Impression_des_titres</vt:lpstr>
      <vt:lpstr>Supplemental!Impression_des_titres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2023-04-06T12:45:17Z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